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03-Finance\ai-fund\ciq\templates\"/>
    </mc:Choice>
  </mc:AlternateContent>
  <xr:revisionPtr revIDLastSave="0" documentId="13_ncr:1_{11E4DB02-6307-4050-A851-8660580CEC32}" xr6:coauthVersionLast="47" xr6:coauthVersionMax="47" xr10:uidLastSave="{00000000-0000-0000-0000-000000000000}"/>
  <bookViews>
    <workbookView xWindow="3525" yWindow="3270" windowWidth="21600" windowHeight="12645" firstSheet="1" activeTab="1" xr2:uid="{00000000-000D-0000-FFFF-FFFF00000000}"/>
  </bookViews>
  <sheets>
    <sheet name="_CIQHiddenCacheSheet" sheetId="42" state="veryHidden" r:id="rId1"/>
    <sheet name="Financial Statements" sheetId="37" r:id="rId2"/>
    <sheet name="Common Size" sheetId="40" r:id="rId3"/>
    <sheet name="Detailed Comps" sheetId="38" r:id="rId4"/>
    <sheet name="Summary Comps" sheetId="39" r:id="rId5"/>
    <sheet name="Language Index" sheetId="41" state="hidden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1" hidden="1">'Financial Statements'!$8:$8</definedName>
    <definedName name="_xlnm._FilterDatabase" localSheetId="5" hidden="1">'Language Index'!$A$7:$CY$874</definedName>
    <definedName name="Ccy">'Financial Statements'!$G$3</definedName>
    <definedName name="CIQWBGuid" hidden="1">"097b8855-6fd5-48d5-8a44-d919dfefe1d4"</definedName>
    <definedName name="CIQWBInfo" hidden="1">"{ ""CIQVersion"":""9.52.4409.4666"" }"</definedName>
    <definedName name="Conv">'Financial Statements'!$G$4</definedName>
    <definedName name="IQ_ADDIN" hidden="1">"AUTO"</definedName>
    <definedName name="IQ_ANNUAL_DIVIDEND" hidden="1">"c229"</definedName>
    <definedName name="IQ_AVG_PRICE_TARGET" hidden="1">"c82"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CH">110000</definedName>
    <definedName name="IQ_CLASSB_OUTSTANDING_BS_DATE" hidden="1">"c1972"</definedName>
    <definedName name="IQ_CLASSB_OUTSTANDING_FILING_DATE" hidden="1">"c1974"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REVENUE_EST" hidden="1">"c165"</definedName>
    <definedName name="IQ_EV_OVER_REVENUE_EST_1" hidden="1">"c166"</definedName>
    <definedName name="IQ_EXPENSE_CODE_" hidden="1">"test"</definedName>
    <definedName name="IQ_FH">100000</definedName>
    <definedName name="IQ_FHLB_DUE_AFTER_FIVE" hidden="1">"c2086"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PERCENT_OWNER" hidden="1">"c239"</definedName>
    <definedName name="IQ_FLOAT" hidden="1">"c225"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"IQ_FY_DATE"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TITUTIONAL_AMOUNT" hidden="1">"c236"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>2000</definedName>
    <definedName name="IQ_LTM_DATE" hidden="1">"IQ_LTM_DATE"</definedName>
    <definedName name="IQ_LTMMONTH" hidden="1">120000</definedName>
    <definedName name="IQ_MONTH">15000</definedName>
    <definedName name="IQ_MTD" hidden="1">800000</definedName>
    <definedName name="IQ_NAMES_REVISION_DATE_" hidden="1">44138.2104976852</definedName>
    <definedName name="IQ_NAV_ACT_OR_EST" hidden="1">"c2225"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TM">6000</definedName>
    <definedName name="IQ_NUM_OFFICES" hidden="1">"c2088"</definedName>
    <definedName name="IQ_NUMBER_SHAREHOLDERS_CLASSB" hidden="1">"c1969"</definedName>
    <definedName name="IQ_OG_OTHER_ADJ" hidden="1">"c1999"</definedName>
    <definedName name="IQ_OG_TOTAL_OIL_PRODUCTON" hidden="1">"c2059"</definedName>
    <definedName name="IQ_OPENED55" hidden="1">1</definedName>
    <definedName name="IQ_OPTIONS_EXCERCISED" hidden="1">"c2116"</definedName>
    <definedName name="IQ_OUTSTANDING_FILING_DATE_TOTAL" hidden="1">"c2107"</definedName>
    <definedName name="IQ_PERCENT_FLOAT" hidden="1">"c227"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MARY_EPS_TYPE_THOM" hidden="1">"c5297"</definedName>
    <definedName name="IQ_QTD" hidden="1">750000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HAREOUTSTANDING" hidden="1">"c1347"</definedName>
    <definedName name="IQ_SHORT_INTEREST_VOLUME" hidden="1">"c228"</definedName>
    <definedName name="IQ_TARGET_PRICE_LASTCLOSE" hidden="1">"c1855"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B_BOOKMARK_COUNT" hidden="1">3</definedName>
    <definedName name="IQB_BOOKMARK_LOCATION_0" hidden="1">'Financial Statements'!$A$9</definedName>
    <definedName name="IQB_BOOKMARK_LOCATION_1" hidden="1">'Financial Statements'!$A$217</definedName>
    <definedName name="IQB_BOOKMARK_LOCATION_2" hidden="1">'Financial Statements'!$A$331</definedName>
    <definedName name="IQB_CURRENT_BOOKMARK" hidden="1">1</definedName>
    <definedName name="IQRA7" hidden="1">"$A$8:$A$11"</definedName>
    <definedName name="IQRB7" hidden="1">"$B$8:$B$11"</definedName>
    <definedName name="IQRBenchmarkAI6" hidden="1">[3]Benchmark!$AI$7:$AI$509</definedName>
    <definedName name="IQRBenchmarkAJ6" hidden="1">[3]Benchmark!$AJ$7:$AJ$509</definedName>
    <definedName name="IQRBenchmarkAL6" hidden="1">[3]Benchmark!$AL$7</definedName>
    <definedName name="IQRBenchmarkAM6" hidden="1">[3]Benchmark!$AM$7</definedName>
    <definedName name="IQRBenchmarkAO6" hidden="1">[3]Benchmark!$AO$7</definedName>
    <definedName name="IQRBenchmarkAP6" hidden="1">[3]Benchmark!$AP$7</definedName>
    <definedName name="IQRBenchmarkAR6" hidden="1">[3]Benchmark!$AR$7</definedName>
    <definedName name="IQRBenchmarkAS6" hidden="1">[3]Benchmark!$AS$7</definedName>
    <definedName name="IQRBenchmarkAU6" hidden="1">[3]Benchmark!$AU$7</definedName>
    <definedName name="IQRBenchmarkAV6" hidden="1">[3]Benchmark!$AV$7</definedName>
    <definedName name="IQRBenchmarkAX6" hidden="1">[3]Benchmark!$AX$7</definedName>
    <definedName name="IQRBenchmarkAY6" hidden="1">[3]Benchmark!$AY$7</definedName>
    <definedName name="IQRBenchmarkBA6" hidden="1">[3]Benchmark!$BA$7</definedName>
    <definedName name="IQRBenchmarkBB6" hidden="1">[3]Benchmark!$BB$7</definedName>
    <definedName name="IQRBenchmarkBD6" hidden="1">[3]Benchmark!$BD$7</definedName>
    <definedName name="IQRBenchmarkBE6" hidden="1">[3]Benchmark!$BE$7</definedName>
    <definedName name="IQRBenchmarkBG6" hidden="1">[3]Benchmark!$BG$7</definedName>
    <definedName name="IQRBenchmarkBH6" hidden="1">[3]Benchmark!$BH$7</definedName>
    <definedName name="IQRBenchmarkBJ6" hidden="1">[3]Benchmark!$BJ$7</definedName>
    <definedName name="IQRBenchmarkBK6" hidden="1">[3]Benchmark!$BK$7</definedName>
    <definedName name="IQRBenchmarkBM6" hidden="1">[3]Benchmark!$BM$7</definedName>
    <definedName name="IQRBenchmarkBN6" hidden="1">[3]Benchmark!$BN$7</definedName>
    <definedName name="IQRC7" hidden="1">"$C$8:$C$11"</definedName>
    <definedName name="IQRCapitalStructureDetailsU34" hidden="1">'[1]Capital Structure Details'!$U$35:$U$59</definedName>
    <definedName name="IQRCapitalStructureDetailsU5" hidden="1">'[1]Capital Structure Details'!$U$6:$U$30</definedName>
    <definedName name="IQRCapitalStructureDetailsU63" hidden="1">'[1]Capital Structure Details'!$U$64:$U$88</definedName>
    <definedName name="IQRD7" hidden="1">"$D$8:$D$11"</definedName>
    <definedName name="IQRDataA8" hidden="1">[2]Data!$A$9:$A$261</definedName>
    <definedName name="IQRDataB8" hidden="1">[2]Data!$B$9:$B$261</definedName>
    <definedName name="IQRDataC8" hidden="1">[2]Data!$C$9:$C$261</definedName>
    <definedName name="IQRE7" hidden="1">"$E$8:$E$11"</definedName>
    <definedName name="IQRF7" hidden="1">"$F$8:$F$11"</definedName>
    <definedName name="IQRG7" hidden="1">"$G$8:$G$11"</definedName>
    <definedName name="IQRGrowthModelA9" hidden="1">'[4]Growth Model'!$A$10</definedName>
    <definedName name="IQRH7" hidden="1">"$H$8:$H$11"</definedName>
    <definedName name="IQRI7" hidden="1">"$I$8:$I$11"</definedName>
    <definedName name="IQRJ7" hidden="1">"$J$8:$J$11"</definedName>
    <definedName name="IQRMomentumModelA9" hidden="1">'[4]Momentum Model'!$A$10</definedName>
    <definedName name="IQRPortfolioAI6" hidden="1">[3]Portfolio!$AI$7</definedName>
    <definedName name="IQRPortfolioAJ6" hidden="1">[3]Portfolio!$AJ$7</definedName>
    <definedName name="IQRPortfolioAL6" hidden="1">[3]Portfolio!$AL$7</definedName>
    <definedName name="IQRPortfolioAM6" hidden="1">[3]Portfolio!$AM$7</definedName>
    <definedName name="IQRPortfolioAO6" hidden="1">[3]Portfolio!$AO$7</definedName>
    <definedName name="IQRPortfolioAP6" hidden="1">[3]Portfolio!$AP$7</definedName>
    <definedName name="IQRPortfolioAR6" hidden="1">[3]Portfolio!$AR$7</definedName>
    <definedName name="IQRPortfolioAS6" hidden="1">[3]Portfolio!$AS$7</definedName>
    <definedName name="IQRPortfolioAU6" hidden="1">[3]Portfolio!$AU$7</definedName>
    <definedName name="IQRPortfolioAV6" hidden="1">[3]Portfolio!$AV$7</definedName>
    <definedName name="IQRPortfolioAX6" hidden="1">[3]Portfolio!$AX$7</definedName>
    <definedName name="IQRPortfolioAY6" hidden="1">[3]Portfolio!$AY$7</definedName>
    <definedName name="IQRPortfolioBA6" hidden="1">[3]Portfolio!$BA$7</definedName>
    <definedName name="IQRPortfolioBB6" hidden="1">[3]Portfolio!$BB$7</definedName>
    <definedName name="IQRPortfolioBD6" hidden="1">[3]Portfolio!$BD$7</definedName>
    <definedName name="IQRPortfolioBE6" hidden="1">[3]Portfolio!$BE$7</definedName>
    <definedName name="IQRPortfolioBG6" hidden="1">[3]Portfolio!$BG$7</definedName>
    <definedName name="IQRPortfolioBH6" hidden="1">[3]Portfolio!$BH$7</definedName>
    <definedName name="IQRPortfolioBJ6" hidden="1">[3]Portfolio!$BJ$7</definedName>
    <definedName name="IQRPortfolioBK6" hidden="1">[3]Portfolio!$BK$7</definedName>
    <definedName name="IQRPortfolioBM6" hidden="1">[3]Portfolio!$BM$7</definedName>
    <definedName name="IQRPortfolioBN6" hidden="1">[3]Portfolio!$BN$7</definedName>
    <definedName name="IQRQualityModelA9" hidden="1">'[4]Quality Model'!$A$10</definedName>
    <definedName name="IQRValueModelA9" hidden="1">'[4]Value Model'!$A$10</definedName>
    <definedName name="Languages">OFFSET('Language Index'!$CY$8,,,'Language Index'!$A$5)</definedName>
    <definedName name="_xlnm.Print_Area" localSheetId="2">'Common Size'!$A$7:$P$75,'Common Size'!$A$77:$P$162</definedName>
    <definedName name="_xlnm.Print_Area" localSheetId="3">'Detailed Comps'!$A$1:$FP$24</definedName>
    <definedName name="_xlnm.Print_Area" localSheetId="1">'Financial Statements'!$A$7:$P$214,'Financial Statements'!$A$216:$P$328,'Financial Statements'!$A$330:$P$412,'Financial Statements'!$A$439:$P$546,'Financial Statements'!$A$1245:$P$1334</definedName>
    <definedName name="_xlnm.Print_Area" localSheetId="4">'Summary Comps'!$A$1:$Z$61</definedName>
    <definedName name="_xlnm.Print_Titles" localSheetId="2">'Common Size'!$7:$7</definedName>
    <definedName name="_xlnm.Print_Titles" localSheetId="3">'Detailed Comps'!$A:$H</definedName>
    <definedName name="_xlnm.Print_Titles" localSheetId="1">'Financial Statements'!$7:$7</definedName>
    <definedName name="_xlnm.Print_Titles" localSheetId="4">'Summary Comps'!$1:$1</definedName>
    <definedName name="SPWS_WBID">"0D145571-4AA7-4C6E-B8EB-4DF0FED2B8BC"</definedName>
    <definedName name="SPWS_WSID" localSheetId="2" hidden="1">"74B14380-D945-4DA9-AF4C-09AEA4A7FF0E"</definedName>
    <definedName name="SPWS_WSID" localSheetId="1" hidden="1">"57DB6723-E5BE-4B4A-A101-4BA9B54D516F"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54" i="37" l="1"/>
  <c r="D1249" i="37"/>
  <c r="E1254" i="37"/>
  <c r="D1251" i="37"/>
  <c r="D1253" i="37"/>
  <c r="D1250" i="37"/>
  <c r="D1252" i="37"/>
  <c r="E1249" i="37"/>
  <c r="E1251" i="37"/>
  <c r="E1253" i="37"/>
  <c r="E1250" i="37"/>
  <c r="E1252" i="37"/>
  <c r="F1249" i="37"/>
  <c r="F1251" i="37"/>
  <c r="F1253" i="37"/>
  <c r="F1250" i="37"/>
  <c r="F1252" i="37"/>
  <c r="G1251" i="37"/>
  <c r="G1253" i="37"/>
  <c r="G1250" i="37"/>
  <c r="G1252" i="37"/>
  <c r="F1254" i="37"/>
  <c r="H1253" i="37"/>
  <c r="H1250" i="37"/>
  <c r="H1252" i="37"/>
  <c r="G1254" i="37"/>
  <c r="G1249" i="37"/>
  <c r="I1250" i="37"/>
  <c r="I1252" i="37"/>
  <c r="H1249" i="37"/>
  <c r="H1254" i="37"/>
  <c r="H1251" i="37"/>
  <c r="K1252" i="37"/>
  <c r="I1254" i="37"/>
  <c r="I1253" i="37"/>
  <c r="I1249" i="37"/>
  <c r="I1251" i="37"/>
  <c r="K1250" i="37"/>
  <c r="K1253" i="37"/>
  <c r="K1251" i="37"/>
  <c r="K1249" i="37"/>
  <c r="K1254" i="37"/>
  <c r="J1250" i="37"/>
  <c r="J1252" i="37"/>
  <c r="J1254" i="37"/>
  <c r="J1249" i="37"/>
  <c r="J1251" i="37"/>
  <c r="J1253" i="37"/>
  <c r="L1251" i="37"/>
  <c r="L1253" i="37"/>
  <c r="L1250" i="37"/>
  <c r="M1253" i="37"/>
  <c r="M1250" i="37"/>
  <c r="L1252" i="37"/>
  <c r="L1254" i="37"/>
  <c r="L1249" i="37"/>
  <c r="N1249" i="37"/>
  <c r="M1252" i="37"/>
  <c r="M1254" i="37"/>
  <c r="M1251" i="37"/>
  <c r="M1249" i="37"/>
  <c r="N1254" i="37"/>
  <c r="N1251" i="37"/>
  <c r="N1253" i="37"/>
  <c r="N1250" i="37"/>
  <c r="N1252" i="37"/>
  <c r="BE14" i="38"/>
  <c r="P1251" i="37"/>
  <c r="P1249" i="37"/>
  <c r="P1254" i="37"/>
  <c r="P1252" i="37"/>
  <c r="P1250" i="37"/>
  <c r="BM14" i="38"/>
  <c r="BE12" i="38"/>
  <c r="BE13" i="38"/>
  <c r="BU14" i="38"/>
  <c r="BM12" i="38"/>
  <c r="BE10" i="38"/>
  <c r="BM13" i="38"/>
  <c r="BE11" i="38"/>
  <c r="BM10" i="38"/>
  <c r="BE8" i="38"/>
  <c r="BU13" i="38"/>
  <c r="BM11" i="38"/>
  <c r="BE9" i="38"/>
  <c r="BU11" i="38"/>
  <c r="BE7" i="38"/>
  <c r="BM9" i="38"/>
  <c r="BU10" i="38"/>
  <c r="BU12" i="38"/>
  <c r="BU7" i="38"/>
  <c r="BU8" i="38"/>
  <c r="BU9" i="38"/>
  <c r="BM7" i="38"/>
  <c r="BM8" i="38"/>
  <c r="EQ11" i="38"/>
  <c r="CO11" i="38"/>
  <c r="AY11" i="38"/>
  <c r="G11" i="38"/>
  <c r="EI11" i="38"/>
  <c r="CQ11" i="38"/>
  <c r="BA11" i="38"/>
  <c r="I11" i="38"/>
  <c r="DO11" i="38"/>
  <c r="CS11" i="38"/>
  <c r="BC11" i="38"/>
  <c r="K11" i="38"/>
  <c r="CM11" i="38"/>
  <c r="AM11" i="38"/>
  <c r="FR11" i="38"/>
  <c r="M11" i="38"/>
  <c r="AW11" i="38"/>
  <c r="DU11" i="38"/>
  <c r="EK11" i="38"/>
  <c r="CA11" i="38"/>
  <c r="DQ11" i="38"/>
  <c r="BG11" i="38"/>
  <c r="EM11" i="38"/>
  <c r="CU11" i="38"/>
  <c r="CY11" i="38"/>
  <c r="AG11" i="38"/>
  <c r="EO11" i="38"/>
  <c r="CW11" i="38"/>
  <c r="FK11" i="38"/>
  <c r="DG11" i="38"/>
  <c r="ES11" i="38"/>
  <c r="DA11" i="38"/>
  <c r="S11" i="38"/>
  <c r="BW11" i="38"/>
  <c r="EU11" i="38"/>
  <c r="DC11" i="38"/>
  <c r="CC11" i="38"/>
  <c r="FE11" i="38"/>
  <c r="EY11" i="38"/>
  <c r="EW11" i="38"/>
  <c r="DE11" i="38"/>
  <c r="W11" i="38"/>
  <c r="BY11" i="38"/>
  <c r="Y11" i="38"/>
  <c r="DI11" i="38"/>
  <c r="BQ11" i="38"/>
  <c r="AA11" i="38"/>
  <c r="FG11" i="38"/>
  <c r="BO11" i="38"/>
  <c r="BS11" i="38"/>
  <c r="FO11" i="38"/>
  <c r="AK11" i="38"/>
  <c r="AC11" i="38"/>
  <c r="FA11" i="38"/>
  <c r="AI11" i="38"/>
  <c r="DM11" i="38"/>
  <c r="CE11" i="38"/>
  <c r="FC11" i="38"/>
  <c r="DK11" i="38"/>
  <c r="EE11" i="38"/>
  <c r="DS11" i="38"/>
  <c r="FI11" i="38"/>
  <c r="DW11" i="38"/>
  <c r="FM11" i="38"/>
  <c r="CK10" i="38"/>
  <c r="AU10" i="38"/>
  <c r="C10" i="38"/>
  <c r="E11" i="38"/>
  <c r="AO11" i="38"/>
  <c r="CM10" i="38"/>
  <c r="AW10" i="38"/>
  <c r="E10" i="38"/>
  <c r="FC10" i="38"/>
  <c r="EC10" i="38"/>
  <c r="FR10" i="38"/>
  <c r="CO10" i="38"/>
  <c r="AY10" i="38"/>
  <c r="G10" i="38"/>
  <c r="EE10" i="38"/>
  <c r="EI10" i="38"/>
  <c r="CQ10" i="38"/>
  <c r="BA10" i="38"/>
  <c r="I10" i="38"/>
  <c r="CU10" i="38"/>
  <c r="K10" i="38"/>
  <c r="FG10" i="38"/>
  <c r="FE10" i="38"/>
  <c r="EM10" i="38"/>
  <c r="M10" i="38"/>
  <c r="BW10" i="38"/>
  <c r="AC10" i="38"/>
  <c r="EK10" i="38"/>
  <c r="CS10" i="38"/>
  <c r="BC10" i="38"/>
  <c r="AS10" i="38"/>
  <c r="EO10" i="38"/>
  <c r="CW10" i="38"/>
  <c r="DK10" i="38"/>
  <c r="BY10" i="38"/>
  <c r="BQ10" i="38"/>
  <c r="EU10" i="38"/>
  <c r="EQ10" i="38"/>
  <c r="CY10" i="38"/>
  <c r="BG10" i="38"/>
  <c r="DC10" i="38"/>
  <c r="ES10" i="38"/>
  <c r="DA10" i="38"/>
  <c r="S10" i="38"/>
  <c r="BS10" i="38"/>
  <c r="EW10" i="38"/>
  <c r="DE10" i="38"/>
  <c r="W10" i="38"/>
  <c r="DQ10" i="38"/>
  <c r="FA10" i="38"/>
  <c r="Y10" i="38"/>
  <c r="EA10" i="38"/>
  <c r="DO10" i="38"/>
  <c r="AG10" i="38"/>
  <c r="BO10" i="38"/>
  <c r="AA10" i="38"/>
  <c r="CI10" i="38"/>
  <c r="FI10" i="38"/>
  <c r="EY10" i="38"/>
  <c r="DG10" i="38"/>
  <c r="CG9" i="38"/>
  <c r="AQ9" i="38"/>
  <c r="AI10" i="38"/>
  <c r="DM10" i="38"/>
  <c r="DI10" i="38"/>
  <c r="EY9" i="38"/>
  <c r="EA9" i="38"/>
  <c r="CI9" i="38"/>
  <c r="AS9" i="38"/>
  <c r="I9" i="38"/>
  <c r="DY9" i="38"/>
  <c r="E9" i="38"/>
  <c r="DE9" i="38"/>
  <c r="EC9" i="38"/>
  <c r="CK9" i="38"/>
  <c r="AU9" i="38"/>
  <c r="C9" i="38"/>
  <c r="DG9" i="38"/>
  <c r="EW9" i="38"/>
  <c r="BA9" i="38"/>
  <c r="EE9" i="38"/>
  <c r="CM9" i="38"/>
  <c r="AW9" i="38"/>
  <c r="AO9" i="38"/>
  <c r="CQ9" i="38"/>
  <c r="CO9" i="38"/>
  <c r="AY9" i="38"/>
  <c r="G9" i="38"/>
  <c r="AA9" i="38"/>
  <c r="EK9" i="38"/>
  <c r="CS9" i="38"/>
  <c r="BC9" i="38"/>
  <c r="K9" i="38"/>
  <c r="FC9" i="38"/>
  <c r="EI9" i="38"/>
  <c r="Y9" i="38"/>
  <c r="CY9" i="38"/>
  <c r="EM9" i="38"/>
  <c r="CU9" i="38"/>
  <c r="FR9" i="38"/>
  <c r="M9" i="38"/>
  <c r="EQ9" i="38"/>
  <c r="BG9" i="38"/>
  <c r="EO9" i="38"/>
  <c r="CW9" i="38"/>
  <c r="FA9" i="38"/>
  <c r="DI9" i="38"/>
  <c r="AC9" i="38"/>
  <c r="DC9" i="38"/>
  <c r="ES9" i="38"/>
  <c r="DA9" i="38"/>
  <c r="S9" i="38"/>
  <c r="DW9" i="38"/>
  <c r="FO9" i="38"/>
  <c r="BQ9" i="38"/>
  <c r="W9" i="38"/>
  <c r="DK9" i="38"/>
  <c r="EU9" i="38"/>
  <c r="BS9" i="38"/>
  <c r="EQ7" i="38"/>
  <c r="FI7" i="38"/>
  <c r="DQ7" i="38"/>
  <c r="BY7" i="38"/>
  <c r="AI7" i="38"/>
  <c r="BO9" i="38"/>
  <c r="CC7" i="38"/>
  <c r="AM7" i="38"/>
  <c r="FK7" i="38"/>
  <c r="DS7" i="38"/>
  <c r="CA7" i="38"/>
  <c r="AK7" i="38"/>
  <c r="CE7" i="38"/>
  <c r="AO7" i="38"/>
  <c r="EA7" i="38"/>
  <c r="AS7" i="38"/>
  <c r="FM7" i="38"/>
  <c r="DU7" i="38"/>
  <c r="CG7" i="38"/>
  <c r="AQ7" i="38"/>
  <c r="BG7" i="38"/>
  <c r="CI7" i="38"/>
  <c r="FO7" i="38"/>
  <c r="DW7" i="38"/>
  <c r="I7" i="38"/>
  <c r="EC7" i="38"/>
  <c r="CK7" i="38"/>
  <c r="AU7" i="38"/>
  <c r="C7" i="38"/>
  <c r="DY7" i="38"/>
  <c r="CQ7" i="38"/>
  <c r="EE7" i="38"/>
  <c r="CM7" i="38"/>
  <c r="AW7" i="38"/>
  <c r="E7" i="38"/>
  <c r="EI7" i="38"/>
  <c r="EU7" i="38"/>
  <c r="BA7" i="38"/>
  <c r="CO7" i="38"/>
  <c r="AY7" i="38"/>
  <c r="G7" i="38"/>
  <c r="CY7" i="38"/>
  <c r="CU7" i="38"/>
  <c r="FR7" i="38"/>
  <c r="EK7" i="38"/>
  <c r="CS7" i="38"/>
  <c r="BC7" i="38"/>
  <c r="K7" i="38"/>
  <c r="AM8" i="38"/>
  <c r="EO7" i="38"/>
  <c r="CW7" i="38"/>
  <c r="EM7" i="38"/>
  <c r="M7" i="38"/>
  <c r="DC7" i="38"/>
  <c r="DW8" i="38"/>
  <c r="CE8" i="38"/>
  <c r="AO8" i="38"/>
  <c r="FM8" i="38"/>
  <c r="DU8" i="38"/>
  <c r="CC8" i="38"/>
  <c r="DY8" i="38"/>
  <c r="CG8" i="38"/>
  <c r="AQ8" i="38"/>
  <c r="FK8" i="38"/>
  <c r="DC8" i="38"/>
  <c r="FO8" i="38"/>
  <c r="BO8" i="38"/>
  <c r="EE8" i="38"/>
  <c r="EA8" i="38"/>
  <c r="CI8" i="38"/>
  <c r="AS8" i="38"/>
  <c r="AW8" i="38"/>
  <c r="CM8" i="38"/>
  <c r="E8" i="38"/>
  <c r="EC8" i="38"/>
  <c r="CK8" i="38"/>
  <c r="AU8" i="38"/>
  <c r="C8" i="38"/>
  <c r="I8" i="38"/>
  <c r="EM8" i="38"/>
  <c r="FR8" i="38"/>
  <c r="CO8" i="38"/>
  <c r="AY8" i="38"/>
  <c r="G8" i="38"/>
  <c r="EW8" i="38"/>
  <c r="CU8" i="38"/>
  <c r="M8" i="38"/>
  <c r="EI8" i="38"/>
  <c r="CQ8" i="38"/>
  <c r="BA8" i="38"/>
  <c r="CW8" i="38"/>
  <c r="EU8" i="38"/>
  <c r="EK8" i="38"/>
  <c r="CS8" i="38"/>
  <c r="BC8" i="38"/>
  <c r="K8" i="38"/>
  <c r="BG8" i="38"/>
  <c r="EY8" i="38"/>
  <c r="Y8" i="38"/>
  <c r="EQ8" i="38"/>
  <c r="CY8" i="38"/>
  <c r="EO8" i="38"/>
  <c r="ES14" i="38"/>
  <c r="DA14" i="38"/>
  <c r="S14" i="38"/>
  <c r="ES8" i="38"/>
  <c r="DA8" i="38"/>
  <c r="S8" i="38"/>
  <c r="EU14" i="38"/>
  <c r="DC14" i="38"/>
  <c r="FC14" i="38"/>
  <c r="DK14" i="38"/>
  <c r="AC14" i="38"/>
  <c r="DY14" i="38"/>
  <c r="EW14" i="38"/>
  <c r="DE14" i="38"/>
  <c r="W14" i="38"/>
  <c r="AY14" i="38"/>
  <c r="DG14" i="38"/>
  <c r="BO14" i="38"/>
  <c r="Y14" i="38"/>
  <c r="CO14" i="38"/>
  <c r="C14" i="38"/>
  <c r="BQ14" i="38"/>
  <c r="AA14" i="38"/>
  <c r="EE14" i="38"/>
  <c r="EC14" i="38"/>
  <c r="EY14" i="38"/>
  <c r="G14" i="38"/>
  <c r="E14" i="38"/>
  <c r="BS14" i="38"/>
  <c r="FA14" i="38"/>
  <c r="DI14" i="38"/>
  <c r="FE14" i="38"/>
  <c r="DM14" i="38"/>
  <c r="AU14" i="38"/>
  <c r="AS14" i="38"/>
  <c r="CQ14" i="38"/>
  <c r="DO14" i="38"/>
  <c r="BW14" i="38"/>
  <c r="AG14" i="38"/>
  <c r="DS14" i="38"/>
  <c r="AK14" i="38"/>
  <c r="BY14" i="38"/>
  <c r="AI14" i="38"/>
  <c r="EA14" i="38"/>
  <c r="CI14" i="38"/>
  <c r="FG14" i="38"/>
  <c r="AW14" i="38"/>
  <c r="FK14" i="38"/>
  <c r="CA14" i="38"/>
  <c r="FI14" i="38"/>
  <c r="DQ14" i="38"/>
  <c r="EU12" i="38"/>
  <c r="EK12" i="38"/>
  <c r="CS12" i="38"/>
  <c r="BC12" i="38"/>
  <c r="K12" i="38"/>
  <c r="M12" i="38"/>
  <c r="FK12" i="38"/>
  <c r="DS12" i="38"/>
  <c r="BY12" i="38"/>
  <c r="AC12" i="38"/>
  <c r="CI12" i="38"/>
  <c r="AI12" i="38"/>
  <c r="EM12" i="38"/>
  <c r="CU12" i="38"/>
  <c r="FR12" i="38"/>
  <c r="BG12" i="38"/>
  <c r="EI12" i="38"/>
  <c r="DC12" i="38"/>
  <c r="EO12" i="38"/>
  <c r="CW12" i="38"/>
  <c r="FM12" i="38"/>
  <c r="CC12" i="38"/>
  <c r="AM12" i="38"/>
  <c r="EQ12" i="38"/>
  <c r="CY12" i="38"/>
  <c r="CA12" i="38"/>
  <c r="ES12" i="38"/>
  <c r="DA12" i="38"/>
  <c r="S12" i="38"/>
  <c r="CE12" i="38"/>
  <c r="EW12" i="38"/>
  <c r="DE12" i="38"/>
  <c r="W12" i="38"/>
  <c r="BA12" i="38"/>
  <c r="FO12" i="38"/>
  <c r="EY12" i="38"/>
  <c r="DG12" i="38"/>
  <c r="BO12" i="38"/>
  <c r="Y12" i="38"/>
  <c r="BS12" i="38"/>
  <c r="AO13" i="38"/>
  <c r="DG13" i="38"/>
  <c r="EO13" i="38"/>
  <c r="CW13" i="38"/>
  <c r="FC12" i="38"/>
  <c r="EQ13" i="38"/>
  <c r="CY13" i="38"/>
  <c r="BG13" i="38"/>
  <c r="FO13" i="38"/>
  <c r="CE13" i="38"/>
  <c r="Y13" i="38"/>
  <c r="ES13" i="38"/>
  <c r="DA13" i="38"/>
  <c r="S13" i="38"/>
  <c r="CK13" i="38"/>
  <c r="CG13" i="38"/>
  <c r="BO13" i="38"/>
  <c r="EU13" i="38"/>
  <c r="DC13" i="38"/>
  <c r="AW13" i="38"/>
  <c r="EW13" i="38"/>
  <c r="DE13" i="38"/>
  <c r="W13" i="38"/>
  <c r="EA13" i="38"/>
  <c r="AS13" i="38"/>
  <c r="AA13" i="38"/>
  <c r="C13" i="38"/>
  <c r="DW13" i="38"/>
  <c r="AG13" i="38"/>
  <c r="EY13" i="38"/>
  <c r="DS8" i="38"/>
  <c r="AG7" i="38"/>
  <c r="FA13" i="38"/>
  <c r="DI13" i="38"/>
  <c r="BQ13" i="38"/>
  <c r="CW14" i="38"/>
  <c r="EO14" i="38"/>
  <c r="BW7" i="38"/>
  <c r="DO7" i="38"/>
  <c r="FG7" i="38"/>
  <c r="CA8" i="38"/>
  <c r="CO12" i="38"/>
  <c r="K13" i="38"/>
  <c r="BC13" i="38"/>
  <c r="CS13" i="38"/>
  <c r="EK13" i="38"/>
  <c r="AU11" i="38"/>
  <c r="CK11" i="38"/>
  <c r="EC11" i="38"/>
  <c r="G12" i="38"/>
  <c r="AY12" i="38"/>
  <c r="FM9" i="38"/>
  <c r="AQ10" i="38"/>
  <c r="CG10" i="38"/>
  <c r="DY10" i="38"/>
  <c r="C11" i="38"/>
  <c r="BY8" i="38"/>
  <c r="DQ8" i="38"/>
  <c r="FI8" i="38"/>
  <c r="AM9" i="38"/>
  <c r="CC9" i="38"/>
  <c r="DU9" i="38"/>
  <c r="EM14" i="38"/>
  <c r="AK8" i="38"/>
  <c r="DM7" i="38"/>
  <c r="FE7" i="38"/>
  <c r="AI8" i="38"/>
  <c r="CQ13" i="38"/>
  <c r="EI13" i="38"/>
  <c r="M14" i="38"/>
  <c r="FR14" i="38"/>
  <c r="CU14" i="38"/>
  <c r="AW12" i="38"/>
  <c r="CM12" i="38"/>
  <c r="EE12" i="38"/>
  <c r="I13" i="38"/>
  <c r="BA13" i="38"/>
  <c r="FO10" i="38"/>
  <c r="AS11" i="38"/>
  <c r="CI11" i="38"/>
  <c r="EA11" i="38"/>
  <c r="E12" i="38"/>
  <c r="DS9" i="38"/>
  <c r="FK9" i="38"/>
  <c r="AO10" i="38"/>
  <c r="CE10" i="38"/>
  <c r="DW10" i="38"/>
  <c r="AG8" i="38"/>
  <c r="BW8" i="38"/>
  <c r="DO8" i="38"/>
  <c r="FG8" i="38"/>
  <c r="AK9" i="38"/>
  <c r="CA9" i="38"/>
  <c r="EK14" i="38"/>
  <c r="CE9" i="38"/>
  <c r="AC7" i="38"/>
  <c r="BS7" i="38"/>
  <c r="DK7" i="38"/>
  <c r="FC7" i="38"/>
  <c r="AY13" i="38"/>
  <c r="CO13" i="38"/>
  <c r="K14" i="38"/>
  <c r="BC14" i="38"/>
  <c r="CS14" i="38"/>
  <c r="C12" i="38"/>
  <c r="AU12" i="38"/>
  <c r="CK12" i="38"/>
  <c r="EC12" i="38"/>
  <c r="G13" i="38"/>
  <c r="DU10" i="38"/>
  <c r="FM10" i="38"/>
  <c r="AQ11" i="38"/>
  <c r="CG11" i="38"/>
  <c r="DY11" i="38"/>
  <c r="AI9" i="38"/>
  <c r="BY9" i="38"/>
  <c r="DQ9" i="38"/>
  <c r="FI9" i="38"/>
  <c r="AM10" i="38"/>
  <c r="CC10" i="38"/>
  <c r="BQ7" i="38"/>
  <c r="DI7" i="38"/>
  <c r="FA7" i="38"/>
  <c r="DM8" i="38"/>
  <c r="FE8" i="38"/>
  <c r="I14" i="38"/>
  <c r="BA14" i="38"/>
  <c r="EM13" i="38"/>
  <c r="CY14" i="38"/>
  <c r="AA7" i="38"/>
  <c r="AS12" i="38"/>
  <c r="EA12" i="38"/>
  <c r="CM13" i="38"/>
  <c r="EE13" i="38"/>
  <c r="FG9" i="38"/>
  <c r="AK10" i="38"/>
  <c r="CA10" i="38"/>
  <c r="DS10" i="38"/>
  <c r="FK10" i="38"/>
  <c r="BS8" i="38"/>
  <c r="DK8" i="38"/>
  <c r="FC8" i="38"/>
  <c r="AG9" i="38"/>
  <c r="BW9" i="38"/>
  <c r="DO9" i="38"/>
  <c r="FE9" i="38"/>
  <c r="Y7" i="38"/>
  <c r="BO7" i="38"/>
  <c r="DG7" i="38"/>
  <c r="EY7" i="38"/>
  <c r="AC8" i="38"/>
  <c r="AA8" i="38"/>
  <c r="BQ8" i="38"/>
  <c r="DI8" i="38"/>
  <c r="FA8" i="38"/>
  <c r="DM9" i="38"/>
  <c r="DE8" i="38"/>
  <c r="I12" i="38"/>
  <c r="W7" i="38"/>
  <c r="DE7" i="38"/>
  <c r="EW7" i="38"/>
  <c r="S7" i="38"/>
  <c r="DA7" i="38"/>
  <c r="ES7" i="38"/>
  <c r="W8" i="38"/>
  <c r="CU13" i="38"/>
  <c r="EC13" i="38"/>
  <c r="AQ12" i="38"/>
  <c r="CG12" i="38"/>
  <c r="AU13" i="38"/>
  <c r="AO12" i="38"/>
  <c r="DW12" i="38"/>
  <c r="CM14" i="38"/>
  <c r="DU12" i="38"/>
  <c r="DY13" i="38"/>
  <c r="CK14" i="38"/>
  <c r="DG8" i="38"/>
  <c r="FM13" i="38"/>
  <c r="AQ14" i="38"/>
  <c r="CG14" i="38"/>
  <c r="DQ12" i="38"/>
  <c r="FI12" i="38"/>
  <c r="AM13" i="38"/>
  <c r="CC13" i="38"/>
  <c r="DU13" i="38"/>
  <c r="EI14" i="38"/>
  <c r="BM21" i="38"/>
  <c r="DW14" i="38"/>
  <c r="FO14" i="38"/>
  <c r="AK12" i="38"/>
  <c r="CA13" i="38"/>
  <c r="DS13" i="38"/>
  <c r="FK13" i="38"/>
  <c r="AO14" i="38"/>
  <c r="CE14" i="38"/>
  <c r="AG12" i="38"/>
  <c r="BW12" i="38"/>
  <c r="DO12" i="38"/>
  <c r="FG12" i="38"/>
  <c r="AK13" i="38"/>
  <c r="EQ14" i="38"/>
  <c r="CQ12" i="38"/>
  <c r="M13" i="38"/>
  <c r="FR13" i="38"/>
  <c r="BG14" i="38"/>
  <c r="DY12" i="38"/>
  <c r="AM14" i="38"/>
  <c r="CC14" i="38"/>
  <c r="DU14" i="38"/>
  <c r="FM14" i="38"/>
  <c r="FE12" i="38"/>
  <c r="AI13" i="38"/>
  <c r="BY13" i="38"/>
  <c r="DQ13" i="38"/>
  <c r="FI13" i="38"/>
  <c r="DM12" i="38"/>
  <c r="CI13" i="38"/>
  <c r="FG13" i="38"/>
  <c r="BE21" i="38"/>
  <c r="DK12" i="38"/>
  <c r="FE13" i="38"/>
  <c r="BQ12" i="38"/>
  <c r="DI12" i="38"/>
  <c r="FA12" i="38"/>
  <c r="DM13" i="38"/>
  <c r="AA12" i="38"/>
  <c r="AQ13" i="38"/>
  <c r="BW13" i="38"/>
  <c r="AC13" i="38"/>
  <c r="BS13" i="38"/>
  <c r="DK13" i="38"/>
  <c r="FC13" i="38"/>
  <c r="E13" i="38"/>
  <c r="DO13" i="38"/>
  <c r="BU21" i="38"/>
  <c r="P36" i="37"/>
  <c r="P51" i="37"/>
  <c r="P83" i="37"/>
  <c r="P135" i="37"/>
  <c r="P133" i="37"/>
  <c r="P129" i="37"/>
  <c r="P137" i="37"/>
  <c r="P235" i="37"/>
  <c r="P15" i="37"/>
  <c r="P30" i="37"/>
  <c r="P67" i="37"/>
  <c r="P196" i="37"/>
  <c r="P59" i="37"/>
  <c r="P86" i="37"/>
  <c r="P210" i="37"/>
  <c r="P22" i="37"/>
  <c r="P39" i="37"/>
  <c r="P53" i="37"/>
  <c r="P89" i="37"/>
  <c r="P175" i="37"/>
  <c r="P231" i="37"/>
  <c r="P91" i="37"/>
  <c r="P106" i="37"/>
  <c r="P104" i="37"/>
  <c r="P17" i="37"/>
  <c r="P14" i="37"/>
  <c r="P50" i="37"/>
  <c r="P62" i="37"/>
  <c r="P74" i="37"/>
  <c r="P94" i="37"/>
  <c r="P108" i="37"/>
  <c r="P119" i="37"/>
  <c r="P140" i="37"/>
  <c r="P147" i="37"/>
  <c r="P162" i="37"/>
  <c r="P292" i="37"/>
  <c r="P32" i="37"/>
  <c r="P70" i="37"/>
  <c r="P42" i="37"/>
  <c r="P78" i="37"/>
  <c r="P112" i="37"/>
  <c r="P110" i="37"/>
  <c r="P121" i="37"/>
  <c r="P187" i="37"/>
  <c r="P260" i="37"/>
  <c r="P24" i="37"/>
  <c r="P34" i="37"/>
  <c r="P123" i="37"/>
  <c r="P134" i="37"/>
  <c r="P127" i="37"/>
  <c r="P125" i="37"/>
  <c r="P138" i="37"/>
  <c r="P167" i="37"/>
  <c r="P214" i="37"/>
  <c r="P283" i="37"/>
  <c r="P267" i="37"/>
  <c r="P80" i="37"/>
  <c r="P136" i="37"/>
  <c r="P160" i="37"/>
  <c r="P227" i="37"/>
  <c r="P293" i="37"/>
  <c r="P286" i="37"/>
  <c r="P16" i="37"/>
  <c r="P45" i="37"/>
  <c r="P145" i="37"/>
  <c r="P152" i="37"/>
  <c r="P176" i="37"/>
  <c r="P191" i="37"/>
  <c r="P247" i="37"/>
  <c r="P319" i="37"/>
  <c r="P148" i="37"/>
  <c r="P161" i="37"/>
  <c r="P195" i="37"/>
  <c r="P232" i="37"/>
  <c r="P230" i="37"/>
  <c r="P258" i="37"/>
  <c r="P277" i="37"/>
  <c r="P380" i="37"/>
  <c r="P306" i="37"/>
  <c r="P154" i="37"/>
  <c r="P157" i="37"/>
  <c r="P172" i="37"/>
  <c r="P178" i="37"/>
  <c r="P189" i="37"/>
  <c r="P199" i="37"/>
  <c r="P226" i="37"/>
  <c r="P256" i="37"/>
  <c r="P299" i="37"/>
  <c r="P295" i="37"/>
  <c r="P321" i="37"/>
  <c r="P315" i="37"/>
  <c r="P311" i="37"/>
  <c r="P302" i="37"/>
  <c r="P382" i="37"/>
  <c r="P239" i="37"/>
  <c r="P274" i="37"/>
  <c r="P278" i="37"/>
  <c r="P349" i="37"/>
  <c r="P324" i="37"/>
  <c r="P350" i="37"/>
  <c r="P158" i="37"/>
  <c r="P173" i="37"/>
  <c r="P200" i="37"/>
  <c r="P211" i="37"/>
  <c r="P204" i="37"/>
  <c r="P242" i="37"/>
  <c r="P263" i="37"/>
  <c r="P275" i="37"/>
  <c r="P184" i="37"/>
  <c r="P221" i="37"/>
  <c r="P213" i="37"/>
  <c r="P240" i="37"/>
  <c r="P340" i="37"/>
  <c r="P151" i="37"/>
  <c r="P169" i="37"/>
  <c r="P166" i="37"/>
  <c r="P192" i="37"/>
  <c r="P236" i="37"/>
  <c r="P294" i="37"/>
  <c r="P417" i="37"/>
  <c r="P181" i="37"/>
  <c r="P308" i="37"/>
  <c r="P201" i="37"/>
  <c r="P229" i="37"/>
  <c r="P245" i="37"/>
  <c r="P243" i="37"/>
  <c r="P241" i="37"/>
  <c r="P279" i="37"/>
  <c r="P207" i="37"/>
  <c r="P222" i="37"/>
  <c r="P298" i="37"/>
  <c r="P343" i="37"/>
  <c r="P328" i="37"/>
  <c r="P97" i="37"/>
  <c r="P113" i="37"/>
  <c r="P126" i="37"/>
  <c r="P139" i="37"/>
  <c r="P142" i="37"/>
  <c r="P155" i="37"/>
  <c r="P170" i="37"/>
  <c r="P193" i="37"/>
  <c r="P253" i="37"/>
  <c r="P261" i="37"/>
  <c r="P289" i="37"/>
  <c r="P435" i="37"/>
  <c r="P456" i="37"/>
  <c r="P462" i="37"/>
  <c r="P470" i="37"/>
  <c r="P419" i="37"/>
  <c r="P448" i="37"/>
  <c r="P474" i="37"/>
  <c r="P396" i="37"/>
  <c r="P443" i="37"/>
  <c r="P224" i="37"/>
  <c r="P238" i="37"/>
  <c r="P252" i="37"/>
  <c r="P255" i="37"/>
  <c r="P270" i="37"/>
  <c r="P288" i="37"/>
  <c r="P301" i="37"/>
  <c r="P314" i="37"/>
  <c r="P317" i="37"/>
  <c r="P335" i="37"/>
  <c r="P352" i="37"/>
  <c r="P373" i="37"/>
  <c r="P392" i="37"/>
  <c r="P390" i="37"/>
  <c r="P388" i="37"/>
  <c r="P410" i="37"/>
  <c r="P451" i="37"/>
  <c r="P446" i="37"/>
  <c r="P365" i="37"/>
  <c r="P440" i="37"/>
  <c r="P459" i="37"/>
  <c r="P475" i="37"/>
  <c r="P471" i="37"/>
  <c r="P310" i="37"/>
  <c r="P323" i="37"/>
  <c r="P342" i="37"/>
  <c r="P367" i="37"/>
  <c r="P386" i="37"/>
  <c r="P424" i="37"/>
  <c r="P426" i="37"/>
  <c r="P254" i="37"/>
  <c r="P273" i="37"/>
  <c r="P269" i="37"/>
  <c r="P290" i="37"/>
  <c r="P303" i="37"/>
  <c r="P316" i="37"/>
  <c r="P337" i="37"/>
  <c r="P332" i="37"/>
  <c r="P402" i="37"/>
  <c r="P399" i="37"/>
  <c r="P422" i="37"/>
  <c r="P420" i="37"/>
  <c r="P202" i="37"/>
  <c r="P218" i="37"/>
  <c r="P233" i="37"/>
  <c r="P250" i="37"/>
  <c r="P246" i="37"/>
  <c r="P264" i="37"/>
  <c r="P281" i="37"/>
  <c r="P296" i="37"/>
  <c r="P312" i="37"/>
  <c r="P309" i="37"/>
  <c r="P325" i="37"/>
  <c r="P345" i="37"/>
  <c r="P374" i="37"/>
  <c r="P378" i="37"/>
  <c r="P376" i="37"/>
  <c r="P393" i="37"/>
  <c r="P353" i="37"/>
  <c r="P391" i="37"/>
  <c r="P457" i="37"/>
  <c r="P305" i="37"/>
  <c r="P318" i="37"/>
  <c r="P336" i="37"/>
  <c r="P347" i="37"/>
  <c r="P359" i="37"/>
  <c r="P372" i="37"/>
  <c r="P368" i="37"/>
  <c r="P407" i="37"/>
  <c r="P429" i="37"/>
  <c r="P501" i="37"/>
  <c r="P356" i="37"/>
  <c r="P361" i="37"/>
  <c r="P427" i="37"/>
  <c r="P327" i="37"/>
  <c r="P383" i="37"/>
  <c r="P405" i="37"/>
  <c r="P403" i="37"/>
  <c r="P425" i="37"/>
  <c r="P423" i="37"/>
  <c r="P449" i="37"/>
  <c r="P455" i="37"/>
  <c r="P482" i="37"/>
  <c r="P291" i="37"/>
  <c r="P307" i="37"/>
  <c r="P304" i="37"/>
  <c r="P320" i="37"/>
  <c r="P338" i="37"/>
  <c r="P379" i="37"/>
  <c r="P398" i="37"/>
  <c r="P444" i="37"/>
  <c r="P458" i="37"/>
  <c r="P346" i="37"/>
  <c r="P377" i="37"/>
  <c r="P495" i="37"/>
  <c r="P177" i="37"/>
  <c r="P190" i="37"/>
  <c r="P203" i="37"/>
  <c r="P223" i="37"/>
  <c r="P220" i="37"/>
  <c r="P237" i="37"/>
  <c r="P251" i="37"/>
  <c r="P265" i="37"/>
  <c r="P287" i="37"/>
  <c r="P282" i="37"/>
  <c r="P300" i="37"/>
  <c r="P313" i="37"/>
  <c r="P326" i="37"/>
  <c r="P375" i="37"/>
  <c r="P416" i="37"/>
  <c r="P442" i="37"/>
  <c r="P432" i="37"/>
  <c r="P430" i="37"/>
  <c r="P469" i="37"/>
  <c r="P488" i="37"/>
  <c r="P357" i="37"/>
  <c r="P412" i="37"/>
  <c r="P437" i="37"/>
  <c r="P453" i="37"/>
  <c r="P322" i="37"/>
  <c r="P341" i="37"/>
  <c r="P348" i="37"/>
  <c r="P362" i="37"/>
  <c r="P360" i="37"/>
  <c r="P389" i="37"/>
  <c r="P387" i="37"/>
  <c r="P409" i="37"/>
  <c r="P406" i="37"/>
  <c r="P404" i="37"/>
  <c r="P466" i="37"/>
  <c r="P517" i="37"/>
  <c r="P504" i="37"/>
  <c r="P364" i="37"/>
  <c r="P445" i="37"/>
  <c r="P562" i="37"/>
  <c r="P525" i="37"/>
  <c r="P540" i="37"/>
  <c r="P549" i="37"/>
  <c r="P658" i="37"/>
  <c r="P538" i="37"/>
  <c r="P564" i="37"/>
  <c r="P575" i="37"/>
  <c r="P527" i="37"/>
  <c r="P536" i="37"/>
  <c r="P569" i="37"/>
  <c r="P599" i="37"/>
  <c r="P468" i="37"/>
  <c r="P484" i="37"/>
  <c r="P481" i="37"/>
  <c r="P497" i="37"/>
  <c r="P510" i="37"/>
  <c r="P519" i="37"/>
  <c r="P556" i="37"/>
  <c r="P545" i="37"/>
  <c r="P585" i="37"/>
  <c r="P578" i="37"/>
  <c r="P543" i="37"/>
  <c r="P581" i="37"/>
  <c r="P464" i="37"/>
  <c r="P461" i="37"/>
  <c r="P477" i="37"/>
  <c r="P490" i="37"/>
  <c r="P503" i="37"/>
  <c r="P516" i="37"/>
  <c r="P567" i="37"/>
  <c r="P614" i="37"/>
  <c r="P600" i="37"/>
  <c r="P595" i="37"/>
  <c r="P604" i="37"/>
  <c r="P662" i="37"/>
  <c r="P483" i="37"/>
  <c r="P499" i="37"/>
  <c r="P496" i="37"/>
  <c r="P512" i="37"/>
  <c r="P541" i="37"/>
  <c r="P552" i="37"/>
  <c r="P570" i="37"/>
  <c r="P565" i="37"/>
  <c r="P518" i="37"/>
  <c r="P579" i="37"/>
  <c r="P576" i="37"/>
  <c r="P626" i="37"/>
  <c r="P686" i="37"/>
  <c r="P355" i="37"/>
  <c r="P351" i="37"/>
  <c r="P369" i="37"/>
  <c r="P385" i="37"/>
  <c r="P400" i="37"/>
  <c r="P421" i="37"/>
  <c r="P418" i="37"/>
  <c r="P434" i="37"/>
  <c r="P450" i="37"/>
  <c r="P463" i="37"/>
  <c r="P479" i="37"/>
  <c r="P476" i="37"/>
  <c r="P492" i="37"/>
  <c r="P505" i="37"/>
  <c r="P528" i="37"/>
  <c r="P530" i="37"/>
  <c r="P546" i="37"/>
  <c r="P557" i="37"/>
  <c r="P620" i="37"/>
  <c r="P615" i="37"/>
  <c r="P534" i="37"/>
  <c r="P532" i="37"/>
  <c r="P605" i="37"/>
  <c r="P472" i="37"/>
  <c r="P485" i="37"/>
  <c r="P498" i="37"/>
  <c r="P514" i="37"/>
  <c r="P511" i="37"/>
  <c r="P520" i="37"/>
  <c r="P563" i="37"/>
  <c r="P664" i="37"/>
  <c r="P627" i="37"/>
  <c r="P593" i="37"/>
  <c r="P634" i="37"/>
  <c r="P436" i="37"/>
  <c r="P433" i="37"/>
  <c r="P452" i="37"/>
  <c r="P465" i="37"/>
  <c r="P478" i="37"/>
  <c r="P494" i="37"/>
  <c r="P491" i="37"/>
  <c r="P507" i="37"/>
  <c r="P522" i="37"/>
  <c r="P561" i="37"/>
  <c r="P571" i="37"/>
  <c r="P577" i="37"/>
  <c r="P610" i="37"/>
  <c r="P566" i="37"/>
  <c r="P589" i="37"/>
  <c r="P642" i="37"/>
  <c r="P487" i="37"/>
  <c r="P500" i="37"/>
  <c r="P513" i="37"/>
  <c r="P524" i="37"/>
  <c r="P606" i="37"/>
  <c r="P635" i="37"/>
  <c r="P531" i="37"/>
  <c r="P539" i="37"/>
  <c r="P594" i="37"/>
  <c r="P611" i="37"/>
  <c r="P454" i="37"/>
  <c r="P467" i="37"/>
  <c r="P480" i="37"/>
  <c r="P493" i="37"/>
  <c r="P509" i="37"/>
  <c r="P506" i="37"/>
  <c r="P533" i="37"/>
  <c r="P535" i="37"/>
  <c r="P521" i="37"/>
  <c r="P598" i="37"/>
  <c r="P363" i="37"/>
  <c r="P366" i="37"/>
  <c r="P381" i="37"/>
  <c r="P397" i="37"/>
  <c r="P415" i="37"/>
  <c r="P428" i="37"/>
  <c r="P431" i="37"/>
  <c r="P447" i="37"/>
  <c r="P460" i="37"/>
  <c r="P473" i="37"/>
  <c r="P486" i="37"/>
  <c r="P489" i="37"/>
  <c r="P502" i="37"/>
  <c r="P515" i="37"/>
  <c r="P544" i="37"/>
  <c r="P523" i="37"/>
  <c r="P590" i="37"/>
  <c r="P630" i="37"/>
  <c r="P508" i="37"/>
  <c r="P553" i="37"/>
  <c r="P583" i="37"/>
  <c r="P580" i="37"/>
  <c r="P670" i="37"/>
  <c r="P699" i="37"/>
  <c r="P732" i="37"/>
  <c r="P745" i="37"/>
  <c r="P890" i="37"/>
  <c r="P853" i="37"/>
  <c r="P629" i="37"/>
  <c r="P651" i="37"/>
  <c r="P663" i="37"/>
  <c r="P714" i="37"/>
  <c r="P729" i="37"/>
  <c r="P726" i="37"/>
  <c r="P743" i="37"/>
  <c r="P824" i="37"/>
  <c r="P679" i="37"/>
  <c r="P702" i="37"/>
  <c r="P724" i="37"/>
  <c r="P716" i="37"/>
  <c r="P765" i="37"/>
  <c r="P791" i="37"/>
  <c r="P803" i="37"/>
  <c r="P621" i="37"/>
  <c r="P636" i="37"/>
  <c r="P640" i="37"/>
  <c r="P660" i="37"/>
  <c r="P672" i="37"/>
  <c r="P738" i="37"/>
  <c r="P753" i="37"/>
  <c r="P874" i="37"/>
  <c r="P653" i="37"/>
  <c r="P751" i="37"/>
  <c r="P597" i="37"/>
  <c r="P613" i="37"/>
  <c r="P616" i="37"/>
  <c r="P631" i="37"/>
  <c r="P647" i="37"/>
  <c r="P681" i="37"/>
  <c r="P756" i="37"/>
  <c r="P854" i="37"/>
  <c r="P674" i="37"/>
  <c r="P691" i="37"/>
  <c r="P792" i="37"/>
  <c r="P529" i="37"/>
  <c r="P526" i="37"/>
  <c r="P542" i="37"/>
  <c r="P559" i="37"/>
  <c r="P574" i="37"/>
  <c r="P592" i="37"/>
  <c r="P588" i="37"/>
  <c r="P608" i="37"/>
  <c r="P623" i="37"/>
  <c r="P639" i="37"/>
  <c r="P656" i="37"/>
  <c r="P683" i="37"/>
  <c r="P713" i="37"/>
  <c r="P733" i="37"/>
  <c r="P730" i="37"/>
  <c r="P746" i="37"/>
  <c r="P766" i="37"/>
  <c r="P845" i="37"/>
  <c r="P671" i="37"/>
  <c r="P715" i="37"/>
  <c r="P819" i="37"/>
  <c r="P856" i="37"/>
  <c r="P703" i="37"/>
  <c r="P693" i="37"/>
  <c r="P717" i="37"/>
  <c r="P879" i="37"/>
  <c r="P722" i="37"/>
  <c r="P752" i="37"/>
  <c r="P799" i="37"/>
  <c r="P641" i="37"/>
  <c r="P705" i="37"/>
  <c r="P757" i="37"/>
  <c r="P781" i="37"/>
  <c r="P643" i="37"/>
  <c r="P655" i="37"/>
  <c r="P666" i="37"/>
  <c r="P682" i="37"/>
  <c r="P696" i="37"/>
  <c r="P737" i="37"/>
  <c r="P760" i="37"/>
  <c r="P769" i="37"/>
  <c r="P813" i="37"/>
  <c r="P793" i="37"/>
  <c r="P537" i="37"/>
  <c r="P881" i="37"/>
  <c r="P554" i="37"/>
  <c r="P568" i="37"/>
  <c r="P582" i="37"/>
  <c r="P586" i="37"/>
  <c r="P602" i="37"/>
  <c r="P618" i="37"/>
  <c r="P632" i="37"/>
  <c r="P648" i="37"/>
  <c r="P675" i="37"/>
  <c r="P749" i="37"/>
  <c r="P806" i="37"/>
  <c r="P801" i="37"/>
  <c r="P788" i="37"/>
  <c r="P848" i="37"/>
  <c r="P669" i="37"/>
  <c r="P710" i="37"/>
  <c r="P860" i="37"/>
  <c r="P839" i="37"/>
  <c r="P609" i="37"/>
  <c r="P628" i="37"/>
  <c r="P625" i="37"/>
  <c r="P657" i="37"/>
  <c r="P684" i="37"/>
  <c r="P698" i="37"/>
  <c r="P778" i="37"/>
  <c r="P840" i="37"/>
  <c r="P650" i="37"/>
  <c r="P665" i="37"/>
  <c r="P677" i="37"/>
  <c r="P719" i="37"/>
  <c r="P721" i="37"/>
  <c r="P850" i="37"/>
  <c r="P694" i="37"/>
  <c r="P725" i="37"/>
  <c r="P739" i="37"/>
  <c r="P831" i="37"/>
  <c r="P687" i="37"/>
  <c r="P707" i="37"/>
  <c r="P652" i="37"/>
  <c r="P668" i="37"/>
  <c r="P680" i="37"/>
  <c r="P764" i="37"/>
  <c r="P779" i="37"/>
  <c r="P661" i="37"/>
  <c r="P697" i="37"/>
  <c r="P709" i="37"/>
  <c r="P767" i="37"/>
  <c r="P944" i="37"/>
  <c r="P555" i="37"/>
  <c r="P558" i="37"/>
  <c r="P572" i="37"/>
  <c r="P587" i="37"/>
  <c r="P603" i="37"/>
  <c r="P619" i="37"/>
  <c r="P622" i="37"/>
  <c r="P638" i="37"/>
  <c r="P649" i="37"/>
  <c r="P676" i="37"/>
  <c r="P689" i="37"/>
  <c r="P712" i="37"/>
  <c r="P734" i="37"/>
  <c r="P774" i="37"/>
  <c r="P771" i="37"/>
  <c r="P872" i="37"/>
  <c r="P862" i="37"/>
  <c r="P911" i="37"/>
  <c r="P897" i="37"/>
  <c r="P1011" i="37"/>
  <c r="P770" i="37"/>
  <c r="P787" i="37"/>
  <c r="P823" i="37"/>
  <c r="P876" i="37"/>
  <c r="P865" i="37"/>
  <c r="P889" i="37"/>
  <c r="P884" i="37"/>
  <c r="P920" i="37"/>
  <c r="P829" i="37"/>
  <c r="P907" i="37"/>
  <c r="P892" i="37"/>
  <c r="P930" i="37"/>
  <c r="P984" i="37"/>
  <c r="P962" i="37"/>
  <c r="P728" i="37"/>
  <c r="P748" i="37"/>
  <c r="P762" i="37"/>
  <c r="P780" i="37"/>
  <c r="P777" i="37"/>
  <c r="P790" i="37"/>
  <c r="P804" i="37"/>
  <c r="P852" i="37"/>
  <c r="P880" i="37"/>
  <c r="P1035" i="37"/>
  <c r="P1012" i="37"/>
  <c r="P827" i="37"/>
  <c r="P947" i="37"/>
  <c r="P704" i="37"/>
  <c r="P700" i="37"/>
  <c r="P1059" i="37"/>
  <c r="P720" i="37"/>
  <c r="P735" i="37"/>
  <c r="P758" i="37"/>
  <c r="P755" i="37"/>
  <c r="P772" i="37"/>
  <c r="P815" i="37"/>
  <c r="P868" i="37"/>
  <c r="P902" i="37"/>
  <c r="P1037" i="37"/>
  <c r="P921" i="37"/>
  <c r="P952" i="37"/>
  <c r="P1023" i="37"/>
  <c r="P953" i="37"/>
  <c r="P948" i="37"/>
  <c r="P1006" i="37"/>
  <c r="P999" i="37"/>
  <c r="P913" i="37"/>
  <c r="P926" i="37"/>
  <c r="P1007" i="37"/>
  <c r="P959" i="37"/>
  <c r="P927" i="37"/>
  <c r="P974" i="37"/>
  <c r="P1070" i="37"/>
  <c r="P808" i="37"/>
  <c r="P866" i="37"/>
  <c r="P863" i="37"/>
  <c r="P883" i="37"/>
  <c r="P878" i="37"/>
  <c r="P935" i="37"/>
  <c r="P960" i="37"/>
  <c r="P759" i="37"/>
  <c r="P773" i="37"/>
  <c r="P796" i="37"/>
  <c r="P851" i="37"/>
  <c r="P988" i="37"/>
  <c r="P783" i="37"/>
  <c r="P811" i="37"/>
  <c r="P842" i="37"/>
  <c r="P871" i="37"/>
  <c r="P900" i="37"/>
  <c r="P891" i="37"/>
  <c r="P982" i="37"/>
  <c r="P798" i="37"/>
  <c r="P834" i="37"/>
  <c r="P867" i="37"/>
  <c r="P922" i="37"/>
  <c r="P975" i="37"/>
  <c r="P989" i="37"/>
  <c r="P918" i="37"/>
  <c r="P659" i="37"/>
  <c r="P673" i="37"/>
  <c r="P688" i="37"/>
  <c r="P692" i="37"/>
  <c r="P708" i="37"/>
  <c r="P723" i="37"/>
  <c r="P747" i="37"/>
  <c r="P744" i="37"/>
  <c r="P761" i="37"/>
  <c r="P775" i="37"/>
  <c r="P828" i="37"/>
  <c r="P857" i="37"/>
  <c r="P864" i="37"/>
  <c r="P888" i="37"/>
  <c r="P940" i="37"/>
  <c r="P971" i="37"/>
  <c r="P1010" i="37"/>
  <c r="P983" i="37"/>
  <c r="P1031" i="37"/>
  <c r="P807" i="37"/>
  <c r="P822" i="37"/>
  <c r="P816" i="37"/>
  <c r="P849" i="37"/>
  <c r="P901" i="37"/>
  <c r="P896" i="37"/>
  <c r="P914" i="37"/>
  <c r="P754" i="37"/>
  <c r="P1047" i="37"/>
  <c r="P768" i="37"/>
  <c r="P782" i="37"/>
  <c r="P795" i="37"/>
  <c r="P809" i="37"/>
  <c r="P843" i="37"/>
  <c r="P1103" i="37"/>
  <c r="P820" i="37"/>
  <c r="P832" i="37"/>
  <c r="P956" i="37"/>
  <c r="P785" i="37"/>
  <c r="P797" i="37"/>
  <c r="P814" i="37"/>
  <c r="P812" i="37"/>
  <c r="P835" i="37"/>
  <c r="P825" i="37"/>
  <c r="P906" i="37"/>
  <c r="P996" i="37"/>
  <c r="P1271" i="37"/>
  <c r="P1001" i="37"/>
  <c r="P991" i="37"/>
  <c r="P1004" i="37"/>
  <c r="P909" i="37"/>
  <c r="P937" i="37"/>
  <c r="P964" i="37"/>
  <c r="P1044" i="37"/>
  <c r="P1114" i="37"/>
  <c r="P958" i="37"/>
  <c r="P994" i="37"/>
  <c r="P1041" i="37"/>
  <c r="P912" i="37"/>
  <c r="P946" i="37"/>
  <c r="P973" i="37"/>
  <c r="P987" i="37"/>
  <c r="P1048" i="37"/>
  <c r="P821" i="37"/>
  <c r="P844" i="37"/>
  <c r="P858" i="37"/>
  <c r="P873" i="37"/>
  <c r="P905" i="37"/>
  <c r="P939" i="37"/>
  <c r="P954" i="37"/>
  <c r="P966" i="37"/>
  <c r="P1014" i="37"/>
  <c r="P1032" i="37"/>
  <c r="P1026" i="37"/>
  <c r="P1052" i="37"/>
  <c r="P1045" i="37"/>
  <c r="P1066" i="37"/>
  <c r="P1196" i="37"/>
  <c r="P1117" i="37"/>
  <c r="P941" i="37"/>
  <c r="P957" i="37"/>
  <c r="P969" i="37"/>
  <c r="P1072" i="37"/>
  <c r="P847" i="37"/>
  <c r="P861" i="37"/>
  <c r="P875" i="37"/>
  <c r="P894" i="37"/>
  <c r="P924" i="37"/>
  <c r="P950" i="37"/>
  <c r="P985" i="37"/>
  <c r="P1039" i="37"/>
  <c r="P1053" i="37"/>
  <c r="P1042" i="37"/>
  <c r="P886" i="37"/>
  <c r="P904" i="37"/>
  <c r="P916" i="37"/>
  <c r="P938" i="37"/>
  <c r="P965" i="37"/>
  <c r="P978" i="37"/>
  <c r="P995" i="37"/>
  <c r="P1015" i="37"/>
  <c r="P1020" i="37"/>
  <c r="P1017" i="37"/>
  <c r="P1099" i="37"/>
  <c r="P1209" i="37"/>
  <c r="P1049" i="37"/>
  <c r="P1081" i="37"/>
  <c r="P967" i="37"/>
  <c r="P980" i="37"/>
  <c r="P998" i="37"/>
  <c r="P885" i="37"/>
  <c r="P899" i="37"/>
  <c r="P949" i="37"/>
  <c r="P961" i="37"/>
  <c r="P990" i="37"/>
  <c r="P1000" i="37"/>
  <c r="P786" i="37"/>
  <c r="P802" i="37"/>
  <c r="P818" i="37"/>
  <c r="P833" i="37"/>
  <c r="P841" i="37"/>
  <c r="P855" i="37"/>
  <c r="P869" i="37"/>
  <c r="P915" i="37"/>
  <c r="P929" i="37"/>
  <c r="P943" i="37"/>
  <c r="P977" i="37"/>
  <c r="P1003" i="37"/>
  <c r="P1040" i="37"/>
  <c r="P1063" i="37"/>
  <c r="P1058" i="37"/>
  <c r="P895" i="37"/>
  <c r="P908" i="37"/>
  <c r="P936" i="37"/>
  <c r="P970" i="37"/>
  <c r="P1005" i="37"/>
  <c r="P1027" i="37"/>
  <c r="P1021" i="37"/>
  <c r="P925" i="37"/>
  <c r="P951" i="37"/>
  <c r="P963" i="37"/>
  <c r="P979" i="37"/>
  <c r="P993" i="37"/>
  <c r="P1019" i="37"/>
  <c r="P1025" i="37"/>
  <c r="P1050" i="37"/>
  <c r="P1075" i="37"/>
  <c r="P917" i="37"/>
  <c r="P945" i="37"/>
  <c r="P972" i="37"/>
  <c r="P1123" i="37"/>
  <c r="P1150" i="37"/>
  <c r="P1243" i="37"/>
  <c r="P931" i="37"/>
  <c r="P1171" i="37"/>
  <c r="P1078" i="37"/>
  <c r="P1034" i="37"/>
  <c r="P1087" i="37"/>
  <c r="P1105" i="37"/>
  <c r="P1126" i="37"/>
  <c r="P1121" i="37"/>
  <c r="P1071" i="37"/>
  <c r="P1013" i="37"/>
  <c r="P1016" i="37"/>
  <c r="P1036" i="37"/>
  <c r="P1061" i="37"/>
  <c r="P1118" i="37"/>
  <c r="P1136" i="37"/>
  <c r="P1192" i="37"/>
  <c r="P1091" i="37"/>
  <c r="P1168" i="37"/>
  <c r="P1228" i="37"/>
  <c r="P1008" i="37"/>
  <c r="P1024" i="37"/>
  <c r="P1043" i="37"/>
  <c r="P1055" i="37"/>
  <c r="P1064" i="37"/>
  <c r="P1082" i="37"/>
  <c r="P1122" i="37"/>
  <c r="P1077" i="37"/>
  <c r="P1088" i="37"/>
  <c r="P1080" i="37"/>
  <c r="P1106" i="37"/>
  <c r="P1137" i="37"/>
  <c r="P1130" i="37"/>
  <c r="P1149" i="37"/>
  <c r="P1212" i="37"/>
  <c r="P1086" i="37"/>
  <c r="P1179" i="37"/>
  <c r="P1057" i="37"/>
  <c r="P1104" i="37"/>
  <c r="P1134" i="37"/>
  <c r="P1083" i="37"/>
  <c r="P1119" i="37"/>
  <c r="P1143" i="37"/>
  <c r="P1054" i="37"/>
  <c r="P1098" i="37"/>
  <c r="P1128" i="37"/>
  <c r="P1140" i="37"/>
  <c r="P1164" i="37"/>
  <c r="P1101" i="37"/>
  <c r="P1156" i="37"/>
  <c r="P1147" i="37"/>
  <c r="P1187" i="37"/>
  <c r="P1096" i="37"/>
  <c r="P1113" i="37"/>
  <c r="P1033" i="37"/>
  <c r="P1056" i="37"/>
  <c r="P1067" i="37"/>
  <c r="P1153" i="37"/>
  <c r="P1094" i="37"/>
  <c r="P1109" i="37"/>
  <c r="P1133" i="37"/>
  <c r="P1146" i="37"/>
  <c r="P1160" i="37"/>
  <c r="P1178" i="37"/>
  <c r="P1174" i="37"/>
  <c r="P1195" i="37"/>
  <c r="P1208" i="37"/>
  <c r="P1223" i="37"/>
  <c r="P1242" i="37"/>
  <c r="P1238" i="37"/>
  <c r="P1270" i="37"/>
  <c r="P1288" i="37"/>
  <c r="P1302" i="37"/>
  <c r="P1323" i="37"/>
  <c r="P1320" i="37"/>
  <c r="P1331" i="37"/>
  <c r="P1139" i="37"/>
  <c r="P1155" i="37"/>
  <c r="P1152" i="37"/>
  <c r="P1170" i="37"/>
  <c r="P1186" i="37"/>
  <c r="P1201" i="37"/>
  <c r="P1219" i="37"/>
  <c r="P1214" i="37"/>
  <c r="P1233" i="37"/>
  <c r="P1259" i="37"/>
  <c r="P1278" i="37"/>
  <c r="P1298" i="37"/>
  <c r="P1295" i="37"/>
  <c r="P1314" i="37"/>
  <c r="P1097" i="37"/>
  <c r="P1112" i="37"/>
  <c r="P1135" i="37"/>
  <c r="P1132" i="37"/>
  <c r="P1148" i="37"/>
  <c r="P1162" i="37"/>
  <c r="P1177" i="37"/>
  <c r="P1197" i="37"/>
  <c r="P1194" i="37"/>
  <c r="P1210" i="37"/>
  <c r="P1226" i="37"/>
  <c r="P1241" i="37"/>
  <c r="P1272" i="37"/>
  <c r="P1267" i="37"/>
  <c r="P1290" i="37"/>
  <c r="P1304" i="37"/>
  <c r="P1322" i="37"/>
  <c r="P1141" i="37"/>
  <c r="P1154" i="37"/>
  <c r="P1169" i="37"/>
  <c r="P1172" i="37"/>
  <c r="P1190" i="37"/>
  <c r="P1203" i="37"/>
  <c r="P1216" i="37"/>
  <c r="P1232" i="37"/>
  <c r="P1236" i="37"/>
  <c r="P1263" i="37"/>
  <c r="P1281" i="37"/>
  <c r="P1297" i="37"/>
  <c r="P1318" i="37"/>
  <c r="P1313" i="37"/>
  <c r="P1293" i="37"/>
  <c r="P1289" i="37"/>
  <c r="P1307" i="37"/>
  <c r="P1326" i="37"/>
  <c r="P1205" i="37"/>
  <c r="P1220" i="37"/>
  <c r="P1235" i="37"/>
  <c r="P1260" i="37"/>
  <c r="P1265" i="37"/>
  <c r="P1283" i="37"/>
  <c r="P1299" i="37"/>
  <c r="P1315" i="37"/>
  <c r="P1166" i="37"/>
  <c r="P1163" i="37"/>
  <c r="P1183" i="37"/>
  <c r="P1198" i="37"/>
  <c r="P1211" i="37"/>
  <c r="P1230" i="37"/>
  <c r="P1227" i="37"/>
  <c r="P1247" i="37"/>
  <c r="P1273" i="37"/>
  <c r="P1292" i="37"/>
  <c r="P1311" i="37"/>
  <c r="P1305" i="37"/>
  <c r="P1328" i="37"/>
  <c r="P1073" i="37"/>
  <c r="P1093" i="37"/>
  <c r="P1089" i="37"/>
  <c r="P1108" i="37"/>
  <c r="P1129" i="37"/>
  <c r="P1145" i="37"/>
  <c r="P1142" i="37"/>
  <c r="P1158" i="37"/>
  <c r="P1173" i="37"/>
  <c r="P1191" i="37"/>
  <c r="P1207" i="37"/>
  <c r="P1204" i="37"/>
  <c r="P1222" i="37"/>
  <c r="P1237" i="37"/>
  <c r="P1264" i="37"/>
  <c r="P1282" i="37"/>
  <c r="P1287" i="37"/>
  <c r="P1301" i="37"/>
  <c r="P1319" i="37"/>
  <c r="P1065" i="37"/>
  <c r="P1068" i="37"/>
  <c r="P1084" i="37"/>
  <c r="P1100" i="37"/>
  <c r="P1116" i="37"/>
  <c r="P1138" i="37"/>
  <c r="P1151" i="37"/>
  <c r="P1165" i="37"/>
  <c r="P1185" i="37"/>
  <c r="P1180" i="37"/>
  <c r="P1200" i="37"/>
  <c r="P1213" i="37"/>
  <c r="P1229" i="37"/>
  <c r="P1258" i="37"/>
  <c r="P1277" i="37"/>
  <c r="P1294" i="37"/>
  <c r="P1310" i="37"/>
  <c r="P1330" i="37"/>
  <c r="P1327" i="37"/>
  <c r="P1046" i="37"/>
  <c r="P1060" i="37"/>
  <c r="P1076" i="37"/>
  <c r="P1092" i="37"/>
  <c r="P1110" i="37"/>
  <c r="P1107" i="37"/>
  <c r="P1131" i="37"/>
  <c r="P1144" i="37"/>
  <c r="P1157" i="37"/>
  <c r="P1161" i="37"/>
  <c r="P1175" i="37"/>
  <c r="P1193" i="37"/>
  <c r="P1206" i="37"/>
  <c r="P1221" i="37"/>
  <c r="P1225" i="37"/>
  <c r="P1239" i="37"/>
  <c r="P1266" i="37"/>
  <c r="P1286" i="37"/>
  <c r="P1300" i="37"/>
  <c r="P1303" i="37"/>
  <c r="P1321" i="37"/>
  <c r="P1184" i="37"/>
  <c r="P1199" i="37"/>
  <c r="P1202" i="37"/>
  <c r="P1215" i="37"/>
  <c r="P1231" i="37"/>
  <c r="P1257" i="37"/>
  <c r="P1280" i="37"/>
  <c r="P1276" i="37"/>
  <c r="P1296" i="37"/>
  <c r="P1312" i="37"/>
  <c r="P1329" i="37"/>
  <c r="P1253" i="37"/>
  <c r="A5" i="41"/>
  <c r="A6" i="41"/>
  <c r="A8" i="41"/>
  <c r="CY8" i="41" a="1"/>
  <c r="CY26" i="41" s="1"/>
  <c r="CY11" i="41"/>
  <c r="CY12" i="41"/>
  <c r="CY13" i="41"/>
  <c r="CY14" i="41"/>
  <c r="CY15" i="41"/>
  <c r="CY16" i="41"/>
  <c r="CY17" i="41"/>
  <c r="CY18" i="41"/>
  <c r="CY19" i="41"/>
  <c r="CY20" i="41"/>
  <c r="CY21" i="41"/>
  <c r="CY22" i="41"/>
  <c r="CY23" i="41"/>
  <c r="CY24" i="41"/>
  <c r="CY25" i="41"/>
  <c r="CY29" i="41"/>
  <c r="CY33" i="41"/>
  <c r="CY34" i="41"/>
  <c r="CY35" i="41"/>
  <c r="CY36" i="41"/>
  <c r="CY37" i="41"/>
  <c r="CY38" i="41"/>
  <c r="CY39" i="41"/>
  <c r="CY40" i="41"/>
  <c r="CY41" i="41"/>
  <c r="CY42" i="41"/>
  <c r="CY43" i="41"/>
  <c r="CY44" i="41"/>
  <c r="CY45" i="41"/>
  <c r="CY46" i="41"/>
  <c r="CY47" i="41"/>
  <c r="CY51" i="41"/>
  <c r="CY55" i="41"/>
  <c r="CY56" i="41"/>
  <c r="CY57" i="41"/>
  <c r="CY58" i="41"/>
  <c r="CY59" i="41"/>
  <c r="CY60" i="41"/>
  <c r="CY61" i="41"/>
  <c r="CY62" i="41"/>
  <c r="CY63" i="41"/>
  <c r="CY64" i="41"/>
  <c r="CY65" i="41"/>
  <c r="CY66" i="41"/>
  <c r="CY67" i="41"/>
  <c r="CY68" i="41"/>
  <c r="CY69" i="41"/>
  <c r="CY73" i="41"/>
  <c r="CY77" i="41"/>
  <c r="CY78" i="41"/>
  <c r="CY79" i="41"/>
  <c r="CY80" i="41"/>
  <c r="CY81" i="41"/>
  <c r="CY82" i="41"/>
  <c r="CY83" i="41"/>
  <c r="CY84" i="41"/>
  <c r="CY85" i="41"/>
  <c r="CY86" i="41"/>
  <c r="CY87" i="41"/>
  <c r="CY88" i="41"/>
  <c r="CY89" i="41"/>
  <c r="CY90" i="41"/>
  <c r="CY91" i="41"/>
  <c r="CY95" i="41"/>
  <c r="CY99" i="41"/>
  <c r="CY100" i="41"/>
  <c r="CY101" i="41"/>
  <c r="CY102" i="41"/>
  <c r="CY103" i="41"/>
  <c r="CY104" i="41"/>
  <c r="CY105" i="41"/>
  <c r="CY106" i="41"/>
  <c r="CY107" i="41"/>
  <c r="A9" i="41"/>
  <c r="A10" i="41"/>
  <c r="A4" i="40" s="1"/>
  <c r="A11" i="41"/>
  <c r="E2" i="37" s="1"/>
  <c r="A12" i="41"/>
  <c r="E3" i="37" s="1"/>
  <c r="A13" i="41"/>
  <c r="E4" i="40" s="1"/>
  <c r="A14" i="41"/>
  <c r="A15" i="41"/>
  <c r="A16" i="41"/>
  <c r="A17" i="41"/>
  <c r="A18" i="41"/>
  <c r="A19" i="41"/>
  <c r="A20" i="41"/>
  <c r="A21" i="41"/>
  <c r="A22" i="41"/>
  <c r="A23" i="41"/>
  <c r="A24" i="41"/>
  <c r="W2" i="37" s="1"/>
  <c r="Z1" i="37" s="1"/>
  <c r="C4" i="40" s="1"/>
  <c r="A25" i="41"/>
  <c r="A26" i="41"/>
  <c r="A27" i="41"/>
  <c r="EW4" i="38" s="1"/>
  <c r="A28" i="41"/>
  <c r="A9" i="40" s="1"/>
  <c r="A29" i="41"/>
  <c r="A30" i="41"/>
  <c r="A78" i="40" s="1"/>
  <c r="A31" i="41"/>
  <c r="A32" i="41"/>
  <c r="A33" i="41"/>
  <c r="A12" i="37" s="1"/>
  <c r="A34" i="41"/>
  <c r="A13" i="37" s="1"/>
  <c r="A35" i="41"/>
  <c r="A14" i="40" s="1"/>
  <c r="A36" i="41"/>
  <c r="A15" i="40" s="1"/>
  <c r="A37" i="41"/>
  <c r="A38" i="41"/>
  <c r="A39" i="41"/>
  <c r="A40" i="41"/>
  <c r="A41" i="41"/>
  <c r="A42" i="41"/>
  <c r="A43" i="41"/>
  <c r="A44" i="41"/>
  <c r="A45" i="41"/>
  <c r="A25" i="40" s="1"/>
  <c r="A46" i="41"/>
  <c r="A27" i="37" s="1"/>
  <c r="A47" i="41"/>
  <c r="A48" i="41"/>
  <c r="A49" i="41"/>
  <c r="A30" i="40" s="1"/>
  <c r="A50" i="41"/>
  <c r="A51" i="41"/>
  <c r="A32" i="40" s="1"/>
  <c r="A52" i="41"/>
  <c r="A53" i="41"/>
  <c r="A34" i="40" s="1"/>
  <c r="A54" i="41"/>
  <c r="A55" i="41"/>
  <c r="A36" i="40" s="1"/>
  <c r="A56" i="41"/>
  <c r="A37" i="40" s="1"/>
  <c r="A57" i="41"/>
  <c r="A58" i="41"/>
  <c r="A41" i="40" s="1"/>
  <c r="A59" i="41"/>
  <c r="A60" i="41"/>
  <c r="A61" i="41"/>
  <c r="A62" i="41"/>
  <c r="A63" i="41"/>
  <c r="A64" i="41"/>
  <c r="A65" i="41"/>
  <c r="A66" i="41"/>
  <c r="A67" i="41"/>
  <c r="A52" i="40" s="1"/>
  <c r="A68" i="41"/>
  <c r="A69" i="41"/>
  <c r="A54" i="40" s="1"/>
  <c r="A70" i="41"/>
  <c r="A71" i="41"/>
  <c r="A72" i="41"/>
  <c r="A73" i="41"/>
  <c r="A74" i="41"/>
  <c r="A75" i="41"/>
  <c r="A76" i="41"/>
  <c r="A77" i="41"/>
  <c r="A63" i="37" s="1"/>
  <c r="A78" i="41"/>
  <c r="A65" i="40" s="1"/>
  <c r="A79" i="41"/>
  <c r="A80" i="41"/>
  <c r="A67" i="40" s="1"/>
  <c r="A81" i="41"/>
  <c r="A82" i="41"/>
  <c r="A83" i="41"/>
  <c r="A84" i="41"/>
  <c r="A85" i="41"/>
  <c r="A86" i="41"/>
  <c r="A87" i="41"/>
  <c r="A88" i="41"/>
  <c r="A89" i="41"/>
  <c r="AW4" i="38" s="1"/>
  <c r="A90" i="41"/>
  <c r="A91" i="41"/>
  <c r="A92" i="41"/>
  <c r="A93" i="41"/>
  <c r="A94" i="41"/>
  <c r="A95" i="41"/>
  <c r="A152" i="37" s="1"/>
  <c r="A96" i="41"/>
  <c r="A97" i="41"/>
  <c r="A98" i="41"/>
  <c r="A99" i="41"/>
  <c r="A100" i="41"/>
  <c r="A96" i="37" s="1"/>
  <c r="A101" i="41"/>
  <c r="A97" i="37" s="1"/>
  <c r="A102" i="41"/>
  <c r="A101" i="37" s="1"/>
  <c r="A103" i="41"/>
  <c r="A104" i="41"/>
  <c r="A105" i="41"/>
  <c r="A106" i="41"/>
  <c r="A107" i="41"/>
  <c r="A108" i="41"/>
  <c r="A109" i="41"/>
  <c r="A110" i="41"/>
  <c r="A111" i="41"/>
  <c r="A112" i="41"/>
  <c r="A113" i="41"/>
  <c r="A114" i="41"/>
  <c r="A115" i="41"/>
  <c r="A116" i="41"/>
  <c r="A117" i="41"/>
  <c r="A118" i="41"/>
  <c r="A119" i="41"/>
  <c r="A120" i="41"/>
  <c r="A119" i="37" s="1"/>
  <c r="A121" i="41"/>
  <c r="A122" i="41"/>
  <c r="A121" i="37" s="1"/>
  <c r="A123" i="41"/>
  <c r="A122" i="37" s="1"/>
  <c r="A124" i="41"/>
  <c r="A123" i="37" s="1"/>
  <c r="A125" i="41"/>
  <c r="A126" i="41"/>
  <c r="A127" i="41"/>
  <c r="A128" i="41"/>
  <c r="A129" i="41"/>
  <c r="A130" i="41"/>
  <c r="A131" i="41"/>
  <c r="A132" i="41"/>
  <c r="A133" i="41"/>
  <c r="A134" i="41"/>
  <c r="A135" i="41"/>
  <c r="A136" i="41"/>
  <c r="A137" i="41"/>
  <c r="A138" i="41"/>
  <c r="A139" i="41"/>
  <c r="A140" i="41"/>
  <c r="A139" i="37" s="1"/>
  <c r="A141" i="41"/>
  <c r="A142" i="41"/>
  <c r="A141" i="37" s="1"/>
  <c r="A143" i="41"/>
  <c r="A144" i="41"/>
  <c r="A145" i="41"/>
  <c r="A146" i="41"/>
  <c r="A145" i="37" s="1"/>
  <c r="A147" i="41"/>
  <c r="A148" i="41"/>
  <c r="A149" i="41"/>
  <c r="A150" i="41"/>
  <c r="A151" i="41"/>
  <c r="A152" i="41"/>
  <c r="A153" i="41"/>
  <c r="A154" i="41"/>
  <c r="A155" i="41"/>
  <c r="A156" i="41"/>
  <c r="A157" i="41"/>
  <c r="A158" i="41"/>
  <c r="A159" i="41"/>
  <c r="A160" i="41"/>
  <c r="A161" i="41"/>
  <c r="A162" i="41"/>
  <c r="A163" i="41"/>
  <c r="A164" i="41"/>
  <c r="A165" i="41"/>
  <c r="A166" i="41"/>
  <c r="A167" i="41"/>
  <c r="A168" i="41"/>
  <c r="A169" i="41"/>
  <c r="A170" i="41"/>
  <c r="A171" i="41"/>
  <c r="A172" i="41"/>
  <c r="A173" i="41"/>
  <c r="A174" i="41"/>
  <c r="A175" i="41"/>
  <c r="A176" i="41"/>
  <c r="A177" i="41"/>
  <c r="A178" i="41"/>
  <c r="A179" i="41"/>
  <c r="A180" i="41"/>
  <c r="A181" i="41"/>
  <c r="A182" i="41"/>
  <c r="A183" i="41"/>
  <c r="A184" i="41"/>
  <c r="A186" i="37" s="1"/>
  <c r="A185" i="41"/>
  <c r="A186" i="41"/>
  <c r="A187" i="41"/>
  <c r="A188" i="41"/>
  <c r="A189" i="41"/>
  <c r="A190" i="41"/>
  <c r="A191" i="41"/>
  <c r="A192" i="41"/>
  <c r="A193" i="41"/>
  <c r="A194" i="41"/>
  <c r="A195" i="41"/>
  <c r="A196" i="41"/>
  <c r="A197" i="41"/>
  <c r="A198" i="41"/>
  <c r="A199" i="41"/>
  <c r="A200" i="41"/>
  <c r="A201" i="41"/>
  <c r="A202" i="41"/>
  <c r="A203" i="41"/>
  <c r="A204" i="41"/>
  <c r="A205" i="41"/>
  <c r="A206" i="41"/>
  <c r="A208" i="37" s="1"/>
  <c r="A207" i="41"/>
  <c r="A208" i="41"/>
  <c r="A209" i="41"/>
  <c r="A210" i="41"/>
  <c r="A211" i="41"/>
  <c r="A212" i="41"/>
  <c r="A213" i="41"/>
  <c r="A214" i="41"/>
  <c r="A215" i="41"/>
  <c r="A216" i="41"/>
  <c r="A217" i="41"/>
  <c r="A218" i="41"/>
  <c r="A219" i="41"/>
  <c r="A220" i="41"/>
  <c r="A221" i="41"/>
  <c r="A222" i="41"/>
  <c r="A223" i="41"/>
  <c r="A224" i="41"/>
  <c r="A225" i="41"/>
  <c r="A226" i="41"/>
  <c r="A227" i="41"/>
  <c r="A228" i="41"/>
  <c r="A229" i="41"/>
  <c r="A230" i="41"/>
  <c r="A231" i="41"/>
  <c r="A244" i="37" s="1"/>
  <c r="A232" i="41"/>
  <c r="A245" i="37" s="1"/>
  <c r="A233" i="41"/>
  <c r="A246" i="37" s="1"/>
  <c r="A234" i="41"/>
  <c r="A247" i="37" s="1"/>
  <c r="A235" i="41"/>
  <c r="A236" i="41"/>
  <c r="A237" i="41"/>
  <c r="A238" i="41"/>
  <c r="A239" i="41"/>
  <c r="A240" i="41"/>
  <c r="A241" i="41"/>
  <c r="A242" i="41"/>
  <c r="A243" i="41"/>
  <c r="A244" i="41"/>
  <c r="A245" i="41"/>
  <c r="A246" i="41"/>
  <c r="A247" i="41"/>
  <c r="A248" i="41"/>
  <c r="A249" i="41"/>
  <c r="A250" i="41"/>
  <c r="A251" i="41"/>
  <c r="A252" i="41"/>
  <c r="A253" i="41"/>
  <c r="A269" i="37" s="1"/>
  <c r="A254" i="41"/>
  <c r="A270" i="37" s="1"/>
  <c r="A255" i="41"/>
  <c r="A272" i="37" s="1"/>
  <c r="A256" i="41"/>
  <c r="A273" i="37" s="1"/>
  <c r="A257" i="41"/>
  <c r="A258" i="41"/>
  <c r="A259" i="41"/>
  <c r="A260" i="41"/>
  <c r="A261" i="41"/>
  <c r="A262" i="41"/>
  <c r="A263" i="41"/>
  <c r="A264" i="41"/>
  <c r="A265" i="41"/>
  <c r="A266" i="41"/>
  <c r="A267" i="41"/>
  <c r="A268" i="41"/>
  <c r="A269" i="41"/>
  <c r="A270" i="41"/>
  <c r="A271" i="41"/>
  <c r="A295" i="37" s="1"/>
  <c r="A272" i="41"/>
  <c r="A297" i="37" s="1"/>
  <c r="A273" i="41"/>
  <c r="A274" i="41"/>
  <c r="A299" i="37" s="1"/>
  <c r="A275" i="41"/>
  <c r="A300" i="37" s="1"/>
  <c r="A276" i="41"/>
  <c r="A301" i="37" s="1"/>
  <c r="A277" i="41"/>
  <c r="A302" i="37" s="1"/>
  <c r="A278" i="41"/>
  <c r="A303" i="37" s="1"/>
  <c r="A279" i="41"/>
  <c r="A280" i="41"/>
  <c r="A281" i="41"/>
  <c r="A282" i="41"/>
  <c r="A283" i="41"/>
  <c r="A284" i="41"/>
  <c r="A285" i="41"/>
  <c r="A286" i="41"/>
  <c r="A287" i="41"/>
  <c r="A288" i="41"/>
  <c r="A289" i="41"/>
  <c r="A290" i="41"/>
  <c r="A291" i="41"/>
  <c r="A292" i="41"/>
  <c r="A317" i="37" s="1"/>
  <c r="A293" i="41"/>
  <c r="A318" i="37" s="1"/>
  <c r="A294" i="41"/>
  <c r="A319" i="37" s="1"/>
  <c r="A295" i="41"/>
  <c r="A296" i="41"/>
  <c r="A321" i="37" s="1"/>
  <c r="A297" i="41"/>
  <c r="A322" i="37" s="1"/>
  <c r="A298" i="41"/>
  <c r="A323" i="37" s="1"/>
  <c r="A299" i="41"/>
  <c r="A324" i="37" s="1"/>
  <c r="A300" i="41"/>
  <c r="A81" i="40" s="1"/>
  <c r="A301" i="41"/>
  <c r="A302" i="41"/>
  <c r="A303" i="41"/>
  <c r="A304" i="41"/>
  <c r="A305" i="41"/>
  <c r="A306" i="41"/>
  <c r="A307" i="41"/>
  <c r="A308" i="41"/>
  <c r="A90" i="40" s="1"/>
  <c r="A309" i="41"/>
  <c r="FO5" i="38" s="1"/>
  <c r="A310" i="41"/>
  <c r="A93" i="40" s="1"/>
  <c r="A311" i="41"/>
  <c r="A312" i="41"/>
  <c r="A313" i="41"/>
  <c r="A96" i="40" s="1"/>
  <c r="A314" i="41"/>
  <c r="A315" i="41"/>
  <c r="A98" i="40" s="1"/>
  <c r="A316" i="41"/>
  <c r="A317" i="41"/>
  <c r="A318" i="41"/>
  <c r="A102" i="40" s="1"/>
  <c r="A319" i="41"/>
  <c r="A320" i="41"/>
  <c r="A104" i="40" s="1"/>
  <c r="A321" i="41"/>
  <c r="A106" i="40" s="1"/>
  <c r="A322" i="41"/>
  <c r="A360" i="37" s="1"/>
  <c r="A323" i="41"/>
  <c r="A324" i="41"/>
  <c r="A325" i="41"/>
  <c r="A326" i="41"/>
  <c r="A327" i="41"/>
  <c r="A328" i="41"/>
  <c r="A329" i="41"/>
  <c r="A330" i="41"/>
  <c r="A115" i="40" s="1"/>
  <c r="A331" i="41"/>
  <c r="FI5" i="38" s="1"/>
  <c r="A332" i="41"/>
  <c r="A118" i="40" s="1"/>
  <c r="A333" i="41"/>
  <c r="A334" i="41"/>
  <c r="A335" i="41"/>
  <c r="A336" i="41"/>
  <c r="A122" i="40" s="1"/>
  <c r="A337" i="41"/>
  <c r="A123" i="40" s="1"/>
  <c r="A338" i="41"/>
  <c r="A339" i="41"/>
  <c r="A340" i="41"/>
  <c r="A126" i="40" s="1"/>
  <c r="A341" i="41"/>
  <c r="A342" i="41"/>
  <c r="A381" i="37" s="1"/>
  <c r="A343" i="41"/>
  <c r="A129" i="40" s="1"/>
  <c r="A344" i="41"/>
  <c r="A130" i="40" s="1"/>
  <c r="A345" i="41"/>
  <c r="A346" i="41"/>
  <c r="A347" i="41"/>
  <c r="A348" i="41"/>
  <c r="A349" i="41"/>
  <c r="A350" i="41"/>
  <c r="A351" i="41"/>
  <c r="A352" i="41"/>
  <c r="A353" i="41"/>
  <c r="A354" i="41"/>
  <c r="A355" i="41"/>
  <c r="A356" i="41"/>
  <c r="A357" i="41"/>
  <c r="A145" i="40" s="1"/>
  <c r="A358" i="41"/>
  <c r="A359" i="41"/>
  <c r="A147" i="40" s="1"/>
  <c r="A360" i="41"/>
  <c r="A361" i="41"/>
  <c r="A362" i="41"/>
  <c r="A404" i="37" s="1"/>
  <c r="A363" i="41"/>
  <c r="A405" i="37" s="1"/>
  <c r="A364" i="41"/>
  <c r="A153" i="40" s="1"/>
  <c r="A365" i="41"/>
  <c r="A407" i="37" s="1"/>
  <c r="A366" i="41"/>
  <c r="A156" i="40" s="1"/>
  <c r="A367" i="41"/>
  <c r="A368" i="41"/>
  <c r="A369" i="41"/>
  <c r="A370" i="41"/>
  <c r="A371" i="41"/>
  <c r="A372" i="41"/>
  <c r="A373" i="41"/>
  <c r="A374" i="41"/>
  <c r="A375" i="41"/>
  <c r="A376" i="41"/>
  <c r="A377" i="41"/>
  <c r="A378" i="41"/>
  <c r="A379" i="41"/>
  <c r="A380" i="41"/>
  <c r="A381" i="41"/>
  <c r="A382" i="41"/>
  <c r="A428" i="37" s="1"/>
  <c r="A383" i="41"/>
  <c r="A384" i="41"/>
  <c r="A430" i="37" s="1"/>
  <c r="A385" i="41"/>
  <c r="A431" i="37" s="1"/>
  <c r="A386" i="41"/>
  <c r="A432" i="37" s="1"/>
  <c r="A387" i="41"/>
  <c r="A433" i="37" s="1"/>
  <c r="A388" i="41"/>
  <c r="A434" i="37" s="1"/>
  <c r="A389" i="41"/>
  <c r="A390" i="41"/>
  <c r="A391" i="41"/>
  <c r="A392" i="41"/>
  <c r="A393" i="41"/>
  <c r="A394" i="41"/>
  <c r="A395" i="41"/>
  <c r="A396" i="41"/>
  <c r="A397" i="41"/>
  <c r="A398" i="41"/>
  <c r="A399" i="41"/>
  <c r="A400" i="41"/>
  <c r="A401" i="41"/>
  <c r="A402" i="41"/>
  <c r="A403" i="41"/>
  <c r="A404" i="41"/>
  <c r="A454" i="37" s="1"/>
  <c r="A405" i="41"/>
  <c r="A406" i="41"/>
  <c r="A456" i="37" s="1"/>
  <c r="A407" i="41"/>
  <c r="A457" i="37" s="1"/>
  <c r="A408" i="41"/>
  <c r="A458" i="37" s="1"/>
  <c r="A409" i="41"/>
  <c r="A459" i="37" s="1"/>
  <c r="A410" i="41"/>
  <c r="A460" i="37" s="1"/>
  <c r="A411" i="41"/>
  <c r="A412" i="41"/>
  <c r="A413" i="41"/>
  <c r="A414" i="41"/>
  <c r="A415" i="41"/>
  <c r="A416" i="41"/>
  <c r="A417" i="41"/>
  <c r="A418" i="41"/>
  <c r="A419" i="41"/>
  <c r="A420" i="41"/>
  <c r="A421" i="41"/>
  <c r="A422" i="41"/>
  <c r="A423" i="41"/>
  <c r="A424" i="41"/>
  <c r="A425" i="41"/>
  <c r="A426" i="41"/>
  <c r="A476" i="37" s="1"/>
  <c r="A427" i="41"/>
  <c r="A428" i="41"/>
  <c r="A478" i="37" s="1"/>
  <c r="A429" i="41"/>
  <c r="A479" i="37" s="1"/>
  <c r="A430" i="41"/>
  <c r="A480" i="37" s="1"/>
  <c r="A431" i="41"/>
  <c r="A481" i="37" s="1"/>
  <c r="A432" i="41"/>
  <c r="A482" i="37" s="1"/>
  <c r="A433" i="41"/>
  <c r="A434" i="41"/>
  <c r="A435" i="41"/>
  <c r="A436" i="41"/>
  <c r="A437" i="41"/>
  <c r="A438" i="41"/>
  <c r="A439" i="41"/>
  <c r="A440" i="41"/>
  <c r="A441" i="41"/>
  <c r="A442" i="41"/>
  <c r="A443" i="41"/>
  <c r="A444" i="41"/>
  <c r="A445" i="41"/>
  <c r="A446" i="41"/>
  <c r="A447" i="41"/>
  <c r="A448" i="41"/>
  <c r="A498" i="37" s="1"/>
  <c r="A449" i="41"/>
  <c r="A450" i="41"/>
  <c r="A500" i="37" s="1"/>
  <c r="A451" i="41"/>
  <c r="A501" i="37" s="1"/>
  <c r="A452" i="41"/>
  <c r="A502" i="37" s="1"/>
  <c r="A453" i="41"/>
  <c r="A503" i="37" s="1"/>
  <c r="A454" i="41"/>
  <c r="A504" i="37" s="1"/>
  <c r="A455" i="41"/>
  <c r="A456" i="41"/>
  <c r="A457" i="41"/>
  <c r="A458" i="41"/>
  <c r="A459" i="41"/>
  <c r="A460" i="41"/>
  <c r="A461" i="41"/>
  <c r="A462" i="41"/>
  <c r="A463" i="41"/>
  <c r="A464" i="41"/>
  <c r="A465" i="41"/>
  <c r="A466" i="41"/>
  <c r="A467" i="41"/>
  <c r="A468" i="41"/>
  <c r="A469" i="41"/>
  <c r="A470" i="41"/>
  <c r="A520" i="37" s="1"/>
  <c r="A471" i="41"/>
  <c r="A472" i="41"/>
  <c r="A522" i="37" s="1"/>
  <c r="A473" i="41"/>
  <c r="A523" i="37" s="1"/>
  <c r="A474" i="41"/>
  <c r="A524" i="37" s="1"/>
  <c r="A475" i="41"/>
  <c r="A525" i="37" s="1"/>
  <c r="A476" i="41"/>
  <c r="A526" i="37" s="1"/>
  <c r="A477" i="41"/>
  <c r="A478" i="41"/>
  <c r="A479" i="41"/>
  <c r="A480" i="41"/>
  <c r="A481" i="41"/>
  <c r="A482" i="41"/>
  <c r="A483" i="41"/>
  <c r="A484" i="41"/>
  <c r="A485" i="41"/>
  <c r="A486" i="41"/>
  <c r="A487" i="41"/>
  <c r="A488" i="41"/>
  <c r="A489" i="41"/>
  <c r="A490" i="41"/>
  <c r="A491" i="41"/>
  <c r="A492" i="41"/>
  <c r="A546" i="37" s="1"/>
  <c r="A493" i="41"/>
  <c r="A494" i="41"/>
  <c r="A495" i="41"/>
  <c r="A496" i="41"/>
  <c r="A497" i="41"/>
  <c r="A937" i="37" s="1"/>
  <c r="A498" i="41"/>
  <c r="A499" i="41"/>
  <c r="A500" i="41"/>
  <c r="A501" i="41"/>
  <c r="A502" i="41"/>
  <c r="A503" i="41"/>
  <c r="A504" i="41"/>
  <c r="A505" i="41"/>
  <c r="A506" i="41"/>
  <c r="A507" i="41"/>
  <c r="A508" i="41"/>
  <c r="A509" i="41"/>
  <c r="A510" i="41"/>
  <c r="A511" i="41"/>
  <c r="A512" i="41"/>
  <c r="A513" i="41"/>
  <c r="A514" i="41"/>
  <c r="A515" i="41"/>
  <c r="A516" i="41"/>
  <c r="A517" i="41"/>
  <c r="A518" i="41"/>
  <c r="A519" i="41"/>
  <c r="A520" i="41"/>
  <c r="A521" i="41"/>
  <c r="A522" i="41"/>
  <c r="A523" i="41"/>
  <c r="A524" i="41"/>
  <c r="A525" i="41"/>
  <c r="A526" i="41"/>
  <c r="A527" i="41"/>
  <c r="A528" i="41"/>
  <c r="A529" i="41"/>
  <c r="A530" i="41"/>
  <c r="A531" i="41"/>
  <c r="A532" i="41"/>
  <c r="A533" i="41"/>
  <c r="A534" i="41"/>
  <c r="A535" i="41"/>
  <c r="A688" i="37" s="1"/>
  <c r="A536" i="41"/>
  <c r="A537" i="41"/>
  <c r="A538" i="41"/>
  <c r="A539" i="41"/>
  <c r="A540" i="41"/>
  <c r="A541" i="41"/>
  <c r="A542" i="41"/>
  <c r="A543" i="41"/>
  <c r="A544" i="41"/>
  <c r="A545" i="41"/>
  <c r="A546" i="41"/>
  <c r="A547" i="41"/>
  <c r="A548" i="41"/>
  <c r="A549" i="41"/>
  <c r="A550" i="41"/>
  <c r="A551" i="41"/>
  <c r="A552" i="41"/>
  <c r="A553" i="41"/>
  <c r="A554" i="41"/>
  <c r="A555" i="41"/>
  <c r="A556" i="41"/>
  <c r="A710" i="37" s="1"/>
  <c r="A557" i="41"/>
  <c r="A711" i="37" s="1"/>
  <c r="A558" i="41"/>
  <c r="A559" i="41"/>
  <c r="A560" i="41"/>
  <c r="A561" i="41"/>
  <c r="A562" i="41"/>
  <c r="A563" i="41"/>
  <c r="A564" i="41"/>
  <c r="A565" i="41"/>
  <c r="A566" i="41"/>
  <c r="A567" i="41"/>
  <c r="A568" i="41"/>
  <c r="A569" i="41"/>
  <c r="A570" i="41"/>
  <c r="A571" i="41"/>
  <c r="A572" i="41"/>
  <c r="A573" i="41"/>
  <c r="A574" i="41"/>
  <c r="A575" i="41"/>
  <c r="A576" i="41"/>
  <c r="A577" i="41"/>
  <c r="A578" i="41"/>
  <c r="A579" i="41"/>
  <c r="A580" i="41"/>
  <c r="A581" i="41"/>
  <c r="A582" i="41"/>
  <c r="A1026" i="37" s="1"/>
  <c r="A583" i="41"/>
  <c r="A584" i="41"/>
  <c r="A645" i="37" s="1"/>
  <c r="A585" i="41"/>
  <c r="A586" i="41"/>
  <c r="A651" i="37" s="1"/>
  <c r="A587" i="41"/>
  <c r="A588" i="41"/>
  <c r="A589" i="41"/>
  <c r="A590" i="41"/>
  <c r="A591" i="41"/>
  <c r="A592" i="41"/>
  <c r="A593" i="41"/>
  <c r="A594" i="41"/>
  <c r="A595" i="41"/>
  <c r="A596" i="41"/>
  <c r="A597" i="41"/>
  <c r="A598" i="41"/>
  <c r="A599" i="41"/>
  <c r="A845" i="37" s="1"/>
  <c r="A600" i="41"/>
  <c r="A601" i="41"/>
  <c r="A602" i="41"/>
  <c r="A779" i="37" s="1"/>
  <c r="A603" i="41"/>
  <c r="A604" i="41"/>
  <c r="A933" i="37" s="1"/>
  <c r="A605" i="41"/>
  <c r="A1029" i="37" s="1"/>
  <c r="A606" i="41"/>
  <c r="A1127" i="37" s="1"/>
  <c r="A607" i="41"/>
  <c r="A1128" i="37" s="1"/>
  <c r="A608" i="41"/>
  <c r="A1129" i="37" s="1"/>
  <c r="A609" i="41"/>
  <c r="A610" i="41"/>
  <c r="A611" i="41"/>
  <c r="A612" i="41"/>
  <c r="A613" i="41"/>
  <c r="A614" i="41"/>
  <c r="A615" i="41"/>
  <c r="A616" i="41"/>
  <c r="A617" i="41"/>
  <c r="A618" i="41"/>
  <c r="A619" i="41"/>
  <c r="A620" i="41"/>
  <c r="A621" i="41"/>
  <c r="A622" i="41"/>
  <c r="A623" i="41"/>
  <c r="A624" i="41"/>
  <c r="A1145" i="37" s="1"/>
  <c r="A625" i="41"/>
  <c r="A626" i="41"/>
  <c r="A627" i="41"/>
  <c r="A1148" i="37" s="1"/>
  <c r="A628" i="41"/>
  <c r="A1149" i="37" s="1"/>
  <c r="A629" i="41"/>
  <c r="A1150" i="37" s="1"/>
  <c r="A630" i="41"/>
  <c r="A1151" i="37" s="1"/>
  <c r="A631" i="41"/>
  <c r="A632" i="41"/>
  <c r="A633" i="41"/>
  <c r="A634" i="41"/>
  <c r="A635" i="41"/>
  <c r="A636" i="41"/>
  <c r="A637" i="41"/>
  <c r="A638" i="41"/>
  <c r="A639" i="41"/>
  <c r="A640" i="41"/>
  <c r="A641" i="41"/>
  <c r="A642" i="41"/>
  <c r="A643" i="41"/>
  <c r="A644" i="41"/>
  <c r="A645" i="41"/>
  <c r="A646" i="41"/>
  <c r="A647" i="41"/>
  <c r="A648" i="41"/>
  <c r="A649" i="41"/>
  <c r="A1172" i="37" s="1"/>
  <c r="A650" i="41"/>
  <c r="A1173" i="37" s="1"/>
  <c r="A651" i="41"/>
  <c r="A1174" i="37" s="1"/>
  <c r="A652" i="41"/>
  <c r="A1175" i="37" s="1"/>
  <c r="A653" i="41"/>
  <c r="A654" i="41"/>
  <c r="A655" i="41"/>
  <c r="A656" i="41"/>
  <c r="A657" i="41"/>
  <c r="A658" i="41"/>
  <c r="A659" i="41"/>
  <c r="A660" i="41"/>
  <c r="A661" i="41"/>
  <c r="A662" i="41"/>
  <c r="A663" i="41"/>
  <c r="A664" i="41"/>
  <c r="A665" i="41"/>
  <c r="A666" i="41"/>
  <c r="A667" i="41"/>
  <c r="A668" i="41"/>
  <c r="A669" i="41"/>
  <c r="A670" i="41"/>
  <c r="A671" i="41"/>
  <c r="A1197" i="37" s="1"/>
  <c r="A672" i="41"/>
  <c r="A1198" i="37" s="1"/>
  <c r="A673" i="41"/>
  <c r="A1199" i="37" s="1"/>
  <c r="A674" i="41"/>
  <c r="A1200" i="37" s="1"/>
  <c r="A675" i="41"/>
  <c r="A676" i="41"/>
  <c r="A677" i="41"/>
  <c r="A678" i="41"/>
  <c r="A679" i="41"/>
  <c r="A680" i="41"/>
  <c r="A681" i="41"/>
  <c r="A682" i="41"/>
  <c r="A683" i="41"/>
  <c r="A684" i="41"/>
  <c r="A685" i="41"/>
  <c r="A686" i="41"/>
  <c r="A687" i="41"/>
  <c r="A688" i="41"/>
  <c r="A689" i="41"/>
  <c r="A690" i="41"/>
  <c r="A691" i="41"/>
  <c r="A692" i="41"/>
  <c r="A693" i="41"/>
  <c r="A1220" i="37" s="1"/>
  <c r="A694" i="41"/>
  <c r="A1221" i="37" s="1"/>
  <c r="A695" i="41"/>
  <c r="A1222" i="37" s="1"/>
  <c r="A696" i="41"/>
  <c r="A1223" i="37" s="1"/>
  <c r="A697" i="41"/>
  <c r="A698" i="41"/>
  <c r="A699" i="41"/>
  <c r="A700" i="41"/>
  <c r="A701" i="41"/>
  <c r="A702" i="41"/>
  <c r="A703" i="41"/>
  <c r="A704" i="41"/>
  <c r="A705" i="41"/>
  <c r="A706" i="41"/>
  <c r="A707" i="41"/>
  <c r="A708" i="41"/>
  <c r="A709" i="41"/>
  <c r="A710" i="41"/>
  <c r="A711" i="41"/>
  <c r="A712" i="41"/>
  <c r="A713" i="41"/>
  <c r="A714" i="41"/>
  <c r="A715" i="41"/>
  <c r="A1248" i="37" s="1"/>
  <c r="A716" i="41"/>
  <c r="A1249" i="37" s="1"/>
  <c r="A717" i="41"/>
  <c r="A1250" i="37" s="1"/>
  <c r="A718" i="41"/>
  <c r="A1251" i="37" s="1"/>
  <c r="A719" i="41"/>
  <c r="A720" i="41"/>
  <c r="A721" i="41"/>
  <c r="A722" i="41"/>
  <c r="A723" i="41"/>
  <c r="A724" i="41"/>
  <c r="A725" i="41"/>
  <c r="A726" i="41"/>
  <c r="A727" i="41"/>
  <c r="A728" i="41"/>
  <c r="A729" i="41"/>
  <c r="A730" i="41"/>
  <c r="A731" i="41"/>
  <c r="A732" i="41"/>
  <c r="A733" i="41"/>
  <c r="FI3" i="38" s="1"/>
  <c r="A734" i="41"/>
  <c r="A735" i="41"/>
  <c r="A736" i="41"/>
  <c r="A1272" i="37" s="1"/>
  <c r="A737" i="41"/>
  <c r="A1273" i="37" s="1"/>
  <c r="A738" i="41"/>
  <c r="EW3" i="38" s="1"/>
  <c r="A739" i="41"/>
  <c r="A1276" i="37" s="1"/>
  <c r="A740" i="41"/>
  <c r="A1277" i="37" s="1"/>
  <c r="A741" i="41"/>
  <c r="A742" i="41"/>
  <c r="A743" i="41"/>
  <c r="A744" i="41"/>
  <c r="A745" i="41"/>
  <c r="A746" i="41"/>
  <c r="A747" i="41"/>
  <c r="A748" i="41"/>
  <c r="A749" i="41"/>
  <c r="A750" i="41"/>
  <c r="A751" i="41"/>
  <c r="A752" i="41"/>
  <c r="A753" i="41"/>
  <c r="A754" i="41"/>
  <c r="A755" i="41"/>
  <c r="A756" i="41"/>
  <c r="A1299" i="37" s="1"/>
  <c r="A757" i="41"/>
  <c r="A758" i="41"/>
  <c r="A1303" i="37" s="1"/>
  <c r="A759" i="41"/>
  <c r="A1305" i="37" s="1"/>
  <c r="A760" i="41"/>
  <c r="A1307" i="37" s="1"/>
  <c r="A761" i="41"/>
  <c r="A1309" i="37" s="1"/>
  <c r="A762" i="41"/>
  <c r="A1310" i="37" s="1"/>
  <c r="A763" i="41"/>
  <c r="A764" i="41"/>
  <c r="A765" i="41"/>
  <c r="A766" i="41"/>
  <c r="A767" i="41"/>
  <c r="A768" i="41"/>
  <c r="A769" i="41"/>
  <c r="A770" i="41"/>
  <c r="A60" i="39" s="1"/>
  <c r="A771" i="41"/>
  <c r="A772" i="41"/>
  <c r="A773" i="41"/>
  <c r="A774" i="41"/>
  <c r="A775" i="41"/>
  <c r="A776" i="41"/>
  <c r="A777" i="41"/>
  <c r="A778" i="41"/>
  <c r="A779" i="41"/>
  <c r="M4" i="38" s="1"/>
  <c r="A780" i="41"/>
  <c r="F4" i="39" s="1"/>
  <c r="A781" i="41"/>
  <c r="A782" i="41"/>
  <c r="A783" i="41"/>
  <c r="O5" i="38" s="1"/>
  <c r="A784" i="41"/>
  <c r="Q5" i="38" s="1"/>
  <c r="A785" i="41"/>
  <c r="A786" i="41"/>
  <c r="A787" i="41"/>
  <c r="A788" i="41"/>
  <c r="A789" i="41"/>
  <c r="A790" i="41"/>
  <c r="A791" i="41"/>
  <c r="A792" i="41"/>
  <c r="AG4" i="38" s="1"/>
  <c r="A793" i="41"/>
  <c r="BE4" i="38" s="1"/>
  <c r="A794" i="41"/>
  <c r="A795" i="41"/>
  <c r="A796" i="41"/>
  <c r="A797" i="41"/>
  <c r="A798" i="41"/>
  <c r="A799" i="41"/>
  <c r="CC5" i="38" s="1"/>
  <c r="A800" i="41"/>
  <c r="CE5" i="38" s="1"/>
  <c r="A801" i="41"/>
  <c r="A802" i="41"/>
  <c r="CG3" i="38" s="1"/>
  <c r="A803" i="41"/>
  <c r="A804" i="41"/>
  <c r="A805" i="41"/>
  <c r="DE3" i="38" s="1"/>
  <c r="A806" i="41"/>
  <c r="A807" i="41"/>
  <c r="A808" i="41"/>
  <c r="A809" i="41"/>
  <c r="A810" i="41"/>
  <c r="A811" i="41"/>
  <c r="A812" i="41"/>
  <c r="A813" i="41"/>
  <c r="A814" i="41"/>
  <c r="EK4" i="38" s="1"/>
  <c r="A815" i="41"/>
  <c r="A816" i="41"/>
  <c r="A817" i="41"/>
  <c r="A818" i="41"/>
  <c r="EQ3" i="38" s="1"/>
  <c r="A819" i="41"/>
  <c r="A820" i="41"/>
  <c r="A821" i="41"/>
  <c r="Z42" i="39" s="1"/>
  <c r="A822" i="41"/>
  <c r="EW5" i="38" s="1"/>
  <c r="A823" i="41"/>
  <c r="EY4" i="38" s="1"/>
  <c r="A824" i="41"/>
  <c r="A825" i="41"/>
  <c r="FA5" i="38" s="1"/>
  <c r="A826" i="41"/>
  <c r="FC5" i="38" s="1"/>
  <c r="A827" i="41"/>
  <c r="FE5" i="38" s="1"/>
  <c r="A828" i="41"/>
  <c r="FG5" i="38" s="1"/>
  <c r="A829" i="41"/>
  <c r="A830" i="41"/>
  <c r="A831" i="41"/>
  <c r="A832" i="41"/>
  <c r="A833" i="41"/>
  <c r="A834" i="41"/>
  <c r="A835" i="41"/>
  <c r="A836" i="41"/>
  <c r="F3" i="39" s="1"/>
  <c r="A837" i="41"/>
  <c r="J3" i="39" s="1"/>
  <c r="A838" i="41"/>
  <c r="A839" i="41"/>
  <c r="L3" i="39" s="1"/>
  <c r="A840" i="41"/>
  <c r="A841" i="41"/>
  <c r="A842" i="41"/>
  <c r="A843" i="41"/>
  <c r="A844" i="41"/>
  <c r="J22" i="39" s="1"/>
  <c r="A845" i="41"/>
  <c r="J23" i="39" s="1"/>
  <c r="A846" i="41"/>
  <c r="L23" i="39" s="1"/>
  <c r="A847" i="41"/>
  <c r="N23" i="39" s="1"/>
  <c r="A848" i="41"/>
  <c r="A849" i="41"/>
  <c r="A850" i="41"/>
  <c r="D41" i="39" s="1"/>
  <c r="A851" i="41"/>
  <c r="A852" i="41"/>
  <c r="A853" i="41"/>
  <c r="A854" i="41"/>
  <c r="A855" i="41"/>
  <c r="A856" i="41"/>
  <c r="A857" i="41"/>
  <c r="A858" i="41"/>
  <c r="A859" i="41"/>
  <c r="A860" i="41"/>
  <c r="A861" i="41"/>
  <c r="CG5" i="38" s="1"/>
  <c r="A862" i="41"/>
  <c r="CY5" i="38" s="1"/>
  <c r="A863" i="41"/>
  <c r="A864" i="41"/>
  <c r="A865" i="41"/>
  <c r="A866" i="41"/>
  <c r="E5" i="38" s="1"/>
  <c r="A867" i="41"/>
  <c r="A868" i="41"/>
  <c r="A869" i="41"/>
  <c r="A870" i="41"/>
  <c r="A1304" i="37" s="1"/>
  <c r="A871" i="41"/>
  <c r="A1300" i="37" s="1"/>
  <c r="A872" i="41"/>
  <c r="A1298" i="37" s="1"/>
  <c r="A873" i="41"/>
  <c r="A1" i="39"/>
  <c r="N3" i="39"/>
  <c r="P3" i="39"/>
  <c r="T3" i="39"/>
  <c r="A4" i="39"/>
  <c r="C4" i="39"/>
  <c r="D4" i="39"/>
  <c r="J4" i="39"/>
  <c r="L4" i="39"/>
  <c r="N4" i="39"/>
  <c r="R4" i="39"/>
  <c r="R23" i="39" s="1"/>
  <c r="A5" i="39"/>
  <c r="C5" i="39"/>
  <c r="D5" i="39"/>
  <c r="J5" i="39"/>
  <c r="P5" i="39"/>
  <c r="P15" i="39" s="1"/>
  <c r="R5" i="39"/>
  <c r="R15" i="39" s="1"/>
  <c r="T5" i="39"/>
  <c r="T15" i="39" s="1"/>
  <c r="V5" i="39"/>
  <c r="X5" i="39"/>
  <c r="Z5" i="39"/>
  <c r="A6" i="39"/>
  <c r="C6" i="39"/>
  <c r="C25" i="39" s="1"/>
  <c r="C44" i="39" s="1"/>
  <c r="D6" i="39"/>
  <c r="J6" i="39"/>
  <c r="P6" i="39"/>
  <c r="R6" i="39"/>
  <c r="T6" i="39"/>
  <c r="V6" i="39"/>
  <c r="X6" i="39"/>
  <c r="Z6" i="39"/>
  <c r="A7" i="39"/>
  <c r="A26" i="39" s="1"/>
  <c r="A45" i="39" s="1"/>
  <c r="C7" i="39"/>
  <c r="C26" i="39" s="1"/>
  <c r="C45" i="39" s="1"/>
  <c r="D7" i="39"/>
  <c r="J7" i="39"/>
  <c r="J14" i="39" s="1"/>
  <c r="P7" i="39"/>
  <c r="R7" i="39"/>
  <c r="T7" i="39"/>
  <c r="V7" i="39"/>
  <c r="X7" i="39"/>
  <c r="Z7" i="39"/>
  <c r="A8" i="39"/>
  <c r="C8" i="39"/>
  <c r="D8" i="39"/>
  <c r="J8" i="39"/>
  <c r="P8" i="39"/>
  <c r="R8" i="39"/>
  <c r="T8" i="39"/>
  <c r="V8" i="39"/>
  <c r="X8" i="39"/>
  <c r="Z8" i="39"/>
  <c r="A9" i="39"/>
  <c r="C9" i="39"/>
  <c r="C28" i="39" s="1"/>
  <c r="C47" i="39" s="1"/>
  <c r="D9" i="39"/>
  <c r="J9" i="39"/>
  <c r="P9" i="39"/>
  <c r="R9" i="39"/>
  <c r="T9" i="39"/>
  <c r="V9" i="39"/>
  <c r="X9" i="39"/>
  <c r="Z9" i="39"/>
  <c r="A10" i="39"/>
  <c r="C10" i="39"/>
  <c r="C29" i="39" s="1"/>
  <c r="C48" i="39" s="1"/>
  <c r="D10" i="39"/>
  <c r="J10" i="39"/>
  <c r="P10" i="39"/>
  <c r="R10" i="39"/>
  <c r="T10" i="39"/>
  <c r="V10" i="39"/>
  <c r="X10" i="39"/>
  <c r="Z10" i="39"/>
  <c r="A11" i="39"/>
  <c r="A30" i="39" s="1"/>
  <c r="A49" i="39" s="1"/>
  <c r="C11" i="39"/>
  <c r="D11" i="39"/>
  <c r="J11" i="39"/>
  <c r="P11" i="39"/>
  <c r="R11" i="39"/>
  <c r="T11" i="39"/>
  <c r="V11" i="39"/>
  <c r="X11" i="39"/>
  <c r="Z11" i="39"/>
  <c r="A12" i="39"/>
  <c r="C12" i="39"/>
  <c r="C31" i="39" s="1"/>
  <c r="C50" i="39" s="1"/>
  <c r="D12" i="39"/>
  <c r="J12" i="39"/>
  <c r="P12" i="39"/>
  <c r="R12" i="39"/>
  <c r="T12" i="39"/>
  <c r="V12" i="39"/>
  <c r="X12" i="39"/>
  <c r="Z12" i="39"/>
  <c r="C14" i="39"/>
  <c r="C15" i="39"/>
  <c r="C16" i="39"/>
  <c r="C35" i="39" s="1"/>
  <c r="C54" i="39" s="1"/>
  <c r="Z16" i="39"/>
  <c r="C17" i="39"/>
  <c r="C36" i="39" s="1"/>
  <c r="C55" i="39" s="1"/>
  <c r="A19" i="39"/>
  <c r="C19" i="39"/>
  <c r="D19" i="39"/>
  <c r="F19" i="39"/>
  <c r="H19" i="39"/>
  <c r="J19" i="39"/>
  <c r="L19" i="39"/>
  <c r="N19" i="39"/>
  <c r="P19" i="39"/>
  <c r="R19" i="39"/>
  <c r="T19" i="39"/>
  <c r="V19" i="39"/>
  <c r="X19" i="39"/>
  <c r="Z19" i="39"/>
  <c r="D22" i="39"/>
  <c r="F22" i="39"/>
  <c r="H22" i="39"/>
  <c r="L22" i="39"/>
  <c r="N22" i="39"/>
  <c r="P22" i="39"/>
  <c r="T22" i="39"/>
  <c r="X22" i="39"/>
  <c r="A23" i="39"/>
  <c r="C23" i="39"/>
  <c r="D23" i="39"/>
  <c r="F23" i="39"/>
  <c r="H23" i="39"/>
  <c r="A24" i="39"/>
  <c r="A43" i="39" s="1"/>
  <c r="C24" i="39"/>
  <c r="C43" i="39" s="1"/>
  <c r="D24" i="39"/>
  <c r="F24" i="39"/>
  <c r="H24" i="39"/>
  <c r="J24" i="39"/>
  <c r="L24" i="39"/>
  <c r="N24" i="39"/>
  <c r="P24" i="39"/>
  <c r="T24" i="39"/>
  <c r="V24" i="39"/>
  <c r="X24" i="39"/>
  <c r="Z24" i="39"/>
  <c r="Z35" i="39" s="1"/>
  <c r="A25" i="39"/>
  <c r="A44" i="39" s="1"/>
  <c r="D25" i="39"/>
  <c r="F25" i="39"/>
  <c r="H25" i="39"/>
  <c r="J25" i="39"/>
  <c r="L25" i="39"/>
  <c r="N25" i="39"/>
  <c r="P25" i="39"/>
  <c r="T25" i="39"/>
  <c r="V25" i="39"/>
  <c r="X25" i="39"/>
  <c r="Z25" i="39"/>
  <c r="D26" i="39"/>
  <c r="F26" i="39"/>
  <c r="H26" i="39"/>
  <c r="J26" i="39"/>
  <c r="L26" i="39"/>
  <c r="L36" i="39" s="1"/>
  <c r="N26" i="39"/>
  <c r="P26" i="39"/>
  <c r="T26" i="39"/>
  <c r="V26" i="39"/>
  <c r="X26" i="39"/>
  <c r="Z26" i="39"/>
  <c r="A27" i="39"/>
  <c r="A46" i="39" s="1"/>
  <c r="C27" i="39"/>
  <c r="D27" i="39"/>
  <c r="F27" i="39"/>
  <c r="H27" i="39"/>
  <c r="J27" i="39"/>
  <c r="L27" i="39"/>
  <c r="N27" i="39"/>
  <c r="P27" i="39"/>
  <c r="T27" i="39"/>
  <c r="V27" i="39"/>
  <c r="X27" i="39"/>
  <c r="Z27" i="39"/>
  <c r="A28" i="39"/>
  <c r="A47" i="39" s="1"/>
  <c r="D28" i="39"/>
  <c r="F28" i="39"/>
  <c r="H28" i="39"/>
  <c r="J28" i="39"/>
  <c r="L28" i="39"/>
  <c r="N28" i="39"/>
  <c r="P28" i="39"/>
  <c r="T28" i="39"/>
  <c r="V28" i="39"/>
  <c r="X28" i="39"/>
  <c r="X33" i="39" s="1"/>
  <c r="Z28" i="39"/>
  <c r="A29" i="39"/>
  <c r="A48" i="39" s="1"/>
  <c r="D29" i="39"/>
  <c r="F29" i="39"/>
  <c r="H29" i="39"/>
  <c r="J29" i="39"/>
  <c r="L29" i="39"/>
  <c r="N29" i="39"/>
  <c r="P29" i="39"/>
  <c r="T29" i="39"/>
  <c r="T33" i="39" s="1"/>
  <c r="V29" i="39"/>
  <c r="X29" i="39"/>
  <c r="Z29" i="39"/>
  <c r="C30" i="39"/>
  <c r="D30" i="39"/>
  <c r="F30" i="39"/>
  <c r="H30" i="39"/>
  <c r="J30" i="39"/>
  <c r="L30" i="39"/>
  <c r="N30" i="39"/>
  <c r="P30" i="39"/>
  <c r="T30" i="39"/>
  <c r="V30" i="39"/>
  <c r="X30" i="39"/>
  <c r="Z30" i="39"/>
  <c r="A31" i="39"/>
  <c r="A50" i="39" s="1"/>
  <c r="D31" i="39"/>
  <c r="F31" i="39"/>
  <c r="H31" i="39"/>
  <c r="J31" i="39"/>
  <c r="L31" i="39"/>
  <c r="N31" i="39"/>
  <c r="P31" i="39"/>
  <c r="T31" i="39"/>
  <c r="V31" i="39"/>
  <c r="X31" i="39"/>
  <c r="Z31" i="39"/>
  <c r="C33" i="39"/>
  <c r="C52" i="39" s="1"/>
  <c r="Z33" i="39"/>
  <c r="C34" i="39"/>
  <c r="C53" i="39" s="1"/>
  <c r="A38" i="39"/>
  <c r="A57" i="39" s="1"/>
  <c r="C38" i="39"/>
  <c r="C57" i="39" s="1"/>
  <c r="D38" i="39"/>
  <c r="F38" i="39"/>
  <c r="H38" i="39"/>
  <c r="J38" i="39"/>
  <c r="L38" i="39"/>
  <c r="N38" i="39"/>
  <c r="P38" i="39"/>
  <c r="R38" i="39"/>
  <c r="T38" i="39"/>
  <c r="V38" i="39"/>
  <c r="X38" i="39"/>
  <c r="Z38" i="39"/>
  <c r="J41" i="39"/>
  <c r="N41" i="39"/>
  <c r="R41" i="39"/>
  <c r="X41" i="39"/>
  <c r="A42" i="39"/>
  <c r="C42" i="39"/>
  <c r="D42" i="39"/>
  <c r="F42" i="39"/>
  <c r="J42" i="39"/>
  <c r="L42" i="39"/>
  <c r="P42" i="39"/>
  <c r="R42" i="39"/>
  <c r="T42" i="39"/>
  <c r="V42" i="39"/>
  <c r="X42" i="39"/>
  <c r="D43" i="39"/>
  <c r="F43" i="39"/>
  <c r="H43" i="39"/>
  <c r="J43" i="39"/>
  <c r="L43" i="39"/>
  <c r="N43" i="39"/>
  <c r="P43" i="39"/>
  <c r="R43" i="39"/>
  <c r="T43" i="39"/>
  <c r="V43" i="39"/>
  <c r="X43" i="39"/>
  <c r="X54" i="39" s="1"/>
  <c r="Z43" i="39"/>
  <c r="D44" i="39"/>
  <c r="F44" i="39"/>
  <c r="H44" i="39"/>
  <c r="J44" i="39"/>
  <c r="L44" i="39"/>
  <c r="N44" i="39"/>
  <c r="P44" i="39"/>
  <c r="R44" i="39"/>
  <c r="T44" i="39"/>
  <c r="V44" i="39"/>
  <c r="X44" i="39"/>
  <c r="Z44" i="39"/>
  <c r="D45" i="39"/>
  <c r="F45" i="39"/>
  <c r="H45" i="39"/>
  <c r="J45" i="39"/>
  <c r="L45" i="39"/>
  <c r="N45" i="39"/>
  <c r="P45" i="39"/>
  <c r="P55" i="39" s="1"/>
  <c r="R45" i="39"/>
  <c r="R54" i="39" s="1"/>
  <c r="T45" i="39"/>
  <c r="T52" i="39" s="1"/>
  <c r="V45" i="39"/>
  <c r="X45" i="39"/>
  <c r="Z45" i="39"/>
  <c r="C46" i="39"/>
  <c r="D46" i="39"/>
  <c r="D53" i="39" s="1"/>
  <c r="F46" i="39"/>
  <c r="H46" i="39"/>
  <c r="J46" i="39"/>
  <c r="L46" i="39"/>
  <c r="N46" i="39"/>
  <c r="P46" i="39"/>
  <c r="R46" i="39"/>
  <c r="T46" i="39"/>
  <c r="V46" i="39"/>
  <c r="X46" i="39"/>
  <c r="Z46" i="39"/>
  <c r="D47" i="39"/>
  <c r="F47" i="39"/>
  <c r="H47" i="39"/>
  <c r="J47" i="39"/>
  <c r="L47" i="39"/>
  <c r="N47" i="39"/>
  <c r="P47" i="39"/>
  <c r="R47" i="39"/>
  <c r="T47" i="39"/>
  <c r="V47" i="39"/>
  <c r="X47" i="39"/>
  <c r="Z47" i="39"/>
  <c r="D48" i="39"/>
  <c r="F48" i="39"/>
  <c r="H48" i="39"/>
  <c r="J48" i="39"/>
  <c r="L48" i="39"/>
  <c r="N48" i="39"/>
  <c r="P48" i="39"/>
  <c r="R48" i="39"/>
  <c r="T48" i="39"/>
  <c r="V48" i="39"/>
  <c r="X48" i="39"/>
  <c r="Z48" i="39"/>
  <c r="C49" i="39"/>
  <c r="D49" i="39"/>
  <c r="F49" i="39"/>
  <c r="H49" i="39"/>
  <c r="J49" i="39"/>
  <c r="L49" i="39"/>
  <c r="N49" i="39"/>
  <c r="P49" i="39"/>
  <c r="R49" i="39"/>
  <c r="T49" i="39"/>
  <c r="V49" i="39"/>
  <c r="X49" i="39"/>
  <c r="Z49" i="39"/>
  <c r="D50" i="39"/>
  <c r="F50" i="39"/>
  <c r="H50" i="39"/>
  <c r="J50" i="39"/>
  <c r="L50" i="39"/>
  <c r="N50" i="39"/>
  <c r="P50" i="39"/>
  <c r="R50" i="39"/>
  <c r="T50" i="39"/>
  <c r="V50" i="39"/>
  <c r="X50" i="39"/>
  <c r="Z50" i="39"/>
  <c r="Z52" i="39"/>
  <c r="D57" i="39"/>
  <c r="F57" i="39"/>
  <c r="H57" i="39"/>
  <c r="J57" i="39"/>
  <c r="L57" i="39"/>
  <c r="N57" i="39"/>
  <c r="P57" i="39"/>
  <c r="R57" i="39"/>
  <c r="T57" i="39"/>
  <c r="V57" i="39"/>
  <c r="X57" i="39"/>
  <c r="Z57" i="39"/>
  <c r="A1" i="38"/>
  <c r="A3" i="38"/>
  <c r="A2" i="39" s="1"/>
  <c r="E3" i="38"/>
  <c r="I3" i="38"/>
  <c r="S3" i="38"/>
  <c r="AG3" i="38"/>
  <c r="BE3" i="38"/>
  <c r="EC3" i="38"/>
  <c r="K4" i="38"/>
  <c r="AO4" i="38"/>
  <c r="BM4" i="38"/>
  <c r="BU4" i="38"/>
  <c r="CC4" i="38"/>
  <c r="CE4" i="38"/>
  <c r="CG4" i="38"/>
  <c r="CO4" i="38"/>
  <c r="CW4" i="38"/>
  <c r="DE4" i="38"/>
  <c r="DM4" i="38"/>
  <c r="EC4" i="38"/>
  <c r="EE4" i="38"/>
  <c r="EG4" i="38"/>
  <c r="EI4" i="38"/>
  <c r="EM4" i="38"/>
  <c r="EO4" i="38"/>
  <c r="A5" i="38"/>
  <c r="C5" i="38"/>
  <c r="I5" i="38"/>
  <c r="K5" i="38"/>
  <c r="S5" i="38"/>
  <c r="U5" i="38"/>
  <c r="W5" i="38"/>
  <c r="Y5" i="38"/>
  <c r="AA5" i="38"/>
  <c r="AC5" i="38"/>
  <c r="AE5" i="38"/>
  <c r="AW5" i="38"/>
  <c r="BA5" i="38"/>
  <c r="BC5" i="38"/>
  <c r="BE5" i="38"/>
  <c r="BI5" i="38"/>
  <c r="BK5" i="38"/>
  <c r="BM5" i="38"/>
  <c r="BQ5" i="38"/>
  <c r="BS5" i="38"/>
  <c r="CI5" i="38"/>
  <c r="CK5" i="38"/>
  <c r="CM5" i="38"/>
  <c r="CO5" i="38"/>
  <c r="CQ5" i="38"/>
  <c r="CS5" i="38"/>
  <c r="CU5" i="38"/>
  <c r="CW5" i="38"/>
  <c r="DI5" i="38"/>
  <c r="EC5" i="38"/>
  <c r="EE5" i="38"/>
  <c r="EG5" i="38"/>
  <c r="EI5" i="38"/>
  <c r="EK5" i="38"/>
  <c r="EM5" i="38"/>
  <c r="EO5" i="38"/>
  <c r="EQ5" i="38"/>
  <c r="ES5" i="38"/>
  <c r="EU5" i="38"/>
  <c r="FK5" i="38"/>
  <c r="FM5" i="38"/>
  <c r="A21" i="38"/>
  <c r="G16" i="38"/>
  <c r="G17" i="38"/>
  <c r="G18" i="38"/>
  <c r="G19" i="38"/>
  <c r="A20" i="38"/>
  <c r="A23" i="38"/>
  <c r="A24" i="38"/>
  <c r="A2" i="40"/>
  <c r="C2" i="40"/>
  <c r="F2" i="40"/>
  <c r="A3" i="40"/>
  <c r="F3" i="40"/>
  <c r="A7" i="40"/>
  <c r="P10" i="40"/>
  <c r="A12" i="40"/>
  <c r="P12" i="40"/>
  <c r="A13" i="40"/>
  <c r="P13" i="40"/>
  <c r="P14" i="40"/>
  <c r="P15" i="40"/>
  <c r="A16" i="40"/>
  <c r="P16" i="40"/>
  <c r="A17" i="40"/>
  <c r="P17" i="40"/>
  <c r="A18" i="40"/>
  <c r="P18" i="40"/>
  <c r="A19" i="40"/>
  <c r="P19" i="40"/>
  <c r="A21" i="40"/>
  <c r="P21" i="40"/>
  <c r="A22" i="40"/>
  <c r="P22" i="40"/>
  <c r="A23" i="40"/>
  <c r="P23" i="40"/>
  <c r="A24" i="40"/>
  <c r="P24" i="40"/>
  <c r="P25" i="40"/>
  <c r="A27" i="40"/>
  <c r="P27" i="40"/>
  <c r="P28" i="40"/>
  <c r="A29" i="40"/>
  <c r="P29" i="40"/>
  <c r="P30" i="40"/>
  <c r="A31" i="40"/>
  <c r="P31" i="40"/>
  <c r="P32" i="40"/>
  <c r="P33" i="40"/>
  <c r="P34" i="40"/>
  <c r="P35" i="40"/>
  <c r="P36" i="40"/>
  <c r="P37" i="40"/>
  <c r="P39" i="40"/>
  <c r="P41" i="40"/>
  <c r="A42" i="40"/>
  <c r="P42" i="40"/>
  <c r="A43" i="40"/>
  <c r="P43" i="40"/>
  <c r="P45" i="40"/>
  <c r="P46" i="40"/>
  <c r="P47" i="40"/>
  <c r="P48" i="40"/>
  <c r="A50" i="40"/>
  <c r="P50" i="40"/>
  <c r="A51" i="40"/>
  <c r="P51" i="40"/>
  <c r="P52" i="40"/>
  <c r="A53" i="40"/>
  <c r="P53" i="40"/>
  <c r="P54" i="40"/>
  <c r="A55" i="40"/>
  <c r="P55" i="40"/>
  <c r="A56" i="40"/>
  <c r="P56" i="40"/>
  <c r="A57" i="40"/>
  <c r="P57" i="40"/>
  <c r="A58" i="40"/>
  <c r="P58" i="40"/>
  <c r="P59" i="40"/>
  <c r="A60" i="40"/>
  <c r="P60" i="40"/>
  <c r="P62" i="40"/>
  <c r="P63" i="40"/>
  <c r="P65" i="40"/>
  <c r="P66" i="40"/>
  <c r="P67" i="40"/>
  <c r="A69" i="40"/>
  <c r="P69" i="40"/>
  <c r="A70" i="40"/>
  <c r="P70" i="40"/>
  <c r="A72" i="40"/>
  <c r="P72" i="40"/>
  <c r="A74" i="40"/>
  <c r="P74" i="40"/>
  <c r="A75" i="40"/>
  <c r="P75" i="40"/>
  <c r="P78" i="40"/>
  <c r="P79" i="40"/>
  <c r="A82" i="40"/>
  <c r="P82" i="40"/>
  <c r="A83" i="40"/>
  <c r="P83" i="40"/>
  <c r="A84" i="40"/>
  <c r="P84" i="40"/>
  <c r="A85" i="40"/>
  <c r="P85" i="40"/>
  <c r="A87" i="40"/>
  <c r="P87" i="40"/>
  <c r="A88" i="40"/>
  <c r="P88" i="40"/>
  <c r="A89" i="40"/>
  <c r="P89" i="40"/>
  <c r="P90" i="40"/>
  <c r="A92" i="40"/>
  <c r="P92" i="40"/>
  <c r="P93" i="40"/>
  <c r="A94" i="40"/>
  <c r="P94" i="40"/>
  <c r="A95" i="40"/>
  <c r="P95" i="40"/>
  <c r="P96" i="40"/>
  <c r="A97" i="40"/>
  <c r="P97" i="40"/>
  <c r="P98" i="40"/>
  <c r="P99" i="40"/>
  <c r="A100" i="40"/>
  <c r="P100" i="40"/>
  <c r="P102" i="40"/>
  <c r="P103" i="40"/>
  <c r="P104" i="40"/>
  <c r="P106" i="40"/>
  <c r="P107" i="40"/>
  <c r="A108" i="40"/>
  <c r="P108" i="40"/>
  <c r="A109" i="40"/>
  <c r="P109" i="40"/>
  <c r="A110" i="40"/>
  <c r="P110" i="40"/>
  <c r="A111" i="40"/>
  <c r="P111" i="40"/>
  <c r="A112" i="40"/>
  <c r="P112" i="40"/>
  <c r="A113" i="40"/>
  <c r="P113" i="40"/>
  <c r="A114" i="40"/>
  <c r="P114" i="40"/>
  <c r="P115" i="40"/>
  <c r="A116" i="40"/>
  <c r="P116" i="40"/>
  <c r="A119" i="40"/>
  <c r="P119" i="40"/>
  <c r="A120" i="40"/>
  <c r="P120" i="40"/>
  <c r="A121" i="40"/>
  <c r="P121" i="40"/>
  <c r="P122" i="40"/>
  <c r="P123" i="40"/>
  <c r="P124" i="40"/>
  <c r="A125" i="40"/>
  <c r="P125" i="40"/>
  <c r="P126" i="40"/>
  <c r="P127" i="40"/>
  <c r="A128" i="40"/>
  <c r="P128" i="40"/>
  <c r="P129" i="40"/>
  <c r="P130" i="40"/>
  <c r="A132" i="40"/>
  <c r="P132" i="40"/>
  <c r="A133" i="40"/>
  <c r="P133" i="40"/>
  <c r="A134" i="40"/>
  <c r="P134" i="40"/>
  <c r="A135" i="40"/>
  <c r="P135" i="40"/>
  <c r="A136" i="40"/>
  <c r="P136" i="40"/>
  <c r="A137" i="40"/>
  <c r="P137" i="40"/>
  <c r="A138" i="40"/>
  <c r="P138" i="40"/>
  <c r="A139" i="40"/>
  <c r="P139" i="40"/>
  <c r="A140" i="40"/>
  <c r="P140" i="40"/>
  <c r="A142" i="40"/>
  <c r="A143" i="40"/>
  <c r="P143" i="40"/>
  <c r="A144" i="40"/>
  <c r="P144" i="40"/>
  <c r="P145" i="40"/>
  <c r="A146" i="40"/>
  <c r="P146" i="40"/>
  <c r="P147" i="40"/>
  <c r="P149" i="40"/>
  <c r="A150" i="40"/>
  <c r="P150" i="40"/>
  <c r="A151" i="40"/>
  <c r="P151" i="40"/>
  <c r="P152" i="40"/>
  <c r="P153" i="40"/>
  <c r="P154" i="40"/>
  <c r="P156" i="40"/>
  <c r="A157" i="40"/>
  <c r="P157" i="40"/>
  <c r="A159" i="40"/>
  <c r="P159" i="40"/>
  <c r="A161" i="40"/>
  <c r="S1" i="37"/>
  <c r="U1" i="37"/>
  <c r="V1" i="37"/>
  <c r="A2" i="37"/>
  <c r="U2" i="37"/>
  <c r="V2" i="37"/>
  <c r="X2" i="37"/>
  <c r="Z2" i="37"/>
  <c r="F4" i="40" s="1"/>
  <c r="A3" i="37"/>
  <c r="G3" i="37"/>
  <c r="A9" i="37" s="1"/>
  <c r="U3" i="37"/>
  <c r="V3" i="37"/>
  <c r="W3" i="37"/>
  <c r="X3" i="37"/>
  <c r="A4" i="37"/>
  <c r="E4" i="37"/>
  <c r="G4" i="37"/>
  <c r="U4" i="37"/>
  <c r="T2" i="37" s="1"/>
  <c r="C3" i="40" s="1"/>
  <c r="D9" i="40" s="1"/>
  <c r="D78" i="40" s="1"/>
  <c r="V4" i="37"/>
  <c r="U5" i="37"/>
  <c r="V5" i="37"/>
  <c r="P6" i="37"/>
  <c r="U6" i="37"/>
  <c r="V6" i="37"/>
  <c r="U7" i="37"/>
  <c r="V7" i="37"/>
  <c r="U8" i="37"/>
  <c r="V8" i="37"/>
  <c r="A10" i="37"/>
  <c r="A16" i="37"/>
  <c r="A17" i="37"/>
  <c r="A18" i="37"/>
  <c r="A19" i="37"/>
  <c r="A21" i="37"/>
  <c r="A22" i="37"/>
  <c r="A23" i="37"/>
  <c r="A24" i="37"/>
  <c r="A25" i="37"/>
  <c r="A29" i="37"/>
  <c r="A30" i="37"/>
  <c r="A31" i="37"/>
  <c r="A32" i="37"/>
  <c r="A34" i="37"/>
  <c r="A42" i="37"/>
  <c r="A43" i="37"/>
  <c r="A45" i="37"/>
  <c r="A45" i="40" s="1"/>
  <c r="A46" i="37"/>
  <c r="A46" i="40" s="1"/>
  <c r="A47" i="37"/>
  <c r="A47" i="40" s="1"/>
  <c r="A48" i="37"/>
  <c r="A48" i="40" s="1"/>
  <c r="A50" i="37"/>
  <c r="A51" i="37"/>
  <c r="A52" i="37"/>
  <c r="A53" i="37"/>
  <c r="A54" i="37"/>
  <c r="A55" i="37"/>
  <c r="A56" i="37"/>
  <c r="A57" i="37"/>
  <c r="A58" i="37"/>
  <c r="A60" i="37"/>
  <c r="A69" i="37"/>
  <c r="A70" i="37"/>
  <c r="A72" i="37"/>
  <c r="A74" i="37"/>
  <c r="A75" i="37"/>
  <c r="D77" i="37"/>
  <c r="A78" i="37"/>
  <c r="A79" i="37"/>
  <c r="A80" i="37"/>
  <c r="A82" i="37"/>
  <c r="A83" i="37"/>
  <c r="A84" i="37"/>
  <c r="A86" i="37"/>
  <c r="A87" i="37"/>
  <c r="A89" i="37"/>
  <c r="A90" i="37"/>
  <c r="A93" i="37"/>
  <c r="A94" i="37"/>
  <c r="A95" i="37"/>
  <c r="A99" i="37"/>
  <c r="A102" i="37"/>
  <c r="A103" i="37"/>
  <c r="A104" i="37"/>
  <c r="A105" i="37"/>
  <c r="A106" i="37"/>
  <c r="A107" i="37"/>
  <c r="A108" i="37"/>
  <c r="A109" i="37"/>
  <c r="A110" i="37"/>
  <c r="A111" i="37"/>
  <c r="A112" i="37"/>
  <c r="A113" i="37"/>
  <c r="A114" i="37"/>
  <c r="A115" i="37"/>
  <c r="A116" i="37"/>
  <c r="A117" i="37"/>
  <c r="A118" i="37"/>
  <c r="A120" i="37"/>
  <c r="A124" i="37"/>
  <c r="A125" i="37"/>
  <c r="A126" i="37"/>
  <c r="A127" i="37"/>
  <c r="A128" i="37"/>
  <c r="A129" i="37"/>
  <c r="A130" i="37"/>
  <c r="A131" i="37"/>
  <c r="A132" i="37"/>
  <c r="A133" i="37"/>
  <c r="A134" i="37"/>
  <c r="A135" i="37"/>
  <c r="A136" i="37"/>
  <c r="A137" i="37"/>
  <c r="A138" i="37"/>
  <c r="A140" i="37"/>
  <c r="A142" i="37"/>
  <c r="A143" i="37"/>
  <c r="A144" i="37"/>
  <c r="A146" i="37"/>
  <c r="A147" i="37"/>
  <c r="A148" i="37"/>
  <c r="A149" i="37"/>
  <c r="A150" i="37"/>
  <c r="A151" i="37"/>
  <c r="A154" i="37"/>
  <c r="A155" i="37"/>
  <c r="A156" i="37"/>
  <c r="A157" i="37"/>
  <c r="A158" i="37"/>
  <c r="A159" i="37"/>
  <c r="A160" i="37"/>
  <c r="A161" i="37"/>
  <c r="A162" i="37"/>
  <c r="D165" i="37"/>
  <c r="A166" i="37"/>
  <c r="A167" i="37"/>
  <c r="A168" i="37"/>
  <c r="A169" i="37"/>
  <c r="A170" i="37"/>
  <c r="A171" i="37"/>
  <c r="A172" i="37"/>
  <c r="A173" i="37"/>
  <c r="A174" i="37"/>
  <c r="A175" i="37"/>
  <c r="A176" i="37"/>
  <c r="A177" i="37"/>
  <c r="A178" i="37"/>
  <c r="A179" i="37"/>
  <c r="A180" i="37"/>
  <c r="A181" i="37"/>
  <c r="A182" i="37"/>
  <c r="A183" i="37"/>
  <c r="A184" i="37"/>
  <c r="A185" i="37"/>
  <c r="A187" i="37"/>
  <c r="A188" i="37"/>
  <c r="A189" i="37"/>
  <c r="A190" i="37"/>
  <c r="A191" i="37"/>
  <c r="A192" i="37"/>
  <c r="A193" i="37"/>
  <c r="A194" i="37"/>
  <c r="A195" i="37"/>
  <c r="A196" i="37"/>
  <c r="A197" i="37"/>
  <c r="A198" i="37"/>
  <c r="A199" i="37"/>
  <c r="A200" i="37"/>
  <c r="A201" i="37"/>
  <c r="A202" i="37"/>
  <c r="A203" i="37"/>
  <c r="A204" i="37"/>
  <c r="A205" i="37"/>
  <c r="A206" i="37"/>
  <c r="A207" i="37"/>
  <c r="A209" i="37"/>
  <c r="A210" i="37"/>
  <c r="A211" i="37"/>
  <c r="A212" i="37"/>
  <c r="A213" i="37"/>
  <c r="A214" i="37"/>
  <c r="A217" i="37"/>
  <c r="P217" i="37"/>
  <c r="A218" i="37"/>
  <c r="A220" i="37"/>
  <c r="A224" i="37"/>
  <c r="A226" i="37"/>
  <c r="A227" i="37"/>
  <c r="A228" i="37"/>
  <c r="A229" i="37"/>
  <c r="A230" i="37"/>
  <c r="A231" i="37"/>
  <c r="A232" i="37"/>
  <c r="A233" i="37"/>
  <c r="A234" i="37"/>
  <c r="A235" i="37"/>
  <c r="A236" i="37"/>
  <c r="A237" i="37"/>
  <c r="A238" i="37"/>
  <c r="A239" i="37"/>
  <c r="A240" i="37"/>
  <c r="A241" i="37"/>
  <c r="A242" i="37"/>
  <c r="A243" i="37"/>
  <c r="A249" i="37"/>
  <c r="A250" i="37"/>
  <c r="A251" i="37"/>
  <c r="A252" i="37"/>
  <c r="A253" i="37"/>
  <c r="A254" i="37"/>
  <c r="A255" i="37"/>
  <c r="A256" i="37"/>
  <c r="A257" i="37"/>
  <c r="A258" i="37"/>
  <c r="A260" i="37"/>
  <c r="A261" i="37"/>
  <c r="A262" i="37"/>
  <c r="A263" i="37"/>
  <c r="A264" i="37"/>
  <c r="A265" i="37"/>
  <c r="A267" i="37"/>
  <c r="A268" i="37"/>
  <c r="A274" i="37"/>
  <c r="A275" i="37"/>
  <c r="A277" i="37"/>
  <c r="A278" i="37"/>
  <c r="A279" i="37"/>
  <c r="A281" i="37"/>
  <c r="A282" i="37"/>
  <c r="A283" i="37"/>
  <c r="A286" i="37"/>
  <c r="A287" i="37"/>
  <c r="A288" i="37"/>
  <c r="A289" i="37"/>
  <c r="A290" i="37"/>
  <c r="A291" i="37"/>
  <c r="A292" i="37"/>
  <c r="A293" i="37"/>
  <c r="A294" i="37"/>
  <c r="A296" i="37"/>
  <c r="A298" i="37"/>
  <c r="A304" i="37"/>
  <c r="A305" i="37"/>
  <c r="A306" i="37"/>
  <c r="A307" i="37"/>
  <c r="A308" i="37"/>
  <c r="A309" i="37"/>
  <c r="A310" i="37"/>
  <c r="A311" i="37"/>
  <c r="A312" i="37"/>
  <c r="A313" i="37"/>
  <c r="A314" i="37"/>
  <c r="A315" i="37"/>
  <c r="A316" i="37"/>
  <c r="A320" i="37"/>
  <c r="A325" i="37"/>
  <c r="A326" i="37"/>
  <c r="A327" i="37"/>
  <c r="A332" i="37"/>
  <c r="A335" i="37"/>
  <c r="A336" i="37"/>
  <c r="A337" i="37"/>
  <c r="A338" i="37"/>
  <c r="A340" i="37"/>
  <c r="A341" i="37"/>
  <c r="A342" i="37"/>
  <c r="A343" i="37"/>
  <c r="A345" i="37"/>
  <c r="A346" i="37"/>
  <c r="A347" i="37"/>
  <c r="A348" i="37"/>
  <c r="A349" i="37"/>
  <c r="A350" i="37"/>
  <c r="A351" i="37"/>
  <c r="A353" i="37"/>
  <c r="A361" i="37"/>
  <c r="A362" i="37"/>
  <c r="A363" i="37"/>
  <c r="A364" i="37"/>
  <c r="A365" i="37"/>
  <c r="A366" i="37"/>
  <c r="A367" i="37"/>
  <c r="A368" i="37"/>
  <c r="A369" i="37"/>
  <c r="A371" i="37"/>
  <c r="A372" i="37"/>
  <c r="A373" i="37"/>
  <c r="A374" i="37"/>
  <c r="A375" i="37"/>
  <c r="A376" i="37"/>
  <c r="A378" i="37"/>
  <c r="A385" i="37"/>
  <c r="A386" i="37"/>
  <c r="A387" i="37"/>
  <c r="A388" i="37"/>
  <c r="A389" i="37"/>
  <c r="A390" i="37"/>
  <c r="A391" i="37"/>
  <c r="A392" i="37"/>
  <c r="A393" i="37"/>
  <c r="A395" i="37"/>
  <c r="A396" i="37"/>
  <c r="A397" i="37"/>
  <c r="A398" i="37"/>
  <c r="A399" i="37"/>
  <c r="A400" i="37"/>
  <c r="A403" i="37"/>
  <c r="A410" i="37"/>
  <c r="A412" i="37"/>
  <c r="D414" i="37"/>
  <c r="A415" i="37"/>
  <c r="A416" i="37"/>
  <c r="A417" i="37"/>
  <c r="A418" i="37"/>
  <c r="A419" i="37"/>
  <c r="A420" i="37"/>
  <c r="A421" i="37"/>
  <c r="A422" i="37"/>
  <c r="A423" i="37"/>
  <c r="A424" i="37"/>
  <c r="A425" i="37"/>
  <c r="A426" i="37"/>
  <c r="A427" i="37"/>
  <c r="A429" i="37"/>
  <c r="A435" i="37"/>
  <c r="A436" i="37"/>
  <c r="A437" i="37"/>
  <c r="A442" i="37"/>
  <c r="A443" i="37"/>
  <c r="A444" i="37"/>
  <c r="A445" i="37"/>
  <c r="A446" i="37"/>
  <c r="A447" i="37"/>
  <c r="A448" i="37"/>
  <c r="A449" i="37"/>
  <c r="A450" i="37"/>
  <c r="A451" i="37"/>
  <c r="A452" i="37"/>
  <c r="A453" i="37"/>
  <c r="A455" i="37"/>
  <c r="A461" i="37"/>
  <c r="A462" i="37"/>
  <c r="A463" i="37"/>
  <c r="A464" i="37"/>
  <c r="A465" i="37"/>
  <c r="A466" i="37"/>
  <c r="A467" i="37"/>
  <c r="A468" i="37"/>
  <c r="A469" i="37"/>
  <c r="A470" i="37"/>
  <c r="A471" i="37"/>
  <c r="A472" i="37"/>
  <c r="A473" i="37"/>
  <c r="A474" i="37"/>
  <c r="A475" i="37"/>
  <c r="A477" i="37"/>
  <c r="A483" i="37"/>
  <c r="A484" i="37"/>
  <c r="A485" i="37"/>
  <c r="A486" i="37"/>
  <c r="A487" i="37"/>
  <c r="A488" i="37"/>
  <c r="A489" i="37"/>
  <c r="A490" i="37"/>
  <c r="A491" i="37"/>
  <c r="A492" i="37"/>
  <c r="A493" i="37"/>
  <c r="A494" i="37"/>
  <c r="A495" i="37"/>
  <c r="A496" i="37"/>
  <c r="A497" i="37"/>
  <c r="A499" i="37"/>
  <c r="A505" i="37"/>
  <c r="A506" i="37"/>
  <c r="A507" i="37"/>
  <c r="A508" i="37"/>
  <c r="A509" i="37"/>
  <c r="A510" i="37"/>
  <c r="A511" i="37"/>
  <c r="A512" i="37"/>
  <c r="A513" i="37"/>
  <c r="A514" i="37"/>
  <c r="A515" i="37"/>
  <c r="A516" i="37"/>
  <c r="A517" i="37"/>
  <c r="A518" i="37"/>
  <c r="A519" i="37"/>
  <c r="A521" i="37"/>
  <c r="A527" i="37"/>
  <c r="A528" i="37"/>
  <c r="A529" i="37"/>
  <c r="A530" i="37"/>
  <c r="A531" i="37"/>
  <c r="A532" i="37"/>
  <c r="A533" i="37"/>
  <c r="A534" i="37"/>
  <c r="A535" i="37"/>
  <c r="A536" i="37"/>
  <c r="A537" i="37"/>
  <c r="A538" i="37"/>
  <c r="A539" i="37"/>
  <c r="A540" i="37"/>
  <c r="A541" i="37"/>
  <c r="A542" i="37"/>
  <c r="A543" i="37"/>
  <c r="A545" i="37"/>
  <c r="A550" i="37"/>
  <c r="A556" i="37"/>
  <c r="A557" i="37"/>
  <c r="A558" i="37"/>
  <c r="A559" i="37"/>
  <c r="A560" i="37"/>
  <c r="A561" i="37"/>
  <c r="A564" i="37"/>
  <c r="A565" i="37"/>
  <c r="A566" i="37"/>
  <c r="A567" i="37"/>
  <c r="A568" i="37"/>
  <c r="A569" i="37"/>
  <c r="A570" i="37"/>
  <c r="A571" i="37"/>
  <c r="A572" i="37"/>
  <c r="A574" i="37"/>
  <c r="A580" i="37"/>
  <c r="A581" i="37"/>
  <c r="A582" i="37"/>
  <c r="A583" i="37"/>
  <c r="A584" i="37"/>
  <c r="A585" i="37"/>
  <c r="A586" i="37"/>
  <c r="A587" i="37"/>
  <c r="A588" i="37"/>
  <c r="A589" i="37"/>
  <c r="A590" i="37"/>
  <c r="A591" i="37"/>
  <c r="A592" i="37"/>
  <c r="A593" i="37"/>
  <c r="A594" i="37"/>
  <c r="A595" i="37"/>
  <c r="A596" i="37"/>
  <c r="A597" i="37"/>
  <c r="A603" i="37"/>
  <c r="A604" i="37"/>
  <c r="A605" i="37"/>
  <c r="A606" i="37"/>
  <c r="A607" i="37"/>
  <c r="A608" i="37"/>
  <c r="A609" i="37"/>
  <c r="A610" i="37"/>
  <c r="A611" i="37"/>
  <c r="A612" i="37"/>
  <c r="A613" i="37"/>
  <c r="A614" i="37"/>
  <c r="A615" i="37"/>
  <c r="A616" i="37"/>
  <c r="A617" i="37"/>
  <c r="A618" i="37"/>
  <c r="A619" i="37"/>
  <c r="A620" i="37"/>
  <c r="A625" i="37"/>
  <c r="A626" i="37"/>
  <c r="A627" i="37"/>
  <c r="A628" i="37"/>
  <c r="A629" i="37"/>
  <c r="A630" i="37"/>
  <c r="A631" i="37"/>
  <c r="A632" i="37"/>
  <c r="A633" i="37"/>
  <c r="A634" i="37"/>
  <c r="A635" i="37"/>
  <c r="A636" i="37"/>
  <c r="A637" i="37"/>
  <c r="A638" i="37"/>
  <c r="A639" i="37"/>
  <c r="A640" i="37"/>
  <c r="A641" i="37"/>
  <c r="A642" i="37"/>
  <c r="A652" i="37"/>
  <c r="A653" i="37"/>
  <c r="A654" i="37"/>
  <c r="A655" i="37"/>
  <c r="A656" i="37"/>
  <c r="A658" i="37"/>
  <c r="A659" i="37"/>
  <c r="A660" i="37"/>
  <c r="A661" i="37"/>
  <c r="A662" i="37"/>
  <c r="A663" i="37"/>
  <c r="A664" i="37"/>
  <c r="A665" i="37"/>
  <c r="A666" i="37"/>
  <c r="A668" i="37"/>
  <c r="A674" i="37"/>
  <c r="A675" i="37"/>
  <c r="A676" i="37"/>
  <c r="A677" i="37"/>
  <c r="A678" i="37"/>
  <c r="A679" i="37"/>
  <c r="A680" i="37"/>
  <c r="A681" i="37"/>
  <c r="A682" i="37"/>
  <c r="A683" i="37"/>
  <c r="A684" i="37"/>
  <c r="A685" i="37"/>
  <c r="A686" i="37"/>
  <c r="A687" i="37"/>
  <c r="A690" i="37"/>
  <c r="A691" i="37"/>
  <c r="A697" i="37"/>
  <c r="A698" i="37"/>
  <c r="A699" i="37"/>
  <c r="A700" i="37"/>
  <c r="A701" i="37"/>
  <c r="A702" i="37"/>
  <c r="A703" i="37"/>
  <c r="A704" i="37"/>
  <c r="A705" i="37"/>
  <c r="A706" i="37"/>
  <c r="A707" i="37"/>
  <c r="A708" i="37"/>
  <c r="A709" i="37"/>
  <c r="A713" i="37"/>
  <c r="A719" i="37"/>
  <c r="A720" i="37"/>
  <c r="A721" i="37"/>
  <c r="A722" i="37"/>
  <c r="A723" i="37"/>
  <c r="A724" i="37"/>
  <c r="A725" i="37"/>
  <c r="A726" i="37"/>
  <c r="A727" i="37"/>
  <c r="A728" i="37"/>
  <c r="A729" i="37"/>
  <c r="A730" i="37"/>
  <c r="A731" i="37"/>
  <c r="A732" i="37"/>
  <c r="A733" i="37"/>
  <c r="A734" i="37"/>
  <c r="A735" i="37"/>
  <c r="A736" i="37"/>
  <c r="A737" i="37"/>
  <c r="A738" i="37"/>
  <c r="A741" i="37"/>
  <c r="A742" i="37"/>
  <c r="A743" i="37"/>
  <c r="A745" i="37"/>
  <c r="A746" i="37"/>
  <c r="A747" i="37"/>
  <c r="A748" i="37"/>
  <c r="A749" i="37"/>
  <c r="A750" i="37"/>
  <c r="A751" i="37"/>
  <c r="A754" i="37"/>
  <c r="A755" i="37"/>
  <c r="A756" i="37"/>
  <c r="A757" i="37"/>
  <c r="A758" i="37"/>
  <c r="A759" i="37"/>
  <c r="A760" i="37"/>
  <c r="A761" i="37"/>
  <c r="A762" i="37"/>
  <c r="A764" i="37"/>
  <c r="A765" i="37"/>
  <c r="A767" i="37"/>
  <c r="A768" i="37"/>
  <c r="A769" i="37"/>
  <c r="A770" i="37"/>
  <c r="A771" i="37"/>
  <c r="A772" i="37"/>
  <c r="A773" i="37"/>
  <c r="A774" i="37"/>
  <c r="A775" i="37"/>
  <c r="A776" i="37"/>
  <c r="A777" i="37"/>
  <c r="A778" i="37"/>
  <c r="A780" i="37"/>
  <c r="A781" i="37"/>
  <c r="A782" i="37"/>
  <c r="A783" i="37"/>
  <c r="A784" i="37"/>
  <c r="A785" i="37"/>
  <c r="A786" i="37"/>
  <c r="A787" i="37"/>
  <c r="A789" i="37"/>
  <c r="A790" i="37"/>
  <c r="A791" i="37"/>
  <c r="A792" i="37"/>
  <c r="A793" i="37"/>
  <c r="A794" i="37"/>
  <c r="A796" i="37"/>
  <c r="A797" i="37"/>
  <c r="A798" i="37"/>
  <c r="A799" i="37"/>
  <c r="A800" i="37"/>
  <c r="A801" i="37"/>
  <c r="A802" i="37"/>
  <c r="A803" i="37"/>
  <c r="A804" i="37"/>
  <c r="A805" i="37"/>
  <c r="A806" i="37"/>
  <c r="A807" i="37"/>
  <c r="A808" i="37"/>
  <c r="A809" i="37"/>
  <c r="A810" i="37"/>
  <c r="A811" i="37"/>
  <c r="A812" i="37"/>
  <c r="A813" i="37"/>
  <c r="A814" i="37"/>
  <c r="A815" i="37"/>
  <c r="A816" i="37"/>
  <c r="A818" i="37"/>
  <c r="A819" i="37"/>
  <c r="A820" i="37"/>
  <c r="A821" i="37"/>
  <c r="A822" i="37"/>
  <c r="A823" i="37"/>
  <c r="A824" i="37"/>
  <c r="A825" i="37"/>
  <c r="A826" i="37"/>
  <c r="A827" i="37"/>
  <c r="A828" i="37"/>
  <c r="A829" i="37"/>
  <c r="A830" i="37"/>
  <c r="A831" i="37"/>
  <c r="A833" i="37"/>
  <c r="A834" i="37"/>
  <c r="A835" i="37"/>
  <c r="A837" i="37"/>
  <c r="A838" i="37"/>
  <c r="A839" i="37"/>
  <c r="A840" i="37"/>
  <c r="A844" i="37"/>
  <c r="A846" i="37"/>
  <c r="A847" i="37"/>
  <c r="A850" i="37"/>
  <c r="A851" i="37"/>
  <c r="A852" i="37"/>
  <c r="A853" i="37"/>
  <c r="A854" i="37"/>
  <c r="A855" i="37"/>
  <c r="A856" i="37"/>
  <c r="A857" i="37"/>
  <c r="A858" i="37"/>
  <c r="A859" i="37"/>
  <c r="A860" i="37"/>
  <c r="A861" i="37"/>
  <c r="A862" i="37"/>
  <c r="A863" i="37"/>
  <c r="A864" i="37"/>
  <c r="A865" i="37"/>
  <c r="A866" i="37"/>
  <c r="A867" i="37"/>
  <c r="A868" i="37"/>
  <c r="A869" i="37"/>
  <c r="A870" i="37"/>
  <c r="A871" i="37"/>
  <c r="A872" i="37"/>
  <c r="A873" i="37"/>
  <c r="A874" i="37"/>
  <c r="A875" i="37"/>
  <c r="A876" i="37"/>
  <c r="A877" i="37"/>
  <c r="A878" i="37"/>
  <c r="A879" i="37"/>
  <c r="A880" i="37"/>
  <c r="A881" i="37"/>
  <c r="A882" i="37"/>
  <c r="A883" i="37"/>
  <c r="A884" i="37"/>
  <c r="A885" i="37"/>
  <c r="A886" i="37"/>
  <c r="A887" i="37"/>
  <c r="A889" i="37"/>
  <c r="A890" i="37"/>
  <c r="A891" i="37"/>
  <c r="A892" i="37"/>
  <c r="A893" i="37"/>
  <c r="A894" i="37"/>
  <c r="A895" i="37"/>
  <c r="A896" i="37"/>
  <c r="A897" i="37"/>
  <c r="A898" i="37"/>
  <c r="A899" i="37"/>
  <c r="A900" i="37"/>
  <c r="A901" i="37"/>
  <c r="A902" i="37"/>
  <c r="A903" i="37"/>
  <c r="A904" i="37"/>
  <c r="A905" i="37"/>
  <c r="A906" i="37"/>
  <c r="A907" i="37"/>
  <c r="A908" i="37"/>
  <c r="A909" i="37"/>
  <c r="A911" i="37"/>
  <c r="A912" i="37"/>
  <c r="A913" i="37"/>
  <c r="A914" i="37"/>
  <c r="A915" i="37"/>
  <c r="A916" i="37"/>
  <c r="A917" i="37"/>
  <c r="A918" i="37"/>
  <c r="A919" i="37"/>
  <c r="A920" i="37"/>
  <c r="A921" i="37"/>
  <c r="A922" i="37"/>
  <c r="A923" i="37"/>
  <c r="A924" i="37"/>
  <c r="A925" i="37"/>
  <c r="A926" i="37"/>
  <c r="A927" i="37"/>
  <c r="A928" i="37"/>
  <c r="A929" i="37"/>
  <c r="A930" i="37"/>
  <c r="A931" i="37"/>
  <c r="A939" i="37"/>
  <c r="A940" i="37"/>
  <c r="A941" i="37"/>
  <c r="A942" i="37"/>
  <c r="A943" i="37"/>
  <c r="A946" i="37"/>
  <c r="A947" i="37"/>
  <c r="A948" i="37"/>
  <c r="A949" i="37"/>
  <c r="A950" i="37"/>
  <c r="A951" i="37"/>
  <c r="A952" i="37"/>
  <c r="A953" i="37"/>
  <c r="A954" i="37"/>
  <c r="A956" i="37"/>
  <c r="A962" i="37"/>
  <c r="A963" i="37"/>
  <c r="A964" i="37"/>
  <c r="A965" i="37"/>
  <c r="A966" i="37"/>
  <c r="A967" i="37"/>
  <c r="A968" i="37"/>
  <c r="A969" i="37"/>
  <c r="A970" i="37"/>
  <c r="A972" i="37"/>
  <c r="A973" i="37"/>
  <c r="A974" i="37"/>
  <c r="A975" i="37"/>
  <c r="A976" i="37"/>
  <c r="A977" i="37"/>
  <c r="A978" i="37"/>
  <c r="A979" i="37"/>
  <c r="A981" i="37"/>
  <c r="A982" i="37"/>
  <c r="A988" i="37"/>
  <c r="A989" i="37"/>
  <c r="A990" i="37"/>
  <c r="A991" i="37"/>
  <c r="A992" i="37"/>
  <c r="A993" i="37"/>
  <c r="A994" i="37"/>
  <c r="A995" i="37"/>
  <c r="A996" i="37"/>
  <c r="A997" i="37"/>
  <c r="A998" i="37"/>
  <c r="A999" i="37"/>
  <c r="A1000" i="37"/>
  <c r="A1001" i="37"/>
  <c r="A1002" i="37"/>
  <c r="A1004" i="37"/>
  <c r="A1010" i="37"/>
  <c r="A1011" i="37"/>
  <c r="A1012" i="37"/>
  <c r="A1013" i="37"/>
  <c r="A1014" i="37"/>
  <c r="A1015" i="37"/>
  <c r="A1016" i="37"/>
  <c r="A1017" i="37"/>
  <c r="A1018" i="37"/>
  <c r="A1019" i="37"/>
  <c r="A1020" i="37"/>
  <c r="A1021" i="37"/>
  <c r="A1022" i="37"/>
  <c r="A1023" i="37"/>
  <c r="A1025" i="37"/>
  <c r="A1036" i="37"/>
  <c r="A1037" i="37"/>
  <c r="A1038" i="37"/>
  <c r="A1039" i="37"/>
  <c r="A1042" i="37"/>
  <c r="A1043" i="37"/>
  <c r="A1044" i="37"/>
  <c r="A1045" i="37"/>
  <c r="A1046" i="37"/>
  <c r="A1047" i="37"/>
  <c r="A1048" i="37"/>
  <c r="A1049" i="37"/>
  <c r="A1050" i="37"/>
  <c r="A1052" i="37"/>
  <c r="A1058" i="37"/>
  <c r="A1059" i="37"/>
  <c r="A1060" i="37"/>
  <c r="A1061" i="37"/>
  <c r="A1062" i="37"/>
  <c r="A1063" i="37"/>
  <c r="A1064" i="37"/>
  <c r="A1065" i="37"/>
  <c r="A1066" i="37"/>
  <c r="A1067" i="37"/>
  <c r="A1068" i="37"/>
  <c r="A1069" i="37"/>
  <c r="A1070" i="37"/>
  <c r="A1071" i="37"/>
  <c r="A1072" i="37"/>
  <c r="A1074" i="37"/>
  <c r="A1075" i="37"/>
  <c r="A1081" i="37"/>
  <c r="A1082" i="37"/>
  <c r="A1083" i="37"/>
  <c r="A1084" i="37"/>
  <c r="A1085" i="37"/>
  <c r="A1086" i="37"/>
  <c r="A1087" i="37"/>
  <c r="A1088" i="37"/>
  <c r="A1089" i="37"/>
  <c r="A1090" i="37"/>
  <c r="A1091" i="37"/>
  <c r="A1092" i="37"/>
  <c r="A1093" i="37"/>
  <c r="A1094" i="37"/>
  <c r="A1095" i="37"/>
  <c r="A1097" i="37"/>
  <c r="A1098" i="37"/>
  <c r="A1100" i="37"/>
  <c r="A1103" i="37"/>
  <c r="A1104" i="37"/>
  <c r="A1105" i="37"/>
  <c r="A1106" i="37"/>
  <c r="A1107" i="37"/>
  <c r="A1108" i="37"/>
  <c r="A1109" i="37"/>
  <c r="A1110" i="37"/>
  <c r="A1111" i="37"/>
  <c r="A1112" i="37"/>
  <c r="A1113" i="37"/>
  <c r="A1114" i="37"/>
  <c r="A1115" i="37"/>
  <c r="A1116" i="37"/>
  <c r="A1117" i="37"/>
  <c r="A1118" i="37"/>
  <c r="A1119" i="37"/>
  <c r="A1120" i="37"/>
  <c r="A1121" i="37"/>
  <c r="A1122" i="37"/>
  <c r="A1130" i="37"/>
  <c r="A1131" i="37"/>
  <c r="A1132" i="37"/>
  <c r="A1133" i="37"/>
  <c r="A1134" i="37"/>
  <c r="A1135" i="37"/>
  <c r="A1136" i="37"/>
  <c r="A1137" i="37"/>
  <c r="A1138" i="37"/>
  <c r="A1139" i="37"/>
  <c r="A1140" i="37"/>
  <c r="A1141" i="37"/>
  <c r="A1142" i="37"/>
  <c r="A1143" i="37"/>
  <c r="A1144" i="37"/>
  <c r="A1146" i="37"/>
  <c r="A1147" i="37"/>
  <c r="A1152" i="37"/>
  <c r="A1153" i="37"/>
  <c r="A1154" i="37"/>
  <c r="A1155" i="37"/>
  <c r="A1156" i="37"/>
  <c r="A1157" i="37"/>
  <c r="A1158" i="37"/>
  <c r="A1160" i="37"/>
  <c r="A1161" i="37"/>
  <c r="A1162" i="37"/>
  <c r="A1163" i="37"/>
  <c r="A1164" i="37"/>
  <c r="A1165" i="37"/>
  <c r="A1166" i="37"/>
  <c r="A1168" i="37"/>
  <c r="A1169" i="37"/>
  <c r="A1170" i="37"/>
  <c r="A1171" i="37"/>
  <c r="A1177" i="37"/>
  <c r="A1178" i="37"/>
  <c r="A1179" i="37"/>
  <c r="A1180" i="37"/>
  <c r="A1182" i="37"/>
  <c r="A1183" i="37"/>
  <c r="A1184" i="37"/>
  <c r="A1185" i="37"/>
  <c r="A1186" i="37"/>
  <c r="A1187" i="37"/>
  <c r="A1189" i="37"/>
  <c r="A1190" i="37"/>
  <c r="A1191" i="37"/>
  <c r="A1192" i="37"/>
  <c r="A1193" i="37"/>
  <c r="A1194" i="37"/>
  <c r="A1195" i="37"/>
  <c r="A1196" i="37"/>
  <c r="A1201" i="37"/>
  <c r="A1202" i="37"/>
  <c r="A1203" i="37"/>
  <c r="A1204" i="37"/>
  <c r="A1205" i="37"/>
  <c r="A1206" i="37"/>
  <c r="A1207" i="37"/>
  <c r="A1208" i="37"/>
  <c r="A1209" i="37"/>
  <c r="A1210" i="37"/>
  <c r="A1211" i="37"/>
  <c r="A1212" i="37"/>
  <c r="A1213" i="37"/>
  <c r="A1214" i="37"/>
  <c r="A1215" i="37"/>
  <c r="A1216" i="37"/>
  <c r="A1218" i="37"/>
  <c r="A1219" i="37"/>
  <c r="A1225" i="37"/>
  <c r="A1226" i="37"/>
  <c r="A1227" i="37"/>
  <c r="A1228" i="37"/>
  <c r="A1229" i="37"/>
  <c r="A1230" i="37"/>
  <c r="A1231" i="37"/>
  <c r="A1232" i="37"/>
  <c r="A1233" i="37"/>
  <c r="A1235" i="37"/>
  <c r="A1236" i="37"/>
  <c r="A1237" i="37"/>
  <c r="A1238" i="37"/>
  <c r="A1239" i="37"/>
  <c r="A1241" i="37"/>
  <c r="A1242" i="37"/>
  <c r="A1243" i="37"/>
  <c r="A1246" i="37"/>
  <c r="A1252" i="37"/>
  <c r="A1253" i="37"/>
  <c r="A1254" i="37"/>
  <c r="A1256" i="37"/>
  <c r="A1257" i="37"/>
  <c r="A1258" i="37"/>
  <c r="A1259" i="37"/>
  <c r="A1260" i="37"/>
  <c r="A1262" i="37"/>
  <c r="A1263" i="37"/>
  <c r="A1264" i="37"/>
  <c r="A1265" i="37"/>
  <c r="A1266" i="37"/>
  <c r="A1267" i="37"/>
  <c r="A1269" i="37"/>
  <c r="A1270" i="37"/>
  <c r="A1271" i="37"/>
  <c r="A1278" i="37"/>
  <c r="A1280" i="37"/>
  <c r="A1281" i="37"/>
  <c r="A1282" i="37"/>
  <c r="A1283" i="37"/>
  <c r="A1285" i="37"/>
  <c r="A1286" i="37"/>
  <c r="A1287" i="37"/>
  <c r="A1288" i="37"/>
  <c r="A1289" i="37"/>
  <c r="A1290" i="37"/>
  <c r="A1292" i="37"/>
  <c r="A1293" i="37"/>
  <c r="A1294" i="37"/>
  <c r="A1295" i="37"/>
  <c r="A1296" i="37"/>
  <c r="A1297" i="37"/>
  <c r="A1301" i="37"/>
  <c r="A1302" i="37"/>
  <c r="A1311" i="37"/>
  <c r="A1312" i="37"/>
  <c r="A1313" i="37"/>
  <c r="A1314" i="37"/>
  <c r="A1315" i="37"/>
  <c r="A1317" i="37"/>
  <c r="A1319" i="37"/>
  <c r="A1320" i="37"/>
  <c r="A1321" i="37"/>
  <c r="A1322" i="37"/>
  <c r="A1323" i="37"/>
  <c r="A1325" i="37"/>
  <c r="A1326" i="37"/>
  <c r="A1327" i="37"/>
  <c r="A1328" i="37"/>
  <c r="A1329" i="37"/>
  <c r="A1330" i="37"/>
  <c r="A1331" i="37"/>
  <c r="A1333" i="37"/>
  <c r="A1334" i="37"/>
  <c r="FK21" i="38"/>
  <c r="EC21" i="38"/>
  <c r="BY21" i="38"/>
  <c r="AI21" i="38"/>
  <c r="S21" i="38"/>
  <c r="FM21" i="38"/>
  <c r="DK21" i="38"/>
  <c r="CA21" i="38"/>
  <c r="AK21" i="38"/>
  <c r="FO21" i="38"/>
  <c r="DM21" i="38"/>
  <c r="CC21" i="38"/>
  <c r="I21" i="38"/>
  <c r="FA21" i="38"/>
  <c r="DO21" i="38"/>
  <c r="CE21" i="38"/>
  <c r="K21" i="38"/>
  <c r="BG21" i="38"/>
  <c r="AO21" i="38"/>
  <c r="FC21" i="38"/>
  <c r="DQ21" i="38"/>
  <c r="FR21" i="38"/>
  <c r="M21" i="38"/>
  <c r="DS21" i="38"/>
  <c r="FE21" i="38"/>
  <c r="FG21" i="38"/>
  <c r="DA21" i="38"/>
  <c r="BO21" i="38"/>
  <c r="W21" i="38"/>
  <c r="AW21" i="38"/>
  <c r="A13" i="38"/>
  <c r="FI21" i="38"/>
  <c r="DC21" i="38"/>
  <c r="BQ21" i="38"/>
  <c r="Y21" i="38"/>
  <c r="DG21" i="38"/>
  <c r="G21" i="38"/>
  <c r="EQ21" i="38"/>
  <c r="DE21" i="38"/>
  <c r="BS21" i="38"/>
  <c r="A12" i="38"/>
  <c r="ES21" i="38"/>
  <c r="EU21" i="38"/>
  <c r="DI21" i="38"/>
  <c r="AY21" i="38"/>
  <c r="A14" i="38"/>
  <c r="CY21" i="38"/>
  <c r="EW21" i="38"/>
  <c r="CQ21" i="38"/>
  <c r="BA21" i="38"/>
  <c r="C21" i="38"/>
  <c r="EY21" i="38"/>
  <c r="CS21" i="38"/>
  <c r="BC21" i="38"/>
  <c r="E21" i="38"/>
  <c r="CU21" i="38"/>
  <c r="A8" i="38"/>
  <c r="EE21" i="38"/>
  <c r="EI21" i="38"/>
  <c r="CW21" i="38"/>
  <c r="AM21" i="38"/>
  <c r="A7" i="38"/>
  <c r="EK21" i="38"/>
  <c r="EM21" i="38"/>
  <c r="CG21" i="38"/>
  <c r="AQ21" i="38"/>
  <c r="A9" i="38"/>
  <c r="EO21" i="38"/>
  <c r="CI21" i="38"/>
  <c r="AS21" i="38"/>
  <c r="A10" i="38"/>
  <c r="DU21" i="38"/>
  <c r="CK21" i="38"/>
  <c r="AU21" i="38"/>
  <c r="A11" i="38"/>
  <c r="DW21" i="38"/>
  <c r="CM21" i="38"/>
  <c r="AA21" i="38"/>
  <c r="DY21" i="38"/>
  <c r="CO21" i="38"/>
  <c r="AC21" i="38"/>
  <c r="EA21" i="38"/>
  <c r="BW21" i="38"/>
  <c r="AG21" i="38"/>
  <c r="A7" i="37"/>
  <c r="F2" i="37"/>
  <c r="P105" i="37"/>
  <c r="P272" i="37"/>
  <c r="P209" i="37"/>
  <c r="P174" i="37"/>
  <c r="P131" i="37"/>
  <c r="P122" i="37"/>
  <c r="P120" i="37"/>
  <c r="P116" i="37"/>
  <c r="P57" i="37"/>
  <c r="P23" i="37"/>
  <c r="P19" i="37"/>
  <c r="P100" i="37"/>
  <c r="P13" i="37"/>
  <c r="P21" i="37"/>
  <c r="P257" i="37"/>
  <c r="P244" i="37"/>
  <c r="P234" i="37"/>
  <c r="P206" i="37"/>
  <c r="P180" i="37"/>
  <c r="P118" i="37"/>
  <c r="P114" i="37"/>
  <c r="P107" i="37"/>
  <c r="P103" i="37"/>
  <c r="P72" i="37"/>
  <c r="P41" i="37"/>
  <c r="P28" i="37"/>
  <c r="P297" i="37"/>
  <c r="P159" i="37"/>
  <c r="P149" i="37"/>
  <c r="P48" i="37"/>
  <c r="P183" i="37"/>
  <c r="P96" i="37"/>
  <c r="P87" i="37"/>
  <c r="P84" i="37"/>
  <c r="P69" i="37"/>
  <c r="P55" i="37"/>
  <c r="P37" i="37"/>
  <c r="P198" i="37"/>
  <c r="P186" i="37"/>
  <c r="P156" i="37"/>
  <c r="P46" i="37"/>
  <c r="P205" i="37"/>
  <c r="P132" i="37"/>
  <c r="P82" i="37"/>
  <c r="P58" i="37"/>
  <c r="P25" i="37"/>
  <c r="P10" i="37"/>
  <c r="P212" i="37"/>
  <c r="P182" i="37"/>
  <c r="P179" i="37"/>
  <c r="P144" i="37"/>
  <c r="P130" i="37"/>
  <c r="P66" i="37"/>
  <c r="P35" i="37"/>
  <c r="P29" i="37"/>
  <c r="P153" i="37"/>
  <c r="P146" i="37"/>
  <c r="P128" i="37"/>
  <c r="P117" i="37"/>
  <c r="P79" i="37"/>
  <c r="P43" i="37"/>
  <c r="P262" i="37"/>
  <c r="P194" i="37"/>
  <c r="P171" i="37"/>
  <c r="P124" i="37"/>
  <c r="P115" i="37"/>
  <c r="P56" i="37"/>
  <c r="P18" i="37"/>
  <c r="P1245" i="37"/>
  <c r="P188" i="37"/>
  <c r="P185" i="37"/>
  <c r="P111" i="37"/>
  <c r="P109" i="37"/>
  <c r="P102" i="37"/>
  <c r="P75" i="37"/>
  <c r="P63" i="37"/>
  <c r="P47" i="37"/>
  <c r="P33" i="37"/>
  <c r="P208" i="37"/>
  <c r="P197" i="37"/>
  <c r="P168" i="37"/>
  <c r="P141" i="37"/>
  <c r="P95" i="37"/>
  <c r="P93" i="37"/>
  <c r="P90" i="37"/>
  <c r="P54" i="37"/>
  <c r="P27" i="37"/>
  <c r="P12" i="37"/>
  <c r="P31" i="37"/>
  <c r="P268" i="37"/>
  <c r="P249" i="37"/>
  <c r="P228" i="37"/>
  <c r="P163" i="37"/>
  <c r="P150" i="37"/>
  <c r="P143" i="37"/>
  <c r="P60" i="37"/>
  <c r="P65" i="37"/>
  <c r="P52" i="37"/>
  <c r="AA1" i="37"/>
  <c r="A154" i="40" l="1"/>
  <c r="X35" i="39"/>
  <c r="X3" i="39"/>
  <c r="H42" i="39"/>
  <c r="A910" i="37"/>
  <c r="A624" i="37"/>
  <c r="A718" i="37"/>
  <c r="A888" i="37"/>
  <c r="A602" i="37"/>
  <c r="A696" i="37"/>
  <c r="A673" i="37"/>
  <c r="A579" i="37"/>
  <c r="A961" i="37"/>
  <c r="A555" i="37"/>
  <c r="A938" i="37"/>
  <c r="A650" i="37"/>
  <c r="X4" i="39"/>
  <c r="X23" i="39" s="1"/>
  <c r="BW5" i="38"/>
  <c r="AI5" i="38"/>
  <c r="DS5" i="38"/>
  <c r="DC5" i="38"/>
  <c r="AY5" i="38"/>
  <c r="DK5" i="38"/>
  <c r="BG5" i="38"/>
  <c r="EA5" i="38"/>
  <c r="G5" i="38"/>
  <c r="P4" i="39"/>
  <c r="P23" i="39" s="1"/>
  <c r="T4" i="39"/>
  <c r="T23" i="39" s="1"/>
  <c r="BO5" i="38"/>
  <c r="A717" i="37"/>
  <c r="A623" i="37"/>
  <c r="A578" i="37"/>
  <c r="A672" i="37"/>
  <c r="A960" i="37"/>
  <c r="A66" i="40"/>
  <c r="A66" i="37"/>
  <c r="A39" i="40"/>
  <c r="A39" i="37"/>
  <c r="V35" i="39"/>
  <c r="A622" i="37"/>
  <c r="A716" i="37"/>
  <c r="A1007" i="37"/>
  <c r="A600" i="37"/>
  <c r="A694" i="37"/>
  <c r="A985" i="37"/>
  <c r="A577" i="37"/>
  <c r="A959" i="37"/>
  <c r="A671" i="37"/>
  <c r="A1055" i="37"/>
  <c r="A936" i="37"/>
  <c r="A648" i="37"/>
  <c r="A849" i="37"/>
  <c r="A563" i="37"/>
  <c r="A744" i="37"/>
  <c r="V53" i="39"/>
  <c r="V54" i="39"/>
  <c r="A643" i="37"/>
  <c r="A1027" i="37"/>
  <c r="A739" i="37"/>
  <c r="A621" i="37"/>
  <c r="A715" i="37"/>
  <c r="A1006" i="37"/>
  <c r="A1099" i="37"/>
  <c r="A599" i="37"/>
  <c r="A984" i="37"/>
  <c r="A693" i="37"/>
  <c r="A1077" i="37"/>
  <c r="A958" i="37"/>
  <c r="A670" i="37"/>
  <c r="A766" i="37"/>
  <c r="A935" i="37"/>
  <c r="A647" i="37"/>
  <c r="A848" i="37"/>
  <c r="A562" i="37"/>
  <c r="A944" i="37"/>
  <c r="A127" i="40"/>
  <c r="A380" i="37"/>
  <c r="A103" i="40"/>
  <c r="A356" i="37"/>
  <c r="A714" i="37"/>
  <c r="A1005" i="37"/>
  <c r="A983" i="37"/>
  <c r="A692" i="37"/>
  <c r="A957" i="37"/>
  <c r="A669" i="37"/>
  <c r="A62" i="40"/>
  <c r="A62" i="37"/>
  <c r="A223" i="37"/>
  <c r="A35" i="40"/>
  <c r="A35" i="37"/>
  <c r="A1040" i="37"/>
  <c r="A441" i="37"/>
  <c r="A15" i="37"/>
  <c r="N55" i="39"/>
  <c r="R53" i="39"/>
  <c r="J15" i="39"/>
  <c r="O4" i="38"/>
  <c r="Q4" i="38"/>
  <c r="H4" i="39"/>
  <c r="M5" i="38"/>
  <c r="P53" i="39"/>
  <c r="A1024" i="37"/>
  <c r="A832" i="37"/>
  <c r="A1096" i="37"/>
  <c r="A712" i="37"/>
  <c r="A1003" i="37"/>
  <c r="A689" i="37"/>
  <c r="A980" i="37"/>
  <c r="A1073" i="37"/>
  <c r="A788" i="37"/>
  <c r="A955" i="37"/>
  <c r="A667" i="37"/>
  <c r="A1051" i="37"/>
  <c r="A763" i="37"/>
  <c r="A163" i="37"/>
  <c r="A328" i="37"/>
  <c r="A153" i="37"/>
  <c r="A91" i="37"/>
  <c r="A59" i="37"/>
  <c r="A59" i="40"/>
  <c r="A221" i="37"/>
  <c r="A33" i="37"/>
  <c r="A934" i="37"/>
  <c r="A646" i="37"/>
  <c r="A1030" i="37"/>
  <c r="A1009" i="37"/>
  <c r="A1008" i="37"/>
  <c r="A554" i="37"/>
  <c r="A383" i="37"/>
  <c r="A357" i="37"/>
  <c r="A63" i="40"/>
  <c r="P9" i="40"/>
  <c r="EY5" i="38"/>
  <c r="A334" i="37"/>
  <c r="P331" i="37"/>
  <c r="L54" i="39"/>
  <c r="D3" i="39"/>
  <c r="I4" i="38"/>
  <c r="A553" i="37"/>
  <c r="A382" i="37"/>
  <c r="A355" i="37"/>
  <c r="P9" i="37"/>
  <c r="A107" i="40"/>
  <c r="A601" i="37"/>
  <c r="A695" i="37"/>
  <c r="A987" i="37"/>
  <c r="A1041" i="37"/>
  <c r="D15" i="39"/>
  <c r="A99" i="40"/>
  <c r="A352" i="37"/>
  <c r="A409" i="37"/>
  <c r="A41" i="37"/>
  <c r="A152" i="40"/>
  <c r="A552" i="37"/>
  <c r="A752" i="37"/>
  <c r="A576" i="37"/>
  <c r="A551" i="37"/>
  <c r="A379" i="37"/>
  <c r="A37" i="37"/>
  <c r="E3" i="40"/>
  <c r="A1057" i="37"/>
  <c r="A1032" i="37"/>
  <c r="A575" i="37"/>
  <c r="A406" i="37"/>
  <c r="A36" i="37"/>
  <c r="P36" i="39"/>
  <c r="P439" i="37"/>
  <c r="A1035" i="37"/>
  <c r="A1034" i="37"/>
  <c r="A1080" i="37"/>
  <c r="A1056" i="37"/>
  <c r="A1031" i="37"/>
  <c r="A945" i="37"/>
  <c r="P548" i="37"/>
  <c r="P1125" i="37" s="1"/>
  <c r="D285" i="37"/>
  <c r="A986" i="37"/>
  <c r="T53" i="39"/>
  <c r="A124" i="40"/>
  <c r="A377" i="37"/>
  <c r="A359" i="37"/>
  <c r="A1079" i="37"/>
  <c r="A598" i="37"/>
  <c r="A573" i="37"/>
  <c r="P99" i="37"/>
  <c r="A67" i="37"/>
  <c r="A33" i="40"/>
  <c r="DU4" i="38"/>
  <c r="A1318" i="37"/>
  <c r="FA4" i="38"/>
  <c r="FC4" i="38"/>
  <c r="FE4" i="38"/>
  <c r="FG4" i="38"/>
  <c r="A753" i="37"/>
  <c r="A1275" i="37"/>
  <c r="A1054" i="37"/>
  <c r="A1102" i="37"/>
  <c r="A1053" i="37"/>
  <c r="A971" i="37"/>
  <c r="A842" i="37"/>
  <c r="A65" i="37"/>
  <c r="E2" i="40"/>
  <c r="A649" i="37"/>
  <c r="A1033" i="37"/>
  <c r="A14" i="37"/>
  <c r="A402" i="37"/>
  <c r="A149" i="40"/>
  <c r="A843" i="37"/>
  <c r="A1078" i="37"/>
  <c r="P1246" i="37"/>
  <c r="A1123" i="37"/>
  <c r="A1101" i="37"/>
  <c r="A1076" i="37"/>
  <c r="A841" i="37"/>
  <c r="A817" i="37"/>
  <c r="A795" i="37"/>
  <c r="A657" i="37"/>
  <c r="A544" i="37"/>
  <c r="AQ5" i="38"/>
  <c r="V33" i="39"/>
  <c r="N35" i="39"/>
  <c r="T34" i="39"/>
  <c r="J36" i="39"/>
  <c r="P34" i="39"/>
  <c r="H35" i="39"/>
  <c r="N34" i="39"/>
  <c r="DO5" i="38"/>
  <c r="DW5" i="38"/>
  <c r="F33" i="39"/>
  <c r="L34" i="39"/>
  <c r="DM5" i="38"/>
  <c r="DU5" i="38"/>
  <c r="D33" i="39"/>
  <c r="J34" i="39"/>
  <c r="N42" i="39"/>
  <c r="H34" i="39"/>
  <c r="X16" i="39"/>
  <c r="D17" i="39"/>
  <c r="A28" i="40"/>
  <c r="A28" i="37"/>
  <c r="DG5" i="38"/>
  <c r="F34" i="39"/>
  <c r="V17" i="39"/>
  <c r="CA5" i="38"/>
  <c r="AM5" i="38"/>
  <c r="DE5" i="38"/>
  <c r="D34" i="39"/>
  <c r="T17" i="39"/>
  <c r="V4" i="39"/>
  <c r="V23" i="39" s="1"/>
  <c r="Z4" i="39"/>
  <c r="Z23" i="39" s="1"/>
  <c r="BY5" i="38"/>
  <c r="AK5" i="38"/>
  <c r="A162" i="40"/>
  <c r="A61" i="39"/>
  <c r="R16" i="39"/>
  <c r="Z15" i="39"/>
  <c r="BU5" i="38"/>
  <c r="AG5" i="38"/>
  <c r="DQ5" i="38"/>
  <c r="AO5" i="38"/>
  <c r="DY5" i="38"/>
  <c r="A222" i="37"/>
  <c r="DA5" i="38"/>
  <c r="AU5" i="38"/>
  <c r="D52" i="39"/>
  <c r="Z14" i="39"/>
  <c r="P17" i="39"/>
  <c r="X15" i="39"/>
  <c r="AS5" i="38"/>
  <c r="Z54" i="39"/>
  <c r="T35" i="39"/>
  <c r="V15" i="39"/>
  <c r="X52" i="39"/>
  <c r="J54" i="39"/>
  <c r="N53" i="39"/>
  <c r="CY98" i="41"/>
  <c r="CY76" i="41"/>
  <c r="CY54" i="41"/>
  <c r="CY32" i="41"/>
  <c r="CY10" i="41"/>
  <c r="V52" i="39"/>
  <c r="H52" i="39"/>
  <c r="L53" i="39"/>
  <c r="CY97" i="41"/>
  <c r="CY75" i="41"/>
  <c r="CY53" i="41"/>
  <c r="CY31" i="41"/>
  <c r="CY9" i="41"/>
  <c r="F52" i="39"/>
  <c r="J53" i="39"/>
  <c r="CY96" i="41"/>
  <c r="CY74" i="41"/>
  <c r="CY52" i="41"/>
  <c r="CY30" i="41"/>
  <c r="CY8" i="41"/>
  <c r="H53" i="39"/>
  <c r="F53" i="39"/>
  <c r="CY94" i="41"/>
  <c r="CY72" i="41"/>
  <c r="CY50" i="41"/>
  <c r="CY28" i="41"/>
  <c r="D55" i="39"/>
  <c r="CY93" i="41"/>
  <c r="CY71" i="41"/>
  <c r="CY49" i="41"/>
  <c r="CY27" i="41"/>
  <c r="CY92" i="41"/>
  <c r="CY70" i="41"/>
  <c r="CY48" i="41"/>
  <c r="P54" i="39"/>
  <c r="T16" i="39"/>
  <c r="N54" i="39"/>
  <c r="Z55" i="39"/>
  <c r="H54" i="39"/>
  <c r="P52" i="39"/>
  <c r="X36" i="39"/>
  <c r="F35" i="39"/>
  <c r="N33" i="39"/>
  <c r="T14" i="39"/>
  <c r="X55" i="39"/>
  <c r="F54" i="39"/>
  <c r="N52" i="39"/>
  <c r="V36" i="39"/>
  <c r="D35" i="39"/>
  <c r="L33" i="39"/>
  <c r="J16" i="39"/>
  <c r="R14" i="39"/>
  <c r="V55" i="39"/>
  <c r="D54" i="39"/>
  <c r="L52" i="39"/>
  <c r="T36" i="39"/>
  <c r="J33" i="39"/>
  <c r="Z17" i="39"/>
  <c r="P14" i="39"/>
  <c r="T55" i="39"/>
  <c r="J52" i="39"/>
  <c r="Z34" i="39"/>
  <c r="H33" i="39"/>
  <c r="X17" i="39"/>
  <c r="P33" i="39"/>
  <c r="T54" i="39"/>
  <c r="X14" i="39"/>
  <c r="N36" i="39"/>
  <c r="L55" i="39"/>
  <c r="J55" i="39"/>
  <c r="H36" i="39"/>
  <c r="D14" i="39"/>
  <c r="X53" i="39"/>
  <c r="H55" i="39"/>
  <c r="F36" i="39"/>
  <c r="R55" i="39"/>
  <c r="X34" i="39"/>
  <c r="F55" i="39"/>
  <c r="D36" i="39"/>
  <c r="J17" i="39"/>
  <c r="P35" i="39"/>
  <c r="V16" i="39"/>
  <c r="L35" i="39"/>
  <c r="P16" i="39"/>
  <c r="R52" i="39"/>
  <c r="V14" i="39"/>
  <c r="Z53" i="39"/>
  <c r="D16" i="39"/>
  <c r="V34" i="39"/>
  <c r="R17" i="39"/>
  <c r="J35" i="39"/>
  <c r="Z36" i="39"/>
  <c r="BE19" i="38"/>
  <c r="BE18" i="38"/>
  <c r="BE16" i="38"/>
  <c r="BE17" i="38"/>
  <c r="BM19" i="38"/>
  <c r="BM18" i="38"/>
  <c r="BM17" i="38"/>
  <c r="BM16" i="38"/>
  <c r="BU16" i="38"/>
  <c r="BU19" i="38"/>
  <c r="BU18" i="38"/>
  <c r="BU17" i="38"/>
  <c r="O11" i="38"/>
  <c r="F9" i="39" s="1"/>
  <c r="Q11" i="38"/>
  <c r="H9" i="39" s="1"/>
  <c r="U11" i="38"/>
  <c r="EG11" i="38"/>
  <c r="O10" i="38"/>
  <c r="F8" i="39" s="1"/>
  <c r="Q10" i="38"/>
  <c r="H8" i="39" s="1"/>
  <c r="U10" i="38"/>
  <c r="EG10" i="38"/>
  <c r="O9" i="38"/>
  <c r="F7" i="39" s="1"/>
  <c r="Q9" i="38"/>
  <c r="H7" i="39" s="1"/>
  <c r="EG9" i="38"/>
  <c r="U9" i="38"/>
  <c r="AI18" i="38"/>
  <c r="AI16" i="38"/>
  <c r="AI19" i="38"/>
  <c r="AI17" i="38"/>
  <c r="BY16" i="38"/>
  <c r="BY18" i="38"/>
  <c r="BY19" i="38"/>
  <c r="BY17" i="38"/>
  <c r="DQ16" i="38"/>
  <c r="DQ18" i="38"/>
  <c r="DQ19" i="38"/>
  <c r="DQ17" i="38"/>
  <c r="FI16" i="38"/>
  <c r="FI18" i="38"/>
  <c r="FI19" i="38"/>
  <c r="FI17" i="38"/>
  <c r="EQ19" i="38"/>
  <c r="EQ16" i="38"/>
  <c r="EQ18" i="38"/>
  <c r="EQ17" i="38"/>
  <c r="AK17" i="38"/>
  <c r="AK16" i="38"/>
  <c r="AK19" i="38"/>
  <c r="AK18" i="38"/>
  <c r="CA18" i="38"/>
  <c r="CA16" i="38"/>
  <c r="CA19" i="38"/>
  <c r="CA17" i="38"/>
  <c r="DS16" i="38"/>
  <c r="DS18" i="38"/>
  <c r="DS17" i="38"/>
  <c r="DS19" i="38"/>
  <c r="FK18" i="38"/>
  <c r="FK16" i="38"/>
  <c r="FK17" i="38"/>
  <c r="FK19" i="38"/>
  <c r="AM17" i="38"/>
  <c r="AM16" i="38"/>
  <c r="AM19" i="38"/>
  <c r="AM18" i="38"/>
  <c r="CC17" i="38"/>
  <c r="CC19" i="38"/>
  <c r="CC16" i="38"/>
  <c r="CC18" i="38"/>
  <c r="DU17" i="38"/>
  <c r="DU16" i="38"/>
  <c r="DU19" i="38"/>
  <c r="DU18" i="38"/>
  <c r="FM17" i="38"/>
  <c r="FM16" i="38"/>
  <c r="FM18" i="38"/>
  <c r="FM19" i="38"/>
  <c r="AS16" i="38"/>
  <c r="AS17" i="38"/>
  <c r="AS19" i="38"/>
  <c r="AS18" i="38"/>
  <c r="EA17" i="38"/>
  <c r="EA19" i="38"/>
  <c r="EA16" i="38"/>
  <c r="EA18" i="38"/>
  <c r="AO17" i="38"/>
  <c r="AO19" i="38"/>
  <c r="AO16" i="38"/>
  <c r="AO18" i="38"/>
  <c r="CE17" i="38"/>
  <c r="CE16" i="38"/>
  <c r="CE19" i="38"/>
  <c r="CE18" i="38"/>
  <c r="DW17" i="38"/>
  <c r="DW16" i="38"/>
  <c r="DW19" i="38"/>
  <c r="DW18" i="38"/>
  <c r="FO17" i="38"/>
  <c r="FO16" i="38"/>
  <c r="FO19" i="38"/>
  <c r="FO18" i="38"/>
  <c r="CI17" i="38"/>
  <c r="CI19" i="38"/>
  <c r="CI16" i="38"/>
  <c r="CI18" i="38"/>
  <c r="BG19" i="38"/>
  <c r="BG16" i="38"/>
  <c r="BG18" i="38"/>
  <c r="BG17" i="38"/>
  <c r="AQ17" i="38"/>
  <c r="AQ16" i="38"/>
  <c r="AQ19" i="38"/>
  <c r="AQ18" i="38"/>
  <c r="CG17" i="38"/>
  <c r="CG16" i="38"/>
  <c r="CG19" i="38"/>
  <c r="CG18" i="38"/>
  <c r="DY17" i="38"/>
  <c r="DY16" i="38"/>
  <c r="DY19" i="38"/>
  <c r="DY18" i="38"/>
  <c r="AU18" i="38"/>
  <c r="AU19" i="38"/>
  <c r="AU17" i="38"/>
  <c r="AU16" i="38"/>
  <c r="CK17" i="38"/>
  <c r="CK16" i="38"/>
  <c r="CK18" i="38"/>
  <c r="CK19" i="38"/>
  <c r="EC19" i="38"/>
  <c r="EC17" i="38"/>
  <c r="EC16" i="38"/>
  <c r="EC18" i="38"/>
  <c r="I18" i="38"/>
  <c r="Q7" i="38"/>
  <c r="H5" i="39" s="1"/>
  <c r="I16" i="38"/>
  <c r="I17" i="38"/>
  <c r="O7" i="38"/>
  <c r="F5" i="39" s="1"/>
  <c r="I19" i="38"/>
  <c r="EI18" i="38"/>
  <c r="EI17" i="38"/>
  <c r="EI16" i="38"/>
  <c r="EI19" i="38"/>
  <c r="AW18" i="38"/>
  <c r="AW17" i="38"/>
  <c r="AW16" i="38"/>
  <c r="AW19" i="38"/>
  <c r="CM18" i="38"/>
  <c r="CM17" i="38"/>
  <c r="CM16" i="38"/>
  <c r="CM19" i="38"/>
  <c r="EE18" i="38"/>
  <c r="EE17" i="38"/>
  <c r="EE16" i="38"/>
  <c r="EE19" i="38"/>
  <c r="CQ18" i="38"/>
  <c r="CQ17" i="38"/>
  <c r="CQ16" i="38"/>
  <c r="CQ19" i="38"/>
  <c r="CY19" i="38"/>
  <c r="CY18" i="38"/>
  <c r="CY16" i="38"/>
  <c r="CY17" i="38"/>
  <c r="AY18" i="38"/>
  <c r="AY16" i="38"/>
  <c r="AY17" i="38"/>
  <c r="AY19" i="38"/>
  <c r="CO18" i="38"/>
  <c r="CO17" i="38"/>
  <c r="CO16" i="38"/>
  <c r="CO19" i="38"/>
  <c r="BA18" i="38"/>
  <c r="BA16" i="38"/>
  <c r="BA17" i="38"/>
  <c r="BA19" i="38"/>
  <c r="EU19" i="38"/>
  <c r="EU17" i="38"/>
  <c r="EU18" i="38"/>
  <c r="EU16" i="38"/>
  <c r="K18" i="38"/>
  <c r="K17" i="38"/>
  <c r="K16" i="38"/>
  <c r="K19" i="38"/>
  <c r="BC16" i="38"/>
  <c r="BC18" i="38"/>
  <c r="BC17" i="38"/>
  <c r="BC19" i="38"/>
  <c r="CS18" i="38"/>
  <c r="CS16" i="38"/>
  <c r="CS17" i="38"/>
  <c r="CS19" i="38"/>
  <c r="EK18" i="38"/>
  <c r="EK16" i="38"/>
  <c r="EK17" i="38"/>
  <c r="EK19" i="38"/>
  <c r="CU17" i="38"/>
  <c r="CU18" i="38"/>
  <c r="CU16" i="38"/>
  <c r="CU19" i="38"/>
  <c r="DC19" i="38"/>
  <c r="DC17" i="38"/>
  <c r="DC18" i="38"/>
  <c r="DC16" i="38"/>
  <c r="M19" i="38"/>
  <c r="M18" i="38"/>
  <c r="M16" i="38"/>
  <c r="M17" i="38"/>
  <c r="EM18" i="38"/>
  <c r="EM17" i="38"/>
  <c r="EM16" i="38"/>
  <c r="EM19" i="38"/>
  <c r="CW19" i="38"/>
  <c r="CW18" i="38"/>
  <c r="CW16" i="38"/>
  <c r="CW17" i="38"/>
  <c r="EO19" i="38"/>
  <c r="EO18" i="38"/>
  <c r="EO16" i="38"/>
  <c r="EO17" i="38"/>
  <c r="O8" i="38"/>
  <c r="F6" i="39" s="1"/>
  <c r="Q8" i="38"/>
  <c r="H6" i="39" s="1"/>
  <c r="EG8" i="38"/>
  <c r="U8" i="38"/>
  <c r="U14" i="38"/>
  <c r="EG14" i="38"/>
  <c r="U12" i="38"/>
  <c r="EG12" i="38"/>
  <c r="U13" i="38"/>
  <c r="EG13" i="38"/>
  <c r="AG16" i="38"/>
  <c r="AG18" i="38"/>
  <c r="AG19" i="38"/>
  <c r="AG17" i="38"/>
  <c r="FG16" i="38"/>
  <c r="FG19" i="38"/>
  <c r="FG18" i="38"/>
  <c r="FG17" i="38"/>
  <c r="DO19" i="38"/>
  <c r="DO16" i="38"/>
  <c r="DO18" i="38"/>
  <c r="DO17" i="38"/>
  <c r="BW16" i="38"/>
  <c r="BW19" i="38"/>
  <c r="BW18" i="38"/>
  <c r="BW17" i="38"/>
  <c r="FE16" i="38"/>
  <c r="FE18" i="38"/>
  <c r="FE19" i="38"/>
  <c r="FE17" i="38"/>
  <c r="DM16" i="38"/>
  <c r="DM18" i="38"/>
  <c r="DM19" i="38"/>
  <c r="DM17" i="38"/>
  <c r="O13" i="38"/>
  <c r="F11" i="39" s="1"/>
  <c r="Q13" i="38"/>
  <c r="H11" i="39" s="1"/>
  <c r="FC16" i="38"/>
  <c r="FC19" i="38"/>
  <c r="FC18" i="38"/>
  <c r="FC17" i="38"/>
  <c r="DK16" i="38"/>
  <c r="DK17" i="38"/>
  <c r="DK19" i="38"/>
  <c r="DK18" i="38"/>
  <c r="BS16" i="38"/>
  <c r="BS19" i="38"/>
  <c r="BS18" i="38"/>
  <c r="BS17" i="38"/>
  <c r="AC16" i="38"/>
  <c r="AC18" i="38"/>
  <c r="AC19" i="38"/>
  <c r="AC17" i="38"/>
  <c r="FA19" i="38"/>
  <c r="FA16" i="38"/>
  <c r="FA18" i="38"/>
  <c r="FA17" i="38"/>
  <c r="DI19" i="38"/>
  <c r="DI17" i="38"/>
  <c r="DI16" i="38"/>
  <c r="DI18" i="38"/>
  <c r="BQ19" i="38"/>
  <c r="BQ17" i="38"/>
  <c r="BQ16" i="38"/>
  <c r="BQ18" i="38"/>
  <c r="AA16" i="38"/>
  <c r="AA19" i="38"/>
  <c r="AA18" i="38"/>
  <c r="AA17" i="38"/>
  <c r="Q14" i="38"/>
  <c r="H12" i="39" s="1"/>
  <c r="O14" i="38"/>
  <c r="F12" i="39" s="1"/>
  <c r="EY19" i="38"/>
  <c r="EY17" i="38"/>
  <c r="EY18" i="38"/>
  <c r="EY16" i="38"/>
  <c r="DG19" i="38"/>
  <c r="DG17" i="38"/>
  <c r="DG18" i="38"/>
  <c r="DG16" i="38"/>
  <c r="BO17" i="38"/>
  <c r="BO19" i="38"/>
  <c r="BO18" i="38"/>
  <c r="BO16" i="38"/>
  <c r="Y17" i="38"/>
  <c r="Y19" i="38"/>
  <c r="EG7" i="38"/>
  <c r="Y18" i="38"/>
  <c r="Y16" i="38"/>
  <c r="EW17" i="38"/>
  <c r="EW19" i="38"/>
  <c r="EW18" i="38"/>
  <c r="EW16" i="38"/>
  <c r="DE19" i="38"/>
  <c r="DE18" i="38"/>
  <c r="DE17" i="38"/>
  <c r="DE16" i="38"/>
  <c r="W19" i="38"/>
  <c r="W17" i="38"/>
  <c r="W18" i="38"/>
  <c r="W16" i="38"/>
  <c r="O12" i="38"/>
  <c r="F10" i="39" s="1"/>
  <c r="Q12" i="38"/>
  <c r="H10" i="39" s="1"/>
  <c r="ES19" i="38"/>
  <c r="ES17" i="38"/>
  <c r="ES18" i="38"/>
  <c r="ES16" i="38"/>
  <c r="DA19" i="38"/>
  <c r="DA18" i="38"/>
  <c r="DA17" i="38"/>
  <c r="DA16" i="38"/>
  <c r="S19" i="38"/>
  <c r="S17" i="38"/>
  <c r="S18" i="38"/>
  <c r="U7" i="38"/>
  <c r="L5" i="39" s="1"/>
  <c r="S16" i="38"/>
  <c r="EG21" i="38"/>
  <c r="Q21" i="38"/>
  <c r="O21" i="38"/>
  <c r="U21" i="38"/>
  <c r="AE21" i="38" s="1"/>
  <c r="D9" i="37"/>
  <c r="D99" i="37"/>
  <c r="D331" i="37"/>
  <c r="D217" i="37"/>
  <c r="D1246" i="37"/>
  <c r="D439" i="37"/>
  <c r="N6" i="37"/>
  <c r="A331" i="37"/>
  <c r="N69" i="37"/>
  <c r="N257" i="37"/>
  <c r="N264" i="37"/>
  <c r="N281" i="37"/>
  <c r="N230" i="37"/>
  <c r="N199" i="37"/>
  <c r="N206" i="37"/>
  <c r="N180" i="37"/>
  <c r="N177" i="37"/>
  <c r="N147" i="37"/>
  <c r="N114" i="37"/>
  <c r="N118" i="37"/>
  <c r="N65" i="37"/>
  <c r="N34" i="37"/>
  <c r="N37" i="37"/>
  <c r="N159" i="37"/>
  <c r="N149" i="37"/>
  <c r="N154" i="37"/>
  <c r="N105" i="37"/>
  <c r="N112" i="37"/>
  <c r="N100" i="37"/>
  <c r="N48" i="37"/>
  <c r="N28" i="37"/>
  <c r="N13" i="37"/>
  <c r="N96" i="37"/>
  <c r="N251" i="37"/>
  <c r="N55" i="37"/>
  <c r="N21" i="37"/>
  <c r="N198" i="37"/>
  <c r="N186" i="37"/>
  <c r="N156" i="37"/>
  <c r="N94" i="37"/>
  <c r="N17" i="37"/>
  <c r="N169" i="37"/>
  <c r="N82" i="37"/>
  <c r="N229" i="37"/>
  <c r="N212" i="37"/>
  <c r="N182" i="37"/>
  <c r="N189" i="37"/>
  <c r="N144" i="37"/>
  <c r="N130" i="37"/>
  <c r="N66" i="37"/>
  <c r="N53" i="37"/>
  <c r="N35" i="37"/>
  <c r="N25" i="37"/>
  <c r="N10" i="37"/>
  <c r="N58" i="37"/>
  <c r="N174" i="37"/>
  <c r="N153" i="37"/>
  <c r="N161" i="37"/>
  <c r="N137" i="37"/>
  <c r="N146" i="37"/>
  <c r="N128" i="37"/>
  <c r="N79" i="37"/>
  <c r="N43" i="37"/>
  <c r="N278" i="37"/>
  <c r="N296" i="37"/>
  <c r="N250" i="37"/>
  <c r="N262" i="37"/>
  <c r="N233" i="37"/>
  <c r="N171" i="37"/>
  <c r="N139" i="37"/>
  <c r="N124" i="37"/>
  <c r="N126" i="37"/>
  <c r="N115" i="37"/>
  <c r="N56" i="37"/>
  <c r="N18" i="37"/>
  <c r="N324" i="37"/>
  <c r="N185" i="37"/>
  <c r="N188" i="37"/>
  <c r="N113" i="37"/>
  <c r="N107" i="37"/>
  <c r="N111" i="37"/>
  <c r="N75" i="37"/>
  <c r="N63" i="37"/>
  <c r="N33" i="37"/>
  <c r="N23" i="37"/>
  <c r="N201" i="37"/>
  <c r="N168" i="37"/>
  <c r="N155" i="37"/>
  <c r="N141" i="37"/>
  <c r="N148" i="37"/>
  <c r="N90" i="37"/>
  <c r="N95" i="37"/>
  <c r="N97" i="37"/>
  <c r="N54" i="37"/>
  <c r="N41" i="37"/>
  <c r="N27" i="37"/>
  <c r="N268" i="37"/>
  <c r="N223" i="37"/>
  <c r="N163" i="37"/>
  <c r="N150" i="37"/>
  <c r="N143" i="37"/>
  <c r="N87" i="37"/>
  <c r="N72" i="37"/>
  <c r="N232" i="37"/>
  <c r="N237" i="37"/>
  <c r="N191" i="37"/>
  <c r="N45" i="37"/>
  <c r="N31" i="37"/>
  <c r="N16" i="37"/>
  <c r="N24" i="37"/>
  <c r="N19" i="37"/>
  <c r="N57" i="37"/>
  <c r="N120" i="37"/>
  <c r="N131" i="37"/>
  <c r="N127" i="37"/>
  <c r="N162" i="37"/>
  <c r="N252" i="37"/>
  <c r="N312" i="37"/>
  <c r="N36" i="37"/>
  <c r="N51" i="37"/>
  <c r="N83" i="37"/>
  <c r="N135" i="37"/>
  <c r="N133" i="37"/>
  <c r="N157" i="37"/>
  <c r="N152" i="37"/>
  <c r="N235" i="37"/>
  <c r="N350" i="37"/>
  <c r="N282" i="37"/>
  <c r="N15" i="37"/>
  <c r="N12" i="37"/>
  <c r="N30" i="37"/>
  <c r="N67" i="37"/>
  <c r="N196" i="37"/>
  <c r="N47" i="37"/>
  <c r="N59" i="37"/>
  <c r="N86" i="37"/>
  <c r="N181" i="37"/>
  <c r="N172" i="37"/>
  <c r="N203" i="37"/>
  <c r="N210" i="37"/>
  <c r="N291" i="37"/>
  <c r="N178" i="37"/>
  <c r="N175" i="37"/>
  <c r="N193" i="37"/>
  <c r="N231" i="37"/>
  <c r="N265" i="37"/>
  <c r="N102" i="37"/>
  <c r="N89" i="37"/>
  <c r="N32" i="37"/>
  <c r="N70" i="37"/>
  <c r="N91" i="37"/>
  <c r="N106" i="37"/>
  <c r="N104" i="37"/>
  <c r="N274" i="37"/>
  <c r="N29" i="37"/>
  <c r="N50" i="37"/>
  <c r="N62" i="37"/>
  <c r="N119" i="37"/>
  <c r="N117" i="37"/>
  <c r="N108" i="37"/>
  <c r="N140" i="37"/>
  <c r="N253" i="37"/>
  <c r="N22" i="37"/>
  <c r="N39" i="37"/>
  <c r="N14" i="37"/>
  <c r="N42" i="37"/>
  <c r="N78" i="37"/>
  <c r="N110" i="37"/>
  <c r="N121" i="37"/>
  <c r="N132" i="37"/>
  <c r="N204" i="37"/>
  <c r="N222" i="37"/>
  <c r="N260" i="37"/>
  <c r="N303" i="37"/>
  <c r="N123" i="37"/>
  <c r="N134" i="37"/>
  <c r="N170" i="37"/>
  <c r="N167" i="37"/>
  <c r="N207" i="37"/>
  <c r="N254" i="37"/>
  <c r="N52" i="37"/>
  <c r="N136" i="37"/>
  <c r="N160" i="37"/>
  <c r="N194" i="37"/>
  <c r="N176" i="37"/>
  <c r="N187" i="37"/>
  <c r="N249" i="37"/>
  <c r="N286" i="37"/>
  <c r="N246" i="37"/>
  <c r="N258" i="37"/>
  <c r="N310" i="37"/>
  <c r="N184" i="37"/>
  <c r="N197" i="37"/>
  <c r="N228" i="37"/>
  <c r="N244" i="37"/>
  <c r="N381" i="37"/>
  <c r="N315" i="37"/>
  <c r="N299" i="37"/>
  <c r="N287" i="37"/>
  <c r="N311" i="37"/>
  <c r="N364" i="37"/>
  <c r="N307" i="37"/>
  <c r="N385" i="37"/>
  <c r="N317" i="37"/>
  <c r="N190" i="37"/>
  <c r="N209" i="37"/>
  <c r="N279" i="37"/>
  <c r="N297" i="37"/>
  <c r="N290" i="37"/>
  <c r="N46" i="37"/>
  <c r="N60" i="37"/>
  <c r="N84" i="37"/>
  <c r="N80" i="37"/>
  <c r="N103" i="37"/>
  <c r="N116" i="37"/>
  <c r="N129" i="37"/>
  <c r="N145" i="37"/>
  <c r="N142" i="37"/>
  <c r="N158" i="37"/>
  <c r="N179" i="37"/>
  <c r="N173" i="37"/>
  <c r="N200" i="37"/>
  <c r="N211" i="37"/>
  <c r="N202" i="37"/>
  <c r="N255" i="37"/>
  <c r="N263" i="37"/>
  <c r="N275" i="37"/>
  <c r="N304" i="37"/>
  <c r="N221" i="37"/>
  <c r="N218" i="37"/>
  <c r="N213" i="37"/>
  <c r="N240" i="37"/>
  <c r="N238" i="37"/>
  <c r="N269" i="37"/>
  <c r="N300" i="37"/>
  <c r="N74" i="37"/>
  <c r="N93" i="37"/>
  <c r="N109" i="37"/>
  <c r="N125" i="37"/>
  <c r="N122" i="37"/>
  <c r="N138" i="37"/>
  <c r="N151" i="37"/>
  <c r="N166" i="37"/>
  <c r="N192" i="37"/>
  <c r="N236" i="37"/>
  <c r="N234" i="37"/>
  <c r="N261" i="37"/>
  <c r="N294" i="37"/>
  <c r="N183" i="37"/>
  <c r="N247" i="37"/>
  <c r="N283" i="37"/>
  <c r="N343" i="37"/>
  <c r="N243" i="37"/>
  <c r="N245" i="37"/>
  <c r="N214" i="37"/>
  <c r="N205" i="37"/>
  <c r="N227" i="37"/>
  <c r="N224" i="37"/>
  <c r="N220" i="37"/>
  <c r="N241" i="37"/>
  <c r="N298" i="37"/>
  <c r="N328" i="37"/>
  <c r="N445" i="37"/>
  <c r="N450" i="37"/>
  <c r="N479" i="37"/>
  <c r="N505" i="37"/>
  <c r="N382" i="37"/>
  <c r="N380" i="37"/>
  <c r="N378" i="37"/>
  <c r="N433" i="37"/>
  <c r="N470" i="37"/>
  <c r="N295" i="37"/>
  <c r="N292" i="37"/>
  <c r="N308" i="37"/>
  <c r="N321" i="37"/>
  <c r="N340" i="37"/>
  <c r="N419" i="37"/>
  <c r="N417" i="37"/>
  <c r="N415" i="37"/>
  <c r="N448" i="37"/>
  <c r="N490" i="37"/>
  <c r="N431" i="37"/>
  <c r="N267" i="37"/>
  <c r="N270" i="37"/>
  <c r="N288" i="37"/>
  <c r="N301" i="37"/>
  <c r="N314" i="37"/>
  <c r="N327" i="37"/>
  <c r="N335" i="37"/>
  <c r="N352" i="37"/>
  <c r="N363" i="37"/>
  <c r="N392" i="37"/>
  <c r="N390" i="37"/>
  <c r="N388" i="37"/>
  <c r="N410" i="37"/>
  <c r="N446" i="37"/>
  <c r="N463" i="37"/>
  <c r="N508" i="37"/>
  <c r="N361" i="37"/>
  <c r="N369" i="37"/>
  <c r="N365" i="37"/>
  <c r="N440" i="37"/>
  <c r="N454" i="37"/>
  <c r="N323" i="37"/>
  <c r="N342" i="37"/>
  <c r="N349" i="37"/>
  <c r="N367" i="37"/>
  <c r="N383" i="37"/>
  <c r="N424" i="37"/>
  <c r="N436" i="37"/>
  <c r="N449" i="37"/>
  <c r="N316" i="37"/>
  <c r="N332" i="37"/>
  <c r="N351" i="37"/>
  <c r="N399" i="37"/>
  <c r="N397" i="37"/>
  <c r="N420" i="37"/>
  <c r="N476" i="37"/>
  <c r="N418" i="37"/>
  <c r="N481" i="37"/>
  <c r="N309" i="37"/>
  <c r="N325" i="37"/>
  <c r="N322" i="37"/>
  <c r="N345" i="37"/>
  <c r="N376" i="37"/>
  <c r="N374" i="37"/>
  <c r="N393" i="37"/>
  <c r="N416" i="37"/>
  <c r="N468" i="37"/>
  <c r="N492" i="37"/>
  <c r="N353" i="37"/>
  <c r="N457" i="37"/>
  <c r="N195" i="37"/>
  <c r="N208" i="37"/>
  <c r="N226" i="37"/>
  <c r="N239" i="37"/>
  <c r="N242" i="37"/>
  <c r="N256" i="37"/>
  <c r="N272" i="37"/>
  <c r="N289" i="37"/>
  <c r="N302" i="37"/>
  <c r="N305" i="37"/>
  <c r="N318" i="37"/>
  <c r="N336" i="37"/>
  <c r="N347" i="37"/>
  <c r="N359" i="37"/>
  <c r="N368" i="37"/>
  <c r="N366" i="37"/>
  <c r="N389" i="37"/>
  <c r="N429" i="37"/>
  <c r="N461" i="37"/>
  <c r="N403" i="37"/>
  <c r="N425" i="37"/>
  <c r="N423" i="37"/>
  <c r="N421" i="37"/>
  <c r="N400" i="37"/>
  <c r="N455" i="37"/>
  <c r="N482" i="37"/>
  <c r="N477" i="37"/>
  <c r="N320" i="37"/>
  <c r="N338" i="37"/>
  <c r="N379" i="37"/>
  <c r="N398" i="37"/>
  <c r="N396" i="37"/>
  <c r="N434" i="37"/>
  <c r="N452" i="37"/>
  <c r="N503" i="37"/>
  <c r="N346" i="37"/>
  <c r="N465" i="37"/>
  <c r="N495" i="37"/>
  <c r="N516" i="37"/>
  <c r="N313" i="37"/>
  <c r="N326" i="37"/>
  <c r="N355" i="37"/>
  <c r="N375" i="37"/>
  <c r="N373" i="37"/>
  <c r="N442" i="37"/>
  <c r="N432" i="37"/>
  <c r="N430" i="37"/>
  <c r="N428" i="37"/>
  <c r="N478" i="37"/>
  <c r="N357" i="37"/>
  <c r="N437" i="37"/>
  <c r="N453" i="37"/>
  <c r="N483" i="37"/>
  <c r="N474" i="37"/>
  <c r="N277" i="37"/>
  <c r="N273" i="37"/>
  <c r="N293" i="37"/>
  <c r="N306" i="37"/>
  <c r="N319" i="37"/>
  <c r="N341" i="37"/>
  <c r="N337" i="37"/>
  <c r="N348" i="37"/>
  <c r="N362" i="37"/>
  <c r="N360" i="37"/>
  <c r="N387" i="37"/>
  <c r="N406" i="37"/>
  <c r="N404" i="37"/>
  <c r="N409" i="37"/>
  <c r="N426" i="37"/>
  <c r="N466" i="37"/>
  <c r="N489" i="37"/>
  <c r="N583" i="37"/>
  <c r="N608" i="37"/>
  <c r="N517" i="37"/>
  <c r="N525" i="37"/>
  <c r="N540" i="37"/>
  <c r="N549" i="37"/>
  <c r="N462" i="37"/>
  <c r="N459" i="37"/>
  <c r="N475" i="37"/>
  <c r="N488" i="37"/>
  <c r="N501" i="37"/>
  <c r="N514" i="37"/>
  <c r="N538" i="37"/>
  <c r="N604" i="37"/>
  <c r="N536" i="37"/>
  <c r="N527" i="37"/>
  <c r="N599" i="37"/>
  <c r="N497" i="37"/>
  <c r="N494" i="37"/>
  <c r="N510" i="37"/>
  <c r="N556" i="37"/>
  <c r="N572" i="37"/>
  <c r="N588" i="37"/>
  <c r="N585" i="37"/>
  <c r="N631" i="37"/>
  <c r="N543" i="37"/>
  <c r="N581" i="37"/>
  <c r="N680" i="37"/>
  <c r="N567" i="37"/>
  <c r="N600" i="37"/>
  <c r="N650" i="37"/>
  <c r="N524" i="37"/>
  <c r="N496" i="37"/>
  <c r="N509" i="37"/>
  <c r="N512" i="37"/>
  <c r="N526" i="37"/>
  <c r="N541" i="37"/>
  <c r="N552" i="37"/>
  <c r="N570" i="37"/>
  <c r="N565" i="37"/>
  <c r="N559" i="37"/>
  <c r="N518" i="37"/>
  <c r="N539" i="37"/>
  <c r="N586" i="37"/>
  <c r="N579" i="37"/>
  <c r="N530" i="37"/>
  <c r="N528" i="37"/>
  <c r="N546" i="37"/>
  <c r="N557" i="37"/>
  <c r="N620" i="37"/>
  <c r="N615" i="37"/>
  <c r="N597" i="37"/>
  <c r="N652" i="37"/>
  <c r="N555" i="37"/>
  <c r="N544" i="37"/>
  <c r="N574" i="37"/>
  <c r="N693" i="37"/>
  <c r="N377" i="37"/>
  <c r="N391" i="37"/>
  <c r="N407" i="37"/>
  <c r="N412" i="37"/>
  <c r="N427" i="37"/>
  <c r="N443" i="37"/>
  <c r="N456" i="37"/>
  <c r="N469" i="37"/>
  <c r="N472" i="37"/>
  <c r="N485" i="37"/>
  <c r="N498" i="37"/>
  <c r="N511" i="37"/>
  <c r="N520" i="37"/>
  <c r="N664" i="37"/>
  <c r="N628" i="37"/>
  <c r="N616" i="37"/>
  <c r="N665" i="37"/>
  <c r="N491" i="37"/>
  <c r="N507" i="37"/>
  <c r="N504" i="37"/>
  <c r="N522" i="37"/>
  <c r="N553" i="37"/>
  <c r="N571" i="37"/>
  <c r="N561" i="37"/>
  <c r="N566" i="37"/>
  <c r="N589" i="37"/>
  <c r="N703" i="37"/>
  <c r="N458" i="37"/>
  <c r="N471" i="37"/>
  <c r="N487" i="37"/>
  <c r="N484" i="37"/>
  <c r="N500" i="37"/>
  <c r="N513" i="37"/>
  <c r="N519" i="37"/>
  <c r="N569" i="37"/>
  <c r="N580" i="37"/>
  <c r="N575" i="37"/>
  <c r="N635" i="37"/>
  <c r="N531" i="37"/>
  <c r="N558" i="37"/>
  <c r="N594" i="37"/>
  <c r="N356" i="37"/>
  <c r="N372" i="37"/>
  <c r="N386" i="37"/>
  <c r="N402" i="37"/>
  <c r="N405" i="37"/>
  <c r="N422" i="37"/>
  <c r="N435" i="37"/>
  <c r="N451" i="37"/>
  <c r="N464" i="37"/>
  <c r="N467" i="37"/>
  <c r="N480" i="37"/>
  <c r="N493" i="37"/>
  <c r="N506" i="37"/>
  <c r="N535" i="37"/>
  <c r="N533" i="37"/>
  <c r="N564" i="37"/>
  <c r="N671" i="37"/>
  <c r="N521" i="37"/>
  <c r="N613" i="37"/>
  <c r="N647" i="37"/>
  <c r="N447" i="37"/>
  <c r="N444" i="37"/>
  <c r="N460" i="37"/>
  <c r="N473" i="37"/>
  <c r="N486" i="37"/>
  <c r="N502" i="37"/>
  <c r="N499" i="37"/>
  <c r="N515" i="37"/>
  <c r="N523" i="37"/>
  <c r="N542" i="37"/>
  <c r="N630" i="37"/>
  <c r="N717" i="37"/>
  <c r="N587" i="37"/>
  <c r="N603" i="37"/>
  <c r="N619" i="37"/>
  <c r="N634" i="37"/>
  <c r="N638" i="37"/>
  <c r="N649" i="37"/>
  <c r="N676" i="37"/>
  <c r="N689" i="37"/>
  <c r="N712" i="37"/>
  <c r="N785" i="37"/>
  <c r="N771" i="37"/>
  <c r="N658" i="37"/>
  <c r="N670" i="37"/>
  <c r="N699" i="37"/>
  <c r="N745" i="37"/>
  <c r="N732" i="37"/>
  <c r="N768" i="37"/>
  <c r="N853" i="37"/>
  <c r="N610" i="37"/>
  <c r="N890" i="37"/>
  <c r="N614" i="37"/>
  <c r="N629" i="37"/>
  <c r="N651" i="37"/>
  <c r="N686" i="37"/>
  <c r="N714" i="37"/>
  <c r="N726" i="37"/>
  <c r="N722" i="37"/>
  <c r="N743" i="37"/>
  <c r="N780" i="37"/>
  <c r="N679" i="37"/>
  <c r="N702" i="37"/>
  <c r="N724" i="37"/>
  <c r="N765" i="37"/>
  <c r="N761" i="37"/>
  <c r="N798" i="37"/>
  <c r="N791" i="37"/>
  <c r="N816" i="37"/>
  <c r="N803" i="37"/>
  <c r="N605" i="37"/>
  <c r="N621" i="37"/>
  <c r="N636" i="37"/>
  <c r="N660" i="37"/>
  <c r="N672" i="37"/>
  <c r="N688" i="37"/>
  <c r="N738" i="37"/>
  <c r="N786" i="37"/>
  <c r="N811" i="37"/>
  <c r="N653" i="37"/>
  <c r="N751" i="37"/>
  <c r="N895" i="37"/>
  <c r="N669" i="37"/>
  <c r="N681" i="37"/>
  <c r="N698" i="37"/>
  <c r="N710" i="37"/>
  <c r="N735" i="37"/>
  <c r="N756" i="37"/>
  <c r="N769" i="37"/>
  <c r="N777" i="37"/>
  <c r="N844" i="37"/>
  <c r="N662" i="37"/>
  <c r="N691" i="37"/>
  <c r="N748" i="37"/>
  <c r="N772" i="37"/>
  <c r="N834" i="37"/>
  <c r="N623" i="37"/>
  <c r="N639" i="37"/>
  <c r="N656" i="37"/>
  <c r="N683" i="37"/>
  <c r="N700" i="37"/>
  <c r="N713" i="37"/>
  <c r="N733" i="37"/>
  <c r="N730" i="37"/>
  <c r="N746" i="37"/>
  <c r="N744" i="37"/>
  <c r="N762" i="37"/>
  <c r="N754" i="37"/>
  <c r="N766" i="37"/>
  <c r="N899" i="37"/>
  <c r="N715" i="37"/>
  <c r="N728" i="37"/>
  <c r="N856" i="37"/>
  <c r="N819" i="37"/>
  <c r="N720" i="37"/>
  <c r="N673" i="37"/>
  <c r="N752" i="37"/>
  <c r="N812" i="37"/>
  <c r="N562" i="37"/>
  <c r="N576" i="37"/>
  <c r="N590" i="37"/>
  <c r="N606" i="37"/>
  <c r="N626" i="37"/>
  <c r="N622" i="37"/>
  <c r="N641" i="37"/>
  <c r="N705" i="37"/>
  <c r="N757" i="37"/>
  <c r="N867" i="37"/>
  <c r="N643" i="37"/>
  <c r="N655" i="37"/>
  <c r="N666" i="37"/>
  <c r="N682" i="37"/>
  <c r="N696" i="37"/>
  <c r="N708" i="37"/>
  <c r="N737" i="37"/>
  <c r="N760" i="37"/>
  <c r="N534" i="37"/>
  <c r="N537" i="37"/>
  <c r="N554" i="37"/>
  <c r="N568" i="37"/>
  <c r="N582" i="37"/>
  <c r="N598" i="37"/>
  <c r="N602" i="37"/>
  <c r="N618" i="37"/>
  <c r="N632" i="37"/>
  <c r="N648" i="37"/>
  <c r="N675" i="37"/>
  <c r="N734" i="37"/>
  <c r="N755" i="37"/>
  <c r="N747" i="37"/>
  <c r="N801" i="37"/>
  <c r="N788" i="37"/>
  <c r="N913" i="37"/>
  <c r="N663" i="37"/>
  <c r="N692" i="37"/>
  <c r="N578" i="37"/>
  <c r="N593" i="37"/>
  <c r="N609" i="37"/>
  <c r="N625" i="37"/>
  <c r="N640" i="37"/>
  <c r="N657" i="37"/>
  <c r="N684" i="37"/>
  <c r="N716" i="37"/>
  <c r="N778" i="37"/>
  <c r="N774" i="37"/>
  <c r="N677" i="37"/>
  <c r="N704" i="37"/>
  <c r="N723" i="37"/>
  <c r="N721" i="37"/>
  <c r="N719" i="37"/>
  <c r="N758" i="37"/>
  <c r="N850" i="37"/>
  <c r="N926" i="37"/>
  <c r="N659" i="37"/>
  <c r="N694" i="37"/>
  <c r="N725" i="37"/>
  <c r="N753" i="37"/>
  <c r="N831" i="37"/>
  <c r="N886" i="37"/>
  <c r="N674" i="37"/>
  <c r="N687" i="37"/>
  <c r="N707" i="37"/>
  <c r="N790" i="37"/>
  <c r="N814" i="37"/>
  <c r="N532" i="37"/>
  <c r="N529" i="37"/>
  <c r="N545" i="37"/>
  <c r="N563" i="37"/>
  <c r="N577" i="37"/>
  <c r="N595" i="37"/>
  <c r="N592" i="37"/>
  <c r="N611" i="37"/>
  <c r="N627" i="37"/>
  <c r="N642" i="37"/>
  <c r="N668" i="37"/>
  <c r="N779" i="37"/>
  <c r="N815" i="37"/>
  <c r="N873" i="37"/>
  <c r="N661" i="37"/>
  <c r="N697" i="37"/>
  <c r="N709" i="37"/>
  <c r="N847" i="37"/>
  <c r="N972" i="37"/>
  <c r="N966" i="37"/>
  <c r="N1054" i="37"/>
  <c r="N1004" i="37"/>
  <c r="N799" i="37"/>
  <c r="N841" i="37"/>
  <c r="N872" i="37"/>
  <c r="N855" i="37"/>
  <c r="N897" i="37"/>
  <c r="N947" i="37"/>
  <c r="N1034" i="37"/>
  <c r="N1020" i="37"/>
  <c r="N770" i="37"/>
  <c r="N787" i="37"/>
  <c r="N802" i="37"/>
  <c r="N823" i="37"/>
  <c r="N818" i="37"/>
  <c r="N858" i="37"/>
  <c r="N920" i="37"/>
  <c r="N1005" i="37"/>
  <c r="N907" i="37"/>
  <c r="N937" i="37"/>
  <c r="N930" i="37"/>
  <c r="N978" i="37"/>
  <c r="N833" i="37"/>
  <c r="N916" i="37"/>
  <c r="N991" i="37"/>
  <c r="N821" i="37"/>
  <c r="N827" i="37"/>
  <c r="N999" i="37"/>
  <c r="N1059" i="37"/>
  <c r="N938" i="37"/>
  <c r="N969" i="37"/>
  <c r="N1037" i="37"/>
  <c r="N921" i="37"/>
  <c r="N1024" i="37"/>
  <c r="N904" i="37"/>
  <c r="N953" i="37"/>
  <c r="N1007" i="37"/>
  <c r="N905" i="37"/>
  <c r="N917" i="37"/>
  <c r="N959" i="37"/>
  <c r="N1041" i="37"/>
  <c r="N1015" i="37"/>
  <c r="N729" i="37"/>
  <c r="N749" i="37"/>
  <c r="N767" i="37"/>
  <c r="N764" i="37"/>
  <c r="N781" i="37"/>
  <c r="N793" i="37"/>
  <c r="N806" i="37"/>
  <c r="N839" i="37"/>
  <c r="N854" i="37"/>
  <c r="N927" i="37"/>
  <c r="N954" i="37"/>
  <c r="N808" i="37"/>
  <c r="N883" i="37"/>
  <c r="N935" i="37"/>
  <c r="N960" i="37"/>
  <c r="N1016" i="37"/>
  <c r="N759" i="37"/>
  <c r="N773" i="37"/>
  <c r="N796" i="37"/>
  <c r="N939" i="37"/>
  <c r="N988" i="37"/>
  <c r="N1001" i="37"/>
  <c r="N783" i="37"/>
  <c r="N842" i="37"/>
  <c r="N900" i="37"/>
  <c r="N891" i="37"/>
  <c r="N945" i="37"/>
  <c r="N995" i="37"/>
  <c r="N982" i="37"/>
  <c r="N965" i="37"/>
  <c r="N1008" i="37"/>
  <c r="N989" i="37"/>
  <c r="N739" i="37"/>
  <c r="N804" i="37"/>
  <c r="N840" i="37"/>
  <c r="N852" i="37"/>
  <c r="N879" i="37"/>
  <c r="N929" i="37"/>
  <c r="N1017" i="37"/>
  <c r="N775" i="37"/>
  <c r="N792" i="37"/>
  <c r="N864" i="37"/>
  <c r="N1010" i="37"/>
  <c r="N983" i="37"/>
  <c r="N807" i="37"/>
  <c r="N896" i="37"/>
  <c r="N782" i="37"/>
  <c r="N795" i="37"/>
  <c r="N809" i="37"/>
  <c r="N843" i="37"/>
  <c r="N868" i="37"/>
  <c r="N941" i="37"/>
  <c r="N820" i="37"/>
  <c r="N1126" i="37"/>
  <c r="N1047" i="37"/>
  <c r="N1070" i="37"/>
  <c r="N1052" i="37"/>
  <c r="N1139" i="37"/>
  <c r="N1077" i="37"/>
  <c r="N1153" i="37"/>
  <c r="N1105" i="37"/>
  <c r="N1129" i="37"/>
  <c r="N871" i="37"/>
  <c r="N944" i="37"/>
  <c r="N956" i="37"/>
  <c r="N971" i="37"/>
  <c r="N984" i="37"/>
  <c r="N1006" i="37"/>
  <c r="N1056" i="37"/>
  <c r="N1087" i="37"/>
  <c r="N964" i="37"/>
  <c r="N1044" i="37"/>
  <c r="N1071" i="37"/>
  <c r="N1117" i="37"/>
  <c r="N829" i="37"/>
  <c r="N849" i="37"/>
  <c r="N866" i="37"/>
  <c r="N863" i="37"/>
  <c r="N889" i="37"/>
  <c r="N881" i="37"/>
  <c r="N902" i="37"/>
  <c r="N918" i="37"/>
  <c r="N952" i="37"/>
  <c r="N980" i="37"/>
  <c r="N994" i="37"/>
  <c r="N1035" i="37"/>
  <c r="N912" i="37"/>
  <c r="N946" i="37"/>
  <c r="N973" i="37"/>
  <c r="N1014" i="37"/>
  <c r="N1026" i="37"/>
  <c r="N1045" i="37"/>
  <c r="N1099" i="37"/>
  <c r="N1089" i="37"/>
  <c r="N797" i="37"/>
  <c r="N813" i="37"/>
  <c r="N828" i="37"/>
  <c r="N832" i="37"/>
  <c r="N851" i="37"/>
  <c r="N865" i="37"/>
  <c r="N884" i="37"/>
  <c r="N880" i="37"/>
  <c r="N901" i="37"/>
  <c r="N914" i="37"/>
  <c r="N936" i="37"/>
  <c r="N963" i="37"/>
  <c r="N975" i="37"/>
  <c r="N931" i="37"/>
  <c r="N957" i="37"/>
  <c r="N1072" i="37"/>
  <c r="N1067" i="37"/>
  <c r="N857" i="37"/>
  <c r="N861" i="37"/>
  <c r="N875" i="37"/>
  <c r="N911" i="37"/>
  <c r="N924" i="37"/>
  <c r="N950" i="37"/>
  <c r="N985" i="37"/>
  <c r="N1039" i="37"/>
  <c r="N1046" i="37"/>
  <c r="N1073" i="37"/>
  <c r="N940" i="37"/>
  <c r="N974" i="37"/>
  <c r="N1027" i="37"/>
  <c r="N1049" i="37"/>
  <c r="N1110" i="37"/>
  <c r="N1075" i="37"/>
  <c r="N1215" i="37"/>
  <c r="N1121" i="37"/>
  <c r="N822" i="37"/>
  <c r="N825" i="37"/>
  <c r="N845" i="37"/>
  <c r="N860" i="37"/>
  <c r="N878" i="37"/>
  <c r="N874" i="37"/>
  <c r="N892" i="37"/>
  <c r="N906" i="37"/>
  <c r="N967" i="37"/>
  <c r="N998" i="37"/>
  <c r="N1011" i="37"/>
  <c r="N1068" i="37"/>
  <c r="N885" i="37"/>
  <c r="N922" i="37"/>
  <c r="N949" i="37"/>
  <c r="N961" i="37"/>
  <c r="N990" i="37"/>
  <c r="N1000" i="37"/>
  <c r="N1093" i="37"/>
  <c r="N869" i="37"/>
  <c r="N915" i="37"/>
  <c r="N943" i="37"/>
  <c r="N1003" i="37"/>
  <c r="N1040" i="37"/>
  <c r="N1033" i="37"/>
  <c r="N1058" i="37"/>
  <c r="N1148" i="37"/>
  <c r="N1231" i="37"/>
  <c r="N908" i="37"/>
  <c r="N958" i="37"/>
  <c r="N970" i="37"/>
  <c r="N987" i="37"/>
  <c r="N1021" i="37"/>
  <c r="N824" i="37"/>
  <c r="N835" i="37"/>
  <c r="N848" i="37"/>
  <c r="N862" i="37"/>
  <c r="N876" i="37"/>
  <c r="N888" i="37"/>
  <c r="N951" i="37"/>
  <c r="N979" i="37"/>
  <c r="N1025" i="37"/>
  <c r="N1019" i="37"/>
  <c r="N1050" i="37"/>
  <c r="N1172" i="37"/>
  <c r="N1301" i="37"/>
  <c r="N1141" i="37"/>
  <c r="N1132" i="37"/>
  <c r="N1157" i="37"/>
  <c r="N1195" i="37"/>
  <c r="N1208" i="37"/>
  <c r="N1202" i="37"/>
  <c r="N1270" i="37"/>
  <c r="N894" i="37"/>
  <c r="N909" i="37"/>
  <c r="N925" i="37"/>
  <c r="N948" i="37"/>
  <c r="N962" i="37"/>
  <c r="N977" i="37"/>
  <c r="N993" i="37"/>
  <c r="N996" i="37"/>
  <c r="N1012" i="37"/>
  <c r="N1032" i="37"/>
  <c r="N1060" i="37"/>
  <c r="N1145" i="37"/>
  <c r="N1154" i="37"/>
  <c r="N1175" i="37"/>
  <c r="N1042" i="37"/>
  <c r="N1048" i="37"/>
  <c r="N1162" i="37"/>
  <c r="N1191" i="37"/>
  <c r="N1171" i="37"/>
  <c r="N1219" i="37"/>
  <c r="N1057" i="37"/>
  <c r="N1078" i="37"/>
  <c r="N1076" i="37"/>
  <c r="N1130" i="37"/>
  <c r="N1142" i="37"/>
  <c r="N1184" i="37"/>
  <c r="N1204" i="37"/>
  <c r="N1192" i="37"/>
  <c r="N1236" i="37"/>
  <c r="N1155" i="37"/>
  <c r="N1053" i="37"/>
  <c r="N1103" i="37"/>
  <c r="N1097" i="37"/>
  <c r="N1114" i="37"/>
  <c r="N1152" i="37"/>
  <c r="N1220" i="37"/>
  <c r="N1013" i="37"/>
  <c r="N1036" i="37"/>
  <c r="N1061" i="37"/>
  <c r="N1108" i="37"/>
  <c r="N1118" i="37"/>
  <c r="N1133" i="37"/>
  <c r="N1158" i="37"/>
  <c r="N1237" i="37"/>
  <c r="N1212" i="37"/>
  <c r="N1091" i="37"/>
  <c r="N1112" i="37"/>
  <c r="N1168" i="37"/>
  <c r="N1205" i="37"/>
  <c r="N1221" i="37"/>
  <c r="N1043" i="37"/>
  <c r="N1282" i="37"/>
  <c r="N1055" i="37"/>
  <c r="N1064" i="37"/>
  <c r="N1082" i="37"/>
  <c r="N1094" i="37"/>
  <c r="N1122" i="37"/>
  <c r="N1140" i="37"/>
  <c r="N1199" i="37"/>
  <c r="N1193" i="37"/>
  <c r="N1238" i="37"/>
  <c r="N1088" i="37"/>
  <c r="N1080" i="37"/>
  <c r="N1106" i="37"/>
  <c r="N1137" i="37"/>
  <c r="N1146" i="37"/>
  <c r="N1206" i="37"/>
  <c r="N1066" i="37"/>
  <c r="N1086" i="37"/>
  <c r="N1109" i="37"/>
  <c r="N1173" i="37"/>
  <c r="N1160" i="37"/>
  <c r="N1179" i="37"/>
  <c r="N1264" i="37"/>
  <c r="N1092" i="37"/>
  <c r="N1104" i="37"/>
  <c r="N1134" i="37"/>
  <c r="N1265" i="37"/>
  <c r="N1239" i="37"/>
  <c r="N1031" i="37"/>
  <c r="N1023" i="37"/>
  <c r="N1083" i="37"/>
  <c r="N1131" i="37"/>
  <c r="N1119" i="37"/>
  <c r="N1150" i="37"/>
  <c r="N1143" i="37"/>
  <c r="N1222" i="37"/>
  <c r="N1098" i="37"/>
  <c r="N1107" i="37"/>
  <c r="N1128" i="37"/>
  <c r="N1164" i="37"/>
  <c r="N1063" i="37"/>
  <c r="N1101" i="37"/>
  <c r="N1161" i="37"/>
  <c r="N1156" i="37"/>
  <c r="N1147" i="37"/>
  <c r="N1187" i="37"/>
  <c r="N1174" i="37"/>
  <c r="N1298" i="37"/>
  <c r="N1065" i="37"/>
  <c r="N1096" i="37"/>
  <c r="N1113" i="37"/>
  <c r="N1144" i="37"/>
  <c r="N1223" i="37"/>
  <c r="N1288" i="37"/>
  <c r="N1302" i="37"/>
  <c r="N1320" i="37"/>
  <c r="N1331" i="37"/>
  <c r="N1166" i="37"/>
  <c r="N1170" i="37"/>
  <c r="N1186" i="37"/>
  <c r="N1201" i="37"/>
  <c r="N1214" i="37"/>
  <c r="N1230" i="37"/>
  <c r="N1233" i="37"/>
  <c r="N1259" i="37"/>
  <c r="N1278" i="37"/>
  <c r="N1295" i="37"/>
  <c r="N1311" i="37"/>
  <c r="N1314" i="37"/>
  <c r="N1123" i="37"/>
  <c r="N1177" i="37"/>
  <c r="N1194" i="37"/>
  <c r="N1210" i="37"/>
  <c r="N1207" i="37"/>
  <c r="N1226" i="37"/>
  <c r="N1241" i="37"/>
  <c r="N1267" i="37"/>
  <c r="N1290" i="37"/>
  <c r="N1287" i="37"/>
  <c r="N1304" i="37"/>
  <c r="N1322" i="37"/>
  <c r="N1169" i="37"/>
  <c r="N1185" i="37"/>
  <c r="N1190" i="37"/>
  <c r="N1203" i="37"/>
  <c r="N1216" i="37"/>
  <c r="N1232" i="37"/>
  <c r="N1263" i="37"/>
  <c r="N1258" i="37"/>
  <c r="N1281" i="37"/>
  <c r="N1297" i="37"/>
  <c r="N1313" i="37"/>
  <c r="N1330" i="37"/>
  <c r="N1196" i="37"/>
  <c r="N1209" i="37"/>
  <c r="N1225" i="37"/>
  <c r="N1228" i="37"/>
  <c r="N1243" i="37"/>
  <c r="N1271" i="37"/>
  <c r="N1289" i="37"/>
  <c r="N1303" i="37"/>
  <c r="N1307" i="37"/>
  <c r="N1326" i="37"/>
  <c r="N1235" i="37"/>
  <c r="N1260" i="37"/>
  <c r="N1280" i="37"/>
  <c r="N1283" i="37"/>
  <c r="N1299" i="37"/>
  <c r="N1315" i="37"/>
  <c r="N1136" i="37"/>
  <c r="N1149" i="37"/>
  <c r="N1163" i="37"/>
  <c r="N1178" i="37"/>
  <c r="N1183" i="37"/>
  <c r="N1198" i="37"/>
  <c r="N1211" i="37"/>
  <c r="N1227" i="37"/>
  <c r="N1242" i="37"/>
  <c r="N1247" i="37"/>
  <c r="N1273" i="37"/>
  <c r="N1292" i="37"/>
  <c r="N1305" i="37"/>
  <c r="N1323" i="37"/>
  <c r="N1328" i="37"/>
  <c r="N1319" i="37"/>
  <c r="N1081" i="37"/>
  <c r="N1084" i="37"/>
  <c r="N1100" i="37"/>
  <c r="N1116" i="37"/>
  <c r="N1138" i="37"/>
  <c r="N1135" i="37"/>
  <c r="N1151" i="37"/>
  <c r="N1165" i="37"/>
  <c r="N1180" i="37"/>
  <c r="N1200" i="37"/>
  <c r="N1197" i="37"/>
  <c r="N1213" i="37"/>
  <c r="N1229" i="37"/>
  <c r="N1277" i="37"/>
  <c r="N1272" i="37"/>
  <c r="N1294" i="37"/>
  <c r="N1310" i="37"/>
  <c r="N1327" i="37"/>
  <c r="N1266" i="37"/>
  <c r="N1286" i="37"/>
  <c r="N1300" i="37"/>
  <c r="N1321" i="37"/>
  <c r="N1318" i="37"/>
  <c r="N1257" i="37"/>
  <c r="N1276" i="37"/>
  <c r="N1296" i="37"/>
  <c r="N1293" i="37"/>
  <c r="N1312" i="37"/>
  <c r="N1329" i="37"/>
  <c r="N1245" i="37"/>
  <c r="N152" i="40" l="1"/>
  <c r="N149" i="40"/>
  <c r="N133" i="40"/>
  <c r="N119" i="40"/>
  <c r="N103" i="40"/>
  <c r="N159" i="40"/>
  <c r="N154" i="40"/>
  <c r="N138" i="40"/>
  <c r="N124" i="40"/>
  <c r="N156" i="40"/>
  <c r="N151" i="40"/>
  <c r="N153" i="40"/>
  <c r="N134" i="40"/>
  <c r="N107" i="40"/>
  <c r="N109" i="40"/>
  <c r="N95" i="40"/>
  <c r="N84" i="40"/>
  <c r="N88" i="40"/>
  <c r="N104" i="40"/>
  <c r="N120" i="40"/>
  <c r="N122" i="40"/>
  <c r="N102" i="40"/>
  <c r="N93" i="40"/>
  <c r="N143" i="40"/>
  <c r="N145" i="40"/>
  <c r="N126" i="40"/>
  <c r="N85" i="40"/>
  <c r="N147" i="40"/>
  <c r="N150" i="40"/>
  <c r="N136" i="40"/>
  <c r="N113" i="40"/>
  <c r="N115" i="40"/>
  <c r="N106" i="40"/>
  <c r="N94" i="40"/>
  <c r="N83" i="40"/>
  <c r="N100" i="40"/>
  <c r="N140" i="40"/>
  <c r="N121" i="40"/>
  <c r="N123" i="40"/>
  <c r="N92" i="40"/>
  <c r="N144" i="40"/>
  <c r="N146" i="40"/>
  <c r="N98" i="40"/>
  <c r="N130" i="40"/>
  <c r="N114" i="40"/>
  <c r="N96" i="40"/>
  <c r="N89" i="40"/>
  <c r="N112" i="40"/>
  <c r="N116" i="40"/>
  <c r="N108" i="40"/>
  <c r="N157" i="40"/>
  <c r="N135" i="40"/>
  <c r="N137" i="40"/>
  <c r="N139" i="40"/>
  <c r="N110" i="40"/>
  <c r="N99" i="40"/>
  <c r="N82" i="40"/>
  <c r="N87" i="40"/>
  <c r="N125" i="40"/>
  <c r="N127" i="40"/>
  <c r="N129" i="40"/>
  <c r="N90" i="40"/>
  <c r="N74" i="40"/>
  <c r="N60" i="40"/>
  <c r="N46" i="40"/>
  <c r="N132" i="40"/>
  <c r="N111" i="40"/>
  <c r="N128" i="40"/>
  <c r="N52" i="40"/>
  <c r="N42" i="40"/>
  <c r="N14" i="40"/>
  <c r="N39" i="40"/>
  <c r="N22" i="40"/>
  <c r="N62" i="40"/>
  <c r="N50" i="40"/>
  <c r="N29" i="40"/>
  <c r="N70" i="40"/>
  <c r="N32" i="40"/>
  <c r="N59" i="40"/>
  <c r="N47" i="40"/>
  <c r="N67" i="40"/>
  <c r="N30" i="40"/>
  <c r="N12" i="40"/>
  <c r="N15" i="40"/>
  <c r="N97" i="40"/>
  <c r="N51" i="40"/>
  <c r="N36" i="40"/>
  <c r="N57" i="40"/>
  <c r="N19" i="40"/>
  <c r="N24" i="40"/>
  <c r="N16" i="40"/>
  <c r="N31" i="40"/>
  <c r="N45" i="40"/>
  <c r="N72" i="40"/>
  <c r="N27" i="40"/>
  <c r="N41" i="40"/>
  <c r="N54" i="40"/>
  <c r="N23" i="40"/>
  <c r="N33" i="40"/>
  <c r="N63" i="40"/>
  <c r="N75" i="40"/>
  <c r="N18" i="40"/>
  <c r="N56" i="40"/>
  <c r="N43" i="40"/>
  <c r="N58" i="40"/>
  <c r="N10" i="40"/>
  <c r="N79" i="40" s="1"/>
  <c r="N25" i="40"/>
  <c r="N35" i="40"/>
  <c r="N53" i="40"/>
  <c r="N66" i="40"/>
  <c r="N17" i="40"/>
  <c r="N21" i="40"/>
  <c r="N55" i="40"/>
  <c r="N13" i="40"/>
  <c r="N28" i="40"/>
  <c r="N48" i="40"/>
  <c r="N37" i="40"/>
  <c r="N34" i="40"/>
  <c r="N65" i="40"/>
  <c r="N69" i="40"/>
  <c r="AE11" i="38"/>
  <c r="N9" i="39" s="1"/>
  <c r="L9" i="39"/>
  <c r="AE8" i="38"/>
  <c r="N6" i="39" s="1"/>
  <c r="L6" i="39"/>
  <c r="L17" i="39" s="1"/>
  <c r="AE10" i="38"/>
  <c r="N8" i="39" s="1"/>
  <c r="L8" i="39"/>
  <c r="L15" i="39" s="1"/>
  <c r="AE13" i="38"/>
  <c r="N11" i="39" s="1"/>
  <c r="L11" i="39"/>
  <c r="AE9" i="38"/>
  <c r="N7" i="39" s="1"/>
  <c r="N16" i="39" s="1"/>
  <c r="L7" i="39"/>
  <c r="AE12" i="38"/>
  <c r="N10" i="39" s="1"/>
  <c r="L10" i="39"/>
  <c r="F14" i="39"/>
  <c r="F15" i="39"/>
  <c r="F16" i="39"/>
  <c r="F17" i="39"/>
  <c r="H17" i="39"/>
  <c r="H14" i="39"/>
  <c r="H15" i="39"/>
  <c r="H16" i="39"/>
  <c r="M6" i="37"/>
  <c r="AE14" i="38"/>
  <c r="N12" i="39" s="1"/>
  <c r="L12" i="39"/>
  <c r="EG18" i="38"/>
  <c r="EG17" i="38"/>
  <c r="EG16" i="38"/>
  <c r="EG19" i="38"/>
  <c r="BK10" i="38"/>
  <c r="BI10" i="38"/>
  <c r="R27" i="39" s="1"/>
  <c r="BI13" i="38"/>
  <c r="R30" i="39" s="1"/>
  <c r="BI21" i="38"/>
  <c r="BK21" i="38"/>
  <c r="O19" i="38"/>
  <c r="O18" i="38"/>
  <c r="O17" i="38"/>
  <c r="O16" i="38"/>
  <c r="BK14" i="38"/>
  <c r="Q19" i="38"/>
  <c r="Q18" i="38"/>
  <c r="Q17" i="38"/>
  <c r="Q16" i="38"/>
  <c r="BI11" i="38"/>
  <c r="R28" i="39" s="1"/>
  <c r="BK11" i="38"/>
  <c r="U17" i="38"/>
  <c r="U19" i="38"/>
  <c r="U18" i="38"/>
  <c r="U16" i="38"/>
  <c r="AE7" i="38"/>
  <c r="N5" i="39" s="1"/>
  <c r="D1125" i="37"/>
  <c r="D548" i="37"/>
  <c r="M1263" i="37"/>
  <c r="M1266" i="37"/>
  <c r="M1286" i="37"/>
  <c r="M1300" i="37"/>
  <c r="M1318" i="37"/>
  <c r="M1190" i="37"/>
  <c r="M1193" i="37"/>
  <c r="M1206" i="37"/>
  <c r="M1221" i="37"/>
  <c r="M1236" i="37"/>
  <c r="M1272" i="37"/>
  <c r="M1290" i="37"/>
  <c r="M1294" i="37"/>
  <c r="M1310" i="37"/>
  <c r="M1327" i="37"/>
  <c r="M1180" i="37"/>
  <c r="M1197" i="37"/>
  <c r="M1210" i="37"/>
  <c r="M1213" i="37"/>
  <c r="M1229" i="37"/>
  <c r="M1116" i="37"/>
  <c r="M1135" i="37"/>
  <c r="M1148" i="37"/>
  <c r="M1151" i="37"/>
  <c r="M1165" i="37"/>
  <c r="M1050" i="37"/>
  <c r="M1065" i="37"/>
  <c r="M1081" i="37"/>
  <c r="M1097" i="37"/>
  <c r="M1100" i="37"/>
  <c r="M1264" i="37"/>
  <c r="M1282" i="37"/>
  <c r="M1298" i="37"/>
  <c r="M1314" i="37"/>
  <c r="M1319" i="37"/>
  <c r="M1191" i="37"/>
  <c r="M1204" i="37"/>
  <c r="M1219" i="37"/>
  <c r="M1233" i="37"/>
  <c r="M1237" i="37"/>
  <c r="M1129" i="37"/>
  <c r="M1142" i="37"/>
  <c r="M1155" i="37"/>
  <c r="M1170" i="37"/>
  <c r="M1173" i="37"/>
  <c r="M1323" i="37"/>
  <c r="M1073" i="37"/>
  <c r="M1089" i="37"/>
  <c r="M1105" i="37"/>
  <c r="M1121" i="37"/>
  <c r="M1242" i="37"/>
  <c r="M1270" i="37"/>
  <c r="M1273" i="37"/>
  <c r="M1292" i="37"/>
  <c r="M1305" i="37"/>
  <c r="M1178" i="37"/>
  <c r="M1195" i="37"/>
  <c r="M1198" i="37"/>
  <c r="M1211" i="37"/>
  <c r="M1227" i="37"/>
  <c r="M1113" i="37"/>
  <c r="M1133" i="37"/>
  <c r="M1136" i="37"/>
  <c r="M1149" i="37"/>
  <c r="M1163" i="37"/>
  <c r="M1299" i="37"/>
  <c r="M1315" i="37"/>
  <c r="M1078" i="37"/>
  <c r="M1082" i="37"/>
  <c r="M1098" i="37"/>
  <c r="M1220" i="37"/>
  <c r="M1235" i="37"/>
  <c r="M1260" i="37"/>
  <c r="M1280" i="37"/>
  <c r="M1296" i="37"/>
  <c r="M1326" i="37"/>
  <c r="M1171" i="37"/>
  <c r="M1187" i="37"/>
  <c r="M1202" i="37"/>
  <c r="M1215" i="37"/>
  <c r="M1243" i="37"/>
  <c r="M1271" i="37"/>
  <c r="M1289" i="37"/>
  <c r="M1303" i="37"/>
  <c r="M1321" i="37"/>
  <c r="M1313" i="37"/>
  <c r="M1330" i="37"/>
  <c r="M1209" i="37"/>
  <c r="M1225" i="37"/>
  <c r="M1239" i="37"/>
  <c r="M1301" i="37"/>
  <c r="M1304" i="37"/>
  <c r="M1322" i="37"/>
  <c r="M1281" i="37"/>
  <c r="M1297" i="37"/>
  <c r="M1222" i="37"/>
  <c r="M1226" i="37"/>
  <c r="M1241" i="37"/>
  <c r="M1267" i="37"/>
  <c r="M1287" i="37"/>
  <c r="M1158" i="37"/>
  <c r="M1162" i="37"/>
  <c r="M1177" i="37"/>
  <c r="M1194" i="37"/>
  <c r="M1207" i="37"/>
  <c r="M1295" i="37"/>
  <c r="M1311" i="37"/>
  <c r="M1328" i="37"/>
  <c r="M1132" i="37"/>
  <c r="M1145" i="37"/>
  <c r="M1214" i="37"/>
  <c r="M1230" i="37"/>
  <c r="M1247" i="37"/>
  <c r="M1259" i="37"/>
  <c r="M1278" i="37"/>
  <c r="M1152" i="37"/>
  <c r="M1166" i="37"/>
  <c r="M1183" i="37"/>
  <c r="M1186" i="37"/>
  <c r="M1201" i="37"/>
  <c r="M1320" i="37"/>
  <c r="M1331" i="37"/>
  <c r="M1101" i="37"/>
  <c r="M1117" i="37"/>
  <c r="M1139" i="37"/>
  <c r="M1238" i="37"/>
  <c r="M1265" i="37"/>
  <c r="M1283" i="37"/>
  <c r="M1288" i="37"/>
  <c r="M1302" i="37"/>
  <c r="M1174" i="37"/>
  <c r="M1192" i="37"/>
  <c r="M1205" i="37"/>
  <c r="M1208" i="37"/>
  <c r="M1223" i="37"/>
  <c r="M1329" i="37"/>
  <c r="M1130" i="37"/>
  <c r="M1143" i="37"/>
  <c r="M1146" i="37"/>
  <c r="M1160" i="37"/>
  <c r="M1257" i="37"/>
  <c r="M1276" i="37"/>
  <c r="M1293" i="37"/>
  <c r="M1307" i="37"/>
  <c r="M1312" i="37"/>
  <c r="M1184" i="37"/>
  <c r="M1199" i="37"/>
  <c r="M1212" i="37"/>
  <c r="M1228" i="37"/>
  <c r="M1231" i="37"/>
  <c r="M1118" i="37"/>
  <c r="M1137" i="37"/>
  <c r="M1150" i="37"/>
  <c r="M1164" i="37"/>
  <c r="M1168" i="37"/>
  <c r="M1156" i="37"/>
  <c r="M1161" i="37"/>
  <c r="M1083" i="37"/>
  <c r="M1099" i="37"/>
  <c r="M1114" i="37"/>
  <c r="M1138" i="37"/>
  <c r="M1037" i="37"/>
  <c r="M1047" i="37"/>
  <c r="M1063" i="37"/>
  <c r="M1147" i="37"/>
  <c r="M1119" i="37"/>
  <c r="M1131" i="37"/>
  <c r="M1107" i="37"/>
  <c r="M1123" i="37"/>
  <c r="M1045" i="37"/>
  <c r="M1092" i="37"/>
  <c r="M1104" i="37"/>
  <c r="M1134" i="37"/>
  <c r="M1153" i="37"/>
  <c r="M1200" i="37"/>
  <c r="M1052" i="37"/>
  <c r="M1086" i="37"/>
  <c r="M1109" i="37"/>
  <c r="M1179" i="37"/>
  <c r="M1077" i="37"/>
  <c r="M1080" i="37"/>
  <c r="M1088" i="37"/>
  <c r="M1106" i="37"/>
  <c r="M1169" i="37"/>
  <c r="M1094" i="37"/>
  <c r="M1122" i="37"/>
  <c r="M1140" i="37"/>
  <c r="M1072" i="37"/>
  <c r="M1075" i="37"/>
  <c r="M1033" i="37"/>
  <c r="M1036" i="37"/>
  <c r="M1061" i="37"/>
  <c r="M1049" i="37"/>
  <c r="M1112" i="37"/>
  <c r="M1071" i="37"/>
  <c r="M1053" i="37"/>
  <c r="M1128" i="37"/>
  <c r="M998" i="37"/>
  <c r="M1013" i="37"/>
  <c r="M1258" i="37"/>
  <c r="M1006" i="37"/>
  <c r="M1021" i="37"/>
  <c r="M1041" i="37"/>
  <c r="M1059" i="37"/>
  <c r="M1066" i="37"/>
  <c r="M1277" i="37"/>
  <c r="M1126" i="37"/>
  <c r="M1172" i="37"/>
  <c r="M1185" i="37"/>
  <c r="M1103" i="37"/>
  <c r="M1203" i="37"/>
  <c r="M1039" i="37"/>
  <c r="M1042" i="37"/>
  <c r="M1048" i="37"/>
  <c r="M1058" i="37"/>
  <c r="M1084" i="37"/>
  <c r="M1108" i="37"/>
  <c r="M1216" i="37"/>
  <c r="M1055" i="37"/>
  <c r="M1175" i="37"/>
  <c r="M1196" i="37"/>
  <c r="M1027" i="37"/>
  <c r="M1046" i="37"/>
  <c r="M895" i="37"/>
  <c r="M925" i="37"/>
  <c r="M958" i="37"/>
  <c r="M970" i="37"/>
  <c r="M987" i="37"/>
  <c r="M902" i="37"/>
  <c r="M915" i="37"/>
  <c r="M943" i="37"/>
  <c r="M1040" i="37"/>
  <c r="M1232" i="37"/>
  <c r="M922" i="37"/>
  <c r="M949" i="37"/>
  <c r="M977" i="37"/>
  <c r="M1000" i="37"/>
  <c r="M1093" i="37"/>
  <c r="M984" i="37"/>
  <c r="M1008" i="37"/>
  <c r="M1011" i="37"/>
  <c r="M1068" i="37"/>
  <c r="M885" i="37"/>
  <c r="M874" i="37"/>
  <c r="M892" i="37"/>
  <c r="M906" i="37"/>
  <c r="M956" i="37"/>
  <c r="M967" i="37"/>
  <c r="M791" i="37"/>
  <c r="M807" i="37"/>
  <c r="M822" i="37"/>
  <c r="M845" i="37"/>
  <c r="M860" i="37"/>
  <c r="M1043" i="37"/>
  <c r="M913" i="37"/>
  <c r="M940" i="37"/>
  <c r="M974" i="37"/>
  <c r="M1110" i="37"/>
  <c r="M1091" i="37"/>
  <c r="M1054" i="37"/>
  <c r="M947" i="37"/>
  <c r="M959" i="37"/>
  <c r="M988" i="37"/>
  <c r="M931" i="37"/>
  <c r="M945" i="37"/>
  <c r="M957" i="37"/>
  <c r="M1067" i="37"/>
  <c r="M963" i="37"/>
  <c r="M975" i="37"/>
  <c r="M993" i="37"/>
  <c r="M1003" i="37"/>
  <c r="M894" i="37"/>
  <c r="M851" i="37"/>
  <c r="M865" i="37"/>
  <c r="M880" i="37"/>
  <c r="M901" i="37"/>
  <c r="M936" i="37"/>
  <c r="M948" i="37"/>
  <c r="M983" i="37"/>
  <c r="M1005" i="37"/>
  <c r="M1007" i="37"/>
  <c r="M1010" i="37"/>
  <c r="M1057" i="37"/>
  <c r="M1144" i="37"/>
  <c r="M891" i="37"/>
  <c r="M908" i="37"/>
  <c r="M921" i="37"/>
  <c r="M980" i="37"/>
  <c r="M994" i="37"/>
  <c r="M1035" i="37"/>
  <c r="M1032" i="37"/>
  <c r="M1157" i="37"/>
  <c r="M878" i="37"/>
  <c r="M881" i="37"/>
  <c r="M889" i="37"/>
  <c r="M918" i="37"/>
  <c r="M952" i="37"/>
  <c r="M964" i="37"/>
  <c r="M825" i="37"/>
  <c r="M829" i="37"/>
  <c r="M849" i="37"/>
  <c r="M863" i="37"/>
  <c r="M1087" i="37"/>
  <c r="M1154" i="37"/>
  <c r="M896" i="37"/>
  <c r="M926" i="37"/>
  <c r="M937" i="37"/>
  <c r="M1026" i="37"/>
  <c r="M1141" i="37"/>
  <c r="M944" i="37"/>
  <c r="M971" i="37"/>
  <c r="M1056" i="37"/>
  <c r="M978" i="37"/>
  <c r="M991" i="37"/>
  <c r="M1001" i="37"/>
  <c r="M1004" i="37"/>
  <c r="M1020" i="37"/>
  <c r="M1070" i="37"/>
  <c r="M886" i="37"/>
  <c r="M900" i="37"/>
  <c r="M916" i="37"/>
  <c r="M950" i="37"/>
  <c r="M999" i="37"/>
  <c r="M1023" i="37"/>
  <c r="M1031" i="37"/>
  <c r="M1034" i="37"/>
  <c r="M1060" i="37"/>
  <c r="M868" i="37"/>
  <c r="M920" i="37"/>
  <c r="M941" i="37"/>
  <c r="M1096" i="37"/>
  <c r="M982" i="37"/>
  <c r="M990" i="37"/>
  <c r="M782" i="37"/>
  <c r="M795" i="37"/>
  <c r="M809" i="37"/>
  <c r="M843" i="37"/>
  <c r="M1019" i="37"/>
  <c r="M875" i="37"/>
  <c r="M946" i="37"/>
  <c r="M951" i="37"/>
  <c r="M972" i="37"/>
  <c r="M792" i="37"/>
  <c r="M855" i="37"/>
  <c r="M864" i="37"/>
  <c r="M911" i="37"/>
  <c r="M924" i="37"/>
  <c r="M996" i="37"/>
  <c r="M1017" i="37"/>
  <c r="M758" i="37"/>
  <c r="M772" i="37"/>
  <c r="M775" i="37"/>
  <c r="M879" i="37"/>
  <c r="M884" i="37"/>
  <c r="M888" i="37"/>
  <c r="M929" i="37"/>
  <c r="M966" i="37"/>
  <c r="M989" i="37"/>
  <c r="M804" i="37"/>
  <c r="M840" i="37"/>
  <c r="M852" i="37"/>
  <c r="M872" i="37"/>
  <c r="M780" i="37"/>
  <c r="M790" i="37"/>
  <c r="M802" i="37"/>
  <c r="M867" i="37"/>
  <c r="M961" i="37"/>
  <c r="M697" i="37"/>
  <c r="M713" i="37"/>
  <c r="M728" i="37"/>
  <c r="M752" i="37"/>
  <c r="M766" i="37"/>
  <c r="M995" i="37"/>
  <c r="M649" i="37"/>
  <c r="M663" i="37"/>
  <c r="M677" i="37"/>
  <c r="M681" i="37"/>
  <c r="M1076" i="37"/>
  <c r="M820" i="37"/>
  <c r="M871" i="37"/>
  <c r="M909" i="37"/>
  <c r="M965" i="37"/>
  <c r="M883" i="37"/>
  <c r="M914" i="37"/>
  <c r="M935" i="37"/>
  <c r="M960" i="37"/>
  <c r="M1016" i="37"/>
  <c r="M927" i="37"/>
  <c r="M954" i="37"/>
  <c r="M1044" i="37"/>
  <c r="M814" i="37"/>
  <c r="M832" i="37"/>
  <c r="M781" i="37"/>
  <c r="M793" i="37"/>
  <c r="M806" i="37"/>
  <c r="M854" i="37"/>
  <c r="M861" i="37"/>
  <c r="M917" i="37"/>
  <c r="M1015" i="37"/>
  <c r="M749" i="37"/>
  <c r="M764" i="37"/>
  <c r="M778" i="37"/>
  <c r="M816" i="37"/>
  <c r="M834" i="37"/>
  <c r="M848" i="37"/>
  <c r="M857" i="37"/>
  <c r="M905" i="37"/>
  <c r="M1014" i="37"/>
  <c r="M1024" i="37"/>
  <c r="M904" i="37"/>
  <c r="M1025" i="37"/>
  <c r="M953" i="37"/>
  <c r="M899" i="37"/>
  <c r="M938" i="37"/>
  <c r="M969" i="37"/>
  <c r="M1064" i="37"/>
  <c r="M939" i="37"/>
  <c r="M890" i="37"/>
  <c r="M973" i="37"/>
  <c r="M979" i="37"/>
  <c r="M985" i="37"/>
  <c r="M912" i="37"/>
  <c r="M762" i="37"/>
  <c r="M777" i="37"/>
  <c r="M808" i="37"/>
  <c r="M833" i="37"/>
  <c r="M866" i="37"/>
  <c r="M1012" i="37"/>
  <c r="M709" i="37"/>
  <c r="M724" i="37"/>
  <c r="M745" i="37"/>
  <c r="M748" i="37"/>
  <c r="M858" i="37"/>
  <c r="M962" i="37"/>
  <c r="M844" i="37"/>
  <c r="M907" i="37"/>
  <c r="M930" i="37"/>
  <c r="M767" i="37"/>
  <c r="M770" i="37"/>
  <c r="M787" i="37"/>
  <c r="M818" i="37"/>
  <c r="M823" i="37"/>
  <c r="M850" i="37"/>
  <c r="M876" i="37"/>
  <c r="M897" i="37"/>
  <c r="M733" i="37"/>
  <c r="M753" i="37"/>
  <c r="M812" i="37"/>
  <c r="M847" i="37"/>
  <c r="M862" i="37"/>
  <c r="M799" i="37"/>
  <c r="M841" i="37"/>
  <c r="M873" i="37"/>
  <c r="M835" i="37"/>
  <c r="M774" i="37"/>
  <c r="M785" i="37"/>
  <c r="M668" i="37"/>
  <c r="M738" i="37"/>
  <c r="M756" i="37"/>
  <c r="M779" i="37"/>
  <c r="M815" i="37"/>
  <c r="M608" i="37"/>
  <c r="M611" i="37"/>
  <c r="M627" i="37"/>
  <c r="M642" i="37"/>
  <c r="M656" i="37"/>
  <c r="M542" i="37"/>
  <c r="M545" i="37"/>
  <c r="M563" i="37"/>
  <c r="M577" i="37"/>
  <c r="M592" i="37"/>
  <c r="M674" i="37"/>
  <c r="M687" i="37"/>
  <c r="M707" i="37"/>
  <c r="M751" i="37"/>
  <c r="M761" i="37"/>
  <c r="M723" i="37"/>
  <c r="M659" i="37"/>
  <c r="M694" i="37"/>
  <c r="M831" i="37"/>
  <c r="M647" i="37"/>
  <c r="M716" i="37"/>
  <c r="M665" i="37"/>
  <c r="M704" i="37"/>
  <c r="M719" i="37"/>
  <c r="M721" i="37"/>
  <c r="M796" i="37"/>
  <c r="M869" i="37"/>
  <c r="M672" i="37"/>
  <c r="M684" i="37"/>
  <c r="M702" i="37"/>
  <c r="M788" i="37"/>
  <c r="M801" i="37"/>
  <c r="M692" i="37"/>
  <c r="M714" i="37"/>
  <c r="M783" i="37"/>
  <c r="M675" i="37"/>
  <c r="M732" i="37"/>
  <c r="M734" i="37"/>
  <c r="M747" i="37"/>
  <c r="M755" i="37"/>
  <c r="M598" i="37"/>
  <c r="M614" i="37"/>
  <c r="M618" i="37"/>
  <c r="M632" i="37"/>
  <c r="M648" i="37"/>
  <c r="M655" i="37"/>
  <c r="M682" i="37"/>
  <c r="M737" i="37"/>
  <c r="M760" i="37"/>
  <c r="M821" i="37"/>
  <c r="M705" i="37"/>
  <c r="M757" i="37"/>
  <c r="M773" i="37"/>
  <c r="M813" i="37"/>
  <c r="M828" i="37"/>
  <c r="M622" i="37"/>
  <c r="M638" i="37"/>
  <c r="M641" i="37"/>
  <c r="M661" i="37"/>
  <c r="M689" i="37"/>
  <c r="M558" i="37"/>
  <c r="M572" i="37"/>
  <c r="M576" i="37"/>
  <c r="M590" i="37"/>
  <c r="M606" i="37"/>
  <c r="M717" i="37"/>
  <c r="M673" i="37"/>
  <c r="M739" i="37"/>
  <c r="M541" i="37"/>
  <c r="M652" i="37"/>
  <c r="M664" i="37"/>
  <c r="M680" i="37"/>
  <c r="M693" i="37"/>
  <c r="M703" i="37"/>
  <c r="M754" i="37"/>
  <c r="M839" i="37"/>
  <c r="M725" i="37"/>
  <c r="M819" i="37"/>
  <c r="M856" i="37"/>
  <c r="M827" i="37"/>
  <c r="M700" i="37"/>
  <c r="M730" i="37"/>
  <c r="M744" i="37"/>
  <c r="M746" i="37"/>
  <c r="M650" i="37"/>
  <c r="M662" i="37"/>
  <c r="M691" i="37"/>
  <c r="M759" i="37"/>
  <c r="M698" i="37"/>
  <c r="M710" i="37"/>
  <c r="M735" i="37"/>
  <c r="M769" i="37"/>
  <c r="M643" i="37"/>
  <c r="M581" i="37"/>
  <c r="M597" i="37"/>
  <c r="M613" i="37"/>
  <c r="M628" i="37"/>
  <c r="M669" i="37"/>
  <c r="M520" i="37"/>
  <c r="M533" i="37"/>
  <c r="M546" i="37"/>
  <c r="M564" i="37"/>
  <c r="M578" i="37"/>
  <c r="M688" i="37"/>
  <c r="M708" i="37"/>
  <c r="M786" i="37"/>
  <c r="M811" i="37"/>
  <c r="M517" i="37"/>
  <c r="M602" i="37"/>
  <c r="M605" i="37"/>
  <c r="M621" i="37"/>
  <c r="M636" i="37"/>
  <c r="M660" i="37"/>
  <c r="M679" i="37"/>
  <c r="M696" i="37"/>
  <c r="M765" i="37"/>
  <c r="M798" i="37"/>
  <c r="M803" i="37"/>
  <c r="M686" i="37"/>
  <c r="M722" i="37"/>
  <c r="M726" i="37"/>
  <c r="M743" i="37"/>
  <c r="M666" i="37"/>
  <c r="M824" i="37"/>
  <c r="M853" i="37"/>
  <c r="M626" i="37"/>
  <c r="M629" i="37"/>
  <c r="M651" i="37"/>
  <c r="M670" i="37"/>
  <c r="M699" i="37"/>
  <c r="M720" i="37"/>
  <c r="M729" i="37"/>
  <c r="M768" i="37"/>
  <c r="M676" i="37"/>
  <c r="M712" i="37"/>
  <c r="M771" i="37"/>
  <c r="M797" i="37"/>
  <c r="M658" i="37"/>
  <c r="M567" i="37"/>
  <c r="M623" i="37"/>
  <c r="M683" i="37"/>
  <c r="M842" i="37"/>
  <c r="M634" i="37"/>
  <c r="M603" i="37"/>
  <c r="M715" i="37"/>
  <c r="M512" i="37"/>
  <c r="M515" i="37"/>
  <c r="M562" i="37"/>
  <c r="M556" i="37"/>
  <c r="M657" i="37"/>
  <c r="M671" i="37"/>
  <c r="M521" i="37"/>
  <c r="M587" i="37"/>
  <c r="M477" i="37"/>
  <c r="M480" i="37"/>
  <c r="M493" i="37"/>
  <c r="M506" i="37"/>
  <c r="M535" i="37"/>
  <c r="M419" i="37"/>
  <c r="M422" i="37"/>
  <c r="M435" i="37"/>
  <c r="M451" i="37"/>
  <c r="M464" i="37"/>
  <c r="M594" i="37"/>
  <c r="M356" i="37"/>
  <c r="M372" i="37"/>
  <c r="M386" i="37"/>
  <c r="M402" i="37"/>
  <c r="M569" i="37"/>
  <c r="M575" i="37"/>
  <c r="M580" i="37"/>
  <c r="M635" i="37"/>
  <c r="M531" i="37"/>
  <c r="M497" i="37"/>
  <c r="M500" i="37"/>
  <c r="M513" i="37"/>
  <c r="M519" i="37"/>
  <c r="M529" i="37"/>
  <c r="M549" i="37"/>
  <c r="M566" i="37"/>
  <c r="M458" i="37"/>
  <c r="M471" i="37"/>
  <c r="M484" i="37"/>
  <c r="M504" i="37"/>
  <c r="M553" i="37"/>
  <c r="M561" i="37"/>
  <c r="M571" i="37"/>
  <c r="M527" i="37"/>
  <c r="M511" i="37"/>
  <c r="M593" i="37"/>
  <c r="M583" i="37"/>
  <c r="M616" i="37"/>
  <c r="M491" i="37"/>
  <c r="M456" i="37"/>
  <c r="M469" i="37"/>
  <c r="M482" i="37"/>
  <c r="M485" i="37"/>
  <c r="M498" i="37"/>
  <c r="M544" i="37"/>
  <c r="M555" i="37"/>
  <c r="M574" i="37"/>
  <c r="M653" i="37"/>
  <c r="M443" i="37"/>
  <c r="M530" i="37"/>
  <c r="M537" i="37"/>
  <c r="M557" i="37"/>
  <c r="M568" i="37"/>
  <c r="M615" i="37"/>
  <c r="M476" i="37"/>
  <c r="M489" i="37"/>
  <c r="M502" i="37"/>
  <c r="M505" i="37"/>
  <c r="M528" i="37"/>
  <c r="M589" i="37"/>
  <c r="M539" i="37"/>
  <c r="M579" i="37"/>
  <c r="M582" i="37"/>
  <c r="M586" i="37"/>
  <c r="M526" i="37"/>
  <c r="M552" i="37"/>
  <c r="M559" i="37"/>
  <c r="M565" i="37"/>
  <c r="M570" i="37"/>
  <c r="M467" i="37"/>
  <c r="M470" i="37"/>
  <c r="M483" i="37"/>
  <c r="M496" i="37"/>
  <c r="M509" i="37"/>
  <c r="M405" i="37"/>
  <c r="M409" i="37"/>
  <c r="M425" i="37"/>
  <c r="M440" i="37"/>
  <c r="M454" i="37"/>
  <c r="M610" i="37"/>
  <c r="M345" i="37"/>
  <c r="M360" i="37"/>
  <c r="M375" i="37"/>
  <c r="M389" i="37"/>
  <c r="M490" i="37"/>
  <c r="M503" i="37"/>
  <c r="M516" i="37"/>
  <c r="M600" i="37"/>
  <c r="M524" i="37"/>
  <c r="M588" i="37"/>
  <c r="M620" i="37"/>
  <c r="M640" i="37"/>
  <c r="M474" i="37"/>
  <c r="M487" i="37"/>
  <c r="M481" i="37"/>
  <c r="M494" i="37"/>
  <c r="M507" i="37"/>
  <c r="M510" i="37"/>
  <c r="M585" i="37"/>
  <c r="M536" i="37"/>
  <c r="M599" i="37"/>
  <c r="M609" i="37"/>
  <c r="M639" i="37"/>
  <c r="M468" i="37"/>
  <c r="M534" i="37"/>
  <c r="M538" i="37"/>
  <c r="M604" i="37"/>
  <c r="M619" i="37"/>
  <c r="M631" i="37"/>
  <c r="M475" i="37"/>
  <c r="M488" i="37"/>
  <c r="M501" i="37"/>
  <c r="M514" i="37"/>
  <c r="M532" i="37"/>
  <c r="M525" i="37"/>
  <c r="M540" i="37"/>
  <c r="M595" i="37"/>
  <c r="M625" i="37"/>
  <c r="M472" i="37"/>
  <c r="M437" i="37"/>
  <c r="M453" i="37"/>
  <c r="M523" i="37"/>
  <c r="M630" i="37"/>
  <c r="M508" i="37"/>
  <c r="M430" i="37"/>
  <c r="M432" i="37"/>
  <c r="M459" i="37"/>
  <c r="M478" i="37"/>
  <c r="M357" i="37"/>
  <c r="M326" i="37"/>
  <c r="M355" i="37"/>
  <c r="M369" i="37"/>
  <c r="M373" i="37"/>
  <c r="M428" i="37"/>
  <c r="M554" i="37"/>
  <c r="M346" i="37"/>
  <c r="M462" i="37"/>
  <c r="M465" i="37"/>
  <c r="M495" i="37"/>
  <c r="M377" i="37"/>
  <c r="M379" i="37"/>
  <c r="M392" i="37"/>
  <c r="M396" i="37"/>
  <c r="M398" i="37"/>
  <c r="M304" i="37"/>
  <c r="M317" i="37"/>
  <c r="M335" i="37"/>
  <c r="M338" i="37"/>
  <c r="M352" i="37"/>
  <c r="M241" i="37"/>
  <c r="M255" i="37"/>
  <c r="M270" i="37"/>
  <c r="M274" i="37"/>
  <c r="M291" i="37"/>
  <c r="M181" i="37"/>
  <c r="M194" i="37"/>
  <c r="M207" i="37"/>
  <c r="M210" i="37"/>
  <c r="M228" i="37"/>
  <c r="M421" i="37"/>
  <c r="M423" i="37"/>
  <c r="M473" i="37"/>
  <c r="M400" i="37"/>
  <c r="M455" i="37"/>
  <c r="M298" i="37"/>
  <c r="M311" i="37"/>
  <c r="M324" i="37"/>
  <c r="M343" i="37"/>
  <c r="M403" i="37"/>
  <c r="M387" i="37"/>
  <c r="M427" i="37"/>
  <c r="M461" i="37"/>
  <c r="M543" i="37"/>
  <c r="M295" i="37"/>
  <c r="M447" i="37"/>
  <c r="M336" i="37"/>
  <c r="M364" i="37"/>
  <c r="M366" i="37"/>
  <c r="M368" i="37"/>
  <c r="M393" i="37"/>
  <c r="M412" i="37"/>
  <c r="M416" i="37"/>
  <c r="M442" i="37"/>
  <c r="M353" i="37"/>
  <c r="M309" i="37"/>
  <c r="M322" i="37"/>
  <c r="M341" i="37"/>
  <c r="M374" i="37"/>
  <c r="M391" i="37"/>
  <c r="M397" i="37"/>
  <c r="M420" i="37"/>
  <c r="M418" i="37"/>
  <c r="M452" i="37"/>
  <c r="M296" i="37"/>
  <c r="M300" i="37"/>
  <c r="M303" i="37"/>
  <c r="M316" i="37"/>
  <c r="M332" i="37"/>
  <c r="M351" i="37"/>
  <c r="M237" i="37"/>
  <c r="M240" i="37"/>
  <c r="M254" i="37"/>
  <c r="M269" i="37"/>
  <c r="M287" i="37"/>
  <c r="M434" i="37"/>
  <c r="M449" i="37"/>
  <c r="M486" i="37"/>
  <c r="M206" i="37"/>
  <c r="M223" i="37"/>
  <c r="M436" i="37"/>
  <c r="M444" i="37"/>
  <c r="M460" i="37"/>
  <c r="M492" i="37"/>
  <c r="M381" i="37"/>
  <c r="M323" i="37"/>
  <c r="M342" i="37"/>
  <c r="M349" i="37"/>
  <c r="M367" i="37"/>
  <c r="M383" i="37"/>
  <c r="M262" i="37"/>
  <c r="M278" i="37"/>
  <c r="M294" i="37"/>
  <c r="M307" i="37"/>
  <c r="M320" i="37"/>
  <c r="M446" i="37"/>
  <c r="M463" i="37"/>
  <c r="M361" i="37"/>
  <c r="M365" i="37"/>
  <c r="M258" i="37"/>
  <c r="M388" i="37"/>
  <c r="M390" i="37"/>
  <c r="M407" i="37"/>
  <c r="M410" i="37"/>
  <c r="M429" i="37"/>
  <c r="M301" i="37"/>
  <c r="M314" i="37"/>
  <c r="M327" i="37"/>
  <c r="M359" i="37"/>
  <c r="M363" i="37"/>
  <c r="M417" i="37"/>
  <c r="M448" i="37"/>
  <c r="M347" i="37"/>
  <c r="M431" i="37"/>
  <c r="M499" i="37"/>
  <c r="M308" i="37"/>
  <c r="M321" i="37"/>
  <c r="M340" i="37"/>
  <c r="M376" i="37"/>
  <c r="M415" i="37"/>
  <c r="M245" i="37"/>
  <c r="M260" i="37"/>
  <c r="M275" i="37"/>
  <c r="M292" i="37"/>
  <c r="M305" i="37"/>
  <c r="M433" i="37"/>
  <c r="M457" i="37"/>
  <c r="M522" i="37"/>
  <c r="M229" i="37"/>
  <c r="M242" i="37"/>
  <c r="M385" i="37"/>
  <c r="M445" i="37"/>
  <c r="M450" i="37"/>
  <c r="M479" i="37"/>
  <c r="M350" i="37"/>
  <c r="M302" i="37"/>
  <c r="M315" i="37"/>
  <c r="M378" i="37"/>
  <c r="M466" i="37"/>
  <c r="M518" i="37"/>
  <c r="M146" i="37"/>
  <c r="M159" i="37"/>
  <c r="M174" i="37"/>
  <c r="M185" i="37"/>
  <c r="M222" i="37"/>
  <c r="M310" i="37"/>
  <c r="M104" i="37"/>
  <c r="M117" i="37"/>
  <c r="M130" i="37"/>
  <c r="M133" i="37"/>
  <c r="M203" i="37"/>
  <c r="M243" i="37"/>
  <c r="M224" i="37"/>
  <c r="M239" i="37"/>
  <c r="M264" i="37"/>
  <c r="M288" i="37"/>
  <c r="M319" i="37"/>
  <c r="M426" i="37"/>
  <c r="M199" i="37"/>
  <c r="M201" i="37"/>
  <c r="M424" i="37"/>
  <c r="M189" i="37"/>
  <c r="M197" i="37"/>
  <c r="M267" i="37"/>
  <c r="M277" i="37"/>
  <c r="M213" i="37"/>
  <c r="M218" i="37"/>
  <c r="M238" i="37"/>
  <c r="M253" i="37"/>
  <c r="M318" i="37"/>
  <c r="M200" i="37"/>
  <c r="M211" i="37"/>
  <c r="M263" i="37"/>
  <c r="M325" i="37"/>
  <c r="M187" i="37"/>
  <c r="M142" i="37"/>
  <c r="M155" i="37"/>
  <c r="M158" i="37"/>
  <c r="M173" i="37"/>
  <c r="M179" i="37"/>
  <c r="M283" i="37"/>
  <c r="M190" i="37"/>
  <c r="M209" i="37"/>
  <c r="M279" i="37"/>
  <c r="M297" i="37"/>
  <c r="M162" i="37"/>
  <c r="M198" i="37"/>
  <c r="M227" i="37"/>
  <c r="M257" i="37"/>
  <c r="M265" i="37"/>
  <c r="M404" i="37"/>
  <c r="M299" i="37"/>
  <c r="M382" i="37"/>
  <c r="M337" i="37"/>
  <c r="M406" i="37"/>
  <c r="M161" i="37"/>
  <c r="M230" i="37"/>
  <c r="M246" i="37"/>
  <c r="M306" i="37"/>
  <c r="M348" i="37"/>
  <c r="M399" i="37"/>
  <c r="M249" i="37"/>
  <c r="M286" i="37"/>
  <c r="M362" i="37"/>
  <c r="M380" i="37"/>
  <c r="M170" i="37"/>
  <c r="M182" i="37"/>
  <c r="M193" i="37"/>
  <c r="M251" i="37"/>
  <c r="M281" i="37"/>
  <c r="M261" i="37"/>
  <c r="M293" i="37"/>
  <c r="M139" i="37"/>
  <c r="M152" i="37"/>
  <c r="M167" i="37"/>
  <c r="M204" i="37"/>
  <c r="M21" i="37"/>
  <c r="M58" i="37"/>
  <c r="M123" i="37"/>
  <c r="M134" i="37"/>
  <c r="M119" i="37"/>
  <c r="M232" i="37"/>
  <c r="M121" i="37"/>
  <c r="M132" i="37"/>
  <c r="M138" i="37"/>
  <c r="M247" i="37"/>
  <c r="M14" i="37"/>
  <c r="M29" i="37"/>
  <c r="M50" i="37"/>
  <c r="M108" i="37"/>
  <c r="M56" i="37"/>
  <c r="M70" i="37"/>
  <c r="M74" i="37"/>
  <c r="M106" i="37"/>
  <c r="M115" i="37"/>
  <c r="M178" i="37"/>
  <c r="M231" i="37"/>
  <c r="M236" i="37"/>
  <c r="M47" i="37"/>
  <c r="M59" i="37"/>
  <c r="M39" i="37"/>
  <c r="M89" i="37"/>
  <c r="M97" i="37"/>
  <c r="M102" i="37"/>
  <c r="M175" i="37"/>
  <c r="M313" i="37"/>
  <c r="M160" i="37"/>
  <c r="M86" i="37"/>
  <c r="M150" i="37"/>
  <c r="M22" i="37"/>
  <c r="M27" i="37"/>
  <c r="M30" i="37"/>
  <c r="M67" i="37"/>
  <c r="M196" i="37"/>
  <c r="M214" i="37"/>
  <c r="M184" i="37"/>
  <c r="M235" i="37"/>
  <c r="M273" i="37"/>
  <c r="M282" i="37"/>
  <c r="M12" i="37"/>
  <c r="M252" i="37"/>
  <c r="M312" i="37"/>
  <c r="M36" i="37"/>
  <c r="M83" i="37"/>
  <c r="M157" i="37"/>
  <c r="M80" i="37"/>
  <c r="M127" i="37"/>
  <c r="M129" i="37"/>
  <c r="M131" i="37"/>
  <c r="M145" i="37"/>
  <c r="M226" i="37"/>
  <c r="M272" i="37"/>
  <c r="M19" i="37"/>
  <c r="M45" i="37"/>
  <c r="M57" i="37"/>
  <c r="M118" i="37"/>
  <c r="M125" i="37"/>
  <c r="M140" i="37"/>
  <c r="M147" i="37"/>
  <c r="M180" i="37"/>
  <c r="M34" i="37"/>
  <c r="M65" i="37"/>
  <c r="M78" i="37"/>
  <c r="M114" i="37"/>
  <c r="M116" i="37"/>
  <c r="M69" i="37"/>
  <c r="M52" i="37"/>
  <c r="M37" i="37"/>
  <c r="M24" i="37"/>
  <c r="M42" i="37"/>
  <c r="M31" i="37"/>
  <c r="M16" i="37"/>
  <c r="M176" i="37"/>
  <c r="M136" i="37"/>
  <c r="M84" i="37"/>
  <c r="M93" i="37"/>
  <c r="M87" i="37"/>
  <c r="M72" i="37"/>
  <c r="M191" i="37"/>
  <c r="M60" i="37"/>
  <c r="M268" i="37"/>
  <c r="M212" i="37"/>
  <c r="M208" i="37"/>
  <c r="M163" i="37"/>
  <c r="M143" i="37"/>
  <c r="M95" i="37"/>
  <c r="M90" i="37"/>
  <c r="M54" i="37"/>
  <c r="M41" i="37"/>
  <c r="M23" i="37"/>
  <c r="M168" i="37"/>
  <c r="M148" i="37"/>
  <c r="M141" i="37"/>
  <c r="M109" i="37"/>
  <c r="M105" i="37"/>
  <c r="M111" i="37"/>
  <c r="M107" i="37"/>
  <c r="M75" i="37"/>
  <c r="M63" i="37"/>
  <c r="M33" i="37"/>
  <c r="M120" i="37"/>
  <c r="M51" i="37"/>
  <c r="M188" i="37"/>
  <c r="M122" i="37"/>
  <c r="M113" i="37"/>
  <c r="M233" i="37"/>
  <c r="M171" i="37"/>
  <c r="M135" i="37"/>
  <c r="M126" i="37"/>
  <c r="M124" i="37"/>
  <c r="M43" i="37"/>
  <c r="M18" i="37"/>
  <c r="M15" i="37"/>
  <c r="M250" i="37"/>
  <c r="M244" i="37"/>
  <c r="M166" i="37"/>
  <c r="M153" i="37"/>
  <c r="M137" i="37"/>
  <c r="M128" i="37"/>
  <c r="M79" i="37"/>
  <c r="M328" i="37"/>
  <c r="M256" i="37"/>
  <c r="M220" i="37"/>
  <c r="M202" i="37"/>
  <c r="M192" i="37"/>
  <c r="M151" i="37"/>
  <c r="M144" i="37"/>
  <c r="M66" i="37"/>
  <c r="M53" i="37"/>
  <c r="M35" i="37"/>
  <c r="M46" i="37"/>
  <c r="M289" i="37"/>
  <c r="M234" i="37"/>
  <c r="M205" i="37"/>
  <c r="M177" i="37"/>
  <c r="M172" i="37"/>
  <c r="M156" i="37"/>
  <c r="M62" i="37"/>
  <c r="M169" i="37"/>
  <c r="M82" i="37"/>
  <c r="M55" i="37"/>
  <c r="M290" i="37"/>
  <c r="M195" i="37"/>
  <c r="M186" i="37"/>
  <c r="M183" i="37"/>
  <c r="M91" i="37"/>
  <c r="M32" i="37"/>
  <c r="M17" i="37"/>
  <c r="M110" i="37"/>
  <c r="M96" i="37"/>
  <c r="M103" i="37"/>
  <c r="M100" i="37"/>
  <c r="M48" i="37"/>
  <c r="M28" i="37"/>
  <c r="M94" i="37"/>
  <c r="M10" i="37"/>
  <c r="M221" i="37"/>
  <c r="M154" i="37"/>
  <c r="M149" i="37"/>
  <c r="M112" i="37"/>
  <c r="M13" i="37"/>
  <c r="M25" i="37"/>
  <c r="M1245" i="37"/>
  <c r="M25" i="40" l="1"/>
  <c r="M13" i="40"/>
  <c r="M10" i="40"/>
  <c r="M79" i="40" s="1"/>
  <c r="M28" i="40"/>
  <c r="M48" i="40"/>
  <c r="M17" i="40"/>
  <c r="M32" i="40"/>
  <c r="M55" i="40"/>
  <c r="M62" i="40"/>
  <c r="M46" i="40"/>
  <c r="M35" i="40"/>
  <c r="M53" i="40"/>
  <c r="M66" i="40"/>
  <c r="M15" i="40"/>
  <c r="M18" i="40"/>
  <c r="M43" i="40"/>
  <c r="M51" i="40"/>
  <c r="M33" i="40"/>
  <c r="M63" i="40"/>
  <c r="M75" i="40"/>
  <c r="M23" i="40"/>
  <c r="M41" i="40"/>
  <c r="M54" i="40"/>
  <c r="M60" i="40"/>
  <c r="M72" i="40"/>
  <c r="M16" i="40"/>
  <c r="M31" i="40"/>
  <c r="M42" i="40"/>
  <c r="M24" i="40"/>
  <c r="M37" i="40"/>
  <c r="M52" i="40"/>
  <c r="M69" i="40"/>
  <c r="M65" i="40"/>
  <c r="M34" i="40"/>
  <c r="M57" i="40"/>
  <c r="M45" i="40"/>
  <c r="M19" i="40"/>
  <c r="M36" i="40"/>
  <c r="M12" i="40"/>
  <c r="M67" i="40"/>
  <c r="M30" i="40"/>
  <c r="M27" i="40"/>
  <c r="M22" i="40"/>
  <c r="M39" i="40"/>
  <c r="M59" i="40"/>
  <c r="M47" i="40"/>
  <c r="M74" i="40"/>
  <c r="M70" i="40"/>
  <c r="M56" i="40"/>
  <c r="M50" i="40"/>
  <c r="M29" i="40"/>
  <c r="M14" i="40"/>
  <c r="M58" i="40"/>
  <c r="M21" i="40"/>
  <c r="M127" i="40"/>
  <c r="M109" i="40"/>
  <c r="M146" i="40"/>
  <c r="M95" i="40"/>
  <c r="M153" i="40"/>
  <c r="M84" i="40"/>
  <c r="M129" i="40"/>
  <c r="M151" i="40"/>
  <c r="M125" i="40"/>
  <c r="M97" i="40"/>
  <c r="M132" i="40"/>
  <c r="M123" i="40"/>
  <c r="M87" i="40"/>
  <c r="M94" i="40"/>
  <c r="M110" i="40"/>
  <c r="M106" i="40"/>
  <c r="M157" i="40"/>
  <c r="M154" i="40"/>
  <c r="M137" i="40"/>
  <c r="M135" i="40"/>
  <c r="M112" i="40"/>
  <c r="M108" i="40"/>
  <c r="M130" i="40"/>
  <c r="M114" i="40"/>
  <c r="M96" i="40"/>
  <c r="M89" i="40"/>
  <c r="M128" i="40"/>
  <c r="M98" i="40"/>
  <c r="M144" i="40"/>
  <c r="M138" i="40"/>
  <c r="M121" i="40"/>
  <c r="M88" i="40"/>
  <c r="M100" i="40"/>
  <c r="M159" i="40"/>
  <c r="M140" i="40"/>
  <c r="M115" i="40"/>
  <c r="M113" i="40"/>
  <c r="M111" i="40"/>
  <c r="M83" i="40"/>
  <c r="M134" i="40"/>
  <c r="M150" i="40"/>
  <c r="M90" i="40"/>
  <c r="M147" i="40"/>
  <c r="M99" i="40"/>
  <c r="M85" i="40"/>
  <c r="M82" i="40"/>
  <c r="M145" i="40"/>
  <c r="M143" i="40"/>
  <c r="M139" i="40"/>
  <c r="M126" i="40"/>
  <c r="M124" i="40"/>
  <c r="M93" i="40"/>
  <c r="M120" i="40"/>
  <c r="M116" i="40"/>
  <c r="M102" i="40"/>
  <c r="M104" i="40"/>
  <c r="M136" i="40"/>
  <c r="M122" i="40"/>
  <c r="M107" i="40"/>
  <c r="M92" i="40"/>
  <c r="M156" i="40"/>
  <c r="M152" i="40"/>
  <c r="M149" i="40"/>
  <c r="M133" i="40"/>
  <c r="M119" i="40"/>
  <c r="M103" i="40"/>
  <c r="L16" i="39"/>
  <c r="BK9" i="38"/>
  <c r="BK8" i="38"/>
  <c r="BI14" i="38"/>
  <c r="R31" i="39" s="1"/>
  <c r="BI8" i="38"/>
  <c r="R25" i="39" s="1"/>
  <c r="L6" i="37"/>
  <c r="K6" i="37" s="1"/>
  <c r="BI12" i="38"/>
  <c r="R29" i="39" s="1"/>
  <c r="N15" i="39"/>
  <c r="N17" i="39"/>
  <c r="N14" i="39"/>
  <c r="BK12" i="38"/>
  <c r="BI9" i="38"/>
  <c r="R26" i="39" s="1"/>
  <c r="R35" i="39" s="1"/>
  <c r="BK13" i="38"/>
  <c r="L14" i="39"/>
  <c r="AE16" i="38"/>
  <c r="AE19" i="38"/>
  <c r="AE18" i="38"/>
  <c r="BK7" i="38"/>
  <c r="BI7" i="38"/>
  <c r="R24" i="39" s="1"/>
  <c r="AE17" i="38"/>
  <c r="L1318" i="37"/>
  <c r="L1236" i="37"/>
  <c r="L1263" i="37"/>
  <c r="L1281" i="37"/>
  <c r="L1286" i="37"/>
  <c r="L1300" i="37"/>
  <c r="L1272" i="37"/>
  <c r="L1290" i="37"/>
  <c r="L1304" i="37"/>
  <c r="L1310" i="37"/>
  <c r="L1327" i="37"/>
  <c r="L1264" i="37"/>
  <c r="L1282" i="37"/>
  <c r="L1298" i="37"/>
  <c r="L1314" i="37"/>
  <c r="L1331" i="37"/>
  <c r="L1191" i="37"/>
  <c r="L1204" i="37"/>
  <c r="L1219" i="37"/>
  <c r="L1233" i="37"/>
  <c r="L1259" i="37"/>
  <c r="L1129" i="37"/>
  <c r="L1142" i="37"/>
  <c r="L1155" i="37"/>
  <c r="L1170" i="37"/>
  <c r="L1186" i="37"/>
  <c r="L1323" i="37"/>
  <c r="L1073" i="37"/>
  <c r="L1089" i="37"/>
  <c r="L1105" i="37"/>
  <c r="L1121" i="37"/>
  <c r="L1260" i="37"/>
  <c r="L1280" i="37"/>
  <c r="L1296" i="37"/>
  <c r="L1312" i="37"/>
  <c r="L1315" i="37"/>
  <c r="L1187" i="37"/>
  <c r="L1202" i="37"/>
  <c r="L1215" i="37"/>
  <c r="L1231" i="37"/>
  <c r="L1235" i="37"/>
  <c r="L1126" i="37"/>
  <c r="L1140" i="37"/>
  <c r="L1153" i="37"/>
  <c r="L1168" i="37"/>
  <c r="L1171" i="37"/>
  <c r="L1271" i="37"/>
  <c r="L1289" i="37"/>
  <c r="L1303" i="37"/>
  <c r="L1321" i="37"/>
  <c r="L1118" i="37"/>
  <c r="L1297" i="37"/>
  <c r="L1313" i="37"/>
  <c r="L1330" i="37"/>
  <c r="L1239" i="37"/>
  <c r="L1266" i="37"/>
  <c r="L1216" i="37"/>
  <c r="L1232" i="37"/>
  <c r="L1258" i="37"/>
  <c r="L1277" i="37"/>
  <c r="L1294" i="37"/>
  <c r="L1301" i="37"/>
  <c r="L1319" i="37"/>
  <c r="L1322" i="37"/>
  <c r="L1200" i="37"/>
  <c r="L1213" i="37"/>
  <c r="L1222" i="37"/>
  <c r="L1237" i="37"/>
  <c r="L1241" i="37"/>
  <c r="L1267" i="37"/>
  <c r="L1287" i="37"/>
  <c r="L1328" i="37"/>
  <c r="L1173" i="37"/>
  <c r="L1177" i="37"/>
  <c r="L1194" i="37"/>
  <c r="L1207" i="37"/>
  <c r="L1247" i="37"/>
  <c r="L1273" i="37"/>
  <c r="L1278" i="37"/>
  <c r="L1295" i="37"/>
  <c r="L1311" i="37"/>
  <c r="L1183" i="37"/>
  <c r="L1198" i="37"/>
  <c r="L1201" i="37"/>
  <c r="L1214" i="37"/>
  <c r="L1230" i="37"/>
  <c r="L1265" i="37"/>
  <c r="L1283" i="37"/>
  <c r="L1299" i="37"/>
  <c r="L1302" i="37"/>
  <c r="L1320" i="37"/>
  <c r="L1192" i="37"/>
  <c r="L1205" i="37"/>
  <c r="L1220" i="37"/>
  <c r="L1223" i="37"/>
  <c r="L1238" i="37"/>
  <c r="L1326" i="37"/>
  <c r="L1329" i="37"/>
  <c r="L1156" i="37"/>
  <c r="L1160" i="37"/>
  <c r="L1174" i="37"/>
  <c r="L1138" i="37"/>
  <c r="L1123" i="37"/>
  <c r="L1293" i="37"/>
  <c r="L1307" i="37"/>
  <c r="L1242" i="37"/>
  <c r="L1054" i="37"/>
  <c r="L1081" i="37"/>
  <c r="L1101" i="37"/>
  <c r="L1107" i="37"/>
  <c r="L1098" i="37"/>
  <c r="L1119" i="37"/>
  <c r="L1180" i="37"/>
  <c r="L1195" i="37"/>
  <c r="L1208" i="37"/>
  <c r="L1104" i="37"/>
  <c r="L1134" i="37"/>
  <c r="L1141" i="37"/>
  <c r="L1150" i="37"/>
  <c r="L1060" i="37"/>
  <c r="L1052" i="37"/>
  <c r="L1086" i="37"/>
  <c r="L1109" i="37"/>
  <c r="L1083" i="37"/>
  <c r="L1092" i="37"/>
  <c r="L1080" i="37"/>
  <c r="L1116" i="37"/>
  <c r="L1169" i="37"/>
  <c r="L1292" i="37"/>
  <c r="L1035" i="37"/>
  <c r="L1058" i="37"/>
  <c r="L1070" i="37"/>
  <c r="L1072" i="37"/>
  <c r="L1075" i="37"/>
  <c r="L1077" i="37"/>
  <c r="L1288" i="37"/>
  <c r="L1122" i="37"/>
  <c r="L1137" i="37"/>
  <c r="L1164" i="37"/>
  <c r="L1206" i="37"/>
  <c r="L1221" i="37"/>
  <c r="L1131" i="37"/>
  <c r="L1149" i="37"/>
  <c r="L1199" i="37"/>
  <c r="L1229" i="37"/>
  <c r="L1193" i="37"/>
  <c r="L1128" i="37"/>
  <c r="L1212" i="37"/>
  <c r="L1061" i="37"/>
  <c r="L1179" i="37"/>
  <c r="L1059" i="37"/>
  <c r="L1071" i="37"/>
  <c r="L1143" i="37"/>
  <c r="L1152" i="37"/>
  <c r="L1163" i="37"/>
  <c r="L1003" i="37"/>
  <c r="L1017" i="37"/>
  <c r="L1021" i="37"/>
  <c r="L1041" i="37"/>
  <c r="L1047" i="37"/>
  <c r="L1185" i="37"/>
  <c r="L1211" i="37"/>
  <c r="L1146" i="37"/>
  <c r="L1178" i="37"/>
  <c r="L1228" i="37"/>
  <c r="L1227" i="37"/>
  <c r="L1257" i="37"/>
  <c r="L1100" i="37"/>
  <c r="L1139" i="37"/>
  <c r="L1172" i="37"/>
  <c r="L1197" i="37"/>
  <c r="L1055" i="37"/>
  <c r="L1103" i="37"/>
  <c r="L1112" i="37"/>
  <c r="L1276" i="37"/>
  <c r="L1064" i="37"/>
  <c r="L1082" i="37"/>
  <c r="L1091" i="37"/>
  <c r="L1154" i="37"/>
  <c r="L1158" i="37"/>
  <c r="L1203" i="37"/>
  <c r="L1166" i="37"/>
  <c r="L1210" i="37"/>
  <c r="L1024" i="37"/>
  <c r="L1032" i="37"/>
  <c r="L1040" i="37"/>
  <c r="L1053" i="37"/>
  <c r="L1087" i="37"/>
  <c r="L1114" i="37"/>
  <c r="L1196" i="37"/>
  <c r="L982" i="37"/>
  <c r="L985" i="37"/>
  <c r="L1001" i="37"/>
  <c r="L1016" i="37"/>
  <c r="L1036" i="37"/>
  <c r="L914" i="37"/>
  <c r="L930" i="37"/>
  <c r="L938" i="37"/>
  <c r="L952" i="37"/>
  <c r="L966" i="37"/>
  <c r="L1190" i="37"/>
  <c r="L1225" i="37"/>
  <c r="L1209" i="37"/>
  <c r="L1226" i="37"/>
  <c r="L899" i="37"/>
  <c r="L1243" i="37"/>
  <c r="L1270" i="37"/>
  <c r="L1117" i="37"/>
  <c r="L1144" i="37"/>
  <c r="L1165" i="37"/>
  <c r="L915" i="37"/>
  <c r="L964" i="37"/>
  <c r="L994" i="37"/>
  <c r="L1076" i="37"/>
  <c r="L1151" i="37"/>
  <c r="L833" i="37"/>
  <c r="L852" i="37"/>
  <c r="L866" i="37"/>
  <c r="L881" i="37"/>
  <c r="L902" i="37"/>
  <c r="L1006" i="37"/>
  <c r="L1031" i="37"/>
  <c r="L1093" i="37"/>
  <c r="L814" i="37"/>
  <c r="L829" i="37"/>
  <c r="L1068" i="37"/>
  <c r="L922" i="37"/>
  <c r="L937" i="37"/>
  <c r="L949" i="37"/>
  <c r="L977" i="37"/>
  <c r="L956" i="37"/>
  <c r="L967" i="37"/>
  <c r="L984" i="37"/>
  <c r="L1008" i="37"/>
  <c r="L1011" i="37"/>
  <c r="L974" i="37"/>
  <c r="L998" i="37"/>
  <c r="L1110" i="37"/>
  <c r="L874" i="37"/>
  <c r="L892" i="37"/>
  <c r="L835" i="37"/>
  <c r="L900" i="37"/>
  <c r="L913" i="37"/>
  <c r="L940" i="37"/>
  <c r="L920" i="37"/>
  <c r="L947" i="37"/>
  <c r="L1043" i="37"/>
  <c r="L1136" i="37"/>
  <c r="L1148" i="37"/>
  <c r="L831" i="37"/>
  <c r="L850" i="37"/>
  <c r="L864" i="37"/>
  <c r="L867" i="37"/>
  <c r="L883" i="37"/>
  <c r="L995" i="37"/>
  <c r="L1013" i="37"/>
  <c r="L1015" i="37"/>
  <c r="L1046" i="37"/>
  <c r="L815" i="37"/>
  <c r="L1135" i="37"/>
  <c r="L1162" i="37"/>
  <c r="L1147" i="37"/>
  <c r="L953" i="37"/>
  <c r="L965" i="37"/>
  <c r="L1027" i="37"/>
  <c r="L1033" i="37"/>
  <c r="L1145" i="37"/>
  <c r="L1161" i="37"/>
  <c r="L880" i="37"/>
  <c r="L901" i="37"/>
  <c r="L936" i="37"/>
  <c r="L963" i="37"/>
  <c r="L993" i="37"/>
  <c r="L1010" i="37"/>
  <c r="L1108" i="37"/>
  <c r="L1133" i="37"/>
  <c r="L851" i="37"/>
  <c r="L865" i="37"/>
  <c r="L943" i="37"/>
  <c r="L970" i="37"/>
  <c r="L983" i="37"/>
  <c r="L1005" i="37"/>
  <c r="L1007" i="37"/>
  <c r="L1057" i="37"/>
  <c r="L1099" i="37"/>
  <c r="L891" i="37"/>
  <c r="L908" i="37"/>
  <c r="L921" i="37"/>
  <c r="L929" i="37"/>
  <c r="L954" i="37"/>
  <c r="L990" i="37"/>
  <c r="L1000" i="37"/>
  <c r="L1049" i="37"/>
  <c r="L821" i="37"/>
  <c r="L841" i="37"/>
  <c r="L855" i="37"/>
  <c r="L869" i="37"/>
  <c r="L873" i="37"/>
  <c r="L1045" i="37"/>
  <c r="L1157" i="37"/>
  <c r="L786" i="37"/>
  <c r="L802" i="37"/>
  <c r="L818" i="37"/>
  <c r="L988" i="37"/>
  <c r="L1039" i="37"/>
  <c r="L1048" i="37"/>
  <c r="L1088" i="37"/>
  <c r="L1132" i="37"/>
  <c r="L1042" i="37"/>
  <c r="L1056" i="37"/>
  <c r="L1066" i="37"/>
  <c r="L896" i="37"/>
  <c r="L926" i="37"/>
  <c r="L871" i="37"/>
  <c r="L909" i="37"/>
  <c r="L944" i="37"/>
  <c r="L959" i="37"/>
  <c r="L971" i="37"/>
  <c r="L819" i="37"/>
  <c r="L834" i="37"/>
  <c r="L839" i="37"/>
  <c r="L853" i="37"/>
  <c r="L856" i="37"/>
  <c r="L1026" i="37"/>
  <c r="L1078" i="37"/>
  <c r="L1097" i="37"/>
  <c r="L1106" i="37"/>
  <c r="L1130" i="37"/>
  <c r="L950" i="37"/>
  <c r="L978" i="37"/>
  <c r="L991" i="37"/>
  <c r="L1004" i="37"/>
  <c r="L1020" i="37"/>
  <c r="L907" i="37"/>
  <c r="L924" i="37"/>
  <c r="L935" i="37"/>
  <c r="L962" i="37"/>
  <c r="L1184" i="37"/>
  <c r="L1023" i="37"/>
  <c r="L1034" i="37"/>
  <c r="L875" i="37"/>
  <c r="L879" i="37"/>
  <c r="L894" i="37"/>
  <c r="L1065" i="37"/>
  <c r="L1305" i="37"/>
  <c r="L989" i="37"/>
  <c r="L1037" i="37"/>
  <c r="L1096" i="37"/>
  <c r="L946" i="37"/>
  <c r="L951" i="37"/>
  <c r="L972" i="37"/>
  <c r="L1113" i="37"/>
  <c r="L1175" i="37"/>
  <c r="L792" i="37"/>
  <c r="L807" i="37"/>
  <c r="L911" i="37"/>
  <c r="L1019" i="37"/>
  <c r="L1050" i="37"/>
  <c r="L849" i="37"/>
  <c r="L872" i="37"/>
  <c r="L884" i="37"/>
  <c r="L996" i="37"/>
  <c r="L772" i="37"/>
  <c r="L961" i="37"/>
  <c r="L1094" i="37"/>
  <c r="L804" i="37"/>
  <c r="L823" i="37"/>
  <c r="L840" i="37"/>
  <c r="L906" i="37"/>
  <c r="L918" i="37"/>
  <c r="L780" i="37"/>
  <c r="L790" i="37"/>
  <c r="L858" i="37"/>
  <c r="L825" i="37"/>
  <c r="L832" i="37"/>
  <c r="L960" i="37"/>
  <c r="L1084" i="37"/>
  <c r="L845" i="37"/>
  <c r="L861" i="37"/>
  <c r="L888" i="37"/>
  <c r="L927" i="37"/>
  <c r="L1044" i="37"/>
  <c r="L812" i="37"/>
  <c r="L905" i="37"/>
  <c r="L945" i="37"/>
  <c r="L764" i="37"/>
  <c r="L778" i="37"/>
  <c r="L854" i="37"/>
  <c r="L822" i="37"/>
  <c r="L828" i="37"/>
  <c r="L975" i="37"/>
  <c r="L816" i="37"/>
  <c r="L857" i="37"/>
  <c r="L754" i="37"/>
  <c r="L757" i="37"/>
  <c r="L771" i="37"/>
  <c r="L791" i="37"/>
  <c r="L803" i="37"/>
  <c r="L1014" i="37"/>
  <c r="L1067" i="37"/>
  <c r="L1025" i="37"/>
  <c r="L719" i="37"/>
  <c r="L734" i="37"/>
  <c r="L931" i="37"/>
  <c r="L969" i="37"/>
  <c r="L939" i="37"/>
  <c r="L980" i="37"/>
  <c r="L999" i="37"/>
  <c r="L1063" i="37"/>
  <c r="L987" i="37"/>
  <c r="L878" i="37"/>
  <c r="L917" i="37"/>
  <c r="L885" i="37"/>
  <c r="L916" i="37"/>
  <c r="L948" i="37"/>
  <c r="L973" i="37"/>
  <c r="L979" i="37"/>
  <c r="L876" i="37"/>
  <c r="L897" i="37"/>
  <c r="L958" i="37"/>
  <c r="L793" i="37"/>
  <c r="L844" i="37"/>
  <c r="L774" i="37"/>
  <c r="L785" i="37"/>
  <c r="L847" i="37"/>
  <c r="L862" i="37"/>
  <c r="L889" i="37"/>
  <c r="L941" i="37"/>
  <c r="L797" i="37"/>
  <c r="L912" i="37"/>
  <c r="L957" i="37"/>
  <c r="L1012" i="37"/>
  <c r="L751" i="37"/>
  <c r="L761" i="37"/>
  <c r="L843" i="37"/>
  <c r="L868" i="37"/>
  <c r="L925" i="37"/>
  <c r="L765" i="37"/>
  <c r="L890" i="37"/>
  <c r="L647" i="37"/>
  <c r="L674" i="37"/>
  <c r="L707" i="37"/>
  <c r="L616" i="37"/>
  <c r="L631" i="37"/>
  <c r="L653" i="37"/>
  <c r="L681" i="37"/>
  <c r="L694" i="37"/>
  <c r="L553" i="37"/>
  <c r="L567" i="37"/>
  <c r="L581" i="37"/>
  <c r="L585" i="37"/>
  <c r="L600" i="37"/>
  <c r="L704" i="37"/>
  <c r="L721" i="37"/>
  <c r="L753" i="37"/>
  <c r="L886" i="37"/>
  <c r="L536" i="37"/>
  <c r="L716" i="37"/>
  <c r="L743" i="37"/>
  <c r="L758" i="37"/>
  <c r="L842" i="37"/>
  <c r="L665" i="37"/>
  <c r="L808" i="37"/>
  <c r="L657" i="37"/>
  <c r="L672" i="37"/>
  <c r="L684" i="37"/>
  <c r="L702" i="37"/>
  <c r="L692" i="37"/>
  <c r="L714" i="37"/>
  <c r="L729" i="37"/>
  <c r="L783" i="37"/>
  <c r="L796" i="37"/>
  <c r="L745" i="37"/>
  <c r="L747" i="37"/>
  <c r="L755" i="37"/>
  <c r="L788" i="37"/>
  <c r="L801" i="37"/>
  <c r="L629" i="37"/>
  <c r="L632" i="37"/>
  <c r="L663" i="37"/>
  <c r="L699" i="37"/>
  <c r="L732" i="37"/>
  <c r="L760" i="37"/>
  <c r="L860" i="37"/>
  <c r="L582" i="37"/>
  <c r="L598" i="37"/>
  <c r="L614" i="37"/>
  <c r="L655" i="37"/>
  <c r="L670" i="37"/>
  <c r="L682" i="37"/>
  <c r="L712" i="37"/>
  <c r="L737" i="37"/>
  <c r="L749" i="37"/>
  <c r="L767" i="37"/>
  <c r="L773" i="37"/>
  <c r="L795" i="37"/>
  <c r="L813" i="37"/>
  <c r="L606" i="37"/>
  <c r="L622" i="37"/>
  <c r="L638" i="37"/>
  <c r="L661" i="37"/>
  <c r="L689" i="37"/>
  <c r="L541" i="37"/>
  <c r="L558" i="37"/>
  <c r="L572" i="37"/>
  <c r="L587" i="37"/>
  <c r="L590" i="37"/>
  <c r="L673" i="37"/>
  <c r="L770" i="37"/>
  <c r="L782" i="37"/>
  <c r="L525" i="37"/>
  <c r="L528" i="37"/>
  <c r="L680" i="37"/>
  <c r="L703" i="37"/>
  <c r="L752" i="37"/>
  <c r="L820" i="37"/>
  <c r="L904" i="37"/>
  <c r="L595" i="37"/>
  <c r="L611" i="37"/>
  <c r="L615" i="37"/>
  <c r="L630" i="37"/>
  <c r="L652" i="37"/>
  <c r="L715" i="37"/>
  <c r="L723" i="37"/>
  <c r="L725" i="37"/>
  <c r="L566" i="37"/>
  <c r="L580" i="37"/>
  <c r="L744" i="37"/>
  <c r="L746" i="37"/>
  <c r="L659" i="37"/>
  <c r="L671" i="37"/>
  <c r="L687" i="37"/>
  <c r="L766" i="37"/>
  <c r="L799" i="37"/>
  <c r="L827" i="37"/>
  <c r="L728" i="37"/>
  <c r="L730" i="37"/>
  <c r="L713" i="37"/>
  <c r="L733" i="37"/>
  <c r="L739" i="37"/>
  <c r="L762" i="37"/>
  <c r="L710" i="37"/>
  <c r="L769" i="37"/>
  <c r="L787" i="37"/>
  <c r="L848" i="37"/>
  <c r="L691" i="37"/>
  <c r="L777" i="37"/>
  <c r="L806" i="37"/>
  <c r="L628" i="37"/>
  <c r="L669" i="37"/>
  <c r="L698" i="37"/>
  <c r="L688" i="37"/>
  <c r="L708" i="37"/>
  <c r="L811" i="37"/>
  <c r="L895" i="37"/>
  <c r="L675" i="37"/>
  <c r="L666" i="37"/>
  <c r="L679" i="37"/>
  <c r="L696" i="37"/>
  <c r="L781" i="37"/>
  <c r="L798" i="37"/>
  <c r="L686" i="37"/>
  <c r="L705" i="37"/>
  <c r="L722" i="37"/>
  <c r="L724" i="37"/>
  <c r="L726" i="37"/>
  <c r="L824" i="37"/>
  <c r="L610" i="37"/>
  <c r="L626" i="37"/>
  <c r="L641" i="37"/>
  <c r="L651" i="37"/>
  <c r="L809" i="37"/>
  <c r="L658" i="37"/>
  <c r="L717" i="37"/>
  <c r="L720" i="37"/>
  <c r="L768" i="37"/>
  <c r="L634" i="37"/>
  <c r="L664" i="37"/>
  <c r="L676" i="37"/>
  <c r="L693" i="37"/>
  <c r="L759" i="37"/>
  <c r="L779" i="37"/>
  <c r="L649" i="37"/>
  <c r="L683" i="37"/>
  <c r="L863" i="37"/>
  <c r="L619" i="37"/>
  <c r="L735" i="37"/>
  <c r="L738" i="37"/>
  <c r="L748" i="37"/>
  <c r="L756" i="37"/>
  <c r="L775" i="37"/>
  <c r="L642" i="37"/>
  <c r="L656" i="37"/>
  <c r="L668" i="37"/>
  <c r="L697" i="37"/>
  <c r="L709" i="37"/>
  <c r="L603" i="37"/>
  <c r="L592" i="37"/>
  <c r="L608" i="37"/>
  <c r="L623" i="37"/>
  <c r="L627" i="37"/>
  <c r="L556" i="37"/>
  <c r="L613" i="37"/>
  <c r="L648" i="37"/>
  <c r="L521" i="37"/>
  <c r="L578" i="37"/>
  <c r="L477" i="37"/>
  <c r="L490" i="37"/>
  <c r="L493" i="37"/>
  <c r="L506" i="37"/>
  <c r="L545" i="37"/>
  <c r="L564" i="37"/>
  <c r="L594" i="37"/>
  <c r="L599" i="37"/>
  <c r="L451" i="37"/>
  <c r="L464" i="37"/>
  <c r="L569" i="37"/>
  <c r="L575" i="37"/>
  <c r="L636" i="37"/>
  <c r="L531" i="37"/>
  <c r="L533" i="37"/>
  <c r="L497" i="37"/>
  <c r="L510" i="37"/>
  <c r="L513" i="37"/>
  <c r="L519" i="37"/>
  <c r="L529" i="37"/>
  <c r="L442" i="37"/>
  <c r="L455" i="37"/>
  <c r="L458" i="37"/>
  <c r="L471" i="37"/>
  <c r="L484" i="37"/>
  <c r="L376" i="37"/>
  <c r="L390" i="37"/>
  <c r="L393" i="37"/>
  <c r="L410" i="37"/>
  <c r="L426" i="37"/>
  <c r="L527" i="37"/>
  <c r="L540" i="37"/>
  <c r="L549" i="37"/>
  <c r="L618" i="37"/>
  <c r="L361" i="37"/>
  <c r="L504" i="37"/>
  <c r="L561" i="37"/>
  <c r="L571" i="37"/>
  <c r="L643" i="37"/>
  <c r="L583" i="37"/>
  <c r="L462" i="37"/>
  <c r="L475" i="37"/>
  <c r="L478" i="37"/>
  <c r="L491" i="37"/>
  <c r="L511" i="37"/>
  <c r="L542" i="37"/>
  <c r="L577" i="37"/>
  <c r="L700" i="37"/>
  <c r="L517" i="37"/>
  <c r="L621" i="37"/>
  <c r="L635" i="37"/>
  <c r="L482" i="37"/>
  <c r="L495" i="37"/>
  <c r="L498" i="37"/>
  <c r="L568" i="37"/>
  <c r="L602" i="37"/>
  <c r="L544" i="37"/>
  <c r="L555" i="37"/>
  <c r="L574" i="37"/>
  <c r="L502" i="37"/>
  <c r="L515" i="37"/>
  <c r="L537" i="37"/>
  <c r="L557" i="37"/>
  <c r="L563" i="37"/>
  <c r="L447" i="37"/>
  <c r="L460" i="37"/>
  <c r="L463" i="37"/>
  <c r="L476" i="37"/>
  <c r="L489" i="37"/>
  <c r="L381" i="37"/>
  <c r="L397" i="37"/>
  <c r="L400" i="37"/>
  <c r="L418" i="37"/>
  <c r="L431" i="37"/>
  <c r="L539" i="37"/>
  <c r="L546" i="37"/>
  <c r="L579" i="37"/>
  <c r="L586" i="37"/>
  <c r="L597" i="37"/>
  <c r="L526" i="37"/>
  <c r="L552" i="37"/>
  <c r="L589" i="37"/>
  <c r="L518" i="37"/>
  <c r="L535" i="37"/>
  <c r="L500" i="37"/>
  <c r="L503" i="37"/>
  <c r="L516" i="37"/>
  <c r="L593" i="37"/>
  <c r="L524" i="37"/>
  <c r="L543" i="37"/>
  <c r="L605" i="37"/>
  <c r="L620" i="37"/>
  <c r="L640" i="37"/>
  <c r="L662" i="37"/>
  <c r="L650" i="37"/>
  <c r="L609" i="37"/>
  <c r="L639" i="37"/>
  <c r="L588" i="37"/>
  <c r="L522" i="37"/>
  <c r="L520" i="37"/>
  <c r="L532" i="37"/>
  <c r="L534" i="37"/>
  <c r="L538" i="37"/>
  <c r="L604" i="37"/>
  <c r="L570" i="37"/>
  <c r="L625" i="37"/>
  <c r="L488" i="37"/>
  <c r="L501" i="37"/>
  <c r="L514" i="37"/>
  <c r="L565" i="37"/>
  <c r="L576" i="37"/>
  <c r="L660" i="37"/>
  <c r="L677" i="37"/>
  <c r="L530" i="37"/>
  <c r="L466" i="37"/>
  <c r="L479" i="37"/>
  <c r="L492" i="37"/>
  <c r="L505" i="37"/>
  <c r="L508" i="37"/>
  <c r="L496" i="37"/>
  <c r="L554" i="37"/>
  <c r="L562" i="37"/>
  <c r="L523" i="37"/>
  <c r="L559" i="37"/>
  <c r="L428" i="37"/>
  <c r="L430" i="37"/>
  <c r="L459" i="37"/>
  <c r="L474" i="37"/>
  <c r="L483" i="37"/>
  <c r="L326" i="37"/>
  <c r="L355" i="37"/>
  <c r="L367" i="37"/>
  <c r="L369" i="37"/>
  <c r="L373" i="37"/>
  <c r="L375" i="37"/>
  <c r="L282" i="37"/>
  <c r="L297" i="37"/>
  <c r="L310" i="37"/>
  <c r="L323" i="37"/>
  <c r="L396" i="37"/>
  <c r="L398" i="37"/>
  <c r="L417" i="37"/>
  <c r="L470" i="37"/>
  <c r="L346" i="37"/>
  <c r="L317" i="37"/>
  <c r="L335" i="37"/>
  <c r="L352" i="37"/>
  <c r="L377" i="37"/>
  <c r="L392" i="37"/>
  <c r="L419" i="37"/>
  <c r="L421" i="37"/>
  <c r="L423" i="37"/>
  <c r="L445" i="37"/>
  <c r="L473" i="37"/>
  <c r="L350" i="37"/>
  <c r="L425" i="37"/>
  <c r="L469" i="37"/>
  <c r="L324" i="37"/>
  <c r="L343" i="37"/>
  <c r="L437" i="37"/>
  <c r="L487" i="37"/>
  <c r="L450" i="37"/>
  <c r="L461" i="37"/>
  <c r="L494" i="37"/>
  <c r="L416" i="37"/>
  <c r="L465" i="37"/>
  <c r="L353" i="37"/>
  <c r="L362" i="37"/>
  <c r="L389" i="37"/>
  <c r="L341" i="37"/>
  <c r="L372" i="37"/>
  <c r="L391" i="37"/>
  <c r="L409" i="37"/>
  <c r="L412" i="37"/>
  <c r="L277" i="37"/>
  <c r="L293" i="37"/>
  <c r="L296" i="37"/>
  <c r="L309" i="37"/>
  <c r="L322" i="37"/>
  <c r="L212" i="37"/>
  <c r="L230" i="37"/>
  <c r="L233" i="37"/>
  <c r="L246" i="37"/>
  <c r="L261" i="37"/>
  <c r="L481" i="37"/>
  <c r="L512" i="37"/>
  <c r="L452" i="37"/>
  <c r="L468" i="37"/>
  <c r="L199" i="37"/>
  <c r="L332" i="37"/>
  <c r="L351" i="37"/>
  <c r="L379" i="37"/>
  <c r="L420" i="37"/>
  <c r="L432" i="37"/>
  <c r="L434" i="37"/>
  <c r="L449" i="37"/>
  <c r="L486" i="37"/>
  <c r="L313" i="37"/>
  <c r="L316" i="37"/>
  <c r="L383" i="37"/>
  <c r="L403" i="37"/>
  <c r="L436" i="37"/>
  <c r="L444" i="37"/>
  <c r="L472" i="37"/>
  <c r="L405" i="37"/>
  <c r="L320" i="37"/>
  <c r="L338" i="37"/>
  <c r="L342" i="37"/>
  <c r="L349" i="37"/>
  <c r="L440" i="37"/>
  <c r="L446" i="37"/>
  <c r="L454" i="37"/>
  <c r="L509" i="37"/>
  <c r="L365" i="37"/>
  <c r="L386" i="37"/>
  <c r="L388" i="37"/>
  <c r="L407" i="37"/>
  <c r="L427" i="37"/>
  <c r="L429" i="37"/>
  <c r="L356" i="37"/>
  <c r="L499" i="37"/>
  <c r="L327" i="37"/>
  <c r="L359" i="37"/>
  <c r="L363" i="37"/>
  <c r="L415" i="37"/>
  <c r="L448" i="37"/>
  <c r="L467" i="37"/>
  <c r="L480" i="37"/>
  <c r="L347" i="37"/>
  <c r="L305" i="37"/>
  <c r="L318" i="37"/>
  <c r="L321" i="37"/>
  <c r="L340" i="37"/>
  <c r="L374" i="37"/>
  <c r="L443" i="37"/>
  <c r="L457" i="37"/>
  <c r="L485" i="37"/>
  <c r="L275" i="37"/>
  <c r="L292" i="37"/>
  <c r="L380" i="37"/>
  <c r="L382" i="37"/>
  <c r="L399" i="37"/>
  <c r="L507" i="37"/>
  <c r="L433" i="37"/>
  <c r="L299" i="37"/>
  <c r="L312" i="37"/>
  <c r="L325" i="37"/>
  <c r="L345" i="37"/>
  <c r="L378" i="37"/>
  <c r="L435" i="37"/>
  <c r="L456" i="37"/>
  <c r="L422" i="37"/>
  <c r="L281" i="37"/>
  <c r="L286" i="37"/>
  <c r="L453" i="37"/>
  <c r="L402" i="37"/>
  <c r="L404" i="37"/>
  <c r="L406" i="37"/>
  <c r="L424" i="37"/>
  <c r="L214" i="37"/>
  <c r="L220" i="37"/>
  <c r="L239" i="37"/>
  <c r="L264" i="37"/>
  <c r="L360" i="37"/>
  <c r="L295" i="37"/>
  <c r="L314" i="37"/>
  <c r="L180" i="37"/>
  <c r="L191" i="37"/>
  <c r="L210" i="37"/>
  <c r="L328" i="37"/>
  <c r="L241" i="37"/>
  <c r="L243" i="37"/>
  <c r="L256" i="37"/>
  <c r="L270" i="37"/>
  <c r="L258" i="37"/>
  <c r="L267" i="37"/>
  <c r="L301" i="37"/>
  <c r="L319" i="37"/>
  <c r="L357" i="37"/>
  <c r="L269" i="37"/>
  <c r="L232" i="37"/>
  <c r="L273" i="37"/>
  <c r="L291" i="37"/>
  <c r="L298" i="37"/>
  <c r="L170" i="37"/>
  <c r="L173" i="37"/>
  <c r="L179" i="37"/>
  <c r="L211" i="37"/>
  <c r="L263" i="37"/>
  <c r="L113" i="37"/>
  <c r="L116" i="37"/>
  <c r="L129" i="37"/>
  <c r="L142" i="37"/>
  <c r="L155" i="37"/>
  <c r="L255" i="37"/>
  <c r="L279" i="37"/>
  <c r="L304" i="37"/>
  <c r="L80" i="37"/>
  <c r="L97" i="37"/>
  <c r="L265" i="37"/>
  <c r="L283" i="37"/>
  <c r="L288" i="37"/>
  <c r="L185" i="37"/>
  <c r="L209" i="37"/>
  <c r="L205" i="37"/>
  <c r="L207" i="37"/>
  <c r="L224" i="37"/>
  <c r="L227" i="37"/>
  <c r="L257" i="37"/>
  <c r="L133" i="37"/>
  <c r="L136" i="37"/>
  <c r="L149" i="37"/>
  <c r="L162" i="37"/>
  <c r="L198" i="37"/>
  <c r="L66" i="37"/>
  <c r="L70" i="37"/>
  <c r="L90" i="37"/>
  <c r="L107" i="37"/>
  <c r="L120" i="37"/>
  <c r="L231" i="37"/>
  <c r="L245" i="37"/>
  <c r="L272" i="37"/>
  <c r="L34" i="37"/>
  <c r="L51" i="37"/>
  <c r="L387" i="37"/>
  <c r="L368" i="37"/>
  <c r="L177" i="37"/>
  <c r="L188" i="37"/>
  <c r="L229" i="37"/>
  <c r="L348" i="37"/>
  <c r="L311" i="37"/>
  <c r="L385" i="37"/>
  <c r="L337" i="37"/>
  <c r="L366" i="37"/>
  <c r="L226" i="37"/>
  <c r="L242" i="37"/>
  <c r="L244" i="37"/>
  <c r="L303" i="37"/>
  <c r="L336" i="37"/>
  <c r="L289" i="37"/>
  <c r="L176" i="37"/>
  <c r="L249" i="37"/>
  <c r="L306" i="37"/>
  <c r="L364" i="37"/>
  <c r="L182" i="37"/>
  <c r="L204" i="37"/>
  <c r="L254" i="37"/>
  <c r="L235" i="37"/>
  <c r="L268" i="37"/>
  <c r="L237" i="37"/>
  <c r="L260" i="37"/>
  <c r="L82" i="37"/>
  <c r="L121" i="37"/>
  <c r="L132" i="37"/>
  <c r="L128" i="37"/>
  <c r="L130" i="37"/>
  <c r="L158" i="37"/>
  <c r="L218" i="37"/>
  <c r="L222" i="37"/>
  <c r="L115" i="37"/>
  <c r="L117" i="37"/>
  <c r="L197" i="37"/>
  <c r="L247" i="37"/>
  <c r="L119" i="37"/>
  <c r="L54" i="37"/>
  <c r="L67" i="37"/>
  <c r="L18" i="37"/>
  <c r="L56" i="37"/>
  <c r="L106" i="37"/>
  <c r="L148" i="37"/>
  <c r="L163" i="37"/>
  <c r="L178" i="37"/>
  <c r="L236" i="37"/>
  <c r="L27" i="37"/>
  <c r="L22" i="37"/>
  <c r="L39" i="37"/>
  <c r="L95" i="37"/>
  <c r="L102" i="37"/>
  <c r="L104" i="37"/>
  <c r="L150" i="37"/>
  <c r="L160" i="37"/>
  <c r="L193" i="37"/>
  <c r="L302" i="37"/>
  <c r="L12" i="37"/>
  <c r="L253" i="37"/>
  <c r="L315" i="37"/>
  <c r="L143" i="37"/>
  <c r="L47" i="37"/>
  <c r="L86" i="37"/>
  <c r="L200" i="37"/>
  <c r="L274" i="37"/>
  <c r="L181" i="37"/>
  <c r="L196" i="37"/>
  <c r="L203" i="37"/>
  <c r="L252" i="37"/>
  <c r="L36" i="37"/>
  <c r="L83" i="37"/>
  <c r="L157" i="37"/>
  <c r="L184" i="37"/>
  <c r="L57" i="37"/>
  <c r="L127" i="37"/>
  <c r="L131" i="37"/>
  <c r="L145" i="37"/>
  <c r="L152" i="37"/>
  <c r="L167" i="37"/>
  <c r="L187" i="37"/>
  <c r="L300" i="37"/>
  <c r="L19" i="37"/>
  <c r="L45" i="37"/>
  <c r="L114" i="37"/>
  <c r="L125" i="37"/>
  <c r="L138" i="37"/>
  <c r="L140" i="37"/>
  <c r="L147" i="37"/>
  <c r="L206" i="37"/>
  <c r="L213" i="37"/>
  <c r="L221" i="37"/>
  <c r="L65" i="37"/>
  <c r="L78" i="37"/>
  <c r="L112" i="37"/>
  <c r="L123" i="37"/>
  <c r="L154" i="37"/>
  <c r="L175" i="37"/>
  <c r="L190" i="37"/>
  <c r="L29" i="37"/>
  <c r="L14" i="37"/>
  <c r="L24" i="37"/>
  <c r="L28" i="37"/>
  <c r="L100" i="37"/>
  <c r="L134" i="37"/>
  <c r="L58" i="37"/>
  <c r="L21" i="37"/>
  <c r="L50" i="37"/>
  <c r="L35" i="37"/>
  <c r="L37" i="37"/>
  <c r="L294" i="37"/>
  <c r="L287" i="37"/>
  <c r="L194" i="37"/>
  <c r="L153" i="37"/>
  <c r="L262" i="37"/>
  <c r="L228" i="37"/>
  <c r="L84" i="37"/>
  <c r="L69" i="37"/>
  <c r="L52" i="37"/>
  <c r="L16" i="37"/>
  <c r="L13" i="37"/>
  <c r="L223" i="37"/>
  <c r="L60" i="37"/>
  <c r="L31" i="37"/>
  <c r="L103" i="37"/>
  <c r="L93" i="37"/>
  <c r="L87" i="37"/>
  <c r="L72" i="37"/>
  <c r="L48" i="37"/>
  <c r="L41" i="37"/>
  <c r="L23" i="37"/>
  <c r="L307" i="37"/>
  <c r="L208" i="37"/>
  <c r="L201" i="37"/>
  <c r="L195" i="37"/>
  <c r="L168" i="37"/>
  <c r="L141" i="37"/>
  <c r="L109" i="37"/>
  <c r="L105" i="37"/>
  <c r="L118" i="37"/>
  <c r="L111" i="37"/>
  <c r="L75" i="37"/>
  <c r="L63" i="37"/>
  <c r="L33" i="37"/>
  <c r="L15" i="37"/>
  <c r="L278" i="37"/>
  <c r="L238" i="37"/>
  <c r="L139" i="37"/>
  <c r="L122" i="37"/>
  <c r="L146" i="37"/>
  <c r="L135" i="37"/>
  <c r="L126" i="37"/>
  <c r="L124" i="37"/>
  <c r="L30" i="37"/>
  <c r="L308" i="37"/>
  <c r="L250" i="37"/>
  <c r="L174" i="37"/>
  <c r="L171" i="37"/>
  <c r="L161" i="37"/>
  <c r="L166" i="37"/>
  <c r="L137" i="37"/>
  <c r="L79" i="37"/>
  <c r="L59" i="37"/>
  <c r="L43" i="37"/>
  <c r="L25" i="37"/>
  <c r="L10" i="37"/>
  <c r="L202" i="37"/>
  <c r="L192" i="37"/>
  <c r="L189" i="37"/>
  <c r="L251" i="37"/>
  <c r="L234" i="37"/>
  <c r="L151" i="37"/>
  <c r="L144" i="37"/>
  <c r="L53" i="37"/>
  <c r="L62" i="37"/>
  <c r="L32" i="37"/>
  <c r="L17" i="37"/>
  <c r="L46" i="37"/>
  <c r="L169" i="37"/>
  <c r="L183" i="37"/>
  <c r="L172" i="37"/>
  <c r="L156" i="37"/>
  <c r="L94" i="37"/>
  <c r="L91" i="37"/>
  <c r="L55" i="37"/>
  <c r="L42" i="37"/>
  <c r="L290" i="37"/>
  <c r="L240" i="37"/>
  <c r="L186" i="37"/>
  <c r="L159" i="37"/>
  <c r="L110" i="37"/>
  <c r="L108" i="37"/>
  <c r="L96" i="37"/>
  <c r="L74" i="37"/>
  <c r="L1245" i="37"/>
  <c r="L89" i="37"/>
  <c r="K1322" i="37"/>
  <c r="K1327" i="37"/>
  <c r="K1226" i="37"/>
  <c r="K1241" i="37"/>
  <c r="K1272" i="37"/>
  <c r="K1290" i="37"/>
  <c r="K1304" i="37"/>
  <c r="K1331" i="37"/>
  <c r="K1177" i="37"/>
  <c r="K1180" i="37"/>
  <c r="K1197" i="37"/>
  <c r="K1210" i="37"/>
  <c r="K1259" i="37"/>
  <c r="K1278" i="37"/>
  <c r="K1282" i="37"/>
  <c r="K1298" i="37"/>
  <c r="K1314" i="37"/>
  <c r="K1186" i="37"/>
  <c r="K1201" i="37"/>
  <c r="K1204" i="37"/>
  <c r="K1219" i="37"/>
  <c r="K1233" i="37"/>
  <c r="K1139" i="37"/>
  <c r="K1142" i="37"/>
  <c r="K1155" i="37"/>
  <c r="K1170" i="37"/>
  <c r="K1086" i="37"/>
  <c r="K1089" i="37"/>
  <c r="K1105" i="37"/>
  <c r="K1121" i="37"/>
  <c r="K1123" i="37"/>
  <c r="K1302" i="37"/>
  <c r="K1305" i="37"/>
  <c r="K1323" i="37"/>
  <c r="K1055" i="37"/>
  <c r="K1070" i="37"/>
  <c r="K1223" i="37"/>
  <c r="K1227" i="37"/>
  <c r="K1242" i="37"/>
  <c r="K1270" i="37"/>
  <c r="K1288" i="37"/>
  <c r="K1160" i="37"/>
  <c r="K1163" i="37"/>
  <c r="K1178" i="37"/>
  <c r="K1195" i="37"/>
  <c r="K1208" i="37"/>
  <c r="K1094" i="37"/>
  <c r="K1109" i="37"/>
  <c r="K1113" i="37"/>
  <c r="K1133" i="37"/>
  <c r="K1146" i="37"/>
  <c r="K1296" i="37"/>
  <c r="K1312" i="37"/>
  <c r="K1329" i="37"/>
  <c r="K1063" i="37"/>
  <c r="K1078" i="37"/>
  <c r="K1215" i="37"/>
  <c r="K1231" i="37"/>
  <c r="K1257" i="37"/>
  <c r="K1260" i="37"/>
  <c r="K1280" i="37"/>
  <c r="K1153" i="37"/>
  <c r="K1168" i="37"/>
  <c r="K1184" i="37"/>
  <c r="K1187" i="37"/>
  <c r="K1202" i="37"/>
  <c r="K1087" i="37"/>
  <c r="K1103" i="37"/>
  <c r="K1118" i="37"/>
  <c r="K1126" i="37"/>
  <c r="K1140" i="37"/>
  <c r="K1286" i="37"/>
  <c r="K1289" i="37"/>
  <c r="K1303" i="37"/>
  <c r="K1321" i="37"/>
  <c r="K1071" i="37"/>
  <c r="K1206" i="37"/>
  <c r="K1209" i="37"/>
  <c r="K1225" i="37"/>
  <c r="K1239" i="37"/>
  <c r="K1266" i="37"/>
  <c r="K1313" i="37"/>
  <c r="K1330" i="37"/>
  <c r="K1161" i="37"/>
  <c r="K1175" i="37"/>
  <c r="K1193" i="37"/>
  <c r="K1232" i="37"/>
  <c r="K1258" i="37"/>
  <c r="K1277" i="37"/>
  <c r="K1294" i="37"/>
  <c r="K1310" i="37"/>
  <c r="K1301" i="37"/>
  <c r="K1319" i="37"/>
  <c r="K1200" i="37"/>
  <c r="K1213" i="37"/>
  <c r="K1229" i="37"/>
  <c r="K1292" i="37"/>
  <c r="K1295" i="37"/>
  <c r="K1311" i="37"/>
  <c r="K1328" i="37"/>
  <c r="K1287" i="37"/>
  <c r="K1211" i="37"/>
  <c r="K1214" i="37"/>
  <c r="K1230" i="37"/>
  <c r="K1247" i="37"/>
  <c r="K1273" i="37"/>
  <c r="K1149" i="37"/>
  <c r="K1152" i="37"/>
  <c r="K1166" i="37"/>
  <c r="K1183" i="37"/>
  <c r="K1198" i="37"/>
  <c r="K1283" i="37"/>
  <c r="K1299" i="37"/>
  <c r="K1315" i="37"/>
  <c r="K1320" i="37"/>
  <c r="K1136" i="37"/>
  <c r="K1205" i="37"/>
  <c r="K1220" i="37"/>
  <c r="K1235" i="37"/>
  <c r="K1238" i="37"/>
  <c r="K1265" i="37"/>
  <c r="K1143" i="37"/>
  <c r="K1156" i="37"/>
  <c r="K1171" i="37"/>
  <c r="K1174" i="37"/>
  <c r="K1192" i="37"/>
  <c r="K1326" i="37"/>
  <c r="K1091" i="37"/>
  <c r="K1106" i="37"/>
  <c r="K1122" i="37"/>
  <c r="K1130" i="37"/>
  <c r="K1243" i="37"/>
  <c r="K1271" i="37"/>
  <c r="K1276" i="37"/>
  <c r="K1293" i="37"/>
  <c r="K1307" i="37"/>
  <c r="K1179" i="37"/>
  <c r="K1196" i="37"/>
  <c r="K1199" i="37"/>
  <c r="K1212" i="37"/>
  <c r="K1228" i="37"/>
  <c r="K1318" i="37"/>
  <c r="K1134" i="37"/>
  <c r="K1137" i="37"/>
  <c r="K1150" i="37"/>
  <c r="K1164" i="37"/>
  <c r="K1236" i="37"/>
  <c r="K1263" i="37"/>
  <c r="K1281" i="37"/>
  <c r="K1297" i="37"/>
  <c r="K1300" i="37"/>
  <c r="K1172" i="37"/>
  <c r="K1190" i="37"/>
  <c r="K1203" i="37"/>
  <c r="K1216" i="37"/>
  <c r="K1221" i="37"/>
  <c r="K1107" i="37"/>
  <c r="K1128" i="37"/>
  <c r="K1141" i="37"/>
  <c r="K1154" i="37"/>
  <c r="K1157" i="37"/>
  <c r="K1060" i="37"/>
  <c r="K1119" i="37"/>
  <c r="K1267" i="37"/>
  <c r="K1088" i="37"/>
  <c r="K1104" i="37"/>
  <c r="K1144" i="37"/>
  <c r="K1083" i="37"/>
  <c r="K1129" i="37"/>
  <c r="K1165" i="37"/>
  <c r="K1042" i="37"/>
  <c r="K1072" i="37"/>
  <c r="K1075" i="37"/>
  <c r="K1077" i="37"/>
  <c r="K1169" i="37"/>
  <c r="K1207" i="37"/>
  <c r="K1131" i="37"/>
  <c r="K1222" i="37"/>
  <c r="K1067" i="37"/>
  <c r="K1194" i="37"/>
  <c r="K1058" i="37"/>
  <c r="K1041" i="37"/>
  <c r="K1047" i="37"/>
  <c r="K1059" i="37"/>
  <c r="K1092" i="37"/>
  <c r="K1264" i="37"/>
  <c r="K1098" i="37"/>
  <c r="K1116" i="37"/>
  <c r="K1173" i="37"/>
  <c r="K1003" i="37"/>
  <c r="K1017" i="37"/>
  <c r="K1031" i="37"/>
  <c r="K1045" i="37"/>
  <c r="K1068" i="37"/>
  <c r="K1185" i="37"/>
  <c r="K1237" i="37"/>
  <c r="K1064" i="37"/>
  <c r="K1082" i="37"/>
  <c r="K1158" i="37"/>
  <c r="K1011" i="37"/>
  <c r="K1026" i="37"/>
  <c r="K1097" i="37"/>
  <c r="K1108" i="37"/>
  <c r="K1145" i="37"/>
  <c r="K1024" i="37"/>
  <c r="K1032" i="37"/>
  <c r="K1093" i="37"/>
  <c r="K1110" i="37"/>
  <c r="K1148" i="37"/>
  <c r="K1046" i="37"/>
  <c r="K1084" i="37"/>
  <c r="K1147" i="37"/>
  <c r="K1162" i="37"/>
  <c r="K1191" i="37"/>
  <c r="K1073" i="37"/>
  <c r="K1076" i="37"/>
  <c r="K937" i="37"/>
  <c r="K949" i="37"/>
  <c r="K977" i="37"/>
  <c r="K1006" i="37"/>
  <c r="K1135" i="37"/>
  <c r="K1034" i="37"/>
  <c r="K1112" i="37"/>
  <c r="K1138" i="37"/>
  <c r="K909" i="37"/>
  <c r="K922" i="37"/>
  <c r="K991" i="37"/>
  <c r="K956" i="37"/>
  <c r="K984" i="37"/>
  <c r="K1004" i="37"/>
  <c r="K1008" i="37"/>
  <c r="K900" i="37"/>
  <c r="K913" i="37"/>
  <c r="K930" i="37"/>
  <c r="K962" i="37"/>
  <c r="K974" i="37"/>
  <c r="K883" i="37"/>
  <c r="K920" i="37"/>
  <c r="K935" i="37"/>
  <c r="K947" i="37"/>
  <c r="K1043" i="37"/>
  <c r="K827" i="37"/>
  <c r="K831" i="37"/>
  <c r="K850" i="37"/>
  <c r="K864" i="37"/>
  <c r="K879" i="37"/>
  <c r="K995" i="37"/>
  <c r="K1013" i="37"/>
  <c r="K1050" i="37"/>
  <c r="K796" i="37"/>
  <c r="K812" i="37"/>
  <c r="K890" i="37"/>
  <c r="K927" i="37"/>
  <c r="K953" i="37"/>
  <c r="K965" i="37"/>
  <c r="K982" i="37"/>
  <c r="K1100" i="37"/>
  <c r="K938" i="37"/>
  <c r="K972" i="37"/>
  <c r="K1054" i="37"/>
  <c r="K1101" i="37"/>
  <c r="K970" i="37"/>
  <c r="K983" i="37"/>
  <c r="K1005" i="37"/>
  <c r="K1007" i="37"/>
  <c r="K1036" i="37"/>
  <c r="K1049" i="37"/>
  <c r="K1057" i="37"/>
  <c r="K1099" i="37"/>
  <c r="K908" i="37"/>
  <c r="K943" i="37"/>
  <c r="K915" i="37"/>
  <c r="K929" i="37"/>
  <c r="K954" i="37"/>
  <c r="K990" i="37"/>
  <c r="K1000" i="37"/>
  <c r="K961" i="37"/>
  <c r="K1081" i="37"/>
  <c r="K855" i="37"/>
  <c r="K869" i="37"/>
  <c r="K885" i="37"/>
  <c r="K1048" i="37"/>
  <c r="K1053" i="37"/>
  <c r="K1080" i="37"/>
  <c r="K1132" i="37"/>
  <c r="K899" i="37"/>
  <c r="K971" i="37"/>
  <c r="K1061" i="37"/>
  <c r="K1066" i="37"/>
  <c r="K1035" i="37"/>
  <c r="K1039" i="37"/>
  <c r="K867" i="37"/>
  <c r="K871" i="37"/>
  <c r="K904" i="37"/>
  <c r="K944" i="37"/>
  <c r="K959" i="37"/>
  <c r="K815" i="37"/>
  <c r="K819" i="37"/>
  <c r="K834" i="37"/>
  <c r="K839" i="37"/>
  <c r="K853" i="37"/>
  <c r="K916" i="37"/>
  <c r="K950" i="37"/>
  <c r="K978" i="37"/>
  <c r="K1020" i="37"/>
  <c r="K1117" i="37"/>
  <c r="K1023" i="37"/>
  <c r="K957" i="37"/>
  <c r="K985" i="37"/>
  <c r="K1001" i="37"/>
  <c r="K886" i="37"/>
  <c r="K1037" i="37"/>
  <c r="K1096" i="37"/>
  <c r="K941" i="37"/>
  <c r="K969" i="37"/>
  <c r="K999" i="37"/>
  <c r="K1012" i="37"/>
  <c r="K1014" i="37"/>
  <c r="K1052" i="37"/>
  <c r="K1065" i="37"/>
  <c r="K1114" i="37"/>
  <c r="K1019" i="37"/>
  <c r="K1151" i="37"/>
  <c r="K1056" i="37"/>
  <c r="K996" i="37"/>
  <c r="K1010" i="37"/>
  <c r="K897" i="37"/>
  <c r="K792" i="37"/>
  <c r="K807" i="37"/>
  <c r="K833" i="37"/>
  <c r="K911" i="37"/>
  <c r="K835" i="37"/>
  <c r="K849" i="37"/>
  <c r="K872" i="37"/>
  <c r="K884" i="37"/>
  <c r="K901" i="37"/>
  <c r="K966" i="37"/>
  <c r="K1033" i="37"/>
  <c r="K804" i="37"/>
  <c r="K823" i="37"/>
  <c r="K790" i="37"/>
  <c r="K818" i="37"/>
  <c r="K852" i="37"/>
  <c r="K858" i="37"/>
  <c r="K892" i="37"/>
  <c r="K951" i="37"/>
  <c r="K989" i="37"/>
  <c r="K762" i="37"/>
  <c r="K766" i="37"/>
  <c r="K780" i="37"/>
  <c r="K829" i="37"/>
  <c r="K862" i="37"/>
  <c r="K906" i="37"/>
  <c r="K918" i="37"/>
  <c r="K936" i="37"/>
  <c r="K787" i="37"/>
  <c r="K799" i="37"/>
  <c r="K820" i="37"/>
  <c r="K875" i="37"/>
  <c r="K802" i="37"/>
  <c r="K717" i="37"/>
  <c r="K733" i="37"/>
  <c r="K737" i="37"/>
  <c r="K756" i="37"/>
  <c r="K770" i="37"/>
  <c r="K653" i="37"/>
  <c r="K668" i="37"/>
  <c r="K671" i="37"/>
  <c r="K686" i="37"/>
  <c r="K702" i="37"/>
  <c r="K1044" i="37"/>
  <c r="K896" i="37"/>
  <c r="K924" i="37"/>
  <c r="K946" i="37"/>
  <c r="K960" i="37"/>
  <c r="K861" i="37"/>
  <c r="K888" i="37"/>
  <c r="K914" i="37"/>
  <c r="K940" i="37"/>
  <c r="K1016" i="37"/>
  <c r="K905" i="37"/>
  <c r="K945" i="37"/>
  <c r="K797" i="37"/>
  <c r="K814" i="37"/>
  <c r="K854" i="37"/>
  <c r="K1027" i="37"/>
  <c r="K809" i="37"/>
  <c r="K816" i="37"/>
  <c r="K857" i="37"/>
  <c r="K771" i="37"/>
  <c r="K822" i="37"/>
  <c r="K828" i="37"/>
  <c r="K840" i="37"/>
  <c r="K975" i="37"/>
  <c r="K1025" i="37"/>
  <c r="K788" i="37"/>
  <c r="K845" i="37"/>
  <c r="K754" i="37"/>
  <c r="K768" i="37"/>
  <c r="K917" i="37"/>
  <c r="K994" i="37"/>
  <c r="K980" i="37"/>
  <c r="K1015" i="37"/>
  <c r="K988" i="37"/>
  <c r="K993" i="37"/>
  <c r="K964" i="37"/>
  <c r="K987" i="37"/>
  <c r="K1040" i="37"/>
  <c r="K907" i="37"/>
  <c r="K926" i="37"/>
  <c r="K948" i="37"/>
  <c r="K963" i="37"/>
  <c r="K931" i="37"/>
  <c r="K753" i="37"/>
  <c r="K767" i="37"/>
  <c r="K781" i="37"/>
  <c r="K791" i="37"/>
  <c r="K806" i="37"/>
  <c r="K881" i="37"/>
  <c r="K958" i="37"/>
  <c r="K979" i="37"/>
  <c r="K714" i="37"/>
  <c r="K729" i="37"/>
  <c r="K889" i="37"/>
  <c r="K894" i="37"/>
  <c r="K921" i="37"/>
  <c r="K952" i="37"/>
  <c r="K876" i="37"/>
  <c r="K760" i="37"/>
  <c r="K774" i="37"/>
  <c r="K803" i="37"/>
  <c r="K841" i="37"/>
  <c r="K847" i="37"/>
  <c r="K912" i="37"/>
  <c r="K1021" i="37"/>
  <c r="K738" i="37"/>
  <c r="K743" i="37"/>
  <c r="K757" i="37"/>
  <c r="K967" i="37"/>
  <c r="K973" i="37"/>
  <c r="K856" i="37"/>
  <c r="K865" i="37"/>
  <c r="K873" i="37"/>
  <c r="K782" i="37"/>
  <c r="K795" i="37"/>
  <c r="K843" i="37"/>
  <c r="K868" i="37"/>
  <c r="K925" i="37"/>
  <c r="K785" i="37"/>
  <c r="K880" i="37"/>
  <c r="K902" i="37"/>
  <c r="K998" i="37"/>
  <c r="K779" i="37"/>
  <c r="K616" i="37"/>
  <c r="K631" i="37"/>
  <c r="K681" i="37"/>
  <c r="K694" i="37"/>
  <c r="K765" i="37"/>
  <c r="K553" i="37"/>
  <c r="K567" i="37"/>
  <c r="K581" i="37"/>
  <c r="K597" i="37"/>
  <c r="K600" i="37"/>
  <c r="K758" i="37"/>
  <c r="K842" i="37"/>
  <c r="K939" i="37"/>
  <c r="K665" i="37"/>
  <c r="K704" i="37"/>
  <c r="K851" i="37"/>
  <c r="K672" i="37"/>
  <c r="K716" i="37"/>
  <c r="K719" i="37"/>
  <c r="K726" i="37"/>
  <c r="K651" i="37"/>
  <c r="K679" i="37"/>
  <c r="K692" i="37"/>
  <c r="K783" i="37"/>
  <c r="K808" i="37"/>
  <c r="K732" i="37"/>
  <c r="K745" i="37"/>
  <c r="K747" i="37"/>
  <c r="K755" i="37"/>
  <c r="K801" i="37"/>
  <c r="K682" i="37"/>
  <c r="K712" i="37"/>
  <c r="K734" i="37"/>
  <c r="K860" i="37"/>
  <c r="K699" i="37"/>
  <c r="K749" i="37"/>
  <c r="K764" i="37"/>
  <c r="K813" i="37"/>
  <c r="K655" i="37"/>
  <c r="K670" i="37"/>
  <c r="K606" i="37"/>
  <c r="K622" i="37"/>
  <c r="K638" i="37"/>
  <c r="K661" i="37"/>
  <c r="K689" i="37"/>
  <c r="K778" i="37"/>
  <c r="K821" i="37"/>
  <c r="K697" i="37"/>
  <c r="K709" i="37"/>
  <c r="K603" i="37"/>
  <c r="K611" i="37"/>
  <c r="K627" i="37"/>
  <c r="K630" i="37"/>
  <c r="K652" i="37"/>
  <c r="K680" i="37"/>
  <c r="K545" i="37"/>
  <c r="K563" i="37"/>
  <c r="K566" i="37"/>
  <c r="K580" i="37"/>
  <c r="K595" i="37"/>
  <c r="K744" i="37"/>
  <c r="K659" i="37"/>
  <c r="K687" i="37"/>
  <c r="K723" i="37"/>
  <c r="K725" i="37"/>
  <c r="K700" i="37"/>
  <c r="K721" i="37"/>
  <c r="K728" i="37"/>
  <c r="K730" i="37"/>
  <c r="K698" i="37"/>
  <c r="K710" i="37"/>
  <c r="K769" i="37"/>
  <c r="K848" i="37"/>
  <c r="K739" i="37"/>
  <c r="K895" i="37"/>
  <c r="K675" i="37"/>
  <c r="K773" i="37"/>
  <c r="K777" i="37"/>
  <c r="K684" i="37"/>
  <c r="K660" i="37"/>
  <c r="K688" i="37"/>
  <c r="K708" i="37"/>
  <c r="K793" i="37"/>
  <c r="K811" i="37"/>
  <c r="K602" i="37"/>
  <c r="K618" i="37"/>
  <c r="K632" i="37"/>
  <c r="K636" i="37"/>
  <c r="K648" i="37"/>
  <c r="K537" i="37"/>
  <c r="K554" i="37"/>
  <c r="K568" i="37"/>
  <c r="K571" i="37"/>
  <c r="K586" i="37"/>
  <c r="K798" i="37"/>
  <c r="K825" i="37"/>
  <c r="K866" i="37"/>
  <c r="K878" i="37"/>
  <c r="K524" i="37"/>
  <c r="K724" i="37"/>
  <c r="K666" i="37"/>
  <c r="K696" i="37"/>
  <c r="K752" i="37"/>
  <c r="K786" i="37"/>
  <c r="K626" i="37"/>
  <c r="K641" i="37"/>
  <c r="K673" i="37"/>
  <c r="K705" i="37"/>
  <c r="K722" i="37"/>
  <c r="K772" i="37"/>
  <c r="K824" i="37"/>
  <c r="K590" i="37"/>
  <c r="K594" i="37"/>
  <c r="K610" i="37"/>
  <c r="K715" i="37"/>
  <c r="K759" i="37"/>
  <c r="K658" i="37"/>
  <c r="K703" i="37"/>
  <c r="K720" i="37"/>
  <c r="K619" i="37"/>
  <c r="K634" i="37"/>
  <c r="K664" i="37"/>
  <c r="K676" i="37"/>
  <c r="K693" i="37"/>
  <c r="K683" i="37"/>
  <c r="K746" i="37"/>
  <c r="K863" i="37"/>
  <c r="K874" i="37"/>
  <c r="K891" i="37"/>
  <c r="K735" i="37"/>
  <c r="K748" i="37"/>
  <c r="K775" i="37"/>
  <c r="K844" i="37"/>
  <c r="K649" i="37"/>
  <c r="K623" i="37"/>
  <c r="K639" i="37"/>
  <c r="K642" i="37"/>
  <c r="K656" i="37"/>
  <c r="K691" i="37"/>
  <c r="K674" i="37"/>
  <c r="K707" i="37"/>
  <c r="K751" i="37"/>
  <c r="K761" i="37"/>
  <c r="K832" i="37"/>
  <c r="K556" i="37"/>
  <c r="K572" i="37"/>
  <c r="K613" i="37"/>
  <c r="K647" i="37"/>
  <c r="K662" i="37"/>
  <c r="K531" i="37"/>
  <c r="K564" i="37"/>
  <c r="K599" i="37"/>
  <c r="K503" i="37"/>
  <c r="K506" i="37"/>
  <c r="K529" i="37"/>
  <c r="K569" i="37"/>
  <c r="K575" i="37"/>
  <c r="K608" i="37"/>
  <c r="K713" i="37"/>
  <c r="K471" i="37"/>
  <c r="K484" i="37"/>
  <c r="K497" i="37"/>
  <c r="K510" i="37"/>
  <c r="K519" i="37"/>
  <c r="K410" i="37"/>
  <c r="K426" i="37"/>
  <c r="K442" i="37"/>
  <c r="K455" i="37"/>
  <c r="K468" i="37"/>
  <c r="K558" i="37"/>
  <c r="K361" i="37"/>
  <c r="K376" i="37"/>
  <c r="K390" i="37"/>
  <c r="K406" i="37"/>
  <c r="K657" i="37"/>
  <c r="K527" i="37"/>
  <c r="K538" i="37"/>
  <c r="K540" i="37"/>
  <c r="K549" i="37"/>
  <c r="K491" i="37"/>
  <c r="K504" i="37"/>
  <c r="K561" i="37"/>
  <c r="K643" i="37"/>
  <c r="K629" i="37"/>
  <c r="K669" i="37"/>
  <c r="K462" i="37"/>
  <c r="K475" i="37"/>
  <c r="K488" i="37"/>
  <c r="K598" i="37"/>
  <c r="K517" i="37"/>
  <c r="K525" i="37"/>
  <c r="K583" i="37"/>
  <c r="K587" i="37"/>
  <c r="K508" i="37"/>
  <c r="K511" i="37"/>
  <c r="K523" i="37"/>
  <c r="K542" i="37"/>
  <c r="K577" i="37"/>
  <c r="K628" i="37"/>
  <c r="K544" i="37"/>
  <c r="K555" i="37"/>
  <c r="K635" i="37"/>
  <c r="K495" i="37"/>
  <c r="K473" i="37"/>
  <c r="K476" i="37"/>
  <c r="K489" i="37"/>
  <c r="K502" i="37"/>
  <c r="K515" i="37"/>
  <c r="K535" i="37"/>
  <c r="K539" i="37"/>
  <c r="K546" i="37"/>
  <c r="K447" i="37"/>
  <c r="K460" i="37"/>
  <c r="K526" i="37"/>
  <c r="K533" i="37"/>
  <c r="K582" i="37"/>
  <c r="K589" i="37"/>
  <c r="K621" i="37"/>
  <c r="K467" i="37"/>
  <c r="K480" i="37"/>
  <c r="K493" i="37"/>
  <c r="K496" i="37"/>
  <c r="K509" i="37"/>
  <c r="K513" i="37"/>
  <c r="K516" i="37"/>
  <c r="K541" i="37"/>
  <c r="K593" i="37"/>
  <c r="K663" i="37"/>
  <c r="K458" i="37"/>
  <c r="K461" i="37"/>
  <c r="K474" i="37"/>
  <c r="K487" i="37"/>
  <c r="K500" i="37"/>
  <c r="K393" i="37"/>
  <c r="K398" i="37"/>
  <c r="K416" i="37"/>
  <c r="K429" i="37"/>
  <c r="K445" i="37"/>
  <c r="K620" i="37"/>
  <c r="K640" i="37"/>
  <c r="K349" i="37"/>
  <c r="K364" i="37"/>
  <c r="K379" i="37"/>
  <c r="K494" i="37"/>
  <c r="K507" i="37"/>
  <c r="K588" i="37"/>
  <c r="K522" i="37"/>
  <c r="K605" i="37"/>
  <c r="K604" i="37"/>
  <c r="K650" i="37"/>
  <c r="K615" i="37"/>
  <c r="K478" i="37"/>
  <c r="K481" i="37"/>
  <c r="K532" i="37"/>
  <c r="K534" i="37"/>
  <c r="K536" i="37"/>
  <c r="K557" i="37"/>
  <c r="K574" i="37"/>
  <c r="K485" i="37"/>
  <c r="K498" i="37"/>
  <c r="K501" i="37"/>
  <c r="K514" i="37"/>
  <c r="K520" i="37"/>
  <c r="K530" i="37"/>
  <c r="K570" i="37"/>
  <c r="K579" i="37"/>
  <c r="K625" i="37"/>
  <c r="K472" i="37"/>
  <c r="K565" i="37"/>
  <c r="K576" i="37"/>
  <c r="K592" i="37"/>
  <c r="K677" i="37"/>
  <c r="K528" i="37"/>
  <c r="K463" i="37"/>
  <c r="K466" i="37"/>
  <c r="K479" i="37"/>
  <c r="K492" i="37"/>
  <c r="K505" i="37"/>
  <c r="K609" i="37"/>
  <c r="K518" i="37"/>
  <c r="K552" i="37"/>
  <c r="K559" i="37"/>
  <c r="K614" i="37"/>
  <c r="K543" i="37"/>
  <c r="K578" i="37"/>
  <c r="K512" i="37"/>
  <c r="K562" i="37"/>
  <c r="K585" i="37"/>
  <c r="K443" i="37"/>
  <c r="K470" i="37"/>
  <c r="K346" i="37"/>
  <c r="K375" i="37"/>
  <c r="K521" i="37"/>
  <c r="K352" i="37"/>
  <c r="K392" i="37"/>
  <c r="K396" i="37"/>
  <c r="K415" i="37"/>
  <c r="K417" i="37"/>
  <c r="K423" i="37"/>
  <c r="K435" i="37"/>
  <c r="K448" i="37"/>
  <c r="K453" i="37"/>
  <c r="K335" i="37"/>
  <c r="K321" i="37"/>
  <c r="K324" i="37"/>
  <c r="K343" i="37"/>
  <c r="K419" i="37"/>
  <c r="K421" i="37"/>
  <c r="K260" i="37"/>
  <c r="K263" i="37"/>
  <c r="K279" i="37"/>
  <c r="K295" i="37"/>
  <c r="K308" i="37"/>
  <c r="K198" i="37"/>
  <c r="K201" i="37"/>
  <c r="K214" i="37"/>
  <c r="K232" i="37"/>
  <c r="K245" i="37"/>
  <c r="K450" i="37"/>
  <c r="K350" i="37"/>
  <c r="K469" i="37"/>
  <c r="K483" i="37"/>
  <c r="K185" i="37"/>
  <c r="K366" i="37"/>
  <c r="K368" i="37"/>
  <c r="K382" i="37"/>
  <c r="K385" i="37"/>
  <c r="K387" i="37"/>
  <c r="K482" i="37"/>
  <c r="K437" i="37"/>
  <c r="K302" i="37"/>
  <c r="K315" i="37"/>
  <c r="K328" i="37"/>
  <c r="K391" i="37"/>
  <c r="K409" i="37"/>
  <c r="K412" i="37"/>
  <c r="K430" i="37"/>
  <c r="K465" i="37"/>
  <c r="K477" i="37"/>
  <c r="K452" i="37"/>
  <c r="K341" i="37"/>
  <c r="K348" i="37"/>
  <c r="K360" i="37"/>
  <c r="K332" i="37"/>
  <c r="K351" i="37"/>
  <c r="K377" i="37"/>
  <c r="K418" i="37"/>
  <c r="K432" i="37"/>
  <c r="K449" i="37"/>
  <c r="K486" i="37"/>
  <c r="K300" i="37"/>
  <c r="K313" i="37"/>
  <c r="K326" i="37"/>
  <c r="K400" i="37"/>
  <c r="K403" i="37"/>
  <c r="K436" i="37"/>
  <c r="K444" i="37"/>
  <c r="K434" i="37"/>
  <c r="K307" i="37"/>
  <c r="K320" i="37"/>
  <c r="K338" i="37"/>
  <c r="K381" i="37"/>
  <c r="K383" i="37"/>
  <c r="K244" i="37"/>
  <c r="K258" i="37"/>
  <c r="K274" i="37"/>
  <c r="K291" i="37"/>
  <c r="K294" i="37"/>
  <c r="K405" i="37"/>
  <c r="K464" i="37"/>
  <c r="K210" i="37"/>
  <c r="K228" i="37"/>
  <c r="K231" i="37"/>
  <c r="K425" i="37"/>
  <c r="K427" i="37"/>
  <c r="K440" i="37"/>
  <c r="K446" i="37"/>
  <c r="K454" i="37"/>
  <c r="K327" i="37"/>
  <c r="K359" i="37"/>
  <c r="K363" i="37"/>
  <c r="K386" i="37"/>
  <c r="K407" i="37"/>
  <c r="K267" i="37"/>
  <c r="K283" i="37"/>
  <c r="K298" i="37"/>
  <c r="K311" i="37"/>
  <c r="K314" i="37"/>
  <c r="K431" i="37"/>
  <c r="K347" i="37"/>
  <c r="K356" i="37"/>
  <c r="K372" i="37"/>
  <c r="K499" i="37"/>
  <c r="K318" i="37"/>
  <c r="K336" i="37"/>
  <c r="K340" i="37"/>
  <c r="K353" i="37"/>
  <c r="K374" i="37"/>
  <c r="K420" i="37"/>
  <c r="K433" i="37"/>
  <c r="K451" i="37"/>
  <c r="K457" i="37"/>
  <c r="K305" i="37"/>
  <c r="K345" i="37"/>
  <c r="K378" i="37"/>
  <c r="K380" i="37"/>
  <c r="K397" i="37"/>
  <c r="K399" i="37"/>
  <c r="K281" i="37"/>
  <c r="K296" i="37"/>
  <c r="K299" i="37"/>
  <c r="K312" i="37"/>
  <c r="K325" i="37"/>
  <c r="K422" i="37"/>
  <c r="K233" i="37"/>
  <c r="K236" i="37"/>
  <c r="K250" i="37"/>
  <c r="K264" i="37"/>
  <c r="K490" i="37"/>
  <c r="K357" i="37"/>
  <c r="K365" i="37"/>
  <c r="K424" i="37"/>
  <c r="K456" i="37"/>
  <c r="K256" i="37"/>
  <c r="K270" i="37"/>
  <c r="K306" i="37"/>
  <c r="K310" i="37"/>
  <c r="K459" i="37"/>
  <c r="K150" i="37"/>
  <c r="K163" i="37"/>
  <c r="K208" i="37"/>
  <c r="K212" i="37"/>
  <c r="K241" i="37"/>
  <c r="K91" i="37"/>
  <c r="K108" i="37"/>
  <c r="K121" i="37"/>
  <c r="K124" i="37"/>
  <c r="K137" i="37"/>
  <c r="K273" i="37"/>
  <c r="K277" i="37"/>
  <c r="K286" i="37"/>
  <c r="K428" i="37"/>
  <c r="K319" i="37"/>
  <c r="K195" i="37"/>
  <c r="K234" i="37"/>
  <c r="K251" i="37"/>
  <c r="K309" i="37"/>
  <c r="K249" i="37"/>
  <c r="K301" i="37"/>
  <c r="K304" i="37"/>
  <c r="K342" i="37"/>
  <c r="K373" i="37"/>
  <c r="K181" i="37"/>
  <c r="K288" i="37"/>
  <c r="K297" i="37"/>
  <c r="K209" i="37"/>
  <c r="K222" i="37"/>
  <c r="K255" i="37"/>
  <c r="K207" i="37"/>
  <c r="K224" i="37"/>
  <c r="K227" i="37"/>
  <c r="K257" i="37"/>
  <c r="K275" i="37"/>
  <c r="K146" i="37"/>
  <c r="K149" i="37"/>
  <c r="K162" i="37"/>
  <c r="K203" i="37"/>
  <c r="K205" i="37"/>
  <c r="K369" i="37"/>
  <c r="K177" i="37"/>
  <c r="K229" i="37"/>
  <c r="K243" i="37"/>
  <c r="K389" i="37"/>
  <c r="K168" i="37"/>
  <c r="K171" i="37"/>
  <c r="K183" i="37"/>
  <c r="K196" i="37"/>
  <c r="K247" i="37"/>
  <c r="K316" i="37"/>
  <c r="K404" i="37"/>
  <c r="K303" i="37"/>
  <c r="K323" i="37"/>
  <c r="K388" i="37"/>
  <c r="K402" i="37"/>
  <c r="K322" i="37"/>
  <c r="K265" i="37"/>
  <c r="K272" i="37"/>
  <c r="K293" i="37"/>
  <c r="K268" i="37"/>
  <c r="K278" i="37"/>
  <c r="K289" i="37"/>
  <c r="K167" i="37"/>
  <c r="K182" i="37"/>
  <c r="K237" i="37"/>
  <c r="K254" i="37"/>
  <c r="K262" i="37"/>
  <c r="K362" i="37"/>
  <c r="K235" i="37"/>
  <c r="K218" i="37"/>
  <c r="K143" i="37"/>
  <c r="K156" i="37"/>
  <c r="K159" i="37"/>
  <c r="K174" i="37"/>
  <c r="K119" i="37"/>
  <c r="K128" i="37"/>
  <c r="K130" i="37"/>
  <c r="K158" i="37"/>
  <c r="K211" i="37"/>
  <c r="K197" i="37"/>
  <c r="K10" i="37"/>
  <c r="K14" i="37"/>
  <c r="K50" i="37"/>
  <c r="K66" i="37"/>
  <c r="K79" i="37"/>
  <c r="K111" i="37"/>
  <c r="K115" i="37"/>
  <c r="K117" i="37"/>
  <c r="K126" i="37"/>
  <c r="K141" i="37"/>
  <c r="K148" i="37"/>
  <c r="K188" i="37"/>
  <c r="K242" i="37"/>
  <c r="K317" i="37"/>
  <c r="K63" i="37"/>
  <c r="K95" i="37"/>
  <c r="K102" i="37"/>
  <c r="K104" i="37"/>
  <c r="K113" i="37"/>
  <c r="K97" i="37"/>
  <c r="K155" i="37"/>
  <c r="K160" i="37"/>
  <c r="K33" i="37"/>
  <c r="K18" i="37"/>
  <c r="K253" i="37"/>
  <c r="K367" i="37"/>
  <c r="K36" i="37"/>
  <c r="K47" i="37"/>
  <c r="K93" i="37"/>
  <c r="K83" i="37"/>
  <c r="K12" i="37"/>
  <c r="K27" i="37"/>
  <c r="K54" i="37"/>
  <c r="K67" i="37"/>
  <c r="K157" i="37"/>
  <c r="K173" i="37"/>
  <c r="K184" i="37"/>
  <c r="K200" i="37"/>
  <c r="K292" i="37"/>
  <c r="K127" i="37"/>
  <c r="K145" i="37"/>
  <c r="K152" i="37"/>
  <c r="K252" i="37"/>
  <c r="K282" i="37"/>
  <c r="K246" i="37"/>
  <c r="K355" i="37"/>
  <c r="K16" i="37"/>
  <c r="K19" i="37"/>
  <c r="K45" i="37"/>
  <c r="K138" i="37"/>
  <c r="K140" i="37"/>
  <c r="K147" i="37"/>
  <c r="K170" i="37"/>
  <c r="K187" i="37"/>
  <c r="K80" i="37"/>
  <c r="K114" i="37"/>
  <c r="K125" i="37"/>
  <c r="K129" i="37"/>
  <c r="K136" i="37"/>
  <c r="K221" i="37"/>
  <c r="K226" i="37"/>
  <c r="K52" i="37"/>
  <c r="K65" i="37"/>
  <c r="K78" i="37"/>
  <c r="K123" i="37"/>
  <c r="K154" i="37"/>
  <c r="K175" i="37"/>
  <c r="K190" i="37"/>
  <c r="K206" i="37"/>
  <c r="K178" i="37"/>
  <c r="K199" i="37"/>
  <c r="K24" i="37"/>
  <c r="K34" i="37"/>
  <c r="K112" i="37"/>
  <c r="K42" i="37"/>
  <c r="K55" i="37"/>
  <c r="K74" i="37"/>
  <c r="K96" i="37"/>
  <c r="K110" i="37"/>
  <c r="K161" i="37"/>
  <c r="K132" i="37"/>
  <c r="K82" i="37"/>
  <c r="K29" i="37"/>
  <c r="K56" i="37"/>
  <c r="K46" i="37"/>
  <c r="K21" i="37"/>
  <c r="K35" i="37"/>
  <c r="K261" i="37"/>
  <c r="K204" i="37"/>
  <c r="K179" i="37"/>
  <c r="K176" i="37"/>
  <c r="K153" i="37"/>
  <c r="K134" i="37"/>
  <c r="K58" i="37"/>
  <c r="K69" i="37"/>
  <c r="K37" i="37"/>
  <c r="K287" i="37"/>
  <c r="K238" i="37"/>
  <c r="K194" i="37"/>
  <c r="K28" i="37"/>
  <c r="K13" i="37"/>
  <c r="K191" i="37"/>
  <c r="K151" i="37"/>
  <c r="K84" i="37"/>
  <c r="K48" i="37"/>
  <c r="K223" i="37"/>
  <c r="K100" i="37"/>
  <c r="K60" i="37"/>
  <c r="K31" i="37"/>
  <c r="K269" i="37"/>
  <c r="K103" i="37"/>
  <c r="K90" i="37"/>
  <c r="K87" i="37"/>
  <c r="K72" i="37"/>
  <c r="K109" i="37"/>
  <c r="K107" i="37"/>
  <c r="K105" i="37"/>
  <c r="K57" i="37"/>
  <c r="K41" i="37"/>
  <c r="K118" i="37"/>
  <c r="K75" i="37"/>
  <c r="K51" i="37"/>
  <c r="K23" i="37"/>
  <c r="K116" i="37"/>
  <c r="K30" i="37"/>
  <c r="K180" i="37"/>
  <c r="K139" i="37"/>
  <c r="K122" i="37"/>
  <c r="K120" i="37"/>
  <c r="K220" i="37"/>
  <c r="K213" i="37"/>
  <c r="K135" i="37"/>
  <c r="K133" i="37"/>
  <c r="K131" i="37"/>
  <c r="K189" i="37"/>
  <c r="K166" i="37"/>
  <c r="K59" i="37"/>
  <c r="K43" i="37"/>
  <c r="K337" i="37"/>
  <c r="K144" i="37"/>
  <c r="K15" i="37"/>
  <c r="K239" i="37"/>
  <c r="K202" i="37"/>
  <c r="K192" i="37"/>
  <c r="K39" i="37"/>
  <c r="K86" i="37"/>
  <c r="K53" i="37"/>
  <c r="K22" i="37"/>
  <c r="K230" i="37"/>
  <c r="K25" i="37"/>
  <c r="K169" i="37"/>
  <c r="K142" i="37"/>
  <c r="K89" i="37"/>
  <c r="K70" i="37"/>
  <c r="K106" i="37"/>
  <c r="K94" i="37"/>
  <c r="K62" i="37"/>
  <c r="K32" i="37"/>
  <c r="K17" i="37"/>
  <c r="K290" i="37"/>
  <c r="K240" i="37"/>
  <c r="K193" i="37"/>
  <c r="K186" i="37"/>
  <c r="K172" i="37"/>
  <c r="K17" i="40" l="1"/>
  <c r="K32" i="40"/>
  <c r="K62" i="40"/>
  <c r="K70" i="40"/>
  <c r="K25" i="40"/>
  <c r="K22" i="40"/>
  <c r="K53" i="40"/>
  <c r="K39" i="40"/>
  <c r="K15" i="40"/>
  <c r="K84" i="40"/>
  <c r="K43" i="40"/>
  <c r="K59" i="40"/>
  <c r="K30" i="40"/>
  <c r="K23" i="40"/>
  <c r="K51" i="40"/>
  <c r="K75" i="40"/>
  <c r="K41" i="40"/>
  <c r="K57" i="40"/>
  <c r="K72" i="40"/>
  <c r="K31" i="40"/>
  <c r="K60" i="40"/>
  <c r="K48" i="40"/>
  <c r="K13" i="40"/>
  <c r="K28" i="40"/>
  <c r="K37" i="40"/>
  <c r="K69" i="40"/>
  <c r="K58" i="40"/>
  <c r="K35" i="40"/>
  <c r="K21" i="40"/>
  <c r="K46" i="40"/>
  <c r="K56" i="40"/>
  <c r="K29" i="40"/>
  <c r="K74" i="40"/>
  <c r="K55" i="40"/>
  <c r="K42" i="40"/>
  <c r="K34" i="40"/>
  <c r="K24" i="40"/>
  <c r="K65" i="40"/>
  <c r="K52" i="40"/>
  <c r="K45" i="40"/>
  <c r="K19" i="40"/>
  <c r="K16" i="40"/>
  <c r="K102" i="40"/>
  <c r="K67" i="40"/>
  <c r="K54" i="40"/>
  <c r="K27" i="40"/>
  <c r="K12" i="40"/>
  <c r="K47" i="40"/>
  <c r="K36" i="40"/>
  <c r="K114" i="40"/>
  <c r="K18" i="40"/>
  <c r="K33" i="40"/>
  <c r="K63" i="40"/>
  <c r="K66" i="40"/>
  <c r="K50" i="40"/>
  <c r="K14" i="40"/>
  <c r="K10" i="40"/>
  <c r="K79" i="40" s="1"/>
  <c r="K109" i="40"/>
  <c r="K149" i="40"/>
  <c r="K135" i="40"/>
  <c r="K151" i="40"/>
  <c r="K136" i="40"/>
  <c r="K116" i="40"/>
  <c r="K120" i="40"/>
  <c r="K89" i="40"/>
  <c r="K112" i="40"/>
  <c r="K104" i="40"/>
  <c r="K146" i="40"/>
  <c r="K144" i="40"/>
  <c r="K127" i="40"/>
  <c r="K125" i="40"/>
  <c r="K92" i="40"/>
  <c r="K121" i="40"/>
  <c r="K100" i="40"/>
  <c r="K87" i="40"/>
  <c r="K83" i="40"/>
  <c r="K119" i="40"/>
  <c r="K103" i="40"/>
  <c r="K94" i="40"/>
  <c r="K154" i="40"/>
  <c r="K133" i="40"/>
  <c r="K110" i="40"/>
  <c r="K106" i="40"/>
  <c r="K152" i="40"/>
  <c r="K130" i="40"/>
  <c r="K128" i="40"/>
  <c r="K85" i="40"/>
  <c r="K150" i="40"/>
  <c r="K147" i="40"/>
  <c r="K124" i="40"/>
  <c r="K98" i="40"/>
  <c r="K107" i="40"/>
  <c r="K95" i="40"/>
  <c r="K88" i="40"/>
  <c r="K159" i="40"/>
  <c r="K156" i="40"/>
  <c r="K138" i="40"/>
  <c r="K134" i="40"/>
  <c r="K132" i="40"/>
  <c r="K129" i="40"/>
  <c r="K115" i="40"/>
  <c r="K113" i="40"/>
  <c r="K97" i="40"/>
  <c r="K90" i="40"/>
  <c r="K82" i="40"/>
  <c r="K143" i="40"/>
  <c r="K139" i="40"/>
  <c r="K99" i="40"/>
  <c r="K122" i="40"/>
  <c r="K93" i="40"/>
  <c r="K126" i="40"/>
  <c r="K111" i="40"/>
  <c r="K96" i="40"/>
  <c r="K145" i="40"/>
  <c r="K140" i="40"/>
  <c r="K153" i="40"/>
  <c r="K137" i="40"/>
  <c r="K123" i="40"/>
  <c r="K108" i="40"/>
  <c r="K157" i="40"/>
  <c r="L74" i="40"/>
  <c r="L42" i="40"/>
  <c r="L55" i="40"/>
  <c r="L46" i="40"/>
  <c r="L17" i="40"/>
  <c r="L32" i="40"/>
  <c r="L62" i="40"/>
  <c r="L53" i="40"/>
  <c r="L10" i="40"/>
  <c r="L79" i="40" s="1"/>
  <c r="L25" i="40"/>
  <c r="L43" i="40"/>
  <c r="L59" i="40"/>
  <c r="L30" i="40"/>
  <c r="L15" i="40"/>
  <c r="L33" i="40"/>
  <c r="L63" i="40"/>
  <c r="L75" i="40"/>
  <c r="L23" i="40"/>
  <c r="L41" i="40"/>
  <c r="L48" i="40"/>
  <c r="L72" i="40"/>
  <c r="L31" i="40"/>
  <c r="L60" i="40"/>
  <c r="L13" i="40"/>
  <c r="L16" i="40"/>
  <c r="L52" i="40"/>
  <c r="L69" i="40"/>
  <c r="L37" i="40"/>
  <c r="L35" i="40"/>
  <c r="L50" i="40"/>
  <c r="L21" i="40"/>
  <c r="L58" i="40"/>
  <c r="L28" i="40"/>
  <c r="L24" i="40"/>
  <c r="L14" i="40"/>
  <c r="L29" i="40"/>
  <c r="L65" i="40"/>
  <c r="L45" i="40"/>
  <c r="L19" i="40"/>
  <c r="L57" i="40"/>
  <c r="L36" i="40"/>
  <c r="L47" i="40"/>
  <c r="L12" i="40"/>
  <c r="L39" i="40"/>
  <c r="L22" i="40"/>
  <c r="L27" i="40"/>
  <c r="L56" i="40"/>
  <c r="L18" i="40"/>
  <c r="L67" i="40"/>
  <c r="L54" i="40"/>
  <c r="L111" i="40"/>
  <c r="L83" i="40"/>
  <c r="L113" i="40"/>
  <c r="L84" i="40"/>
  <c r="L132" i="40"/>
  <c r="L95" i="40"/>
  <c r="L115" i="40"/>
  <c r="L134" i="40"/>
  <c r="L51" i="40"/>
  <c r="L34" i="40"/>
  <c r="L70" i="40"/>
  <c r="L66" i="40"/>
  <c r="L104" i="40"/>
  <c r="L107" i="40"/>
  <c r="L153" i="40"/>
  <c r="L151" i="40"/>
  <c r="L149" i="40"/>
  <c r="L125" i="40"/>
  <c r="L92" i="40"/>
  <c r="L146" i="40"/>
  <c r="L129" i="40"/>
  <c r="L127" i="40"/>
  <c r="L121" i="40"/>
  <c r="L87" i="40"/>
  <c r="L94" i="40"/>
  <c r="L110" i="40"/>
  <c r="L106" i="40"/>
  <c r="L103" i="40"/>
  <c r="L154" i="40"/>
  <c r="L135" i="40"/>
  <c r="L133" i="40"/>
  <c r="L112" i="40"/>
  <c r="L96" i="40"/>
  <c r="L89" i="40"/>
  <c r="L85" i="40"/>
  <c r="L152" i="40"/>
  <c r="L150" i="40"/>
  <c r="L130" i="40"/>
  <c r="L126" i="40"/>
  <c r="L98" i="40"/>
  <c r="L159" i="40"/>
  <c r="L156" i="40"/>
  <c r="L138" i="40"/>
  <c r="L119" i="40"/>
  <c r="L88" i="40"/>
  <c r="L136" i="40"/>
  <c r="L109" i="40"/>
  <c r="L100" i="40"/>
  <c r="L90" i="40"/>
  <c r="L97" i="40"/>
  <c r="L139" i="40"/>
  <c r="L124" i="40"/>
  <c r="L99" i="40"/>
  <c r="L82" i="40"/>
  <c r="L93" i="40"/>
  <c r="L145" i="40"/>
  <c r="L143" i="40"/>
  <c r="L122" i="40"/>
  <c r="L120" i="40"/>
  <c r="L116" i="40"/>
  <c r="L114" i="40"/>
  <c r="L102" i="40"/>
  <c r="L147" i="40"/>
  <c r="L144" i="40"/>
  <c r="L128" i="40"/>
  <c r="L108" i="40"/>
  <c r="L157" i="40"/>
  <c r="L140" i="40"/>
  <c r="L137" i="40"/>
  <c r="L123" i="40"/>
  <c r="R34" i="39"/>
  <c r="R36" i="39"/>
  <c r="R33" i="39"/>
  <c r="BI19" i="38"/>
  <c r="BI18" i="38"/>
  <c r="BI17" i="38"/>
  <c r="BI16" i="38"/>
  <c r="BK19" i="38"/>
  <c r="BK17" i="38"/>
  <c r="BK18" i="38"/>
  <c r="BK16" i="38"/>
  <c r="J6" i="37"/>
  <c r="J100" i="37"/>
  <c r="J218" i="37"/>
  <c r="J10" i="37"/>
  <c r="J286" i="37"/>
  <c r="J440" i="37"/>
  <c r="J332" i="37"/>
  <c r="J549" i="37"/>
  <c r="J1126" i="37"/>
  <c r="J1247" i="37"/>
  <c r="J1267" i="37"/>
  <c r="J1272" i="37"/>
  <c r="J1290" i="37"/>
  <c r="J1304" i="37"/>
  <c r="J1322" i="37"/>
  <c r="J1295" i="37"/>
  <c r="J1298" i="37"/>
  <c r="J1314" i="37"/>
  <c r="J1331" i="37"/>
  <c r="J1241" i="37"/>
  <c r="J1302" i="37"/>
  <c r="J1320" i="37"/>
  <c r="J1323" i="37"/>
  <c r="J1259" i="37"/>
  <c r="J1278" i="37"/>
  <c r="J1223" i="37"/>
  <c r="J1238" i="37"/>
  <c r="J1242" i="37"/>
  <c r="J1270" i="37"/>
  <c r="J1288" i="37"/>
  <c r="J1160" i="37"/>
  <c r="J1174" i="37"/>
  <c r="J1178" i="37"/>
  <c r="J1195" i="37"/>
  <c r="J1208" i="37"/>
  <c r="J1078" i="37"/>
  <c r="J1094" i="37"/>
  <c r="J1109" i="37"/>
  <c r="J1133" i="37"/>
  <c r="J1146" i="37"/>
  <c r="J1300" i="37"/>
  <c r="J1303" i="37"/>
  <c r="J1321" i="37"/>
  <c r="J1312" i="37"/>
  <c r="J1329" i="37"/>
  <c r="J1221" i="37"/>
  <c r="J1225" i="37"/>
  <c r="J1239" i="37"/>
  <c r="J1266" i="37"/>
  <c r="J1286" i="37"/>
  <c r="J1157" i="37"/>
  <c r="J1161" i="37"/>
  <c r="J1175" i="37"/>
  <c r="J1193" i="37"/>
  <c r="J1206" i="37"/>
  <c r="J1310" i="37"/>
  <c r="J1327" i="37"/>
  <c r="J1330" i="37"/>
  <c r="J1131" i="37"/>
  <c r="J1144" i="37"/>
  <c r="J1301" i="37"/>
  <c r="J1319" i="37"/>
  <c r="J1258" i="37"/>
  <c r="J1277" i="37"/>
  <c r="J1294" i="37"/>
  <c r="J1222" i="37"/>
  <c r="J1237" i="37"/>
  <c r="J1264" i="37"/>
  <c r="J1282" i="37"/>
  <c r="J1287" i="37"/>
  <c r="J1311" i="37"/>
  <c r="J1328" i="37"/>
  <c r="J1191" i="37"/>
  <c r="J1204" i="37"/>
  <c r="J1207" i="37"/>
  <c r="J1227" i="37"/>
  <c r="J1230" i="37"/>
  <c r="J1273" i="37"/>
  <c r="J1292" i="37"/>
  <c r="J1305" i="37"/>
  <c r="J1315" i="37"/>
  <c r="J1166" i="37"/>
  <c r="J1183" i="37"/>
  <c r="J1198" i="37"/>
  <c r="J1211" i="37"/>
  <c r="J1235" i="37"/>
  <c r="J1260" i="37"/>
  <c r="J1265" i="37"/>
  <c r="J1283" i="37"/>
  <c r="J1299" i="37"/>
  <c r="J1171" i="37"/>
  <c r="J1187" i="37"/>
  <c r="J1192" i="37"/>
  <c r="J1205" i="37"/>
  <c r="J1220" i="37"/>
  <c r="J1271" i="37"/>
  <c r="J1289" i="37"/>
  <c r="J1293" i="37"/>
  <c r="J1307" i="37"/>
  <c r="J1326" i="37"/>
  <c r="J1196" i="37"/>
  <c r="J1209" i="37"/>
  <c r="J1212" i="37"/>
  <c r="J1228" i="37"/>
  <c r="J1243" i="37"/>
  <c r="J1297" i="37"/>
  <c r="J1313" i="37"/>
  <c r="J1318" i="37"/>
  <c r="J1164" i="37"/>
  <c r="J1179" i="37"/>
  <c r="J1231" i="37"/>
  <c r="J1129" i="37"/>
  <c r="J1165" i="37"/>
  <c r="J1170" i="37"/>
  <c r="J1281" i="37"/>
  <c r="J1201" i="37"/>
  <c r="J1296" i="37"/>
  <c r="J1132" i="37"/>
  <c r="J1141" i="37"/>
  <c r="J1150" i="37"/>
  <c r="J1070" i="37"/>
  <c r="J1123" i="37"/>
  <c r="J1180" i="37"/>
  <c r="J1153" i="37"/>
  <c r="J1107" i="37"/>
  <c r="J1200" i="37"/>
  <c r="J1214" i="37"/>
  <c r="J1040" i="37"/>
  <c r="J1067" i="37"/>
  <c r="J1096" i="37"/>
  <c r="J1140" i="37"/>
  <c r="J1147" i="37"/>
  <c r="J1049" i="37"/>
  <c r="J1089" i="37"/>
  <c r="J1156" i="37"/>
  <c r="J1194" i="37"/>
  <c r="J1213" i="37"/>
  <c r="J1056" i="37"/>
  <c r="J1065" i="37"/>
  <c r="J1263" i="37"/>
  <c r="J1083" i="37"/>
  <c r="J1092" i="37"/>
  <c r="J1101" i="37"/>
  <c r="J1113" i="37"/>
  <c r="J1041" i="37"/>
  <c r="J1047" i="37"/>
  <c r="J1128" i="37"/>
  <c r="J1169" i="37"/>
  <c r="J1186" i="37"/>
  <c r="J1119" i="37"/>
  <c r="J1134" i="37"/>
  <c r="J1143" i="37"/>
  <c r="J1173" i="37"/>
  <c r="J1229" i="37"/>
  <c r="J1199" i="37"/>
  <c r="J1280" i="37"/>
  <c r="J1054" i="37"/>
  <c r="J1098" i="37"/>
  <c r="J1116" i="37"/>
  <c r="J1045" i="37"/>
  <c r="J1068" i="37"/>
  <c r="J1104" i="37"/>
  <c r="J1137" i="37"/>
  <c r="J1185" i="37"/>
  <c r="J1172" i="37"/>
  <c r="J1007" i="37"/>
  <c r="J1011" i="37"/>
  <c r="J1026" i="37"/>
  <c r="J1031" i="37"/>
  <c r="J1236" i="37"/>
  <c r="J1057" i="37"/>
  <c r="J1086" i="37"/>
  <c r="J1100" i="37"/>
  <c r="J1155" i="37"/>
  <c r="J1118" i="37"/>
  <c r="J1122" i="37"/>
  <c r="J1130" i="37"/>
  <c r="J1149" i="37"/>
  <c r="J1168" i="37"/>
  <c r="J1077" i="37"/>
  <c r="J1080" i="37"/>
  <c r="J1088" i="37"/>
  <c r="J1106" i="37"/>
  <c r="J1112" i="37"/>
  <c r="J1145" i="37"/>
  <c r="J1152" i="37"/>
  <c r="J1163" i="37"/>
  <c r="J1197" i="37"/>
  <c r="J1219" i="37"/>
  <c r="J1046" i="37"/>
  <c r="J1084" i="37"/>
  <c r="J1091" i="37"/>
  <c r="J1097" i="37"/>
  <c r="J1108" i="37"/>
  <c r="J1114" i="37"/>
  <c r="J1136" i="37"/>
  <c r="J1210" i="37"/>
  <c r="J1257" i="37"/>
  <c r="J1276" i="37"/>
  <c r="J1203" i="37"/>
  <c r="J1233" i="37"/>
  <c r="J1036" i="37"/>
  <c r="J1053" i="37"/>
  <c r="J1061" i="37"/>
  <c r="J1151" i="37"/>
  <c r="J1162" i="37"/>
  <c r="J1226" i="37"/>
  <c r="J1177" i="37"/>
  <c r="J1184" i="37"/>
  <c r="J1021" i="37"/>
  <c r="J1044" i="37"/>
  <c r="J1071" i="37"/>
  <c r="J1099" i="37"/>
  <c r="J1139" i="37"/>
  <c r="J957" i="37"/>
  <c r="J971" i="37"/>
  <c r="J974" i="37"/>
  <c r="J990" i="37"/>
  <c r="J1006" i="37"/>
  <c r="J888" i="37"/>
  <c r="J904" i="37"/>
  <c r="J918" i="37"/>
  <c r="J922" i="37"/>
  <c r="J943" i="37"/>
  <c r="J1103" i="37"/>
  <c r="J1138" i="37"/>
  <c r="J1154" i="37"/>
  <c r="J1232" i="37"/>
  <c r="J1216" i="37"/>
  <c r="J1004" i="37"/>
  <c r="J1008" i="37"/>
  <c r="J1034" i="37"/>
  <c r="J1055" i="37"/>
  <c r="J1093" i="37"/>
  <c r="J874" i="37"/>
  <c r="J892" i="37"/>
  <c r="J944" i="37"/>
  <c r="J956" i="37"/>
  <c r="J984" i="37"/>
  <c r="J819" i="37"/>
  <c r="J822" i="37"/>
  <c r="J842" i="37"/>
  <c r="J856" i="37"/>
  <c r="J871" i="37"/>
  <c r="J930" i="37"/>
  <c r="J962" i="37"/>
  <c r="J991" i="37"/>
  <c r="J1001" i="37"/>
  <c r="J1059" i="37"/>
  <c r="J947" i="37"/>
  <c r="J1037" i="37"/>
  <c r="J1064" i="37"/>
  <c r="J1110" i="37"/>
  <c r="J900" i="37"/>
  <c r="J1148" i="37"/>
  <c r="J879" i="37"/>
  <c r="J907" i="37"/>
  <c r="J920" i="37"/>
  <c r="J935" i="37"/>
  <c r="J890" i="37"/>
  <c r="J927" i="37"/>
  <c r="J953" i="37"/>
  <c r="J982" i="37"/>
  <c r="J1050" i="37"/>
  <c r="J911" i="37"/>
  <c r="J960" i="37"/>
  <c r="J972" i="37"/>
  <c r="J989" i="37"/>
  <c r="J1075" i="37"/>
  <c r="J840" i="37"/>
  <c r="J854" i="37"/>
  <c r="J857" i="37"/>
  <c r="J872" i="37"/>
  <c r="J897" i="37"/>
  <c r="J979" i="37"/>
  <c r="J1019" i="37"/>
  <c r="J1025" i="37"/>
  <c r="J1082" i="37"/>
  <c r="J820" i="37"/>
  <c r="J1121" i="37"/>
  <c r="J1063" i="37"/>
  <c r="J1135" i="37"/>
  <c r="J1215" i="37"/>
  <c r="J945" i="37"/>
  <c r="J977" i="37"/>
  <c r="J1000" i="37"/>
  <c r="J1003" i="37"/>
  <c r="J1043" i="37"/>
  <c r="J1073" i="37"/>
  <c r="J855" i="37"/>
  <c r="J869" i="37"/>
  <c r="J885" i="37"/>
  <c r="J915" i="37"/>
  <c r="J929" i="37"/>
  <c r="J949" i="37"/>
  <c r="J961" i="37"/>
  <c r="J1081" i="37"/>
  <c r="J1158" i="37"/>
  <c r="J1202" i="37"/>
  <c r="J998" i="37"/>
  <c r="J1013" i="37"/>
  <c r="J1015" i="37"/>
  <c r="J1024" i="37"/>
  <c r="J899" i="37"/>
  <c r="J931" i="37"/>
  <c r="J940" i="37"/>
  <c r="J967" i="37"/>
  <c r="J980" i="37"/>
  <c r="J845" i="37"/>
  <c r="J860" i="37"/>
  <c r="J863" i="37"/>
  <c r="J878" i="37"/>
  <c r="J906" i="37"/>
  <c r="J1066" i="37"/>
  <c r="J791" i="37"/>
  <c r="J807" i="37"/>
  <c r="J811" i="37"/>
  <c r="J825" i="37"/>
  <c r="J1017" i="37"/>
  <c r="J1020" i="37"/>
  <c r="J1042" i="37"/>
  <c r="J1072" i="37"/>
  <c r="J1117" i="37"/>
  <c r="J916" i="37"/>
  <c r="J938" i="37"/>
  <c r="J950" i="37"/>
  <c r="J965" i="37"/>
  <c r="J978" i="37"/>
  <c r="J924" i="37"/>
  <c r="J985" i="37"/>
  <c r="J1087" i="37"/>
  <c r="J1190" i="37"/>
  <c r="J886" i="37"/>
  <c r="J843" i="37"/>
  <c r="J847" i="37"/>
  <c r="J861" i="37"/>
  <c r="J875" i="37"/>
  <c r="J894" i="37"/>
  <c r="J969" i="37"/>
  <c r="J999" i="37"/>
  <c r="J1023" i="37"/>
  <c r="J1142" i="37"/>
  <c r="J823" i="37"/>
  <c r="J1105" i="37"/>
  <c r="J884" i="37"/>
  <c r="J914" i="37"/>
  <c r="J948" i="37"/>
  <c r="J975" i="37"/>
  <c r="J1048" i="37"/>
  <c r="J1014" i="37"/>
  <c r="J1032" i="37"/>
  <c r="J1052" i="37"/>
  <c r="J1060" i="37"/>
  <c r="J996" i="37"/>
  <c r="J1033" i="37"/>
  <c r="J804" i="37"/>
  <c r="J876" i="37"/>
  <c r="J1016" i="37"/>
  <c r="J858" i="37"/>
  <c r="J865" i="37"/>
  <c r="J925" i="37"/>
  <c r="J937" i="37"/>
  <c r="J966" i="37"/>
  <c r="J777" i="37"/>
  <c r="J780" i="37"/>
  <c r="J790" i="37"/>
  <c r="J818" i="37"/>
  <c r="J852" i="37"/>
  <c r="J829" i="37"/>
  <c r="J862" i="37"/>
  <c r="J889" i="37"/>
  <c r="J936" i="37"/>
  <c r="J951" i="37"/>
  <c r="J787" i="37"/>
  <c r="J799" i="37"/>
  <c r="J835" i="37"/>
  <c r="J802" i="37"/>
  <c r="J785" i="37"/>
  <c r="J832" i="37"/>
  <c r="J896" i="37"/>
  <c r="J946" i="37"/>
  <c r="J770" i="37"/>
  <c r="J816" i="37"/>
  <c r="J905" i="37"/>
  <c r="J901" i="37"/>
  <c r="J983" i="37"/>
  <c r="J1010" i="37"/>
  <c r="J795" i="37"/>
  <c r="J828" i="37"/>
  <c r="J1027" i="37"/>
  <c r="J809" i="37"/>
  <c r="J867" i="37"/>
  <c r="J995" i="37"/>
  <c r="J1076" i="37"/>
  <c r="J768" i="37"/>
  <c r="J782" i="37"/>
  <c r="J891" i="37"/>
  <c r="J988" i="37"/>
  <c r="J834" i="37"/>
  <c r="J849" i="37"/>
  <c r="J864" i="37"/>
  <c r="J723" i="37"/>
  <c r="J744" i="37"/>
  <c r="J747" i="37"/>
  <c r="J761" i="37"/>
  <c r="J775" i="37"/>
  <c r="J994" i="37"/>
  <c r="J909" i="37"/>
  <c r="J939" i="37"/>
  <c r="J954" i="37"/>
  <c r="J970" i="37"/>
  <c r="J908" i="37"/>
  <c r="J959" i="37"/>
  <c r="J993" i="37"/>
  <c r="J964" i="37"/>
  <c r="J987" i="37"/>
  <c r="J958" i="37"/>
  <c r="J913" i="37"/>
  <c r="J926" i="37"/>
  <c r="J963" i="37"/>
  <c r="J1039" i="37"/>
  <c r="J841" i="37"/>
  <c r="J853" i="37"/>
  <c r="J921" i="37"/>
  <c r="J952" i="37"/>
  <c r="J881" i="37"/>
  <c r="J873" i="37"/>
  <c r="J912" i="37"/>
  <c r="J1005" i="37"/>
  <c r="J1058" i="37"/>
  <c r="J824" i="37"/>
  <c r="J1012" i="37"/>
  <c r="J1035" i="37"/>
  <c r="J801" i="37"/>
  <c r="J831" i="37"/>
  <c r="J850" i="37"/>
  <c r="J765" i="37"/>
  <c r="J779" i="37"/>
  <c r="J813" i="37"/>
  <c r="J868" i="37"/>
  <c r="J973" i="37"/>
  <c r="J815" i="37"/>
  <c r="J821" i="37"/>
  <c r="J880" i="37"/>
  <c r="J902" i="37"/>
  <c r="J941" i="37"/>
  <c r="J758" i="37"/>
  <c r="J803" i="37"/>
  <c r="J653" i="37"/>
  <c r="J688" i="37"/>
  <c r="J704" i="37"/>
  <c r="J660" i="37"/>
  <c r="J672" i="37"/>
  <c r="J716" i="37"/>
  <c r="J726" i="37"/>
  <c r="J753" i="37"/>
  <c r="J589" i="37"/>
  <c r="J605" i="37"/>
  <c r="J621" i="37"/>
  <c r="J636" i="37"/>
  <c r="J640" i="37"/>
  <c r="J851" i="37"/>
  <c r="J540" i="37"/>
  <c r="J557" i="37"/>
  <c r="J571" i="37"/>
  <c r="J575" i="37"/>
  <c r="J702" i="37"/>
  <c r="J724" i="37"/>
  <c r="J743" i="37"/>
  <c r="J783" i="37"/>
  <c r="J808" i="37"/>
  <c r="J745" i="37"/>
  <c r="J796" i="37"/>
  <c r="J814" i="37"/>
  <c r="J679" i="37"/>
  <c r="J692" i="37"/>
  <c r="J663" i="37"/>
  <c r="J699" i="37"/>
  <c r="J714" i="37"/>
  <c r="J729" i="37"/>
  <c r="J732" i="37"/>
  <c r="J670" i="37"/>
  <c r="J712" i="37"/>
  <c r="J734" i="37"/>
  <c r="J771" i="37"/>
  <c r="J774" i="37"/>
  <c r="J649" i="37"/>
  <c r="J661" i="37"/>
  <c r="J676" i="37"/>
  <c r="J689" i="37"/>
  <c r="J764" i="37"/>
  <c r="J587" i="37"/>
  <c r="J603" i="37"/>
  <c r="J619" i="37"/>
  <c r="J622" i="37"/>
  <c r="J638" i="37"/>
  <c r="J778" i="37"/>
  <c r="J697" i="37"/>
  <c r="J709" i="37"/>
  <c r="J767" i="37"/>
  <c r="J917" i="37"/>
  <c r="J642" i="37"/>
  <c r="J652" i="37"/>
  <c r="J668" i="37"/>
  <c r="J680" i="37"/>
  <c r="J707" i="37"/>
  <c r="J577" i="37"/>
  <c r="J580" i="37"/>
  <c r="J595" i="37"/>
  <c r="J611" i="37"/>
  <c r="J627" i="37"/>
  <c r="J725" i="37"/>
  <c r="J883" i="37"/>
  <c r="J532" i="37"/>
  <c r="J545" i="37"/>
  <c r="J563" i="37"/>
  <c r="J719" i="37"/>
  <c r="J721" i="37"/>
  <c r="J728" i="37"/>
  <c r="J659" i="37"/>
  <c r="J687" i="37"/>
  <c r="J604" i="37"/>
  <c r="J620" i="37"/>
  <c r="J635" i="37"/>
  <c r="J665" i="37"/>
  <c r="J694" i="37"/>
  <c r="J739" i="37"/>
  <c r="J570" i="37"/>
  <c r="J585" i="37"/>
  <c r="J600" i="37"/>
  <c r="J812" i="37"/>
  <c r="J839" i="37"/>
  <c r="J848" i="37"/>
  <c r="J650" i="37"/>
  <c r="J677" i="37"/>
  <c r="J760" i="37"/>
  <c r="J773" i="37"/>
  <c r="J755" i="37"/>
  <c r="J769" i="37"/>
  <c r="J788" i="37"/>
  <c r="J708" i="37"/>
  <c r="J737" i="37"/>
  <c r="J749" i="37"/>
  <c r="J793" i="37"/>
  <c r="J806" i="37"/>
  <c r="J798" i="37"/>
  <c r="J827" i="37"/>
  <c r="J866" i="37"/>
  <c r="J632" i="37"/>
  <c r="J648" i="37"/>
  <c r="J682" i="37"/>
  <c r="J696" i="37"/>
  <c r="J752" i="37"/>
  <c r="J757" i="37"/>
  <c r="J786" i="37"/>
  <c r="J705" i="37"/>
  <c r="J722" i="37"/>
  <c r="J781" i="37"/>
  <c r="J655" i="37"/>
  <c r="J666" i="37"/>
  <c r="J720" i="37"/>
  <c r="J766" i="37"/>
  <c r="J772" i="37"/>
  <c r="J792" i="37"/>
  <c r="J673" i="37"/>
  <c r="J759" i="37"/>
  <c r="J762" i="37"/>
  <c r="J658" i="37"/>
  <c r="J686" i="37"/>
  <c r="J703" i="37"/>
  <c r="J664" i="37"/>
  <c r="J693" i="37"/>
  <c r="J715" i="37"/>
  <c r="J717" i="37"/>
  <c r="J754" i="37"/>
  <c r="J746" i="37"/>
  <c r="J895" i="37"/>
  <c r="J615" i="37"/>
  <c r="J630" i="37"/>
  <c r="J634" i="37"/>
  <c r="J844" i="37"/>
  <c r="J671" i="37"/>
  <c r="J683" i="37"/>
  <c r="J700" i="37"/>
  <c r="J730" i="37"/>
  <c r="J691" i="37"/>
  <c r="J713" i="37"/>
  <c r="J733" i="37"/>
  <c r="J735" i="37"/>
  <c r="J748" i="37"/>
  <c r="J833" i="37"/>
  <c r="J608" i="37"/>
  <c r="J623" i="37"/>
  <c r="J639" i="37"/>
  <c r="J656" i="37"/>
  <c r="J662" i="37"/>
  <c r="J674" i="37"/>
  <c r="J738" i="37"/>
  <c r="J751" i="37"/>
  <c r="J756" i="37"/>
  <c r="J616" i="37"/>
  <c r="J631" i="37"/>
  <c r="J681" i="37"/>
  <c r="J797" i="37"/>
  <c r="J647" i="37"/>
  <c r="J588" i="37"/>
  <c r="J599" i="37"/>
  <c r="J581" i="37"/>
  <c r="J597" i="37"/>
  <c r="J613" i="37"/>
  <c r="J519" i="37"/>
  <c r="J529" i="37"/>
  <c r="J536" i="37"/>
  <c r="J569" i="37"/>
  <c r="J564" i="37"/>
  <c r="J468" i="37"/>
  <c r="J481" i="37"/>
  <c r="J484" i="37"/>
  <c r="J497" i="37"/>
  <c r="J510" i="37"/>
  <c r="J710" i="37"/>
  <c r="J527" i="37"/>
  <c r="J538" i="37"/>
  <c r="J558" i="37"/>
  <c r="J455" i="37"/>
  <c r="J488" i="37"/>
  <c r="J501" i="37"/>
  <c r="J504" i="37"/>
  <c r="J618" i="37"/>
  <c r="J657" i="37"/>
  <c r="J430" i="37"/>
  <c r="J446" i="37"/>
  <c r="J449" i="37"/>
  <c r="J462" i="37"/>
  <c r="J475" i="37"/>
  <c r="J365" i="37"/>
  <c r="J380" i="37"/>
  <c r="J383" i="37"/>
  <c r="J399" i="37"/>
  <c r="J417" i="37"/>
  <c r="J517" i="37"/>
  <c r="J525" i="37"/>
  <c r="J583" i="37"/>
  <c r="J629" i="37"/>
  <c r="J669" i="37"/>
  <c r="J523" i="37"/>
  <c r="J542" i="37"/>
  <c r="J553" i="37"/>
  <c r="J590" i="37"/>
  <c r="J598" i="37"/>
  <c r="J466" i="37"/>
  <c r="J469" i="37"/>
  <c r="J482" i="37"/>
  <c r="J495" i="37"/>
  <c r="J508" i="37"/>
  <c r="J628" i="37"/>
  <c r="J544" i="37"/>
  <c r="J643" i="37"/>
  <c r="J453" i="37"/>
  <c r="J486" i="37"/>
  <c r="J489" i="37"/>
  <c r="J502" i="37"/>
  <c r="J515" i="37"/>
  <c r="J594" i="37"/>
  <c r="J535" i="37"/>
  <c r="J537" i="37"/>
  <c r="J539" i="37"/>
  <c r="J602" i="37"/>
  <c r="J698" i="37"/>
  <c r="J509" i="37"/>
  <c r="J531" i="37"/>
  <c r="J533" i="37"/>
  <c r="J586" i="37"/>
  <c r="J521" i="37"/>
  <c r="J454" i="37"/>
  <c r="J467" i="37"/>
  <c r="J480" i="37"/>
  <c r="J493" i="37"/>
  <c r="J506" i="37"/>
  <c r="J389" i="37"/>
  <c r="J405" i="37"/>
  <c r="J422" i="37"/>
  <c r="J435" i="37"/>
  <c r="J451" i="37"/>
  <c r="J566" i="37"/>
  <c r="J593" i="37"/>
  <c r="J606" i="37"/>
  <c r="J372" i="37"/>
  <c r="J386" i="37"/>
  <c r="J507" i="37"/>
  <c r="J522" i="37"/>
  <c r="J610" i="37"/>
  <c r="J641" i="37"/>
  <c r="J561" i="37"/>
  <c r="J555" i="37"/>
  <c r="J568" i="37"/>
  <c r="J651" i="37"/>
  <c r="J684" i="37"/>
  <c r="J494" i="37"/>
  <c r="J530" i="37"/>
  <c r="J579" i="37"/>
  <c r="J626" i="37"/>
  <c r="J574" i="37"/>
  <c r="J582" i="37"/>
  <c r="J546" i="37"/>
  <c r="J565" i="37"/>
  <c r="J576" i="37"/>
  <c r="J592" i="37"/>
  <c r="J528" i="37"/>
  <c r="J552" i="37"/>
  <c r="J559" i="37"/>
  <c r="J614" i="37"/>
  <c r="J492" i="37"/>
  <c r="J505" i="37"/>
  <c r="J562" i="37"/>
  <c r="J609" i="37"/>
  <c r="J518" i="37"/>
  <c r="J526" i="37"/>
  <c r="J541" i="37"/>
  <c r="J470" i="37"/>
  <c r="J483" i="37"/>
  <c r="J496" i="37"/>
  <c r="J499" i="37"/>
  <c r="J512" i="37"/>
  <c r="J625" i="37"/>
  <c r="J675" i="37"/>
  <c r="J543" i="37"/>
  <c r="J554" i="37"/>
  <c r="J578" i="37"/>
  <c r="J433" i="37"/>
  <c r="J443" i="37"/>
  <c r="J556" i="37"/>
  <c r="J567" i="37"/>
  <c r="J572" i="37"/>
  <c r="J352" i="37"/>
  <c r="J390" i="37"/>
  <c r="J392" i="37"/>
  <c r="J396" i="37"/>
  <c r="J415" i="37"/>
  <c r="J288" i="37"/>
  <c r="J301" i="37"/>
  <c r="J314" i="37"/>
  <c r="J317" i="37"/>
  <c r="J335" i="37"/>
  <c r="J340" i="37"/>
  <c r="J343" i="37"/>
  <c r="J419" i="37"/>
  <c r="J421" i="37"/>
  <c r="J448" i="37"/>
  <c r="J350" i="37"/>
  <c r="J445" i="37"/>
  <c r="J456" i="37"/>
  <c r="J308" i="37"/>
  <c r="J321" i="37"/>
  <c r="J387" i="37"/>
  <c r="J404" i="37"/>
  <c r="J450" i="37"/>
  <c r="J478" i="37"/>
  <c r="J516" i="37"/>
  <c r="J437" i="37"/>
  <c r="J328" i="37"/>
  <c r="J366" i="37"/>
  <c r="J382" i="37"/>
  <c r="J385" i="37"/>
  <c r="J487" i="37"/>
  <c r="J503" i="37"/>
  <c r="J514" i="37"/>
  <c r="J362" i="37"/>
  <c r="J364" i="37"/>
  <c r="J406" i="37"/>
  <c r="J409" i="37"/>
  <c r="J412" i="37"/>
  <c r="J428" i="37"/>
  <c r="J465" i="37"/>
  <c r="J357" i="37"/>
  <c r="J416" i="37"/>
  <c r="J447" i="37"/>
  <c r="J452" i="37"/>
  <c r="J473" i="37"/>
  <c r="J432" i="37"/>
  <c r="J442" i="37"/>
  <c r="J458" i="37"/>
  <c r="J477" i="37"/>
  <c r="J513" i="37"/>
  <c r="J300" i="37"/>
  <c r="J313" i="37"/>
  <c r="J326" i="37"/>
  <c r="J375" i="37"/>
  <c r="J377" i="37"/>
  <c r="J237" i="37"/>
  <c r="J251" i="37"/>
  <c r="J265" i="37"/>
  <c r="J282" i="37"/>
  <c r="J287" i="37"/>
  <c r="J379" i="37"/>
  <c r="J434" i="37"/>
  <c r="J203" i="37"/>
  <c r="J220" i="37"/>
  <c r="J223" i="37"/>
  <c r="J403" i="37"/>
  <c r="J436" i="37"/>
  <c r="J444" i="37"/>
  <c r="J534" i="37"/>
  <c r="J346" i="37"/>
  <c r="J320" i="37"/>
  <c r="J338" i="37"/>
  <c r="J381" i="37"/>
  <c r="J398" i="37"/>
  <c r="J400" i="37"/>
  <c r="J511" i="37"/>
  <c r="J349" i="37"/>
  <c r="J464" i="37"/>
  <c r="J472" i="37"/>
  <c r="J307" i="37"/>
  <c r="J423" i="37"/>
  <c r="J425" i="37"/>
  <c r="J427" i="37"/>
  <c r="J461" i="37"/>
  <c r="J500" i="37"/>
  <c r="J324" i="37"/>
  <c r="J327" i="37"/>
  <c r="J359" i="37"/>
  <c r="J368" i="37"/>
  <c r="J407" i="37"/>
  <c r="J431" i="37"/>
  <c r="J347" i="37"/>
  <c r="J356" i="37"/>
  <c r="J361" i="37"/>
  <c r="J429" i="37"/>
  <c r="J318" i="37"/>
  <c r="J336" i="37"/>
  <c r="J353" i="37"/>
  <c r="J374" i="37"/>
  <c r="J391" i="37"/>
  <c r="J393" i="37"/>
  <c r="J457" i="37"/>
  <c r="J460" i="37"/>
  <c r="J476" i="37"/>
  <c r="J524" i="37"/>
  <c r="J378" i="37"/>
  <c r="J397" i="37"/>
  <c r="J418" i="37"/>
  <c r="J420" i="37"/>
  <c r="J485" i="37"/>
  <c r="J309" i="37"/>
  <c r="J312" i="37"/>
  <c r="J325" i="37"/>
  <c r="J345" i="37"/>
  <c r="J376" i="37"/>
  <c r="J498" i="37"/>
  <c r="J351" i="37"/>
  <c r="J491" i="37"/>
  <c r="J281" i="37"/>
  <c r="J296" i="37"/>
  <c r="J316" i="37"/>
  <c r="J337" i="37"/>
  <c r="J402" i="37"/>
  <c r="J424" i="37"/>
  <c r="J471" i="37"/>
  <c r="J490" i="37"/>
  <c r="J520" i="37"/>
  <c r="J479" i="37"/>
  <c r="J290" i="37"/>
  <c r="J303" i="37"/>
  <c r="J373" i="37"/>
  <c r="J388" i="37"/>
  <c r="J426" i="37"/>
  <c r="J459" i="37"/>
  <c r="J463" i="37"/>
  <c r="J474" i="37"/>
  <c r="J355" i="37"/>
  <c r="J363" i="37"/>
  <c r="J367" i="37"/>
  <c r="J369" i="37"/>
  <c r="J360" i="37"/>
  <c r="J199" i="37"/>
  <c r="J206" i="37"/>
  <c r="J226" i="37"/>
  <c r="J295" i="37"/>
  <c r="J258" i="37"/>
  <c r="J267" i="37"/>
  <c r="J273" i="37"/>
  <c r="J277" i="37"/>
  <c r="J228" i="37"/>
  <c r="J298" i="37"/>
  <c r="J305" i="37"/>
  <c r="J230" i="37"/>
  <c r="J246" i="37"/>
  <c r="J249" i="37"/>
  <c r="J297" i="37"/>
  <c r="J187" i="37"/>
  <c r="J253" i="37"/>
  <c r="J261" i="37"/>
  <c r="J289" i="37"/>
  <c r="J207" i="37"/>
  <c r="J224" i="37"/>
  <c r="J227" i="37"/>
  <c r="J241" i="37"/>
  <c r="J279" i="37"/>
  <c r="J159" i="37"/>
  <c r="J162" i="37"/>
  <c r="J185" i="37"/>
  <c r="J201" i="37"/>
  <c r="J205" i="37"/>
  <c r="J104" i="37"/>
  <c r="J107" i="37"/>
  <c r="J120" i="37"/>
  <c r="J133" i="37"/>
  <c r="J146" i="37"/>
  <c r="J229" i="37"/>
  <c r="J243" i="37"/>
  <c r="J283" i="37"/>
  <c r="J341" i="37"/>
  <c r="J86" i="37"/>
  <c r="J245" i="37"/>
  <c r="J247" i="37"/>
  <c r="J291" i="37"/>
  <c r="J177" i="37"/>
  <c r="J191" i="37"/>
  <c r="J127" i="37"/>
  <c r="J140" i="37"/>
  <c r="J153" i="37"/>
  <c r="J168" i="37"/>
  <c r="J183" i="37"/>
  <c r="J58" i="37"/>
  <c r="J78" i="37"/>
  <c r="J95" i="37"/>
  <c r="J111" i="37"/>
  <c r="J124" i="37"/>
  <c r="J410" i="37"/>
  <c r="J250" i="37"/>
  <c r="J294" i="37"/>
  <c r="J39" i="37"/>
  <c r="J55" i="37"/>
  <c r="J311" i="37"/>
  <c r="J348" i="37"/>
  <c r="J257" i="37"/>
  <c r="J322" i="37"/>
  <c r="J293" i="37"/>
  <c r="J233" i="37"/>
  <c r="J235" i="37"/>
  <c r="J260" i="37"/>
  <c r="J268" i="37"/>
  <c r="J278" i="37"/>
  <c r="J252" i="37"/>
  <c r="J254" i="37"/>
  <c r="J262" i="37"/>
  <c r="J188" i="37"/>
  <c r="J196" i="37"/>
  <c r="J239" i="37"/>
  <c r="J274" i="37"/>
  <c r="J292" i="37"/>
  <c r="J302" i="37"/>
  <c r="J315" i="37"/>
  <c r="J139" i="37"/>
  <c r="J171" i="37"/>
  <c r="J197" i="37"/>
  <c r="J208" i="37"/>
  <c r="J180" i="37"/>
  <c r="J56" i="37"/>
  <c r="J79" i="37"/>
  <c r="J115" i="37"/>
  <c r="J117" i="37"/>
  <c r="J126" i="37"/>
  <c r="J232" i="37"/>
  <c r="J242" i="37"/>
  <c r="J304" i="37"/>
  <c r="J319" i="37"/>
  <c r="J43" i="37"/>
  <c r="J102" i="37"/>
  <c r="J109" i="37"/>
  <c r="J113" i="37"/>
  <c r="J141" i="37"/>
  <c r="J148" i="37"/>
  <c r="J93" i="37"/>
  <c r="J97" i="37"/>
  <c r="J155" i="37"/>
  <c r="J160" i="37"/>
  <c r="J163" i="37"/>
  <c r="J45" i="37"/>
  <c r="J12" i="37"/>
  <c r="J33" i="37"/>
  <c r="J47" i="37"/>
  <c r="J75" i="37"/>
  <c r="J150" i="37"/>
  <c r="J176" i="37"/>
  <c r="J275" i="37"/>
  <c r="J16" i="37"/>
  <c r="J31" i="37"/>
  <c r="J184" i="37"/>
  <c r="J200" i="37"/>
  <c r="J27" i="37"/>
  <c r="J54" i="37"/>
  <c r="J90" i="37"/>
  <c r="J152" i="37"/>
  <c r="J60" i="37"/>
  <c r="J143" i="37"/>
  <c r="J157" i="37"/>
  <c r="J173" i="37"/>
  <c r="J236" i="37"/>
  <c r="J211" i="37"/>
  <c r="J214" i="37"/>
  <c r="J222" i="37"/>
  <c r="J145" i="37"/>
  <c r="J125" i="37"/>
  <c r="J136" i="37"/>
  <c r="J138" i="37"/>
  <c r="J147" i="37"/>
  <c r="J170" i="37"/>
  <c r="J190" i="37"/>
  <c r="J221" i="37"/>
  <c r="J52" i="37"/>
  <c r="J65" i="37"/>
  <c r="J80" i="37"/>
  <c r="J112" i="37"/>
  <c r="J123" i="37"/>
  <c r="J134" i="37"/>
  <c r="J167" i="37"/>
  <c r="J175" i="37"/>
  <c r="J121" i="37"/>
  <c r="J178" i="37"/>
  <c r="J181" i="37"/>
  <c r="J24" i="37"/>
  <c r="J34" i="37"/>
  <c r="J240" i="37"/>
  <c r="J42" i="37"/>
  <c r="J74" i="37"/>
  <c r="J110" i="37"/>
  <c r="J119" i="37"/>
  <c r="J108" i="37"/>
  <c r="J172" i="37"/>
  <c r="J193" i="37"/>
  <c r="J210" i="37"/>
  <c r="J231" i="37"/>
  <c r="J32" i="37"/>
  <c r="J50" i="37"/>
  <c r="J62" i="37"/>
  <c r="J94" i="37"/>
  <c r="J106" i="37"/>
  <c r="J25" i="37"/>
  <c r="J63" i="37"/>
  <c r="J18" i="37"/>
  <c r="J14" i="37"/>
  <c r="J17" i="37"/>
  <c r="J130" i="37"/>
  <c r="J128" i="37"/>
  <c r="J66" i="37"/>
  <c r="J35" i="37"/>
  <c r="J29" i="37"/>
  <c r="J161" i="37"/>
  <c r="J132" i="37"/>
  <c r="J82" i="37"/>
  <c r="J182" i="37"/>
  <c r="J158" i="37"/>
  <c r="J194" i="37"/>
  <c r="J179" i="37"/>
  <c r="J46" i="37"/>
  <c r="J323" i="37"/>
  <c r="J204" i="37"/>
  <c r="J37" i="37"/>
  <c r="J21" i="37"/>
  <c r="J306" i="37"/>
  <c r="J238" i="37"/>
  <c r="J198" i="37"/>
  <c r="J156" i="37"/>
  <c r="J151" i="37"/>
  <c r="J144" i="37"/>
  <c r="J84" i="37"/>
  <c r="J69" i="37"/>
  <c r="J13" i="37"/>
  <c r="J269" i="37"/>
  <c r="J255" i="37"/>
  <c r="J212" i="37"/>
  <c r="J166" i="37"/>
  <c r="J48" i="37"/>
  <c r="J186" i="37"/>
  <c r="J149" i="37"/>
  <c r="J96" i="37"/>
  <c r="J28" i="37"/>
  <c r="J195" i="37"/>
  <c r="J114" i="37"/>
  <c r="J103" i="37"/>
  <c r="J87" i="37"/>
  <c r="J72" i="37"/>
  <c r="J41" i="37"/>
  <c r="J23" i="37"/>
  <c r="J19" i="37"/>
  <c r="J263" i="37"/>
  <c r="J256" i="37"/>
  <c r="J270" i="37"/>
  <c r="J244" i="37"/>
  <c r="J116" i="37"/>
  <c r="J105" i="37"/>
  <c r="J57" i="37"/>
  <c r="J154" i="37"/>
  <c r="J129" i="37"/>
  <c r="J122" i="37"/>
  <c r="J118" i="37"/>
  <c r="J51" i="37"/>
  <c r="J131" i="37"/>
  <c r="J67" i="37"/>
  <c r="J36" i="37"/>
  <c r="J30" i="37"/>
  <c r="J174" i="37"/>
  <c r="J272" i="37"/>
  <c r="J213" i="37"/>
  <c r="J209" i="37"/>
  <c r="J137" i="37"/>
  <c r="J135" i="37"/>
  <c r="J310" i="37"/>
  <c r="J234" i="37"/>
  <c r="J202" i="37"/>
  <c r="J192" i="37"/>
  <c r="J189" i="37"/>
  <c r="J299" i="37"/>
  <c r="J264" i="37"/>
  <c r="J53" i="37"/>
  <c r="J22" i="37"/>
  <c r="J342" i="37"/>
  <c r="J142" i="37"/>
  <c r="J91" i="37"/>
  <c r="J89" i="37"/>
  <c r="J70" i="37"/>
  <c r="J83" i="37"/>
  <c r="J59" i="37"/>
  <c r="J15" i="37"/>
  <c r="J169" i="37"/>
  <c r="J1245" i="37"/>
  <c r="K1245" i="37"/>
  <c r="J15" i="40" l="1"/>
  <c r="J59" i="40"/>
  <c r="J70" i="40"/>
  <c r="J89" i="40"/>
  <c r="J22" i="40"/>
  <c r="J53" i="40"/>
  <c r="J30" i="40"/>
  <c r="J36" i="40"/>
  <c r="J67" i="40"/>
  <c r="J51" i="40"/>
  <c r="J57" i="40"/>
  <c r="J19" i="40"/>
  <c r="J23" i="40"/>
  <c r="J41" i="40"/>
  <c r="J72" i="40"/>
  <c r="J28" i="40"/>
  <c r="J48" i="40"/>
  <c r="J13" i="40"/>
  <c r="J69" i="40"/>
  <c r="J21" i="40"/>
  <c r="J37" i="40"/>
  <c r="J46" i="40"/>
  <c r="J29" i="40"/>
  <c r="J35" i="40"/>
  <c r="J66" i="40"/>
  <c r="J17" i="40"/>
  <c r="J14" i="40"/>
  <c r="J18" i="40"/>
  <c r="J63" i="40"/>
  <c r="J25" i="40"/>
  <c r="J62" i="40"/>
  <c r="J50" i="40"/>
  <c r="J32" i="40"/>
  <c r="J74" i="40"/>
  <c r="J42" i="40"/>
  <c r="J34" i="40"/>
  <c r="J24" i="40"/>
  <c r="J65" i="40"/>
  <c r="J52" i="40"/>
  <c r="J60" i="40"/>
  <c r="J54" i="40"/>
  <c r="J27" i="40"/>
  <c r="J31" i="40"/>
  <c r="J16" i="40"/>
  <c r="J75" i="40"/>
  <c r="J47" i="40"/>
  <c r="J33" i="40"/>
  <c r="J12" i="40"/>
  <c r="J45" i="40"/>
  <c r="J43" i="40"/>
  <c r="J56" i="40"/>
  <c r="J95" i="40"/>
  <c r="J55" i="40"/>
  <c r="J39" i="40"/>
  <c r="J157" i="40"/>
  <c r="J58" i="40"/>
  <c r="J88" i="40"/>
  <c r="J107" i="40"/>
  <c r="J116" i="40"/>
  <c r="J114" i="40"/>
  <c r="J110" i="40"/>
  <c r="J102" i="40"/>
  <c r="J135" i="40"/>
  <c r="J120" i="40"/>
  <c r="J149" i="40"/>
  <c r="J84" i="40"/>
  <c r="J98" i="40"/>
  <c r="J123" i="40"/>
  <c r="J92" i="40"/>
  <c r="J144" i="40"/>
  <c r="J125" i="40"/>
  <c r="J140" i="40"/>
  <c r="J138" i="40"/>
  <c r="J121" i="40"/>
  <c r="J100" i="40"/>
  <c r="J83" i="40"/>
  <c r="J108" i="40"/>
  <c r="J103" i="40"/>
  <c r="J94" i="40"/>
  <c r="J154" i="40"/>
  <c r="J115" i="40"/>
  <c r="J106" i="40"/>
  <c r="J96" i="40"/>
  <c r="J147" i="40"/>
  <c r="J145" i="40"/>
  <c r="J128" i="40"/>
  <c r="J85" i="40"/>
  <c r="J93" i="40"/>
  <c r="J150" i="40"/>
  <c r="J126" i="40"/>
  <c r="J124" i="40"/>
  <c r="J122" i="40"/>
  <c r="J104" i="40"/>
  <c r="J159" i="40"/>
  <c r="J156" i="40"/>
  <c r="J153" i="40"/>
  <c r="J111" i="40"/>
  <c r="J109" i="40"/>
  <c r="J132" i="40"/>
  <c r="J129" i="40"/>
  <c r="J113" i="40"/>
  <c r="J151" i="40"/>
  <c r="J134" i="40"/>
  <c r="J97" i="40"/>
  <c r="J90" i="40"/>
  <c r="J87" i="40"/>
  <c r="J82" i="40"/>
  <c r="J143" i="40"/>
  <c r="J139" i="40"/>
  <c r="J137" i="40"/>
  <c r="J99" i="40"/>
  <c r="J133" i="40"/>
  <c r="J119" i="40"/>
  <c r="J152" i="40"/>
  <c r="J136" i="40"/>
  <c r="J146" i="40"/>
  <c r="J130" i="40"/>
  <c r="J127" i="40"/>
  <c r="J112" i="40"/>
  <c r="J10" i="40"/>
  <c r="J79" i="40" s="1"/>
  <c r="I6" i="37"/>
  <c r="I1278" i="37"/>
  <c r="I1295" i="37"/>
  <c r="I1311" i="37"/>
  <c r="I1314" i="37"/>
  <c r="I1331" i="37"/>
  <c r="I1201" i="37"/>
  <c r="I1214" i="37"/>
  <c r="I1230" i="37"/>
  <c r="I1233" i="37"/>
  <c r="I1259" i="37"/>
  <c r="I1270" i="37"/>
  <c r="I1288" i="37"/>
  <c r="I1302" i="37"/>
  <c r="I1320" i="37"/>
  <c r="I1186" i="37"/>
  <c r="I1195" i="37"/>
  <c r="I1208" i="37"/>
  <c r="I1223" i="37"/>
  <c r="I1238" i="37"/>
  <c r="I1265" i="37"/>
  <c r="I1133" i="37"/>
  <c r="I1146" i="37"/>
  <c r="I1160" i="37"/>
  <c r="I1174" i="37"/>
  <c r="I1192" i="37"/>
  <c r="I1075" i="37"/>
  <c r="I1078" i="37"/>
  <c r="I1094" i="37"/>
  <c r="I1109" i="37"/>
  <c r="I1130" i="37"/>
  <c r="I1296" i="37"/>
  <c r="I1312" i="37"/>
  <c r="I1329" i="37"/>
  <c r="I1045" i="37"/>
  <c r="I1059" i="37"/>
  <c r="I1215" i="37"/>
  <c r="I1231" i="37"/>
  <c r="I1257" i="37"/>
  <c r="I1276" i="37"/>
  <c r="I1293" i="37"/>
  <c r="I1153" i="37"/>
  <c r="I1168" i="37"/>
  <c r="I1184" i="37"/>
  <c r="I1199" i="37"/>
  <c r="I1212" i="37"/>
  <c r="I1099" i="37"/>
  <c r="I1103" i="37"/>
  <c r="I1118" i="37"/>
  <c r="I1137" i="37"/>
  <c r="I1150" i="37"/>
  <c r="I1300" i="37"/>
  <c r="I1318" i="37"/>
  <c r="I1321" i="37"/>
  <c r="I1067" i="37"/>
  <c r="I1083" i="37"/>
  <c r="I1221" i="37"/>
  <c r="I1236" i="37"/>
  <c r="I1239" i="37"/>
  <c r="I1266" i="37"/>
  <c r="I1286" i="37"/>
  <c r="I1157" i="37"/>
  <c r="I1172" i="37"/>
  <c r="I1175" i="37"/>
  <c r="I1193" i="37"/>
  <c r="I1206" i="37"/>
  <c r="I1076" i="37"/>
  <c r="I1092" i="37"/>
  <c r="I1107" i="37"/>
  <c r="I1131" i="37"/>
  <c r="I1144" i="37"/>
  <c r="I1272" i="37"/>
  <c r="I1277" i="37"/>
  <c r="I1294" i="37"/>
  <c r="I1310" i="37"/>
  <c r="I1327" i="37"/>
  <c r="I1180" i="37"/>
  <c r="I1197" i="37"/>
  <c r="I1200" i="37"/>
  <c r="I1213" i="37"/>
  <c r="I1229" i="37"/>
  <c r="I1282" i="37"/>
  <c r="I1298" i="37"/>
  <c r="I1301" i="37"/>
  <c r="I1319" i="37"/>
  <c r="I1165" i="37"/>
  <c r="I1204" i="37"/>
  <c r="I1219" i="37"/>
  <c r="I1222" i="37"/>
  <c r="I1237" i="37"/>
  <c r="I1264" i="37"/>
  <c r="I1315" i="37"/>
  <c r="I1292" i="37"/>
  <c r="I1305" i="37"/>
  <c r="I1323" i="37"/>
  <c r="I1328" i="37"/>
  <c r="I1235" i="37"/>
  <c r="I1260" i="37"/>
  <c r="I1280" i="37"/>
  <c r="I1283" i="37"/>
  <c r="I1299" i="37"/>
  <c r="I1171" i="37"/>
  <c r="I1187" i="37"/>
  <c r="I1202" i="37"/>
  <c r="I1205" i="37"/>
  <c r="I1220" i="37"/>
  <c r="I1307" i="37"/>
  <c r="I1326" i="37"/>
  <c r="I1140" i="37"/>
  <c r="I1143" i="37"/>
  <c r="I1156" i="37"/>
  <c r="I1228" i="37"/>
  <c r="I1243" i="37"/>
  <c r="I1271" i="37"/>
  <c r="I1289" i="37"/>
  <c r="I1303" i="37"/>
  <c r="I1164" i="37"/>
  <c r="I1179" i="37"/>
  <c r="I1196" i="37"/>
  <c r="I1209" i="37"/>
  <c r="I1225" i="37"/>
  <c r="I1110" i="37"/>
  <c r="I1114" i="37"/>
  <c r="I1134" i="37"/>
  <c r="I1147" i="37"/>
  <c r="I1161" i="37"/>
  <c r="I1281" i="37"/>
  <c r="I1297" i="37"/>
  <c r="I1313" i="37"/>
  <c r="I1330" i="37"/>
  <c r="I1096" i="37"/>
  <c r="I1203" i="37"/>
  <c r="I1216" i="37"/>
  <c r="I1232" i="37"/>
  <c r="I1258" i="37"/>
  <c r="I1263" i="37"/>
  <c r="I1141" i="37"/>
  <c r="I1154" i="37"/>
  <c r="I1169" i="37"/>
  <c r="I1185" i="37"/>
  <c r="I1190" i="37"/>
  <c r="I1267" i="37"/>
  <c r="I1287" i="37"/>
  <c r="I1290" i="37"/>
  <c r="I1304" i="37"/>
  <c r="I1322" i="37"/>
  <c r="I1194" i="37"/>
  <c r="I1207" i="37"/>
  <c r="I1210" i="37"/>
  <c r="I1226" i="37"/>
  <c r="I1241" i="37"/>
  <c r="I1132" i="37"/>
  <c r="I1145" i="37"/>
  <c r="I1148" i="37"/>
  <c r="I1162" i="37"/>
  <c r="I1177" i="37"/>
  <c r="I1135" i="37"/>
  <c r="I1032" i="37"/>
  <c r="I1093" i="37"/>
  <c r="I1097" i="37"/>
  <c r="I1112" i="37"/>
  <c r="I1123" i="37"/>
  <c r="I1242" i="37"/>
  <c r="I1072" i="37"/>
  <c r="I1105" i="37"/>
  <c r="I1049" i="37"/>
  <c r="I1081" i="37"/>
  <c r="I1089" i="37"/>
  <c r="I1117" i="37"/>
  <c r="I1087" i="37"/>
  <c r="I1128" i="37"/>
  <c r="I1101" i="37"/>
  <c r="I1113" i="37"/>
  <c r="I1056" i="37"/>
  <c r="I1065" i="37"/>
  <c r="I1054" i="37"/>
  <c r="I1098" i="37"/>
  <c r="I1116" i="37"/>
  <c r="I1119" i="37"/>
  <c r="I1173" i="37"/>
  <c r="I1007" i="37"/>
  <c r="I1023" i="37"/>
  <c r="I1026" i="37"/>
  <c r="I1031" i="37"/>
  <c r="I1104" i="37"/>
  <c r="I1039" i="37"/>
  <c r="I1052" i="37"/>
  <c r="I1066" i="37"/>
  <c r="I1086" i="37"/>
  <c r="I1100" i="37"/>
  <c r="I1158" i="37"/>
  <c r="I1198" i="37"/>
  <c r="I1149" i="37"/>
  <c r="I1015" i="37"/>
  <c r="I1035" i="37"/>
  <c r="I1136" i="37"/>
  <c r="I1155" i="37"/>
  <c r="I1178" i="37"/>
  <c r="I1211" i="37"/>
  <c r="I1082" i="37"/>
  <c r="I1073" i="37"/>
  <c r="I1227" i="37"/>
  <c r="I1036" i="37"/>
  <c r="I1053" i="37"/>
  <c r="I1061" i="37"/>
  <c r="I1121" i="37"/>
  <c r="I1142" i="37"/>
  <c r="I1191" i="37"/>
  <c r="I1247" i="37"/>
  <c r="I1273" i="37"/>
  <c r="I1041" i="37"/>
  <c r="I1070" i="37"/>
  <c r="I1138" i="37"/>
  <c r="I1183" i="37"/>
  <c r="I1050" i="37"/>
  <c r="I900" i="37"/>
  <c r="I930" i="37"/>
  <c r="I962" i="37"/>
  <c r="I991" i="37"/>
  <c r="I1001" i="37"/>
  <c r="I1037" i="37"/>
  <c r="I1047" i="37"/>
  <c r="I1064" i="37"/>
  <c r="I1126" i="37"/>
  <c r="I886" i="37"/>
  <c r="I1170" i="37"/>
  <c r="I907" i="37"/>
  <c r="I920" i="37"/>
  <c r="I935" i="37"/>
  <c r="I969" i="37"/>
  <c r="I927" i="37"/>
  <c r="I941" i="37"/>
  <c r="I953" i="37"/>
  <c r="I982" i="37"/>
  <c r="I999" i="37"/>
  <c r="I897" i="37"/>
  <c r="I960" i="37"/>
  <c r="I972" i="37"/>
  <c r="I989" i="37"/>
  <c r="I890" i="37"/>
  <c r="I820" i="37"/>
  <c r="I840" i="37"/>
  <c r="I854" i="37"/>
  <c r="I868" i="37"/>
  <c r="I872" i="37"/>
  <c r="I1122" i="37"/>
  <c r="I1166" i="37"/>
  <c r="I785" i="37"/>
  <c r="I801" i="37"/>
  <c r="I816" i="37"/>
  <c r="I945" i="37"/>
  <c r="I979" i="37"/>
  <c r="I1016" i="37"/>
  <c r="I1019" i="37"/>
  <c r="I1025" i="37"/>
  <c r="I951" i="37"/>
  <c r="I1021" i="37"/>
  <c r="I1033" i="37"/>
  <c r="I905" i="37"/>
  <c r="I917" i="37"/>
  <c r="I1040" i="37"/>
  <c r="I1058" i="37"/>
  <c r="I1068" i="37"/>
  <c r="I1091" i="37"/>
  <c r="I1163" i="37"/>
  <c r="I949" i="37"/>
  <c r="I961" i="37"/>
  <c r="I990" i="37"/>
  <c r="I1011" i="37"/>
  <c r="I1108" i="37"/>
  <c r="I1027" i="37"/>
  <c r="I1063" i="37"/>
  <c r="I892" i="37"/>
  <c r="I922" i="37"/>
  <c r="I940" i="37"/>
  <c r="I967" i="37"/>
  <c r="I998" i="37"/>
  <c r="I1013" i="37"/>
  <c r="I1024" i="37"/>
  <c r="I845" i="37"/>
  <c r="I860" i="37"/>
  <c r="I874" i="37"/>
  <c r="I878" i="37"/>
  <c r="I906" i="37"/>
  <c r="I926" i="37"/>
  <c r="I947" i="37"/>
  <c r="I974" i="37"/>
  <c r="I988" i="37"/>
  <c r="I1046" i="37"/>
  <c r="I1042" i="37"/>
  <c r="I1088" i="37"/>
  <c r="I1080" i="37"/>
  <c r="I896" i="37"/>
  <c r="I913" i="37"/>
  <c r="I924" i="37"/>
  <c r="I985" i="37"/>
  <c r="I1057" i="37"/>
  <c r="I1017" i="37"/>
  <c r="I1020" i="37"/>
  <c r="I857" i="37"/>
  <c r="I861" i="37"/>
  <c r="I875" i="37"/>
  <c r="I894" i="37"/>
  <c r="I911" i="37"/>
  <c r="I993" i="37"/>
  <c r="I1005" i="37"/>
  <c r="I1106" i="37"/>
  <c r="I823" i="37"/>
  <c r="I843" i="37"/>
  <c r="I975" i="37"/>
  <c r="I901" i="37"/>
  <c r="I931" i="37"/>
  <c r="I957" i="37"/>
  <c r="I1012" i="37"/>
  <c r="I1014" i="37"/>
  <c r="I1060" i="37"/>
  <c r="I948" i="37"/>
  <c r="I963" i="37"/>
  <c r="I921" i="37"/>
  <c r="I954" i="37"/>
  <c r="I983" i="37"/>
  <c r="I996" i="37"/>
  <c r="I1010" i="37"/>
  <c r="I1152" i="37"/>
  <c r="I1044" i="37"/>
  <c r="I1048" i="37"/>
  <c r="I1071" i="37"/>
  <c r="I891" i="37"/>
  <c r="I966" i="37"/>
  <c r="I984" i="37"/>
  <c r="I1034" i="37"/>
  <c r="I1077" i="37"/>
  <c r="I1129" i="37"/>
  <c r="I858" i="37"/>
  <c r="I865" i="37"/>
  <c r="I884" i="37"/>
  <c r="I925" i="37"/>
  <c r="I937" i="37"/>
  <c r="I855" i="37"/>
  <c r="I862" i="37"/>
  <c r="I889" i="37"/>
  <c r="I790" i="37"/>
  <c r="I818" i="37"/>
  <c r="I915" i="37"/>
  <c r="I1004" i="37"/>
  <c r="I802" i="37"/>
  <c r="I829" i="37"/>
  <c r="I841" i="37"/>
  <c r="I787" i="37"/>
  <c r="I799" i="37"/>
  <c r="I835" i="37"/>
  <c r="I880" i="37"/>
  <c r="I832" i="37"/>
  <c r="I847" i="37"/>
  <c r="I946" i="37"/>
  <c r="I756" i="37"/>
  <c r="I770" i="37"/>
  <c r="I797" i="37"/>
  <c r="I812" i="37"/>
  <c r="I814" i="37"/>
  <c r="I825" i="37"/>
  <c r="I1003" i="37"/>
  <c r="I725" i="37"/>
  <c r="I746" i="37"/>
  <c r="I760" i="37"/>
  <c r="I774" i="37"/>
  <c r="I778" i="37"/>
  <c r="I661" i="37"/>
  <c r="I675" i="37"/>
  <c r="I691" i="37"/>
  <c r="I707" i="37"/>
  <c r="I722" i="37"/>
  <c r="I950" i="37"/>
  <c r="I956" i="37"/>
  <c r="I977" i="37"/>
  <c r="I1084" i="37"/>
  <c r="I658" i="37"/>
  <c r="I795" i="37"/>
  <c r="I929" i="37"/>
  <c r="I936" i="37"/>
  <c r="I888" i="37"/>
  <c r="I914" i="37"/>
  <c r="I852" i="37"/>
  <c r="I864" i="37"/>
  <c r="I867" i="37"/>
  <c r="I995" i="37"/>
  <c r="I782" i="37"/>
  <c r="I965" i="37"/>
  <c r="I971" i="37"/>
  <c r="I1008" i="37"/>
  <c r="I807" i="37"/>
  <c r="I849" i="37"/>
  <c r="I775" i="37"/>
  <c r="I792" i="37"/>
  <c r="I804" i="37"/>
  <c r="I879" i="37"/>
  <c r="I918" i="37"/>
  <c r="I939" i="37"/>
  <c r="I970" i="37"/>
  <c r="I1043" i="37"/>
  <c r="I758" i="37"/>
  <c r="I761" i="37"/>
  <c r="I964" i="37"/>
  <c r="I994" i="37"/>
  <c r="I739" i="37"/>
  <c r="I909" i="37"/>
  <c r="I987" i="37"/>
  <c r="I980" i="37"/>
  <c r="I908" i="37"/>
  <c r="I959" i="37"/>
  <c r="I1000" i="37"/>
  <c r="I824" i="37"/>
  <c r="I853" i="37"/>
  <c r="I1006" i="37"/>
  <c r="I904" i="37"/>
  <c r="I944" i="37"/>
  <c r="I743" i="37"/>
  <c r="I757" i="37"/>
  <c r="I771" i="37"/>
  <c r="I788" i="37"/>
  <c r="I803" i="37"/>
  <c r="I943" i="37"/>
  <c r="I703" i="37"/>
  <c r="I719" i="37"/>
  <c r="I734" i="37"/>
  <c r="I738" i="37"/>
  <c r="I850" i="37"/>
  <c r="I873" i="37"/>
  <c r="I899" i="37"/>
  <c r="I912" i="37"/>
  <c r="I938" i="37"/>
  <c r="I856" i="37"/>
  <c r="I863" i="37"/>
  <c r="I973" i="37"/>
  <c r="I819" i="37"/>
  <c r="I831" i="37"/>
  <c r="I751" i="37"/>
  <c r="I765" i="37"/>
  <c r="I779" i="37"/>
  <c r="I786" i="37"/>
  <c r="I813" i="37"/>
  <c r="I902" i="37"/>
  <c r="I958" i="37"/>
  <c r="I1151" i="37"/>
  <c r="I726" i="37"/>
  <c r="I747" i="37"/>
  <c r="I1139" i="37"/>
  <c r="I798" i="37"/>
  <c r="I815" i="37"/>
  <c r="I821" i="37"/>
  <c r="I885" i="37"/>
  <c r="I811" i="37"/>
  <c r="I827" i="37"/>
  <c r="I833" i="37"/>
  <c r="I978" i="37"/>
  <c r="I1055" i="37"/>
  <c r="I768" i="37"/>
  <c r="I876" i="37"/>
  <c r="I916" i="37"/>
  <c r="I952" i="37"/>
  <c r="I772" i="37"/>
  <c r="I605" i="37"/>
  <c r="I621" i="37"/>
  <c r="I636" i="37"/>
  <c r="I660" i="37"/>
  <c r="I672" i="37"/>
  <c r="I540" i="37"/>
  <c r="I557" i="37"/>
  <c r="I571" i="37"/>
  <c r="I586" i="37"/>
  <c r="I589" i="37"/>
  <c r="I783" i="37"/>
  <c r="I791" i="37"/>
  <c r="I808" i="37"/>
  <c r="I842" i="37"/>
  <c r="I851" i="37"/>
  <c r="I796" i="37"/>
  <c r="I651" i="37"/>
  <c r="I679" i="37"/>
  <c r="I702" i="37"/>
  <c r="I724" i="37"/>
  <c r="I699" i="37"/>
  <c r="I714" i="37"/>
  <c r="I729" i="37"/>
  <c r="I732" i="37"/>
  <c r="I745" i="37"/>
  <c r="I689" i="37"/>
  <c r="I871" i="37"/>
  <c r="I670" i="37"/>
  <c r="I712" i="37"/>
  <c r="I686" i="37"/>
  <c r="I822" i="37"/>
  <c r="I697" i="37"/>
  <c r="I709" i="37"/>
  <c r="I767" i="37"/>
  <c r="I676" i="37"/>
  <c r="I595" i="37"/>
  <c r="I611" i="37"/>
  <c r="I627" i="37"/>
  <c r="I642" i="37"/>
  <c r="I668" i="37"/>
  <c r="I647" i="37"/>
  <c r="I659" i="37"/>
  <c r="I674" i="37"/>
  <c r="I687" i="37"/>
  <c r="I883" i="37"/>
  <c r="I704" i="37"/>
  <c r="I721" i="37"/>
  <c r="I723" i="37"/>
  <c r="I753" i="37"/>
  <c r="I869" i="37"/>
  <c r="I616" i="37"/>
  <c r="I620" i="37"/>
  <c r="I635" i="37"/>
  <c r="I665" i="37"/>
  <c r="I694" i="37"/>
  <c r="I553" i="37"/>
  <c r="I556" i="37"/>
  <c r="I570" i="37"/>
  <c r="I585" i="37"/>
  <c r="I600" i="37"/>
  <c r="I839" i="37"/>
  <c r="I848" i="37"/>
  <c r="I650" i="37"/>
  <c r="I677" i="37"/>
  <c r="I716" i="37"/>
  <c r="I881" i="37"/>
  <c r="I640" i="37"/>
  <c r="I657" i="37"/>
  <c r="I684" i="37"/>
  <c r="I755" i="37"/>
  <c r="I793" i="37"/>
  <c r="I806" i="37"/>
  <c r="I764" i="37"/>
  <c r="I773" i="37"/>
  <c r="I828" i="37"/>
  <c r="I752" i="37"/>
  <c r="I866" i="37"/>
  <c r="I708" i="37"/>
  <c r="I737" i="37"/>
  <c r="I749" i="37"/>
  <c r="I781" i="37"/>
  <c r="I655" i="37"/>
  <c r="I666" i="37"/>
  <c r="I682" i="37"/>
  <c r="I696" i="37"/>
  <c r="I641" i="37"/>
  <c r="I643" i="37"/>
  <c r="I673" i="37"/>
  <c r="I705" i="37"/>
  <c r="I576" i="37"/>
  <c r="I590" i="37"/>
  <c r="I606" i="37"/>
  <c r="I622" i="37"/>
  <c r="I626" i="37"/>
  <c r="I766" i="37"/>
  <c r="I528" i="37"/>
  <c r="I541" i="37"/>
  <c r="I558" i="37"/>
  <c r="I562" i="37"/>
  <c r="I754" i="37"/>
  <c r="I759" i="37"/>
  <c r="I762" i="37"/>
  <c r="I680" i="37"/>
  <c r="I720" i="37"/>
  <c r="I664" i="37"/>
  <c r="I693" i="37"/>
  <c r="I715" i="37"/>
  <c r="I717" i="37"/>
  <c r="I728" i="37"/>
  <c r="I895" i="37"/>
  <c r="I599" i="37"/>
  <c r="I615" i="37"/>
  <c r="I630" i="37"/>
  <c r="I652" i="37"/>
  <c r="I700" i="37"/>
  <c r="I730" i="37"/>
  <c r="I744" i="37"/>
  <c r="I769" i="37"/>
  <c r="I777" i="37"/>
  <c r="I735" i="37"/>
  <c r="I748" i="37"/>
  <c r="I844" i="37"/>
  <c r="I671" i="37"/>
  <c r="I683" i="37"/>
  <c r="I623" i="37"/>
  <c r="I639" i="37"/>
  <c r="I656" i="37"/>
  <c r="I713" i="37"/>
  <c r="I733" i="37"/>
  <c r="I710" i="37"/>
  <c r="I780" i="37"/>
  <c r="I809" i="37"/>
  <c r="I662" i="37"/>
  <c r="I834" i="37"/>
  <c r="I628" i="37"/>
  <c r="I631" i="37"/>
  <c r="I669" i="37"/>
  <c r="I681" i="37"/>
  <c r="I698" i="37"/>
  <c r="I545" i="37"/>
  <c r="I592" i="37"/>
  <c r="I648" i="37"/>
  <c r="I653" i="37"/>
  <c r="I688" i="37"/>
  <c r="I538" i="37"/>
  <c r="I549" i="37"/>
  <c r="I608" i="37"/>
  <c r="I510" i="37"/>
  <c r="I536" i="37"/>
  <c r="I501" i="37"/>
  <c r="I514" i="37"/>
  <c r="I618" i="37"/>
  <c r="I527" i="37"/>
  <c r="I534" i="37"/>
  <c r="I446" i="37"/>
  <c r="I459" i="37"/>
  <c r="I462" i="37"/>
  <c r="I475" i="37"/>
  <c r="I488" i="37"/>
  <c r="I380" i="37"/>
  <c r="I396" i="37"/>
  <c r="I399" i="37"/>
  <c r="I417" i="37"/>
  <c r="I430" i="37"/>
  <c r="I517" i="37"/>
  <c r="I525" i="37"/>
  <c r="I583" i="37"/>
  <c r="I629" i="37"/>
  <c r="I365" i="37"/>
  <c r="I523" i="37"/>
  <c r="I542" i="37"/>
  <c r="I587" i="37"/>
  <c r="I603" i="37"/>
  <c r="I613" i="37"/>
  <c r="I466" i="37"/>
  <c r="I479" i="37"/>
  <c r="I482" i="37"/>
  <c r="I495" i="37"/>
  <c r="I508" i="37"/>
  <c r="I499" i="37"/>
  <c r="I502" i="37"/>
  <c r="I515" i="37"/>
  <c r="I594" i="37"/>
  <c r="I453" i="37"/>
  <c r="I521" i="37"/>
  <c r="I535" i="37"/>
  <c r="I537" i="37"/>
  <c r="I575" i="37"/>
  <c r="I602" i="37"/>
  <c r="I506" i="37"/>
  <c r="I531" i="37"/>
  <c r="I533" i="37"/>
  <c r="I564" i="37"/>
  <c r="I569" i="37"/>
  <c r="I451" i="37"/>
  <c r="I464" i="37"/>
  <c r="I467" i="37"/>
  <c r="I480" i="37"/>
  <c r="I493" i="37"/>
  <c r="I519" i="37"/>
  <c r="I529" i="37"/>
  <c r="I580" i="37"/>
  <c r="I598" i="37"/>
  <c r="I435" i="37"/>
  <c r="I500" i="37"/>
  <c r="I513" i="37"/>
  <c r="I561" i="37"/>
  <c r="I566" i="37"/>
  <c r="I593" i="37"/>
  <c r="I577" i="37"/>
  <c r="I692" i="37"/>
  <c r="I471" i="37"/>
  <c r="I484" i="37"/>
  <c r="I487" i="37"/>
  <c r="I465" i="37"/>
  <c r="I478" i="37"/>
  <c r="I491" i="37"/>
  <c r="I504" i="37"/>
  <c r="I507" i="37"/>
  <c r="I403" i="37"/>
  <c r="I420" i="37"/>
  <c r="I433" i="37"/>
  <c r="I449" i="37"/>
  <c r="I452" i="37"/>
  <c r="I663" i="37"/>
  <c r="I353" i="37"/>
  <c r="I368" i="37"/>
  <c r="I383" i="37"/>
  <c r="I387" i="37"/>
  <c r="I582" i="37"/>
  <c r="I544" i="37"/>
  <c r="I555" i="37"/>
  <c r="I568" i="37"/>
  <c r="I634" i="37"/>
  <c r="I498" i="37"/>
  <c r="I511" i="37"/>
  <c r="I520" i="37"/>
  <c r="I563" i="37"/>
  <c r="I574" i="37"/>
  <c r="I632" i="37"/>
  <c r="I579" i="37"/>
  <c r="I597" i="37"/>
  <c r="I610" i="37"/>
  <c r="I485" i="37"/>
  <c r="I492" i="37"/>
  <c r="I505" i="37"/>
  <c r="I539" i="37"/>
  <c r="I546" i="37"/>
  <c r="I565" i="37"/>
  <c r="I559" i="37"/>
  <c r="I614" i="37"/>
  <c r="I463" i="37"/>
  <c r="I476" i="37"/>
  <c r="I489" i="37"/>
  <c r="I512" i="37"/>
  <c r="I609" i="37"/>
  <c r="I518" i="37"/>
  <c r="I526" i="37"/>
  <c r="I552" i="37"/>
  <c r="I578" i="37"/>
  <c r="I470" i="37"/>
  <c r="I483" i="37"/>
  <c r="I496" i="37"/>
  <c r="I509" i="37"/>
  <c r="I625" i="37"/>
  <c r="I649" i="37"/>
  <c r="I524" i="37"/>
  <c r="I543" i="37"/>
  <c r="I554" i="37"/>
  <c r="I619" i="37"/>
  <c r="I638" i="37"/>
  <c r="I516" i="37"/>
  <c r="I567" i="37"/>
  <c r="I572" i="37"/>
  <c r="I419" i="37"/>
  <c r="I448" i="37"/>
  <c r="I581" i="37"/>
  <c r="I588" i="37"/>
  <c r="I604" i="37"/>
  <c r="I350" i="37"/>
  <c r="I445" i="37"/>
  <c r="I456" i="37"/>
  <c r="I340" i="37"/>
  <c r="I378" i="37"/>
  <c r="I385" i="37"/>
  <c r="I402" i="37"/>
  <c r="I404" i="37"/>
  <c r="I450" i="37"/>
  <c r="I474" i="37"/>
  <c r="I299" i="37"/>
  <c r="I312" i="37"/>
  <c r="I315" i="37"/>
  <c r="I328" i="37"/>
  <c r="I382" i="37"/>
  <c r="I236" i="37"/>
  <c r="I250" i="37"/>
  <c r="I253" i="37"/>
  <c r="I268" i="37"/>
  <c r="I286" i="37"/>
  <c r="I176" i="37"/>
  <c r="I189" i="37"/>
  <c r="I192" i="37"/>
  <c r="I205" i="37"/>
  <c r="I222" i="37"/>
  <c r="I503" i="37"/>
  <c r="I362" i="37"/>
  <c r="I364" i="37"/>
  <c r="I426" i="37"/>
  <c r="I437" i="37"/>
  <c r="I360" i="37"/>
  <c r="I406" i="37"/>
  <c r="I409" i="37"/>
  <c r="I412" i="37"/>
  <c r="I428" i="37"/>
  <c r="I306" i="37"/>
  <c r="I319" i="37"/>
  <c r="I337" i="37"/>
  <c r="I341" i="37"/>
  <c r="I348" i="37"/>
  <c r="I458" i="37"/>
  <c r="I477" i="37"/>
  <c r="I447" i="37"/>
  <c r="I473" i="37"/>
  <c r="I293" i="37"/>
  <c r="I373" i="37"/>
  <c r="I375" i="37"/>
  <c r="I377" i="37"/>
  <c r="I432" i="37"/>
  <c r="I442" i="37"/>
  <c r="I494" i="37"/>
  <c r="I346" i="37"/>
  <c r="I379" i="37"/>
  <c r="I434" i="37"/>
  <c r="I469" i="37"/>
  <c r="I338" i="37"/>
  <c r="I381" i="37"/>
  <c r="I398" i="37"/>
  <c r="I400" i="37"/>
  <c r="I421" i="37"/>
  <c r="I455" i="37"/>
  <c r="I472" i="37"/>
  <c r="I304" i="37"/>
  <c r="I317" i="37"/>
  <c r="I320" i="37"/>
  <c r="I423" i="37"/>
  <c r="I425" i="37"/>
  <c r="I427" i="37"/>
  <c r="I461" i="37"/>
  <c r="I532" i="37"/>
  <c r="I311" i="37"/>
  <c r="I324" i="37"/>
  <c r="I343" i="37"/>
  <c r="I359" i="37"/>
  <c r="I405" i="37"/>
  <c r="I249" i="37"/>
  <c r="I263" i="37"/>
  <c r="I279" i="37"/>
  <c r="I283" i="37"/>
  <c r="I298" i="37"/>
  <c r="I530" i="37"/>
  <c r="I201" i="37"/>
  <c r="I214" i="37"/>
  <c r="I221" i="37"/>
  <c r="I235" i="37"/>
  <c r="I486" i="37"/>
  <c r="I347" i="37"/>
  <c r="I356" i="37"/>
  <c r="I366" i="37"/>
  <c r="I429" i="37"/>
  <c r="I372" i="37"/>
  <c r="I374" i="37"/>
  <c r="I389" i="37"/>
  <c r="I391" i="37"/>
  <c r="I468" i="37"/>
  <c r="I289" i="37"/>
  <c r="I302" i="37"/>
  <c r="I305" i="37"/>
  <c r="I318" i="37"/>
  <c r="I336" i="37"/>
  <c r="I457" i="37"/>
  <c r="I460" i="37"/>
  <c r="I481" i="37"/>
  <c r="I256" i="37"/>
  <c r="I272" i="37"/>
  <c r="I376" i="37"/>
  <c r="I397" i="37"/>
  <c r="I416" i="37"/>
  <c r="I418" i="37"/>
  <c r="I393" i="37"/>
  <c r="I444" i="37"/>
  <c r="I309" i="37"/>
  <c r="I322" i="37"/>
  <c r="I325" i="37"/>
  <c r="I345" i="37"/>
  <c r="I332" i="37"/>
  <c r="I422" i="37"/>
  <c r="I424" i="37"/>
  <c r="I522" i="37"/>
  <c r="I351" i="37"/>
  <c r="I269" i="37"/>
  <c r="I287" i="37"/>
  <c r="I290" i="37"/>
  <c r="I303" i="37"/>
  <c r="I316" i="37"/>
  <c r="I490" i="37"/>
  <c r="I223" i="37"/>
  <c r="I227" i="37"/>
  <c r="I240" i="37"/>
  <c r="I254" i="37"/>
  <c r="I361" i="37"/>
  <c r="I410" i="37"/>
  <c r="I440" i="37"/>
  <c r="I454" i="37"/>
  <c r="I436" i="37"/>
  <c r="I204" i="37"/>
  <c r="I228" i="37"/>
  <c r="I244" i="37"/>
  <c r="I443" i="37"/>
  <c r="I497" i="37"/>
  <c r="I154" i="37"/>
  <c r="I169" i="37"/>
  <c r="I172" i="37"/>
  <c r="I178" i="37"/>
  <c r="I197" i="37"/>
  <c r="I96" i="37"/>
  <c r="I112" i="37"/>
  <c r="I115" i="37"/>
  <c r="I128" i="37"/>
  <c r="I141" i="37"/>
  <c r="I431" i="37"/>
  <c r="I230" i="37"/>
  <c r="I246" i="37"/>
  <c r="I258" i="37"/>
  <c r="I277" i="37"/>
  <c r="I357" i="37"/>
  <c r="I251" i="37"/>
  <c r="I292" i="37"/>
  <c r="I232" i="37"/>
  <c r="I281" i="37"/>
  <c r="I288" i="37"/>
  <c r="I326" i="37"/>
  <c r="I355" i="37"/>
  <c r="I193" i="37"/>
  <c r="I314" i="37"/>
  <c r="I390" i="37"/>
  <c r="I177" i="37"/>
  <c r="I191" i="37"/>
  <c r="I203" i="37"/>
  <c r="I243" i="37"/>
  <c r="I245" i="37"/>
  <c r="I247" i="37"/>
  <c r="I267" i="37"/>
  <c r="I291" i="37"/>
  <c r="I313" i="37"/>
  <c r="I140" i="37"/>
  <c r="I153" i="37"/>
  <c r="I168" i="37"/>
  <c r="I183" i="37"/>
  <c r="I199" i="37"/>
  <c r="I388" i="37"/>
  <c r="I273" i="37"/>
  <c r="I294" i="37"/>
  <c r="I352" i="37"/>
  <c r="I369" i="37"/>
  <c r="I415" i="37"/>
  <c r="I160" i="37"/>
  <c r="I175" i="37"/>
  <c r="I261" i="37"/>
  <c r="I308" i="37"/>
  <c r="I307" i="37"/>
  <c r="I349" i="37"/>
  <c r="I407" i="37"/>
  <c r="I386" i="37"/>
  <c r="I367" i="37"/>
  <c r="I252" i="37"/>
  <c r="I262" i="37"/>
  <c r="I363" i="37"/>
  <c r="I229" i="37"/>
  <c r="I231" i="37"/>
  <c r="I282" i="37"/>
  <c r="I335" i="37"/>
  <c r="I156" i="37"/>
  <c r="I171" i="37"/>
  <c r="I194" i="37"/>
  <c r="I264" i="37"/>
  <c r="I270" i="37"/>
  <c r="I310" i="37"/>
  <c r="I237" i="37"/>
  <c r="I274" i="37"/>
  <c r="I163" i="37"/>
  <c r="I186" i="37"/>
  <c r="I208" i="37"/>
  <c r="I210" i="37"/>
  <c r="I212" i="37"/>
  <c r="I148" i="37"/>
  <c r="I185" i="37"/>
  <c r="I242" i="37"/>
  <c r="I147" i="37"/>
  <c r="I150" i="37"/>
  <c r="I18" i="37"/>
  <c r="I63" i="37"/>
  <c r="I109" i="37"/>
  <c r="I111" i="37"/>
  <c r="I113" i="37"/>
  <c r="I97" i="37"/>
  <c r="I107" i="37"/>
  <c r="I155" i="37"/>
  <c r="I188" i="37"/>
  <c r="I392" i="37"/>
  <c r="I179" i="37"/>
  <c r="I275" i="37"/>
  <c r="I75" i="37"/>
  <c r="I93" i="37"/>
  <c r="I95" i="37"/>
  <c r="I27" i="37"/>
  <c r="I41" i="37"/>
  <c r="I54" i="37"/>
  <c r="I72" i="37"/>
  <c r="I90" i="37"/>
  <c r="I87" i="37"/>
  <c r="I143" i="37"/>
  <c r="I173" i="37"/>
  <c r="I200" i="37"/>
  <c r="I23" i="37"/>
  <c r="I145" i="37"/>
  <c r="I207" i="37"/>
  <c r="I211" i="37"/>
  <c r="I52" i="37"/>
  <c r="I60" i="37"/>
  <c r="I136" i="37"/>
  <c r="I138" i="37"/>
  <c r="I16" i="37"/>
  <c r="I31" i="37"/>
  <c r="I45" i="37"/>
  <c r="I241" i="37"/>
  <c r="I260" i="37"/>
  <c r="I301" i="37"/>
  <c r="I170" i="37"/>
  <c r="I125" i="37"/>
  <c r="I132" i="37"/>
  <c r="I134" i="37"/>
  <c r="I167" i="37"/>
  <c r="I187" i="37"/>
  <c r="I190" i="37"/>
  <c r="I300" i="37"/>
  <c r="I24" i="37"/>
  <c r="I58" i="37"/>
  <c r="I78" i="37"/>
  <c r="I123" i="37"/>
  <c r="I74" i="37"/>
  <c r="I110" i="37"/>
  <c r="I119" i="37"/>
  <c r="I121" i="37"/>
  <c r="I181" i="37"/>
  <c r="I102" i="37"/>
  <c r="I106" i="37"/>
  <c r="I108" i="37"/>
  <c r="I117" i="37"/>
  <c r="I42" i="37"/>
  <c r="I14" i="37"/>
  <c r="I29" i="37"/>
  <c r="I32" i="37"/>
  <c r="I50" i="37"/>
  <c r="I62" i="37"/>
  <c r="I70" i="37"/>
  <c r="I89" i="37"/>
  <c r="I91" i="37"/>
  <c r="I104" i="37"/>
  <c r="I265" i="37"/>
  <c r="I122" i="37"/>
  <c r="I79" i="37"/>
  <c r="I56" i="37"/>
  <c r="I43" i="37"/>
  <c r="I33" i="37"/>
  <c r="I174" i="37"/>
  <c r="I146" i="37"/>
  <c r="I139" i="37"/>
  <c r="I126" i="37"/>
  <c r="I124" i="37"/>
  <c r="I35" i="37"/>
  <c r="I25" i="37"/>
  <c r="I10" i="37"/>
  <c r="I321" i="37"/>
  <c r="I255" i="37"/>
  <c r="I182" i="37"/>
  <c r="I158" i="37"/>
  <c r="I137" i="37"/>
  <c r="I130" i="37"/>
  <c r="I66" i="37"/>
  <c r="I161" i="37"/>
  <c r="I82" i="37"/>
  <c r="I53" i="37"/>
  <c r="I233" i="37"/>
  <c r="I218" i="37"/>
  <c r="I46" i="37"/>
  <c r="I21" i="37"/>
  <c r="I17" i="37"/>
  <c r="I323" i="37"/>
  <c r="I295" i="37"/>
  <c r="I296" i="37"/>
  <c r="I278" i="37"/>
  <c r="I238" i="37"/>
  <c r="I220" i="37"/>
  <c r="I198" i="37"/>
  <c r="I94" i="37"/>
  <c r="I84" i="37"/>
  <c r="I69" i="37"/>
  <c r="I55" i="37"/>
  <c r="I37" i="37"/>
  <c r="I100" i="37"/>
  <c r="I209" i="37"/>
  <c r="I166" i="37"/>
  <c r="I151" i="37"/>
  <c r="I144" i="37"/>
  <c r="I327" i="37"/>
  <c r="I297" i="37"/>
  <c r="I159" i="37"/>
  <c r="I149" i="37"/>
  <c r="I142" i="37"/>
  <c r="I65" i="37"/>
  <c r="I48" i="37"/>
  <c r="I34" i="37"/>
  <c r="I28" i="37"/>
  <c r="I13" i="37"/>
  <c r="I239" i="37"/>
  <c r="I234" i="37"/>
  <c r="I195" i="37"/>
  <c r="I114" i="37"/>
  <c r="I103" i="37"/>
  <c r="I127" i="37"/>
  <c r="I120" i="37"/>
  <c r="I116" i="37"/>
  <c r="I105" i="37"/>
  <c r="I57" i="37"/>
  <c r="I19" i="37"/>
  <c r="I257" i="37"/>
  <c r="I224" i="37"/>
  <c r="I180" i="37"/>
  <c r="I162" i="37"/>
  <c r="I133" i="37"/>
  <c r="I129" i="37"/>
  <c r="I118" i="37"/>
  <c r="I80" i="37"/>
  <c r="I51" i="37"/>
  <c r="I152" i="37"/>
  <c r="I135" i="37"/>
  <c r="I30" i="37"/>
  <c r="I12" i="37"/>
  <c r="I206" i="37"/>
  <c r="I59" i="37"/>
  <c r="I47" i="37"/>
  <c r="I67" i="37"/>
  <c r="I36" i="37"/>
  <c r="I213" i="37"/>
  <c r="I226" i="37"/>
  <c r="I202" i="37"/>
  <c r="I196" i="37"/>
  <c r="I86" i="37"/>
  <c r="I83" i="37"/>
  <c r="I184" i="37"/>
  <c r="I157" i="37"/>
  <c r="I39" i="37"/>
  <c r="I22" i="37"/>
  <c r="I342" i="37"/>
  <c r="I1245" i="37"/>
  <c r="I131" i="37"/>
  <c r="I15" i="37"/>
  <c r="I15" i="40" l="1"/>
  <c r="I89" i="40"/>
  <c r="I22" i="40"/>
  <c r="I39" i="40"/>
  <c r="I36" i="40"/>
  <c r="I67" i="40"/>
  <c r="I47" i="40"/>
  <c r="I59" i="40"/>
  <c r="I12" i="40"/>
  <c r="I30" i="40"/>
  <c r="I51" i="40"/>
  <c r="I19" i="40"/>
  <c r="I57" i="40"/>
  <c r="I13" i="40"/>
  <c r="I28" i="40"/>
  <c r="I34" i="40"/>
  <c r="I48" i="40"/>
  <c r="I65" i="40"/>
  <c r="I37" i="40"/>
  <c r="I55" i="40"/>
  <c r="I69" i="40"/>
  <c r="I17" i="40"/>
  <c r="I21" i="40"/>
  <c r="I46" i="40"/>
  <c r="I53" i="40"/>
  <c r="I66" i="40"/>
  <c r="I10" i="40"/>
  <c r="I79" i="40" s="1"/>
  <c r="I25" i="40"/>
  <c r="I35" i="40"/>
  <c r="I33" i="40"/>
  <c r="I43" i="40"/>
  <c r="I56" i="40"/>
  <c r="I70" i="40"/>
  <c r="I62" i="40"/>
  <c r="I50" i="40"/>
  <c r="I32" i="40"/>
  <c r="I29" i="40"/>
  <c r="I14" i="40"/>
  <c r="I42" i="40"/>
  <c r="I74" i="40"/>
  <c r="I58" i="40"/>
  <c r="I24" i="40"/>
  <c r="I45" i="40"/>
  <c r="I31" i="40"/>
  <c r="I16" i="40"/>
  <c r="I60" i="40"/>
  <c r="I52" i="40"/>
  <c r="I23" i="40"/>
  <c r="I72" i="40"/>
  <c r="I54" i="40"/>
  <c r="I41" i="40"/>
  <c r="I27" i="40"/>
  <c r="I75" i="40"/>
  <c r="I139" i="40"/>
  <c r="I63" i="40"/>
  <c r="I18" i="40"/>
  <c r="I82" i="40"/>
  <c r="I110" i="40"/>
  <c r="I114" i="40"/>
  <c r="I133" i="40"/>
  <c r="I154" i="40"/>
  <c r="I96" i="40"/>
  <c r="I116" i="40"/>
  <c r="I99" i="40"/>
  <c r="I135" i="40"/>
  <c r="I137" i="40"/>
  <c r="I102" i="40"/>
  <c r="I104" i="40"/>
  <c r="I157" i="40"/>
  <c r="I108" i="40"/>
  <c r="I98" i="40"/>
  <c r="I92" i="40"/>
  <c r="I140" i="40"/>
  <c r="I144" i="40"/>
  <c r="I123" i="40"/>
  <c r="I83" i="40"/>
  <c r="I138" i="40"/>
  <c r="I136" i="40"/>
  <c r="I121" i="40"/>
  <c r="I119" i="40"/>
  <c r="I113" i="40"/>
  <c r="I103" i="40"/>
  <c r="I94" i="40"/>
  <c r="I152" i="40"/>
  <c r="I106" i="40"/>
  <c r="I90" i="40"/>
  <c r="I147" i="40"/>
  <c r="I145" i="40"/>
  <c r="I128" i="40"/>
  <c r="I85" i="40"/>
  <c r="I126" i="40"/>
  <c r="I93" i="40"/>
  <c r="I124" i="40"/>
  <c r="I122" i="40"/>
  <c r="I120" i="40"/>
  <c r="I95" i="40"/>
  <c r="I88" i="40"/>
  <c r="I84" i="40"/>
  <c r="I159" i="40"/>
  <c r="I156" i="40"/>
  <c r="I153" i="40"/>
  <c r="I107" i="40"/>
  <c r="I111" i="40"/>
  <c r="I109" i="40"/>
  <c r="I129" i="40"/>
  <c r="I151" i="40"/>
  <c r="I149" i="40"/>
  <c r="I132" i="40"/>
  <c r="I125" i="40"/>
  <c r="I87" i="40"/>
  <c r="I97" i="40"/>
  <c r="I134" i="40"/>
  <c r="I130" i="40"/>
  <c r="I115" i="40"/>
  <c r="I100" i="40"/>
  <c r="I150" i="40"/>
  <c r="I112" i="40"/>
  <c r="I146" i="40"/>
  <c r="I143" i="40"/>
  <c r="I127" i="40"/>
  <c r="H6" i="37"/>
  <c r="H1328" i="37"/>
  <c r="H1331" i="37"/>
  <c r="H1247" i="37"/>
  <c r="H1259" i="37"/>
  <c r="H1278" i="37"/>
  <c r="H1295" i="37"/>
  <c r="H1311" i="37"/>
  <c r="H1265" i="37"/>
  <c r="H1283" i="37"/>
  <c r="H1288" i="37"/>
  <c r="H1302" i="37"/>
  <c r="H1320" i="37"/>
  <c r="H1276" i="37"/>
  <c r="H1293" i="37"/>
  <c r="H1307" i="37"/>
  <c r="H1312" i="37"/>
  <c r="H1329" i="37"/>
  <c r="H1199" i="37"/>
  <c r="H1212" i="37"/>
  <c r="H1228" i="37"/>
  <c r="H1231" i="37"/>
  <c r="H1257" i="37"/>
  <c r="H1137" i="37"/>
  <c r="H1150" i="37"/>
  <c r="H1164" i="37"/>
  <c r="H1168" i="37"/>
  <c r="H1184" i="37"/>
  <c r="H1083" i="37"/>
  <c r="H1099" i="37"/>
  <c r="H1114" i="37"/>
  <c r="H1118" i="37"/>
  <c r="H1294" i="37"/>
  <c r="H1310" i="37"/>
  <c r="H1327" i="37"/>
  <c r="H1318" i="37"/>
  <c r="H1123" i="37"/>
  <c r="H1210" i="37"/>
  <c r="H1213" i="37"/>
  <c r="H1229" i="37"/>
  <c r="H1272" i="37"/>
  <c r="H1290" i="37"/>
  <c r="H1148" i="37"/>
  <c r="H1151" i="37"/>
  <c r="H1165" i="37"/>
  <c r="H1180" i="37"/>
  <c r="H1197" i="37"/>
  <c r="H1282" i="37"/>
  <c r="H1298" i="37"/>
  <c r="H1314" i="37"/>
  <c r="H1319" i="37"/>
  <c r="H1135" i="37"/>
  <c r="H1292" i="37"/>
  <c r="H1305" i="37"/>
  <c r="H1323" i="37"/>
  <c r="H1237" i="37"/>
  <c r="H1264" i="37"/>
  <c r="H1211" i="37"/>
  <c r="H1227" i="37"/>
  <c r="H1242" i="37"/>
  <c r="H1270" i="37"/>
  <c r="H1273" i="37"/>
  <c r="H1296" i="37"/>
  <c r="H1299" i="37"/>
  <c r="H1315" i="37"/>
  <c r="H1195" i="37"/>
  <c r="H1198" i="37"/>
  <c r="H1215" i="37"/>
  <c r="H1220" i="37"/>
  <c r="H1235" i="37"/>
  <c r="H1260" i="37"/>
  <c r="H1280" i="37"/>
  <c r="H1321" i="37"/>
  <c r="H1326" i="37"/>
  <c r="H1171" i="37"/>
  <c r="H1187" i="37"/>
  <c r="H1202" i="37"/>
  <c r="H1239" i="37"/>
  <c r="H1243" i="37"/>
  <c r="H1271" i="37"/>
  <c r="H1289" i="37"/>
  <c r="H1303" i="37"/>
  <c r="H1175" i="37"/>
  <c r="H1179" i="37"/>
  <c r="H1196" i="37"/>
  <c r="H1209" i="37"/>
  <c r="H1225" i="37"/>
  <c r="H1277" i="37"/>
  <c r="H1281" i="37"/>
  <c r="H1297" i="37"/>
  <c r="H1313" i="37"/>
  <c r="H1330" i="37"/>
  <c r="H1200" i="37"/>
  <c r="H1203" i="37"/>
  <c r="H1216" i="37"/>
  <c r="H1232" i="37"/>
  <c r="H1258" i="37"/>
  <c r="H1301" i="37"/>
  <c r="H1304" i="37"/>
  <c r="H1322" i="37"/>
  <c r="H1169" i="37"/>
  <c r="H1185" i="37"/>
  <c r="H1183" i="37"/>
  <c r="H1190" i="37"/>
  <c r="H1208" i="37"/>
  <c r="H1300" i="37"/>
  <c r="H1287" i="37"/>
  <c r="H1058" i="37"/>
  <c r="H1084" i="37"/>
  <c r="H1105" i="37"/>
  <c r="H1132" i="37"/>
  <c r="H1141" i="37"/>
  <c r="H1201" i="37"/>
  <c r="H1267" i="37"/>
  <c r="H1027" i="37"/>
  <c r="H1046" i="37"/>
  <c r="H1266" i="37"/>
  <c r="H1070" i="37"/>
  <c r="H1087" i="37"/>
  <c r="H1093" i="37"/>
  <c r="H1144" i="37"/>
  <c r="H1089" i="37"/>
  <c r="H1110" i="37"/>
  <c r="H1117" i="37"/>
  <c r="H1170" i="37"/>
  <c r="H1223" i="37"/>
  <c r="H1107" i="37"/>
  <c r="H1214" i="37"/>
  <c r="H1241" i="37"/>
  <c r="H1078" i="37"/>
  <c r="H1081" i="37"/>
  <c r="H1207" i="37"/>
  <c r="H1025" i="37"/>
  <c r="H1044" i="37"/>
  <c r="H1056" i="37"/>
  <c r="H1065" i="37"/>
  <c r="H1131" i="37"/>
  <c r="H1138" i="37"/>
  <c r="H1147" i="37"/>
  <c r="H1161" i="37"/>
  <c r="H1174" i="37"/>
  <c r="H1194" i="37"/>
  <c r="H1230" i="37"/>
  <c r="H1096" i="37"/>
  <c r="H1101" i="37"/>
  <c r="H1113" i="37"/>
  <c r="H1186" i="37"/>
  <c r="H1222" i="37"/>
  <c r="H1063" i="37"/>
  <c r="H1092" i="37"/>
  <c r="H1156" i="37"/>
  <c r="H1286" i="37"/>
  <c r="H1098" i="37"/>
  <c r="H1116" i="37"/>
  <c r="H1119" i="37"/>
  <c r="H1173" i="37"/>
  <c r="H1263" i="37"/>
  <c r="H1060" i="37"/>
  <c r="H1104" i="37"/>
  <c r="H1134" i="37"/>
  <c r="H1206" i="37"/>
  <c r="H1109" i="37"/>
  <c r="H1153" i="37"/>
  <c r="H1160" i="37"/>
  <c r="H1193" i="37"/>
  <c r="H1238" i="37"/>
  <c r="H1221" i="37"/>
  <c r="H1045" i="37"/>
  <c r="H1072" i="37"/>
  <c r="H1086" i="37"/>
  <c r="H1100" i="37"/>
  <c r="H1149" i="37"/>
  <c r="H1015" i="37"/>
  <c r="H1035" i="37"/>
  <c r="H1052" i="37"/>
  <c r="H1146" i="37"/>
  <c r="H1080" i="37"/>
  <c r="H1088" i="37"/>
  <c r="H1094" i="37"/>
  <c r="H1106" i="37"/>
  <c r="H1122" i="37"/>
  <c r="H1152" i="37"/>
  <c r="H1163" i="37"/>
  <c r="H1205" i="37"/>
  <c r="H1075" i="37"/>
  <c r="H1077" i="37"/>
  <c r="H1073" i="37"/>
  <c r="H1172" i="37"/>
  <c r="H1192" i="37"/>
  <c r="H1204" i="37"/>
  <c r="H1236" i="37"/>
  <c r="H1059" i="37"/>
  <c r="H1071" i="37"/>
  <c r="H1076" i="37"/>
  <c r="H1139" i="37"/>
  <c r="H1177" i="37"/>
  <c r="H1162" i="37"/>
  <c r="H1191" i="37"/>
  <c r="H1219" i="37"/>
  <c r="H1226" i="37"/>
  <c r="H1041" i="37"/>
  <c r="H1068" i="37"/>
  <c r="H1126" i="37"/>
  <c r="H1130" i="37"/>
  <c r="H1133" i="37"/>
  <c r="H1158" i="37"/>
  <c r="H995" i="37"/>
  <c r="H1011" i="37"/>
  <c r="H1026" i="37"/>
  <c r="H1034" i="37"/>
  <c r="H1057" i="37"/>
  <c r="H927" i="37"/>
  <c r="H947" i="37"/>
  <c r="H961" i="37"/>
  <c r="H964" i="37"/>
  <c r="H979" i="37"/>
  <c r="H1166" i="37"/>
  <c r="H1233" i="37"/>
  <c r="H892" i="37"/>
  <c r="H908" i="37"/>
  <c r="H912" i="37"/>
  <c r="H1037" i="37"/>
  <c r="H1047" i="37"/>
  <c r="H1064" i="37"/>
  <c r="H1112" i="37"/>
  <c r="H1129" i="37"/>
  <c r="H907" i="37"/>
  <c r="H935" i="37"/>
  <c r="H969" i="37"/>
  <c r="H1023" i="37"/>
  <c r="H1031" i="37"/>
  <c r="H827" i="37"/>
  <c r="H847" i="37"/>
  <c r="H861" i="37"/>
  <c r="H864" i="37"/>
  <c r="H879" i="37"/>
  <c r="H914" i="37"/>
  <c r="H941" i="37"/>
  <c r="H953" i="37"/>
  <c r="H982" i="37"/>
  <c r="H999" i="37"/>
  <c r="H884" i="37"/>
  <c r="H897" i="37"/>
  <c r="H960" i="37"/>
  <c r="H989" i="37"/>
  <c r="H1050" i="37"/>
  <c r="H1014" i="37"/>
  <c r="H1016" i="37"/>
  <c r="H1019" i="37"/>
  <c r="H1136" i="37"/>
  <c r="H868" i="37"/>
  <c r="H1103" i="37"/>
  <c r="H905" i="37"/>
  <c r="H917" i="37"/>
  <c r="H966" i="37"/>
  <c r="H996" i="37"/>
  <c r="H939" i="37"/>
  <c r="H951" i="37"/>
  <c r="H1021" i="37"/>
  <c r="H1055" i="37"/>
  <c r="H1082" i="37"/>
  <c r="H848" i="37"/>
  <c r="H862" i="37"/>
  <c r="H876" i="37"/>
  <c r="H888" i="37"/>
  <c r="H925" i="37"/>
  <c r="H1040" i="37"/>
  <c r="H824" i="37"/>
  <c r="H835" i="37"/>
  <c r="H844" i="37"/>
  <c r="H1043" i="37"/>
  <c r="H958" i="37"/>
  <c r="H970" i="37"/>
  <c r="H987" i="37"/>
  <c r="H1036" i="37"/>
  <c r="H967" i="37"/>
  <c r="H998" i="37"/>
  <c r="H1013" i="37"/>
  <c r="H1024" i="37"/>
  <c r="H1054" i="37"/>
  <c r="H860" i="37"/>
  <c r="H874" i="37"/>
  <c r="H906" i="37"/>
  <c r="H940" i="37"/>
  <c r="H956" i="37"/>
  <c r="H1145" i="37"/>
  <c r="H913" i="37"/>
  <c r="H974" i="37"/>
  <c r="H988" i="37"/>
  <c r="H1121" i="37"/>
  <c r="H890" i="37"/>
  <c r="H920" i="37"/>
  <c r="H959" i="37"/>
  <c r="H1067" i="37"/>
  <c r="H1091" i="37"/>
  <c r="H831" i="37"/>
  <c r="H850" i="37"/>
  <c r="H853" i="37"/>
  <c r="H867" i="37"/>
  <c r="H883" i="37"/>
  <c r="H1049" i="37"/>
  <c r="H1053" i="37"/>
  <c r="H796" i="37"/>
  <c r="H799" i="37"/>
  <c r="H815" i="37"/>
  <c r="H1108" i="37"/>
  <c r="H1143" i="37"/>
  <c r="H1157" i="37"/>
  <c r="H1061" i="37"/>
  <c r="H1042" i="37"/>
  <c r="H931" i="37"/>
  <c r="H957" i="37"/>
  <c r="H993" i="37"/>
  <c r="H1005" i="37"/>
  <c r="H975" i="37"/>
  <c r="H1003" i="37"/>
  <c r="H1142" i="37"/>
  <c r="H1155" i="37"/>
  <c r="H901" i="37"/>
  <c r="H865" i="37"/>
  <c r="H880" i="37"/>
  <c r="H936" i="37"/>
  <c r="H948" i="37"/>
  <c r="H963" i="37"/>
  <c r="H1007" i="37"/>
  <c r="H1010" i="37"/>
  <c r="H1012" i="37"/>
  <c r="H828" i="37"/>
  <c r="H851" i="37"/>
  <c r="H1039" i="37"/>
  <c r="H1048" i="37"/>
  <c r="H1097" i="37"/>
  <c r="H954" i="37"/>
  <c r="H983" i="37"/>
  <c r="H873" i="37"/>
  <c r="H899" i="37"/>
  <c r="H929" i="37"/>
  <c r="H990" i="37"/>
  <c r="H1032" i="37"/>
  <c r="H994" i="37"/>
  <c r="H1020" i="37"/>
  <c r="H1140" i="37"/>
  <c r="H1066" i="37"/>
  <c r="H1154" i="37"/>
  <c r="H841" i="37"/>
  <c r="H889" i="37"/>
  <c r="H962" i="37"/>
  <c r="H1178" i="37"/>
  <c r="H980" i="37"/>
  <c r="H902" i="37"/>
  <c r="H915" i="37"/>
  <c r="H1004" i="37"/>
  <c r="H823" i="37"/>
  <c r="H829" i="37"/>
  <c r="H978" i="37"/>
  <c r="H1033" i="37"/>
  <c r="H946" i="37"/>
  <c r="H984" i="37"/>
  <c r="H787" i="37"/>
  <c r="H785" i="37"/>
  <c r="H797" i="37"/>
  <c r="H812" i="37"/>
  <c r="H875" i="37"/>
  <c r="H972" i="37"/>
  <c r="H843" i="37"/>
  <c r="H911" i="37"/>
  <c r="H924" i="37"/>
  <c r="H977" i="37"/>
  <c r="H774" i="37"/>
  <c r="H807" i="37"/>
  <c r="H849" i="37"/>
  <c r="H852" i="37"/>
  <c r="H1017" i="37"/>
  <c r="H809" i="37"/>
  <c r="H804" i="37"/>
  <c r="H840" i="37"/>
  <c r="H918" i="37"/>
  <c r="H965" i="37"/>
  <c r="H971" i="37"/>
  <c r="H891" i="37"/>
  <c r="H909" i="37"/>
  <c r="H772" i="37"/>
  <c r="H775" i="37"/>
  <c r="H792" i="37"/>
  <c r="H780" i="37"/>
  <c r="H802" i="37"/>
  <c r="H896" i="37"/>
  <c r="H790" i="37"/>
  <c r="H845" i="37"/>
  <c r="H1001" i="37"/>
  <c r="H1008" i="37"/>
  <c r="H728" i="37"/>
  <c r="H752" i="37"/>
  <c r="H766" i="37"/>
  <c r="H922" i="37"/>
  <c r="H949" i="37"/>
  <c r="H1000" i="37"/>
  <c r="H945" i="37"/>
  <c r="H950" i="37"/>
  <c r="H943" i="37"/>
  <c r="H1006" i="37"/>
  <c r="H904" i="37"/>
  <c r="H944" i="37"/>
  <c r="H895" i="37"/>
  <c r="H973" i="37"/>
  <c r="H819" i="37"/>
  <c r="H878" i="37"/>
  <c r="H921" i="37"/>
  <c r="H938" i="37"/>
  <c r="H985" i="37"/>
  <c r="H813" i="37"/>
  <c r="H856" i="37"/>
  <c r="H863" i="37"/>
  <c r="H894" i="37"/>
  <c r="H926" i="37"/>
  <c r="H798" i="37"/>
  <c r="H821" i="37"/>
  <c r="H866" i="37"/>
  <c r="H885" i="37"/>
  <c r="H991" i="37"/>
  <c r="H769" i="37"/>
  <c r="H783" i="37"/>
  <c r="H811" i="37"/>
  <c r="H833" i="37"/>
  <c r="H937" i="37"/>
  <c r="H1128" i="37"/>
  <c r="H839" i="37"/>
  <c r="H916" i="37"/>
  <c r="H952" i="37"/>
  <c r="H791" i="37"/>
  <c r="H803" i="37"/>
  <c r="H842" i="37"/>
  <c r="H858" i="37"/>
  <c r="H930" i="37"/>
  <c r="H651" i="37"/>
  <c r="H666" i="37"/>
  <c r="H679" i="37"/>
  <c r="H724" i="37"/>
  <c r="H726" i="37"/>
  <c r="H720" i="37"/>
  <c r="H722" i="37"/>
  <c r="H729" i="37"/>
  <c r="H743" i="37"/>
  <c r="H832" i="37"/>
  <c r="H610" i="37"/>
  <c r="H626" i="37"/>
  <c r="H629" i="37"/>
  <c r="H686" i="37"/>
  <c r="H699" i="37"/>
  <c r="H544" i="37"/>
  <c r="H562" i="37"/>
  <c r="H565" i="37"/>
  <c r="H579" i="37"/>
  <c r="H594" i="37"/>
  <c r="H658" i="37"/>
  <c r="H670" i="37"/>
  <c r="H712" i="37"/>
  <c r="H872" i="37"/>
  <c r="H531" i="37"/>
  <c r="H649" i="37"/>
  <c r="H676" i="37"/>
  <c r="H756" i="37"/>
  <c r="H771" i="37"/>
  <c r="H871" i="37"/>
  <c r="H822" i="37"/>
  <c r="H683" i="37"/>
  <c r="H697" i="37"/>
  <c r="H709" i="37"/>
  <c r="H779" i="37"/>
  <c r="H668" i="37"/>
  <c r="H738" i="37"/>
  <c r="H751" i="37"/>
  <c r="H761" i="37"/>
  <c r="H814" i="37"/>
  <c r="H592" i="37"/>
  <c r="H608" i="37"/>
  <c r="H611" i="37"/>
  <c r="H627" i="37"/>
  <c r="H642" i="37"/>
  <c r="H674" i="37"/>
  <c r="H687" i="37"/>
  <c r="H707" i="37"/>
  <c r="H808" i="37"/>
  <c r="H886" i="37"/>
  <c r="H758" i="37"/>
  <c r="H770" i="37"/>
  <c r="H869" i="37"/>
  <c r="H647" i="37"/>
  <c r="H659" i="37"/>
  <c r="H694" i="37"/>
  <c r="H704" i="37"/>
  <c r="H721" i="37"/>
  <c r="H723" i="37"/>
  <c r="H753" i="37"/>
  <c r="H600" i="37"/>
  <c r="H616" i="37"/>
  <c r="H631" i="37"/>
  <c r="H635" i="37"/>
  <c r="H665" i="37"/>
  <c r="H536" i="37"/>
  <c r="H553" i="37"/>
  <c r="H567" i="37"/>
  <c r="H570" i="37"/>
  <c r="H585" i="37"/>
  <c r="H782" i="37"/>
  <c r="H716" i="37"/>
  <c r="H719" i="37"/>
  <c r="H795" i="37"/>
  <c r="H523" i="37"/>
  <c r="H684" i="37"/>
  <c r="H702" i="37"/>
  <c r="H732" i="37"/>
  <c r="H745" i="37"/>
  <c r="H755" i="37"/>
  <c r="H609" i="37"/>
  <c r="H625" i="37"/>
  <c r="H640" i="37"/>
  <c r="H657" i="37"/>
  <c r="H672" i="37"/>
  <c r="H881" i="37"/>
  <c r="H900" i="37"/>
  <c r="H575" i="37"/>
  <c r="H589" i="37"/>
  <c r="H593" i="37"/>
  <c r="H773" i="37"/>
  <c r="H788" i="37"/>
  <c r="H801" i="37"/>
  <c r="H820" i="37"/>
  <c r="H857" i="37"/>
  <c r="H663" i="37"/>
  <c r="H692" i="37"/>
  <c r="H714" i="37"/>
  <c r="H747" i="37"/>
  <c r="H764" i="37"/>
  <c r="H749" i="37"/>
  <c r="H760" i="37"/>
  <c r="H767" i="37"/>
  <c r="H793" i="37"/>
  <c r="H806" i="37"/>
  <c r="H781" i="37"/>
  <c r="H682" i="37"/>
  <c r="H778" i="37"/>
  <c r="H734" i="37"/>
  <c r="H737" i="37"/>
  <c r="H689" i="37"/>
  <c r="H705" i="37"/>
  <c r="H739" i="37"/>
  <c r="H757" i="37"/>
  <c r="H622" i="37"/>
  <c r="H638" i="37"/>
  <c r="H641" i="37"/>
  <c r="H661" i="37"/>
  <c r="H673" i="37"/>
  <c r="H754" i="37"/>
  <c r="H759" i="37"/>
  <c r="H762" i="37"/>
  <c r="H855" i="37"/>
  <c r="H680" i="37"/>
  <c r="H693" i="37"/>
  <c r="H703" i="37"/>
  <c r="H715" i="37"/>
  <c r="H717" i="37"/>
  <c r="H725" i="37"/>
  <c r="H730" i="37"/>
  <c r="H744" i="37"/>
  <c r="H777" i="37"/>
  <c r="H818" i="37"/>
  <c r="H825" i="37"/>
  <c r="H735" i="37"/>
  <c r="H746" i="37"/>
  <c r="H748" i="37"/>
  <c r="H671" i="37"/>
  <c r="H700" i="37"/>
  <c r="H623" i="37"/>
  <c r="H639" i="37"/>
  <c r="H677" i="37"/>
  <c r="H713" i="37"/>
  <c r="H733" i="37"/>
  <c r="H691" i="37"/>
  <c r="H834" i="37"/>
  <c r="H854" i="37"/>
  <c r="H604" i="37"/>
  <c r="H620" i="37"/>
  <c r="H710" i="37"/>
  <c r="H643" i="37"/>
  <c r="H650" i="37"/>
  <c r="H662" i="37"/>
  <c r="H613" i="37"/>
  <c r="H628" i="37"/>
  <c r="H669" i="37"/>
  <c r="H681" i="37"/>
  <c r="H698" i="37"/>
  <c r="H816" i="37"/>
  <c r="H653" i="37"/>
  <c r="H688" i="37"/>
  <c r="H708" i="37"/>
  <c r="H786" i="37"/>
  <c r="H636" i="37"/>
  <c r="H660" i="37"/>
  <c r="H696" i="37"/>
  <c r="H765" i="37"/>
  <c r="H768" i="37"/>
  <c r="H538" i="37"/>
  <c r="H586" i="37"/>
  <c r="H602" i="37"/>
  <c r="H605" i="37"/>
  <c r="H621" i="37"/>
  <c r="H514" i="37"/>
  <c r="H595" i="37"/>
  <c r="H618" i="37"/>
  <c r="H532" i="37"/>
  <c r="H534" i="37"/>
  <c r="H459" i="37"/>
  <c r="H472" i="37"/>
  <c r="H475" i="37"/>
  <c r="H488" i="37"/>
  <c r="H501" i="37"/>
  <c r="H603" i="37"/>
  <c r="H525" i="37"/>
  <c r="H540" i="37"/>
  <c r="H630" i="37"/>
  <c r="H446" i="37"/>
  <c r="H479" i="37"/>
  <c r="H492" i="37"/>
  <c r="H495" i="37"/>
  <c r="H508" i="37"/>
  <c r="H587" i="37"/>
  <c r="H421" i="37"/>
  <c r="H434" i="37"/>
  <c r="H437" i="37"/>
  <c r="H453" i="37"/>
  <c r="H466" i="37"/>
  <c r="H355" i="37"/>
  <c r="H369" i="37"/>
  <c r="H374" i="37"/>
  <c r="H388" i="37"/>
  <c r="H404" i="37"/>
  <c r="H512" i="37"/>
  <c r="H515" i="37"/>
  <c r="H578" i="37"/>
  <c r="H572" i="37"/>
  <c r="H590" i="37"/>
  <c r="H457" i="37"/>
  <c r="H460" i="37"/>
  <c r="H473" i="37"/>
  <c r="H486" i="37"/>
  <c r="H499" i="37"/>
  <c r="H569" i="37"/>
  <c r="H521" i="37"/>
  <c r="H535" i="37"/>
  <c r="H556" i="37"/>
  <c r="H656" i="37"/>
  <c r="H480" i="37"/>
  <c r="H493" i="37"/>
  <c r="H506" i="37"/>
  <c r="H533" i="37"/>
  <c r="H564" i="37"/>
  <c r="H549" i="37"/>
  <c r="H558" i="37"/>
  <c r="H580" i="37"/>
  <c r="H598" i="37"/>
  <c r="H655" i="37"/>
  <c r="H566" i="37"/>
  <c r="H583" i="37"/>
  <c r="H606" i="37"/>
  <c r="H519" i="37"/>
  <c r="H529" i="37"/>
  <c r="H497" i="37"/>
  <c r="H500" i="37"/>
  <c r="H513" i="37"/>
  <c r="H527" i="37"/>
  <c r="H561" i="37"/>
  <c r="H442" i="37"/>
  <c r="H445" i="37"/>
  <c r="H458" i="37"/>
  <c r="H471" i="37"/>
  <c r="H484" i="37"/>
  <c r="H376" i="37"/>
  <c r="H379" i="37"/>
  <c r="H393" i="37"/>
  <c r="H410" i="37"/>
  <c r="H426" i="37"/>
  <c r="H634" i="37"/>
  <c r="H542" i="37"/>
  <c r="H571" i="37"/>
  <c r="H577" i="37"/>
  <c r="H664" i="37"/>
  <c r="H574" i="37"/>
  <c r="H582" i="37"/>
  <c r="H652" i="37"/>
  <c r="H555" i="37"/>
  <c r="H568" i="37"/>
  <c r="H615" i="37"/>
  <c r="H498" i="37"/>
  <c r="H511" i="37"/>
  <c r="H520" i="37"/>
  <c r="H563" i="37"/>
  <c r="H559" i="37"/>
  <c r="H576" i="37"/>
  <c r="H632" i="37"/>
  <c r="H530" i="37"/>
  <c r="H597" i="37"/>
  <c r="H509" i="37"/>
  <c r="H541" i="37"/>
  <c r="H518" i="37"/>
  <c r="H526" i="37"/>
  <c r="H552" i="37"/>
  <c r="H516" i="37"/>
  <c r="H524" i="37"/>
  <c r="H543" i="37"/>
  <c r="H554" i="37"/>
  <c r="H496" i="37"/>
  <c r="H461" i="37"/>
  <c r="H474" i="37"/>
  <c r="H487" i="37"/>
  <c r="H490" i="37"/>
  <c r="H503" i="37"/>
  <c r="H522" i="37"/>
  <c r="H581" i="37"/>
  <c r="H588" i="37"/>
  <c r="H619" i="37"/>
  <c r="H675" i="37"/>
  <c r="H505" i="37"/>
  <c r="H545" i="37"/>
  <c r="H599" i="37"/>
  <c r="H614" i="37"/>
  <c r="H648" i="37"/>
  <c r="H340" i="37"/>
  <c r="H378" i="37"/>
  <c r="H417" i="37"/>
  <c r="H448" i="37"/>
  <c r="H470" i="37"/>
  <c r="H275" i="37"/>
  <c r="H292" i="37"/>
  <c r="H305" i="37"/>
  <c r="H308" i="37"/>
  <c r="H321" i="37"/>
  <c r="H517" i="37"/>
  <c r="H557" i="37"/>
  <c r="H350" i="37"/>
  <c r="H399" i="37"/>
  <c r="H456" i="37"/>
  <c r="H402" i="37"/>
  <c r="H424" i="37"/>
  <c r="H435" i="37"/>
  <c r="H450" i="37"/>
  <c r="H489" i="37"/>
  <c r="H325" i="37"/>
  <c r="H328" i="37"/>
  <c r="H380" i="37"/>
  <c r="H382" i="37"/>
  <c r="H385" i="37"/>
  <c r="H362" i="37"/>
  <c r="H478" i="37"/>
  <c r="H483" i="37"/>
  <c r="H504" i="37"/>
  <c r="H312" i="37"/>
  <c r="H348" i="37"/>
  <c r="H360" i="37"/>
  <c r="H406" i="37"/>
  <c r="H409" i="37"/>
  <c r="H428" i="37"/>
  <c r="H462" i="37"/>
  <c r="H465" i="37"/>
  <c r="H546" i="37"/>
  <c r="H319" i="37"/>
  <c r="H337" i="37"/>
  <c r="H346" i="37"/>
  <c r="H469" i="37"/>
  <c r="H430" i="37"/>
  <c r="H432" i="37"/>
  <c r="H357" i="37"/>
  <c r="H400" i="37"/>
  <c r="H419" i="37"/>
  <c r="H494" i="37"/>
  <c r="H502" i="37"/>
  <c r="H539" i="37"/>
  <c r="H335" i="37"/>
  <c r="H338" i="37"/>
  <c r="H352" i="37"/>
  <c r="H396" i="37"/>
  <c r="H398" i="37"/>
  <c r="H270" i="37"/>
  <c r="H274" i="37"/>
  <c r="H291" i="37"/>
  <c r="H304" i="37"/>
  <c r="H317" i="37"/>
  <c r="H207" i="37"/>
  <c r="H210" i="37"/>
  <c r="H228" i="37"/>
  <c r="H241" i="37"/>
  <c r="H255" i="37"/>
  <c r="H403" i="37"/>
  <c r="H455" i="37"/>
  <c r="H482" i="37"/>
  <c r="H537" i="37"/>
  <c r="H194" i="37"/>
  <c r="H324" i="37"/>
  <c r="H343" i="37"/>
  <c r="H423" i="37"/>
  <c r="H425" i="37"/>
  <c r="H427" i="37"/>
  <c r="H356" i="37"/>
  <c r="H366" i="37"/>
  <c r="H368" i="37"/>
  <c r="H477" i="37"/>
  <c r="H311" i="37"/>
  <c r="H387" i="37"/>
  <c r="H389" i="37"/>
  <c r="H391" i="37"/>
  <c r="H447" i="37"/>
  <c r="H468" i="37"/>
  <c r="H315" i="37"/>
  <c r="H318" i="37"/>
  <c r="H336" i="37"/>
  <c r="H364" i="37"/>
  <c r="H372" i="37"/>
  <c r="H476" i="37"/>
  <c r="H353" i="37"/>
  <c r="H481" i="37"/>
  <c r="H510" i="37"/>
  <c r="H528" i="37"/>
  <c r="H397" i="37"/>
  <c r="H412" i="37"/>
  <c r="H416" i="37"/>
  <c r="H418" i="37"/>
  <c r="H464" i="37"/>
  <c r="H452" i="37"/>
  <c r="H485" i="37"/>
  <c r="H322" i="37"/>
  <c r="H341" i="37"/>
  <c r="H345" i="37"/>
  <c r="H491" i="37"/>
  <c r="H351" i="37"/>
  <c r="H420" i="37"/>
  <c r="H444" i="37"/>
  <c r="H449" i="37"/>
  <c r="H303" i="37"/>
  <c r="H316" i="37"/>
  <c r="H332" i="37"/>
  <c r="H381" i="37"/>
  <c r="H422" i="37"/>
  <c r="H436" i="37"/>
  <c r="H383" i="37"/>
  <c r="H269" i="37"/>
  <c r="H287" i="37"/>
  <c r="H300" i="37"/>
  <c r="H363" i="37"/>
  <c r="H367" i="37"/>
  <c r="H386" i="37"/>
  <c r="H405" i="37"/>
  <c r="H407" i="37"/>
  <c r="H307" i="37"/>
  <c r="H320" i="37"/>
  <c r="H323" i="37"/>
  <c r="H342" i="37"/>
  <c r="H349" i="37"/>
  <c r="H451" i="37"/>
  <c r="H454" i="37"/>
  <c r="H463" i="37"/>
  <c r="H278" i="37"/>
  <c r="H294" i="37"/>
  <c r="H431" i="37"/>
  <c r="H443" i="37"/>
  <c r="H467" i="37"/>
  <c r="H507" i="37"/>
  <c r="H440" i="37"/>
  <c r="H230" i="37"/>
  <c r="H246" i="37"/>
  <c r="H390" i="37"/>
  <c r="H415" i="37"/>
  <c r="H429" i="37"/>
  <c r="H281" i="37"/>
  <c r="H286" i="37"/>
  <c r="H433" i="37"/>
  <c r="H184" i="37"/>
  <c r="H202" i="37"/>
  <c r="H298" i="37"/>
  <c r="H302" i="37"/>
  <c r="H359" i="37"/>
  <c r="H377" i="37"/>
  <c r="H249" i="37"/>
  <c r="H327" i="37"/>
  <c r="H310" i="37"/>
  <c r="H314" i="37"/>
  <c r="H251" i="37"/>
  <c r="H289" i="37"/>
  <c r="H277" i="37"/>
  <c r="H313" i="37"/>
  <c r="H392" i="37"/>
  <c r="H237" i="37"/>
  <c r="H239" i="37"/>
  <c r="H183" i="37"/>
  <c r="H199" i="37"/>
  <c r="H245" i="37"/>
  <c r="H258" i="37"/>
  <c r="H267" i="37"/>
  <c r="H124" i="37"/>
  <c r="H137" i="37"/>
  <c r="H150" i="37"/>
  <c r="H153" i="37"/>
  <c r="H168" i="37"/>
  <c r="H373" i="37"/>
  <c r="H72" i="37"/>
  <c r="H91" i="37"/>
  <c r="H95" i="37"/>
  <c r="H111" i="37"/>
  <c r="H189" i="37"/>
  <c r="H197" i="37"/>
  <c r="H232" i="37"/>
  <c r="H261" i="37"/>
  <c r="H273" i="37"/>
  <c r="H131" i="37"/>
  <c r="H144" i="37"/>
  <c r="H157" i="37"/>
  <c r="H172" i="37"/>
  <c r="H175" i="37"/>
  <c r="H63" i="37"/>
  <c r="H83" i="37"/>
  <c r="H102" i="37"/>
  <c r="H115" i="37"/>
  <c r="H118" i="37"/>
  <c r="H181" i="37"/>
  <c r="H234" i="37"/>
  <c r="H253" i="37"/>
  <c r="H45" i="37"/>
  <c r="H48" i="37"/>
  <c r="H233" i="37"/>
  <c r="H247" i="37"/>
  <c r="H260" i="37"/>
  <c r="H296" i="37"/>
  <c r="H365" i="37"/>
  <c r="H306" i="37"/>
  <c r="H180" i="37"/>
  <c r="H254" i="37"/>
  <c r="H282" i="37"/>
  <c r="H290" i="37"/>
  <c r="H221" i="37"/>
  <c r="H223" i="37"/>
  <c r="H226" i="37"/>
  <c r="H256" i="37"/>
  <c r="H299" i="37"/>
  <c r="H107" i="37"/>
  <c r="H141" i="37"/>
  <c r="H188" i="37"/>
  <c r="H192" i="37"/>
  <c r="H206" i="37"/>
  <c r="H163" i="37"/>
  <c r="H179" i="37"/>
  <c r="H268" i="37"/>
  <c r="H75" i="37"/>
  <c r="H93" i="37"/>
  <c r="H176" i="37"/>
  <c r="H191" i="37"/>
  <c r="H200" i="37"/>
  <c r="H90" i="37"/>
  <c r="H105" i="37"/>
  <c r="H58" i="37"/>
  <c r="H60" i="37"/>
  <c r="H87" i="37"/>
  <c r="H143" i="37"/>
  <c r="H173" i="37"/>
  <c r="H69" i="37"/>
  <c r="H211" i="37"/>
  <c r="H293" i="37"/>
  <c r="H375" i="37"/>
  <c r="H21" i="37"/>
  <c r="H222" i="37"/>
  <c r="H242" i="37"/>
  <c r="H24" i="37"/>
  <c r="H16" i="37"/>
  <c r="H31" i="37"/>
  <c r="H136" i="37"/>
  <c r="H138" i="37"/>
  <c r="H170" i="37"/>
  <c r="H182" i="37"/>
  <c r="H204" i="37"/>
  <c r="H132" i="37"/>
  <c r="H134" i="37"/>
  <c r="H37" i="37"/>
  <c r="H52" i="37"/>
  <c r="H84" i="37"/>
  <c r="H236" i="37"/>
  <c r="H283" i="37"/>
  <c r="H301" i="37"/>
  <c r="H361" i="37"/>
  <c r="H123" i="37"/>
  <c r="H74" i="37"/>
  <c r="H119" i="37"/>
  <c r="H121" i="37"/>
  <c r="H130" i="37"/>
  <c r="H190" i="37"/>
  <c r="H117" i="37"/>
  <c r="H155" i="37"/>
  <c r="H178" i="37"/>
  <c r="H227" i="37"/>
  <c r="H42" i="37"/>
  <c r="H14" i="37"/>
  <c r="H29" i="37"/>
  <c r="H50" i="37"/>
  <c r="H106" i="37"/>
  <c r="H108" i="37"/>
  <c r="H203" i="37"/>
  <c r="H214" i="37"/>
  <c r="H231" i="37"/>
  <c r="H240" i="37"/>
  <c r="H265" i="37"/>
  <c r="H70" i="37"/>
  <c r="H89" i="37"/>
  <c r="H97" i="37"/>
  <c r="H104" i="37"/>
  <c r="H193" i="37"/>
  <c r="H22" i="37"/>
  <c r="H39" i="37"/>
  <c r="H160" i="37"/>
  <c r="H187" i="37"/>
  <c r="H56" i="37"/>
  <c r="H18" i="37"/>
  <c r="H15" i="37"/>
  <c r="H33" i="37"/>
  <c r="H41" i="37"/>
  <c r="H23" i="37"/>
  <c r="H148" i="37"/>
  <c r="H120" i="37"/>
  <c r="H113" i="37"/>
  <c r="H109" i="37"/>
  <c r="H51" i="37"/>
  <c r="H212" i="37"/>
  <c r="H208" i="37"/>
  <c r="H201" i="37"/>
  <c r="H185" i="37"/>
  <c r="H171" i="37"/>
  <c r="H128" i="37"/>
  <c r="H126" i="37"/>
  <c r="H122" i="37"/>
  <c r="H79" i="37"/>
  <c r="H43" i="37"/>
  <c r="H295" i="37"/>
  <c r="H250" i="37"/>
  <c r="H174" i="37"/>
  <c r="H146" i="37"/>
  <c r="H139" i="37"/>
  <c r="H177" i="37"/>
  <c r="H158" i="37"/>
  <c r="H135" i="37"/>
  <c r="H66" i="37"/>
  <c r="H35" i="37"/>
  <c r="H10" i="37"/>
  <c r="H262" i="37"/>
  <c r="H243" i="37"/>
  <c r="H229" i="37"/>
  <c r="H218" i="37"/>
  <c r="H54" i="37"/>
  <c r="H161" i="37"/>
  <c r="H82" i="37"/>
  <c r="H53" i="37"/>
  <c r="H25" i="37"/>
  <c r="H156" i="37"/>
  <c r="H62" i="37"/>
  <c r="H46" i="37"/>
  <c r="H32" i="37"/>
  <c r="H17" i="37"/>
  <c r="H244" i="37"/>
  <c r="H238" i="37"/>
  <c r="H220" i="37"/>
  <c r="H205" i="37"/>
  <c r="H198" i="37"/>
  <c r="H151" i="37"/>
  <c r="H96" i="37"/>
  <c r="H94" i="37"/>
  <c r="H55" i="37"/>
  <c r="H326" i="37"/>
  <c r="H288" i="37"/>
  <c r="H209" i="37"/>
  <c r="H186" i="37"/>
  <c r="H169" i="37"/>
  <c r="H166" i="37"/>
  <c r="H112" i="37"/>
  <c r="H110" i="37"/>
  <c r="H100" i="37"/>
  <c r="H28" i="37"/>
  <c r="H13" i="37"/>
  <c r="H279" i="37"/>
  <c r="H263" i="37"/>
  <c r="H159" i="37"/>
  <c r="H149" i="37"/>
  <c r="H142" i="37"/>
  <c r="H103" i="37"/>
  <c r="H78" i="37"/>
  <c r="H65" i="37"/>
  <c r="H34" i="37"/>
  <c r="H297" i="37"/>
  <c r="H195" i="37"/>
  <c r="H147" i="37"/>
  <c r="H140" i="37"/>
  <c r="H125" i="37"/>
  <c r="H114" i="37"/>
  <c r="H154" i="37"/>
  <c r="H127" i="37"/>
  <c r="H116" i="37"/>
  <c r="H57" i="37"/>
  <c r="H309" i="37"/>
  <c r="H133" i="37"/>
  <c r="H264" i="37"/>
  <c r="H257" i="37"/>
  <c r="H224" i="37"/>
  <c r="H162" i="37"/>
  <c r="H12" i="37"/>
  <c r="H129" i="37"/>
  <c r="H80" i="37"/>
  <c r="H272" i="37"/>
  <c r="H167" i="37"/>
  <c r="H145" i="37"/>
  <c r="H67" i="37"/>
  <c r="H36" i="37"/>
  <c r="H30" i="37"/>
  <c r="H27" i="37"/>
  <c r="H47" i="37"/>
  <c r="H19" i="37"/>
  <c r="H252" i="37"/>
  <c r="H213" i="37"/>
  <c r="H152" i="37"/>
  <c r="H347" i="37"/>
  <c r="H235" i="37"/>
  <c r="H196" i="37"/>
  <c r="H86" i="37"/>
  <c r="H59" i="37"/>
  <c r="H1245" i="37"/>
  <c r="H59" i="40" l="1"/>
  <c r="H94" i="40"/>
  <c r="H19" i="40"/>
  <c r="H47" i="40"/>
  <c r="H27" i="40"/>
  <c r="H30" i="40"/>
  <c r="H36" i="40"/>
  <c r="H67" i="40"/>
  <c r="H12" i="40"/>
  <c r="H57" i="40"/>
  <c r="H34" i="40"/>
  <c r="H65" i="40"/>
  <c r="H13" i="40"/>
  <c r="H28" i="40"/>
  <c r="H55" i="40"/>
  <c r="H17" i="40"/>
  <c r="H32" i="40"/>
  <c r="H46" i="40"/>
  <c r="H62" i="40"/>
  <c r="H25" i="40"/>
  <c r="H53" i="40"/>
  <c r="H54" i="40"/>
  <c r="H10" i="40"/>
  <c r="H79" i="40" s="1"/>
  <c r="H35" i="40"/>
  <c r="H66" i="40"/>
  <c r="H43" i="40"/>
  <c r="H51" i="40"/>
  <c r="H23" i="40"/>
  <c r="H41" i="40"/>
  <c r="H33" i="40"/>
  <c r="H15" i="40"/>
  <c r="H18" i="40"/>
  <c r="H56" i="40"/>
  <c r="H39" i="40"/>
  <c r="H22" i="40"/>
  <c r="H70" i="40"/>
  <c r="H50" i="40"/>
  <c r="H29" i="40"/>
  <c r="H14" i="40"/>
  <c r="H42" i="40"/>
  <c r="H74" i="40"/>
  <c r="H108" i="40"/>
  <c r="H52" i="40"/>
  <c r="H37" i="40"/>
  <c r="H31" i="40"/>
  <c r="H16" i="40"/>
  <c r="H24" i="40"/>
  <c r="H21" i="40"/>
  <c r="H122" i="40"/>
  <c r="H69" i="40"/>
  <c r="H60" i="40"/>
  <c r="H58" i="40"/>
  <c r="H75" i="40"/>
  <c r="H112" i="40"/>
  <c r="H48" i="40"/>
  <c r="H45" i="40"/>
  <c r="H63" i="40"/>
  <c r="H72" i="40"/>
  <c r="H120" i="40"/>
  <c r="H139" i="40"/>
  <c r="H124" i="40"/>
  <c r="H106" i="40"/>
  <c r="H137" i="40"/>
  <c r="H96" i="40"/>
  <c r="H89" i="40"/>
  <c r="H154" i="40"/>
  <c r="H152" i="40"/>
  <c r="H133" i="40"/>
  <c r="H114" i="40"/>
  <c r="H110" i="40"/>
  <c r="H130" i="40"/>
  <c r="H128" i="40"/>
  <c r="H98" i="40"/>
  <c r="H92" i="40"/>
  <c r="H88" i="40"/>
  <c r="H159" i="40"/>
  <c r="H144" i="40"/>
  <c r="H100" i="40"/>
  <c r="H119" i="40"/>
  <c r="H111" i="40"/>
  <c r="H83" i="40"/>
  <c r="H138" i="40"/>
  <c r="H136" i="40"/>
  <c r="H134" i="40"/>
  <c r="H115" i="40"/>
  <c r="H113" i="40"/>
  <c r="H103" i="40"/>
  <c r="H90" i="40"/>
  <c r="H150" i="40"/>
  <c r="H145" i="40"/>
  <c r="H143" i="40"/>
  <c r="H99" i="40"/>
  <c r="H85" i="40"/>
  <c r="H82" i="40"/>
  <c r="H147" i="40"/>
  <c r="H104" i="40"/>
  <c r="H93" i="40"/>
  <c r="H84" i="40"/>
  <c r="H156" i="40"/>
  <c r="H153" i="40"/>
  <c r="H107" i="40"/>
  <c r="H95" i="40"/>
  <c r="H109" i="40"/>
  <c r="H132" i="40"/>
  <c r="H129" i="40"/>
  <c r="H127" i="40"/>
  <c r="H149" i="40"/>
  <c r="H146" i="40"/>
  <c r="H97" i="40"/>
  <c r="H125" i="40"/>
  <c r="H87" i="40"/>
  <c r="H157" i="40"/>
  <c r="H140" i="40"/>
  <c r="H126" i="40"/>
  <c r="H123" i="40"/>
  <c r="H151" i="40"/>
  <c r="H135" i="40"/>
  <c r="H121" i="40"/>
  <c r="H116" i="40"/>
  <c r="H102" i="40"/>
  <c r="G6" i="37"/>
  <c r="G1283" i="37"/>
  <c r="G1299" i="37"/>
  <c r="G1302" i="37"/>
  <c r="G1320" i="37"/>
  <c r="G1205" i="37"/>
  <c r="G1220" i="37"/>
  <c r="G1223" i="37"/>
  <c r="G1238" i="37"/>
  <c r="G1265" i="37"/>
  <c r="G1293" i="37"/>
  <c r="G1307" i="37"/>
  <c r="G1326" i="37"/>
  <c r="G1329" i="37"/>
  <c r="G1192" i="37"/>
  <c r="G1212" i="37"/>
  <c r="G1228" i="37"/>
  <c r="G1243" i="37"/>
  <c r="G1257" i="37"/>
  <c r="G1276" i="37"/>
  <c r="G1150" i="37"/>
  <c r="G1164" i="37"/>
  <c r="G1179" i="37"/>
  <c r="G1184" i="37"/>
  <c r="G1199" i="37"/>
  <c r="G1067" i="37"/>
  <c r="G1083" i="37"/>
  <c r="G1099" i="37"/>
  <c r="G1114" i="37"/>
  <c r="G1137" i="37"/>
  <c r="G1318" i="37"/>
  <c r="G1123" i="37"/>
  <c r="G1049" i="37"/>
  <c r="G1064" i="37"/>
  <c r="G1236" i="37"/>
  <c r="G1263" i="37"/>
  <c r="G1281" i="37"/>
  <c r="G1286" i="37"/>
  <c r="G1300" i="37"/>
  <c r="G1172" i="37"/>
  <c r="G1190" i="37"/>
  <c r="G1203" i="37"/>
  <c r="G1206" i="37"/>
  <c r="G1221" i="37"/>
  <c r="G1107" i="37"/>
  <c r="G1128" i="37"/>
  <c r="G1141" i="37"/>
  <c r="G1144" i="37"/>
  <c r="G1157" i="37"/>
  <c r="G1310" i="37"/>
  <c r="G1327" i="37"/>
  <c r="G1072" i="37"/>
  <c r="G1088" i="37"/>
  <c r="G1092" i="37"/>
  <c r="G1226" i="37"/>
  <c r="G1229" i="37"/>
  <c r="G1272" i="37"/>
  <c r="G1290" i="37"/>
  <c r="G1304" i="37"/>
  <c r="G1162" i="37"/>
  <c r="G1165" i="37"/>
  <c r="G1180" i="37"/>
  <c r="G1197" i="37"/>
  <c r="G1210" i="37"/>
  <c r="G1097" i="37"/>
  <c r="G1112" i="37"/>
  <c r="G1116" i="37"/>
  <c r="G1135" i="37"/>
  <c r="G1148" i="37"/>
  <c r="G1282" i="37"/>
  <c r="G1298" i="37"/>
  <c r="G1314" i="37"/>
  <c r="G1331" i="37"/>
  <c r="G1081" i="37"/>
  <c r="G1204" i="37"/>
  <c r="G1219" i="37"/>
  <c r="G1233" i="37"/>
  <c r="G1259" i="37"/>
  <c r="G1264" i="37"/>
  <c r="G1305" i="37"/>
  <c r="G1323" i="37"/>
  <c r="G1170" i="37"/>
  <c r="G1186" i="37"/>
  <c r="G1191" i="37"/>
  <c r="G1227" i="37"/>
  <c r="G1242" i="37"/>
  <c r="G1270" i="37"/>
  <c r="G1288" i="37"/>
  <c r="G1292" i="37"/>
  <c r="G1296" i="37"/>
  <c r="G1312" i="37"/>
  <c r="G1315" i="37"/>
  <c r="G1208" i="37"/>
  <c r="G1211" i="37"/>
  <c r="G1266" i="37"/>
  <c r="G1271" i="37"/>
  <c r="G1289" i="37"/>
  <c r="G1303" i="37"/>
  <c r="G1321" i="37"/>
  <c r="G1193" i="37"/>
  <c r="G1196" i="37"/>
  <c r="G1209" i="37"/>
  <c r="G1225" i="37"/>
  <c r="G1239" i="37"/>
  <c r="G1330" i="37"/>
  <c r="G1134" i="37"/>
  <c r="G1147" i="37"/>
  <c r="G1161" i="37"/>
  <c r="G1175" i="37"/>
  <c r="G1258" i="37"/>
  <c r="G1277" i="37"/>
  <c r="G1294" i="37"/>
  <c r="G1297" i="37"/>
  <c r="G1313" i="37"/>
  <c r="G1185" i="37"/>
  <c r="G1200" i="37"/>
  <c r="G1213" i="37"/>
  <c r="G1216" i="37"/>
  <c r="G1232" i="37"/>
  <c r="G1119" i="37"/>
  <c r="G1138" i="37"/>
  <c r="G1151" i="37"/>
  <c r="G1154" i="37"/>
  <c r="G1169" i="37"/>
  <c r="G1301" i="37"/>
  <c r="G1319" i="37"/>
  <c r="G1322" i="37"/>
  <c r="G1100" i="37"/>
  <c r="G1104" i="37"/>
  <c r="G1222" i="37"/>
  <c r="G1237" i="37"/>
  <c r="G1241" i="37"/>
  <c r="G1267" i="37"/>
  <c r="G1287" i="37"/>
  <c r="G1158" i="37"/>
  <c r="G1173" i="37"/>
  <c r="G1177" i="37"/>
  <c r="G1194" i="37"/>
  <c r="G1207" i="37"/>
  <c r="G1295" i="37"/>
  <c r="G1311" i="37"/>
  <c r="G1328" i="37"/>
  <c r="G1132" i="37"/>
  <c r="G1145" i="37"/>
  <c r="G1214" i="37"/>
  <c r="G1230" i="37"/>
  <c r="G1247" i="37"/>
  <c r="G1273" i="37"/>
  <c r="G1278" i="37"/>
  <c r="G1152" i="37"/>
  <c r="G1166" i="37"/>
  <c r="G1183" i="37"/>
  <c r="G1198" i="37"/>
  <c r="G1201" i="37"/>
  <c r="G1086" i="37"/>
  <c r="G1101" i="37"/>
  <c r="G1117" i="37"/>
  <c r="G1136" i="37"/>
  <c r="G1139" i="37"/>
  <c r="G1040" i="37"/>
  <c r="G1053" i="37"/>
  <c r="G1087" i="37"/>
  <c r="G1093" i="37"/>
  <c r="G1082" i="37"/>
  <c r="G1078" i="37"/>
  <c r="G1089" i="37"/>
  <c r="G1110" i="37"/>
  <c r="G1215" i="37"/>
  <c r="G1036" i="37"/>
  <c r="G1113" i="37"/>
  <c r="G1174" i="37"/>
  <c r="G1195" i="37"/>
  <c r="G1231" i="37"/>
  <c r="G1076" i="37"/>
  <c r="G1054" i="37"/>
  <c r="G1098" i="37"/>
  <c r="G1063" i="37"/>
  <c r="G1187" i="37"/>
  <c r="G1096" i="37"/>
  <c r="G1070" i="37"/>
  <c r="G1045" i="37"/>
  <c r="G1109" i="37"/>
  <c r="G1153" i="37"/>
  <c r="G1160" i="37"/>
  <c r="G1260" i="37"/>
  <c r="G1012" i="37"/>
  <c r="G1015" i="37"/>
  <c r="G1035" i="37"/>
  <c r="G1052" i="37"/>
  <c r="G1077" i="37"/>
  <c r="G1080" i="37"/>
  <c r="G1122" i="37"/>
  <c r="G1149" i="37"/>
  <c r="G1156" i="37"/>
  <c r="G1043" i="37"/>
  <c r="G1140" i="37"/>
  <c r="G1280" i="37"/>
  <c r="G1058" i="37"/>
  <c r="G1075" i="37"/>
  <c r="G1143" i="37"/>
  <c r="G1155" i="37"/>
  <c r="G1178" i="37"/>
  <c r="G1163" i="37"/>
  <c r="G1020" i="37"/>
  <c r="G1021" i="37"/>
  <c r="G1041" i="37"/>
  <c r="G1059" i="37"/>
  <c r="G1071" i="37"/>
  <c r="G1235" i="37"/>
  <c r="G1118" i="37"/>
  <c r="G1050" i="37"/>
  <c r="G1094" i="37"/>
  <c r="G1142" i="37"/>
  <c r="G1168" i="37"/>
  <c r="G999" i="37"/>
  <c r="G1126" i="37"/>
  <c r="G1121" i="37"/>
  <c r="G1171" i="37"/>
  <c r="G1106" i="37"/>
  <c r="G960" i="37"/>
  <c r="G975" i="37"/>
  <c r="G989" i="37"/>
  <c r="G914" i="37"/>
  <c r="G941" i="37"/>
  <c r="G1016" i="37"/>
  <c r="G1019" i="37"/>
  <c r="G1044" i="37"/>
  <c r="G927" i="37"/>
  <c r="G948" i="37"/>
  <c r="G1103" i="37"/>
  <c r="G905" i="37"/>
  <c r="G966" i="37"/>
  <c r="G996" i="37"/>
  <c r="G1014" i="37"/>
  <c r="G951" i="37"/>
  <c r="G979" i="37"/>
  <c r="G1025" i="37"/>
  <c r="G1055" i="37"/>
  <c r="G1084" i="37"/>
  <c r="G862" i="37"/>
  <c r="G876" i="37"/>
  <c r="G912" i="37"/>
  <c r="G925" i="37"/>
  <c r="G939" i="37"/>
  <c r="G806" i="37"/>
  <c r="G809" i="37"/>
  <c r="G824" i="37"/>
  <c r="G844" i="37"/>
  <c r="G858" i="37"/>
  <c r="G958" i="37"/>
  <c r="G987" i="37"/>
  <c r="G1031" i="37"/>
  <c r="G1047" i="37"/>
  <c r="G790" i="37"/>
  <c r="G964" i="37"/>
  <c r="G977" i="37"/>
  <c r="G994" i="37"/>
  <c r="G1068" i="37"/>
  <c r="G895" i="37"/>
  <c r="G900" i="37"/>
  <c r="G913" i="37"/>
  <c r="G974" i="37"/>
  <c r="G1146" i="37"/>
  <c r="G937" i="37"/>
  <c r="G920" i="37"/>
  <c r="G947" i="37"/>
  <c r="G982" i="37"/>
  <c r="G1046" i="37"/>
  <c r="G1091" i="37"/>
  <c r="G850" i="37"/>
  <c r="G864" i="37"/>
  <c r="G867" i="37"/>
  <c r="G883" i="37"/>
  <c r="G890" i="37"/>
  <c r="G965" i="37"/>
  <c r="G995" i="37"/>
  <c r="G1033" i="37"/>
  <c r="G1133" i="37"/>
  <c r="G1202" i="37"/>
  <c r="G1108" i="37"/>
  <c r="G1061" i="37"/>
  <c r="G904" i="37"/>
  <c r="G938" i="37"/>
  <c r="G953" i="37"/>
  <c r="G880" i="37"/>
  <c r="G936" i="37"/>
  <c r="G963" i="37"/>
  <c r="G1003" i="37"/>
  <c r="G1057" i="37"/>
  <c r="G813" i="37"/>
  <c r="G828" i="37"/>
  <c r="G848" i="37"/>
  <c r="G851" i="37"/>
  <c r="G865" i="37"/>
  <c r="G1000" i="37"/>
  <c r="G1007" i="37"/>
  <c r="G1010" i="37"/>
  <c r="G1024" i="37"/>
  <c r="G1131" i="37"/>
  <c r="G921" i="37"/>
  <c r="G943" i="37"/>
  <c r="G954" i="37"/>
  <c r="G970" i="37"/>
  <c r="G983" i="37"/>
  <c r="G1032" i="37"/>
  <c r="G1039" i="37"/>
  <c r="G1048" i="37"/>
  <c r="G891" i="37"/>
  <c r="G908" i="37"/>
  <c r="G961" i="37"/>
  <c r="G973" i="37"/>
  <c r="G1066" i="37"/>
  <c r="G1130" i="37"/>
  <c r="G990" i="37"/>
  <c r="G1056" i="37"/>
  <c r="G1129" i="37"/>
  <c r="G1017" i="37"/>
  <c r="G906" i="37"/>
  <c r="G946" i="37"/>
  <c r="G1004" i="37"/>
  <c r="G1060" i="37"/>
  <c r="G988" i="37"/>
  <c r="G1026" i="37"/>
  <c r="G1042" i="37"/>
  <c r="G853" i="37"/>
  <c r="G897" i="37"/>
  <c r="G902" i="37"/>
  <c r="G915" i="37"/>
  <c r="G957" i="37"/>
  <c r="G978" i="37"/>
  <c r="G1011" i="37"/>
  <c r="G894" i="37"/>
  <c r="G984" i="37"/>
  <c r="G1105" i="37"/>
  <c r="G785" i="37"/>
  <c r="G797" i="37"/>
  <c r="G847" i="37"/>
  <c r="G930" i="37"/>
  <c r="G972" i="37"/>
  <c r="G843" i="37"/>
  <c r="G868" i="37"/>
  <c r="G911" i="37"/>
  <c r="G760" i="37"/>
  <c r="G774" i="37"/>
  <c r="G782" i="37"/>
  <c r="G795" i="37"/>
  <c r="G855" i="37"/>
  <c r="G872" i="37"/>
  <c r="G901" i="37"/>
  <c r="G715" i="37"/>
  <c r="G730" i="37"/>
  <c r="G751" i="37"/>
  <c r="G765" i="37"/>
  <c r="G768" i="37"/>
  <c r="G651" i="37"/>
  <c r="G665" i="37"/>
  <c r="G680" i="37"/>
  <c r="G696" i="37"/>
  <c r="G712" i="37"/>
  <c r="G971" i="37"/>
  <c r="G892" i="37"/>
  <c r="G929" i="37"/>
  <c r="G940" i="37"/>
  <c r="G648" i="37"/>
  <c r="G804" i="37"/>
  <c r="G829" i="37"/>
  <c r="G840" i="37"/>
  <c r="G884" i="37"/>
  <c r="G918" i="37"/>
  <c r="G845" i="37"/>
  <c r="G879" i="37"/>
  <c r="G909" i="37"/>
  <c r="G956" i="37"/>
  <c r="G792" i="37"/>
  <c r="G766" i="37"/>
  <c r="G780" i="37"/>
  <c r="G802" i="37"/>
  <c r="G896" i="37"/>
  <c r="G823" i="37"/>
  <c r="G1008" i="37"/>
  <c r="G1027" i="37"/>
  <c r="G1073" i="37"/>
  <c r="G752" i="37"/>
  <c r="G875" i="37"/>
  <c r="G888" i="37"/>
  <c r="G945" i="37"/>
  <c r="G950" i="37"/>
  <c r="G1001" i="37"/>
  <c r="G924" i="37"/>
  <c r="G787" i="37"/>
  <c r="G820" i="37"/>
  <c r="G825" i="37"/>
  <c r="G871" i="37"/>
  <c r="G874" i="37"/>
  <c r="G944" i="37"/>
  <c r="G980" i="37"/>
  <c r="G1065" i="37"/>
  <c r="G922" i="37"/>
  <c r="G1013" i="37"/>
  <c r="G917" i="37"/>
  <c r="G931" i="37"/>
  <c r="G959" i="37"/>
  <c r="G856" i="37"/>
  <c r="G863" i="37"/>
  <c r="G873" i="37"/>
  <c r="G899" i="37"/>
  <c r="G993" i="37"/>
  <c r="G779" i="37"/>
  <c r="G786" i="37"/>
  <c r="G801" i="37"/>
  <c r="G831" i="37"/>
  <c r="G842" i="37"/>
  <c r="G723" i="37"/>
  <c r="G726" i="37"/>
  <c r="G747" i="37"/>
  <c r="G761" i="37"/>
  <c r="G775" i="37"/>
  <c r="G969" i="37"/>
  <c r="G985" i="37"/>
  <c r="G1006" i="37"/>
  <c r="G1037" i="37"/>
  <c r="G708" i="37"/>
  <c r="G1023" i="37"/>
  <c r="G821" i="37"/>
  <c r="G860" i="37"/>
  <c r="G866" i="37"/>
  <c r="G885" i="37"/>
  <c r="G811" i="37"/>
  <c r="G815" i="37"/>
  <c r="G833" i="37"/>
  <c r="G869" i="37"/>
  <c r="G926" i="37"/>
  <c r="G991" i="37"/>
  <c r="G732" i="37"/>
  <c r="G755" i="37"/>
  <c r="G769" i="37"/>
  <c r="G783" i="37"/>
  <c r="G839" i="37"/>
  <c r="G881" i="37"/>
  <c r="G916" i="37"/>
  <c r="G952" i="37"/>
  <c r="G967" i="37"/>
  <c r="G808" i="37"/>
  <c r="G998" i="37"/>
  <c r="G1005" i="37"/>
  <c r="G796" i="37"/>
  <c r="G827" i="37"/>
  <c r="G907" i="37"/>
  <c r="G962" i="37"/>
  <c r="G1034" i="37"/>
  <c r="G777" i="37"/>
  <c r="G793" i="37"/>
  <c r="G832" i="37"/>
  <c r="G852" i="37"/>
  <c r="G949" i="37"/>
  <c r="G841" i="37"/>
  <c r="G889" i="37"/>
  <c r="G717" i="37"/>
  <c r="G720" i="37"/>
  <c r="G722" i="37"/>
  <c r="G754" i="37"/>
  <c r="G759" i="37"/>
  <c r="G594" i="37"/>
  <c r="G610" i="37"/>
  <c r="G626" i="37"/>
  <c r="G641" i="37"/>
  <c r="G686" i="37"/>
  <c r="G693" i="37"/>
  <c r="G544" i="37"/>
  <c r="G562" i="37"/>
  <c r="G576" i="37"/>
  <c r="G579" i="37"/>
  <c r="G664" i="37"/>
  <c r="G676" i="37"/>
  <c r="G756" i="37"/>
  <c r="G771" i="37"/>
  <c r="G658" i="37"/>
  <c r="G697" i="37"/>
  <c r="G709" i="37"/>
  <c r="G735" i="37"/>
  <c r="G748" i="37"/>
  <c r="G935" i="37"/>
  <c r="G814" i="37"/>
  <c r="G822" i="37"/>
  <c r="G861" i="37"/>
  <c r="G656" i="37"/>
  <c r="G683" i="37"/>
  <c r="G674" i="37"/>
  <c r="G707" i="37"/>
  <c r="G886" i="37"/>
  <c r="G668" i="37"/>
  <c r="G738" i="37"/>
  <c r="G704" i="37"/>
  <c r="G721" i="37"/>
  <c r="G753" i="37"/>
  <c r="G758" i="37"/>
  <c r="G647" i="37"/>
  <c r="G616" i="37"/>
  <c r="G631" i="37"/>
  <c r="G653" i="37"/>
  <c r="G681" i="37"/>
  <c r="G694" i="37"/>
  <c r="G716" i="37"/>
  <c r="G719" i="37"/>
  <c r="G807" i="37"/>
  <c r="G849" i="37"/>
  <c r="G600" i="37"/>
  <c r="G684" i="37"/>
  <c r="G702" i="37"/>
  <c r="G729" i="37"/>
  <c r="G743" i="37"/>
  <c r="G745" i="37"/>
  <c r="G609" i="37"/>
  <c r="G625" i="37"/>
  <c r="G640" i="37"/>
  <c r="G657" i="37"/>
  <c r="G672" i="37"/>
  <c r="G543" i="37"/>
  <c r="G561" i="37"/>
  <c r="G575" i="37"/>
  <c r="G589" i="37"/>
  <c r="G605" i="37"/>
  <c r="G764" i="37"/>
  <c r="G773" i="37"/>
  <c r="G788" i="37"/>
  <c r="G857" i="37"/>
  <c r="G540" i="37"/>
  <c r="G767" i="37"/>
  <c r="G770" i="37"/>
  <c r="G663" i="37"/>
  <c r="G692" i="37"/>
  <c r="G714" i="37"/>
  <c r="G670" i="37"/>
  <c r="G699" i="37"/>
  <c r="G734" i="37"/>
  <c r="G737" i="37"/>
  <c r="G749" i="37"/>
  <c r="G835" i="37"/>
  <c r="G689" i="37"/>
  <c r="G757" i="37"/>
  <c r="G778" i="37"/>
  <c r="G703" i="37"/>
  <c r="G725" i="37"/>
  <c r="G762" i="37"/>
  <c r="G799" i="37"/>
  <c r="G812" i="37"/>
  <c r="G595" i="37"/>
  <c r="G611" i="37"/>
  <c r="G615" i="37"/>
  <c r="G630" i="37"/>
  <c r="G652" i="37"/>
  <c r="G532" i="37"/>
  <c r="G545" i="37"/>
  <c r="G552" i="37"/>
  <c r="G566" i="37"/>
  <c r="G580" i="37"/>
  <c r="G700" i="37"/>
  <c r="G728" i="37"/>
  <c r="G744" i="37"/>
  <c r="G819" i="37"/>
  <c r="G519" i="37"/>
  <c r="G739" i="37"/>
  <c r="G746" i="37"/>
  <c r="G671" i="37"/>
  <c r="G687" i="37"/>
  <c r="G635" i="37"/>
  <c r="G639" i="37"/>
  <c r="G677" i="37"/>
  <c r="G713" i="37"/>
  <c r="G733" i="37"/>
  <c r="G834" i="37"/>
  <c r="G854" i="37"/>
  <c r="G878" i="37"/>
  <c r="G604" i="37"/>
  <c r="G620" i="37"/>
  <c r="G650" i="37"/>
  <c r="G662" i="37"/>
  <c r="G691" i="37"/>
  <c r="G818" i="37"/>
  <c r="G669" i="37"/>
  <c r="G698" i="37"/>
  <c r="G710" i="37"/>
  <c r="G781" i="37"/>
  <c r="G643" i="37"/>
  <c r="G675" i="37"/>
  <c r="G688" i="37"/>
  <c r="G772" i="37"/>
  <c r="G798" i="37"/>
  <c r="G628" i="37"/>
  <c r="G791" i="37"/>
  <c r="G803" i="37"/>
  <c r="G636" i="37"/>
  <c r="G660" i="37"/>
  <c r="G816" i="37"/>
  <c r="G570" i="37"/>
  <c r="G666" i="37"/>
  <c r="G679" i="37"/>
  <c r="G705" i="37"/>
  <c r="G724" i="37"/>
  <c r="G659" i="37"/>
  <c r="G673" i="37"/>
  <c r="G514" i="37"/>
  <c r="G520" i="37"/>
  <c r="G530" i="37"/>
  <c r="G505" i="37"/>
  <c r="G508" i="37"/>
  <c r="G603" i="37"/>
  <c r="G638" i="37"/>
  <c r="G559" i="37"/>
  <c r="G450" i="37"/>
  <c r="G453" i="37"/>
  <c r="G466" i="37"/>
  <c r="G479" i="37"/>
  <c r="G492" i="37"/>
  <c r="G385" i="37"/>
  <c r="G388" i="37"/>
  <c r="G404" i="37"/>
  <c r="G421" i="37"/>
  <c r="G434" i="37"/>
  <c r="G572" i="37"/>
  <c r="G581" i="37"/>
  <c r="G590" i="37"/>
  <c r="G613" i="37"/>
  <c r="G369" i="37"/>
  <c r="G567" i="37"/>
  <c r="G578" i="37"/>
  <c r="G599" i="37"/>
  <c r="G623" i="37"/>
  <c r="G523" i="37"/>
  <c r="G473" i="37"/>
  <c r="G486" i="37"/>
  <c r="G499" i="37"/>
  <c r="G512" i="37"/>
  <c r="G554" i="37"/>
  <c r="G521" i="37"/>
  <c r="G556" i="37"/>
  <c r="G608" i="37"/>
  <c r="G457" i="37"/>
  <c r="G470" i="37"/>
  <c r="G533" i="37"/>
  <c r="G564" i="37"/>
  <c r="G569" i="37"/>
  <c r="G618" i="37"/>
  <c r="G629" i="37"/>
  <c r="G622" i="37"/>
  <c r="G655" i="37"/>
  <c r="G490" i="37"/>
  <c r="G493" i="37"/>
  <c r="G506" i="37"/>
  <c r="G529" i="37"/>
  <c r="G531" i="37"/>
  <c r="G549" i="37"/>
  <c r="G558" i="37"/>
  <c r="G598" i="37"/>
  <c r="G513" i="37"/>
  <c r="G527" i="37"/>
  <c r="G583" i="37"/>
  <c r="G587" i="37"/>
  <c r="G606" i="37"/>
  <c r="G458" i="37"/>
  <c r="G471" i="37"/>
  <c r="G484" i="37"/>
  <c r="G497" i="37"/>
  <c r="G510" i="37"/>
  <c r="G577" i="37"/>
  <c r="G621" i="37"/>
  <c r="G642" i="37"/>
  <c r="G442" i="37"/>
  <c r="G455" i="37"/>
  <c r="G517" i="37"/>
  <c r="G525" i="37"/>
  <c r="G542" i="37"/>
  <c r="G553" i="37"/>
  <c r="G571" i="37"/>
  <c r="G634" i="37"/>
  <c r="G475" i="37"/>
  <c r="G478" i="37"/>
  <c r="G491" i="37"/>
  <c r="G504" i="37"/>
  <c r="G574" i="37"/>
  <c r="G582" i="37"/>
  <c r="G627" i="37"/>
  <c r="G555" i="37"/>
  <c r="G568" i="37"/>
  <c r="G482" i="37"/>
  <c r="G495" i="37"/>
  <c r="G498" i="37"/>
  <c r="G511" i="37"/>
  <c r="G563" i="37"/>
  <c r="G424" i="37"/>
  <c r="G437" i="37"/>
  <c r="G443" i="37"/>
  <c r="G456" i="37"/>
  <c r="G469" i="37"/>
  <c r="G359" i="37"/>
  <c r="G374" i="37"/>
  <c r="G377" i="37"/>
  <c r="G391" i="37"/>
  <c r="G407" i="37"/>
  <c r="G546" i="37"/>
  <c r="G557" i="37"/>
  <c r="G632" i="37"/>
  <c r="G597" i="37"/>
  <c r="G602" i="37"/>
  <c r="G515" i="37"/>
  <c r="G528" i="37"/>
  <c r="G535" i="37"/>
  <c r="G537" i="37"/>
  <c r="G539" i="37"/>
  <c r="G586" i="37"/>
  <c r="G682" i="37"/>
  <c r="G476" i="37"/>
  <c r="G489" i="37"/>
  <c r="G502" i="37"/>
  <c r="G483" i="37"/>
  <c r="G496" i="37"/>
  <c r="G509" i="37"/>
  <c r="G541" i="37"/>
  <c r="G593" i="37"/>
  <c r="G516" i="37"/>
  <c r="G661" i="37"/>
  <c r="G524" i="37"/>
  <c r="G467" i="37"/>
  <c r="G480" i="37"/>
  <c r="G649" i="37"/>
  <c r="G474" i="37"/>
  <c r="G487" i="37"/>
  <c r="G500" i="37"/>
  <c r="G503" i="37"/>
  <c r="G614" i="37"/>
  <c r="G522" i="37"/>
  <c r="G585" i="37"/>
  <c r="G588" i="37"/>
  <c r="G619" i="37"/>
  <c r="G534" i="37"/>
  <c r="G536" i="37"/>
  <c r="G538" i="37"/>
  <c r="G565" i="37"/>
  <c r="G592" i="37"/>
  <c r="G402" i="37"/>
  <c r="G422" i="37"/>
  <c r="G435" i="37"/>
  <c r="G399" i="37"/>
  <c r="G518" i="37"/>
  <c r="G428" i="37"/>
  <c r="G325" i="37"/>
  <c r="G345" i="37"/>
  <c r="G380" i="37"/>
  <c r="G382" i="37"/>
  <c r="G348" i="37"/>
  <c r="G360" i="37"/>
  <c r="G367" i="37"/>
  <c r="G406" i="37"/>
  <c r="G426" i="37"/>
  <c r="G290" i="37"/>
  <c r="G303" i="37"/>
  <c r="G306" i="37"/>
  <c r="G319" i="37"/>
  <c r="G337" i="37"/>
  <c r="G227" i="37"/>
  <c r="G240" i="37"/>
  <c r="G243" i="37"/>
  <c r="G257" i="37"/>
  <c r="G273" i="37"/>
  <c r="G462" i="37"/>
  <c r="G180" i="37"/>
  <c r="G183" i="37"/>
  <c r="G196" i="37"/>
  <c r="G209" i="37"/>
  <c r="G392" i="37"/>
  <c r="G430" i="37"/>
  <c r="G488" i="37"/>
  <c r="G357" i="37"/>
  <c r="G459" i="37"/>
  <c r="G326" i="37"/>
  <c r="G355" i="37"/>
  <c r="G373" i="37"/>
  <c r="G375" i="37"/>
  <c r="G390" i="37"/>
  <c r="G494" i="37"/>
  <c r="G417" i="37"/>
  <c r="G297" i="37"/>
  <c r="G310" i="37"/>
  <c r="G323" i="37"/>
  <c r="G352" i="37"/>
  <c r="G396" i="37"/>
  <c r="G398" i="37"/>
  <c r="G400" i="37"/>
  <c r="G419" i="37"/>
  <c r="G343" i="37"/>
  <c r="G423" i="37"/>
  <c r="G425" i="37"/>
  <c r="G445" i="37"/>
  <c r="G335" i="37"/>
  <c r="G465" i="37"/>
  <c r="G477" i="37"/>
  <c r="G308" i="37"/>
  <c r="G311" i="37"/>
  <c r="G324" i="37"/>
  <c r="G501" i="37"/>
  <c r="G350" i="37"/>
  <c r="G366" i="37"/>
  <c r="G368" i="37"/>
  <c r="G461" i="37"/>
  <c r="G387" i="37"/>
  <c r="G389" i="37"/>
  <c r="G409" i="37"/>
  <c r="G447" i="37"/>
  <c r="G468" i="37"/>
  <c r="G315" i="37"/>
  <c r="G328" i="37"/>
  <c r="G336" i="37"/>
  <c r="G364" i="37"/>
  <c r="G372" i="37"/>
  <c r="G253" i="37"/>
  <c r="G268" i="37"/>
  <c r="G272" i="37"/>
  <c r="G289" i="37"/>
  <c r="G302" i="37"/>
  <c r="G481" i="37"/>
  <c r="G205" i="37"/>
  <c r="G208" i="37"/>
  <c r="G226" i="37"/>
  <c r="G239" i="37"/>
  <c r="G418" i="37"/>
  <c r="G432" i="37"/>
  <c r="G464" i="37"/>
  <c r="G353" i="37"/>
  <c r="G362" i="37"/>
  <c r="G322" i="37"/>
  <c r="G341" i="37"/>
  <c r="G393" i="37"/>
  <c r="G412" i="37"/>
  <c r="G416" i="37"/>
  <c r="G261" i="37"/>
  <c r="G277" i="37"/>
  <c r="G293" i="37"/>
  <c r="G296" i="37"/>
  <c r="G309" i="37"/>
  <c r="G420" i="37"/>
  <c r="G444" i="37"/>
  <c r="G449" i="37"/>
  <c r="G452" i="37"/>
  <c r="G526" i="37"/>
  <c r="G332" i="37"/>
  <c r="G379" i="37"/>
  <c r="G381" i="37"/>
  <c r="G472" i="37"/>
  <c r="G351" i="37"/>
  <c r="G405" i="37"/>
  <c r="G436" i="37"/>
  <c r="G383" i="37"/>
  <c r="G313" i="37"/>
  <c r="G316" i="37"/>
  <c r="G342" i="37"/>
  <c r="G349" i="37"/>
  <c r="G363" i="37"/>
  <c r="G386" i="37"/>
  <c r="G403" i="37"/>
  <c r="G278" i="37"/>
  <c r="G294" i="37"/>
  <c r="G307" i="37"/>
  <c r="G320" i="37"/>
  <c r="G338" i="37"/>
  <c r="G463" i="37"/>
  <c r="G231" i="37"/>
  <c r="G244" i="37"/>
  <c r="G258" i="37"/>
  <c r="G274" i="37"/>
  <c r="G361" i="37"/>
  <c r="G365" i="37"/>
  <c r="G440" i="37"/>
  <c r="G451" i="37"/>
  <c r="G454" i="37"/>
  <c r="G429" i="37"/>
  <c r="G431" i="37"/>
  <c r="G446" i="37"/>
  <c r="G460" i="37"/>
  <c r="G507" i="37"/>
  <c r="G346" i="37"/>
  <c r="G448" i="37"/>
  <c r="G433" i="37"/>
  <c r="G485" i="37"/>
  <c r="G427" i="37"/>
  <c r="G158" i="37"/>
  <c r="G161" i="37"/>
  <c r="G190" i="37"/>
  <c r="G249" i="37"/>
  <c r="G286" i="37"/>
  <c r="G103" i="37"/>
  <c r="G106" i="37"/>
  <c r="G119" i="37"/>
  <c r="G132" i="37"/>
  <c r="G145" i="37"/>
  <c r="G235" i="37"/>
  <c r="G292" i="37"/>
  <c r="G314" i="37"/>
  <c r="G397" i="37"/>
  <c r="G378" i="37"/>
  <c r="G295" i="37"/>
  <c r="G301" i="37"/>
  <c r="G376" i="37"/>
  <c r="G262" i="37"/>
  <c r="G327" i="37"/>
  <c r="G291" i="37"/>
  <c r="G212" i="37"/>
  <c r="G214" i="37"/>
  <c r="G220" i="37"/>
  <c r="G222" i="37"/>
  <c r="G172" i="37"/>
  <c r="G189" i="37"/>
  <c r="G197" i="37"/>
  <c r="G232" i="37"/>
  <c r="G230" i="37"/>
  <c r="G181" i="37"/>
  <c r="G234" i="37"/>
  <c r="G251" i="37"/>
  <c r="G144" i="37"/>
  <c r="G157" i="37"/>
  <c r="G236" i="37"/>
  <c r="G238" i="37"/>
  <c r="G269" i="37"/>
  <c r="G318" i="37"/>
  <c r="G415" i="37"/>
  <c r="G300" i="37"/>
  <c r="G410" i="37"/>
  <c r="G166" i="37"/>
  <c r="G187" i="37"/>
  <c r="G195" i="37"/>
  <c r="G175" i="37"/>
  <c r="G186" i="37"/>
  <c r="G287" i="37"/>
  <c r="G250" i="37"/>
  <c r="G252" i="37"/>
  <c r="G242" i="37"/>
  <c r="G321" i="37"/>
  <c r="G347" i="37"/>
  <c r="G299" i="37"/>
  <c r="G160" i="37"/>
  <c r="G154" i="37"/>
  <c r="G169" i="37"/>
  <c r="G178" i="37"/>
  <c r="G204" i="37"/>
  <c r="G218" i="37"/>
  <c r="G223" i="37"/>
  <c r="G228" i="37"/>
  <c r="G304" i="37"/>
  <c r="G138" i="37"/>
  <c r="G141" i="37"/>
  <c r="G41" i="37"/>
  <c r="G90" i="37"/>
  <c r="G105" i="37"/>
  <c r="G168" i="37"/>
  <c r="G179" i="37"/>
  <c r="G173" i="37"/>
  <c r="G176" i="37"/>
  <c r="G191" i="37"/>
  <c r="G275" i="37"/>
  <c r="G23" i="37"/>
  <c r="G211" i="37"/>
  <c r="G237" i="37"/>
  <c r="G254" i="37"/>
  <c r="G72" i="37"/>
  <c r="G87" i="37"/>
  <c r="G194" i="37"/>
  <c r="G13" i="37"/>
  <c r="G16" i="37"/>
  <c r="G31" i="37"/>
  <c r="G69" i="37"/>
  <c r="G52" i="37"/>
  <c r="G84" i="37"/>
  <c r="G136" i="37"/>
  <c r="G182" i="37"/>
  <c r="G185" i="37"/>
  <c r="G267" i="37"/>
  <c r="G283" i="37"/>
  <c r="G317" i="37"/>
  <c r="G66" i="37"/>
  <c r="G37" i="37"/>
  <c r="G148" i="37"/>
  <c r="G21" i="37"/>
  <c r="G58" i="37"/>
  <c r="G134" i="37"/>
  <c r="G153" i="37"/>
  <c r="G260" i="37"/>
  <c r="G82" i="37"/>
  <c r="G121" i="37"/>
  <c r="G128" i="37"/>
  <c r="G130" i="37"/>
  <c r="G117" i="37"/>
  <c r="G155" i="37"/>
  <c r="G247" i="37"/>
  <c r="G356" i="37"/>
  <c r="G241" i="37"/>
  <c r="G29" i="37"/>
  <c r="G35" i="37"/>
  <c r="G50" i="37"/>
  <c r="G113" i="37"/>
  <c r="G115" i="37"/>
  <c r="G193" i="37"/>
  <c r="G203" i="37"/>
  <c r="G207" i="37"/>
  <c r="G265" i="37"/>
  <c r="G14" i="37"/>
  <c r="G56" i="37"/>
  <c r="G70" i="37"/>
  <c r="G97" i="37"/>
  <c r="G102" i="37"/>
  <c r="G104" i="37"/>
  <c r="G39" i="37"/>
  <c r="G95" i="37"/>
  <c r="G163" i="37"/>
  <c r="G200" i="37"/>
  <c r="G246" i="37"/>
  <c r="G170" i="37"/>
  <c r="G184" i="37"/>
  <c r="G282" i="37"/>
  <c r="G18" i="37"/>
  <c r="G22" i="37"/>
  <c r="G48" i="37"/>
  <c r="G47" i="37"/>
  <c r="G86" i="37"/>
  <c r="G143" i="37"/>
  <c r="G150" i="37"/>
  <c r="G93" i="37"/>
  <c r="G75" i="37"/>
  <c r="G63" i="37"/>
  <c r="G33" i="37"/>
  <c r="G60" i="37"/>
  <c r="G305" i="37"/>
  <c r="G188" i="37"/>
  <c r="G118" i="37"/>
  <c r="G111" i="37"/>
  <c r="G107" i="37"/>
  <c r="G120" i="37"/>
  <c r="G109" i="37"/>
  <c r="G51" i="37"/>
  <c r="G30" i="37"/>
  <c r="G15" i="37"/>
  <c r="G43" i="37"/>
  <c r="G255" i="37"/>
  <c r="G201" i="37"/>
  <c r="G171" i="37"/>
  <c r="G124" i="37"/>
  <c r="G133" i="37"/>
  <c r="G126" i="37"/>
  <c r="G122" i="37"/>
  <c r="G79" i="37"/>
  <c r="G59" i="37"/>
  <c r="G233" i="37"/>
  <c r="G174" i="37"/>
  <c r="G146" i="37"/>
  <c r="G139" i="37"/>
  <c r="G137" i="37"/>
  <c r="G177" i="37"/>
  <c r="G135" i="37"/>
  <c r="G25" i="37"/>
  <c r="G10" i="37"/>
  <c r="G288" i="37"/>
  <c r="G224" i="37"/>
  <c r="G202" i="37"/>
  <c r="G53" i="37"/>
  <c r="G229" i="37"/>
  <c r="G192" i="37"/>
  <c r="G91" i="37"/>
  <c r="G62" i="37"/>
  <c r="G46" i="37"/>
  <c r="G32" i="37"/>
  <c r="G256" i="37"/>
  <c r="G55" i="37"/>
  <c r="G17" i="37"/>
  <c r="G270" i="37"/>
  <c r="G198" i="37"/>
  <c r="G156" i="37"/>
  <c r="G108" i="37"/>
  <c r="G96" i="37"/>
  <c r="G94" i="37"/>
  <c r="G89" i="37"/>
  <c r="G74" i="37"/>
  <c r="G112" i="37"/>
  <c r="G110" i="37"/>
  <c r="G100" i="37"/>
  <c r="G42" i="37"/>
  <c r="G151" i="37"/>
  <c r="G263" i="37"/>
  <c r="G245" i="37"/>
  <c r="G159" i="37"/>
  <c r="G149" i="37"/>
  <c r="G142" i="37"/>
  <c r="G114" i="37"/>
  <c r="G78" i="37"/>
  <c r="G65" i="37"/>
  <c r="G34" i="37"/>
  <c r="G279" i="37"/>
  <c r="G221" i="37"/>
  <c r="G147" i="37"/>
  <c r="G140" i="37"/>
  <c r="G125" i="37"/>
  <c r="G123" i="37"/>
  <c r="G116" i="37"/>
  <c r="G45" i="37"/>
  <c r="G28" i="37"/>
  <c r="G340" i="37"/>
  <c r="G298" i="37"/>
  <c r="G264" i="37"/>
  <c r="G210" i="37"/>
  <c r="G206" i="37"/>
  <c r="G199" i="37"/>
  <c r="G162" i="37"/>
  <c r="G131" i="37"/>
  <c r="G129" i="37"/>
  <c r="G80" i="37"/>
  <c r="G24" i="37"/>
  <c r="G281" i="37"/>
  <c r="G12" i="37"/>
  <c r="G127" i="37"/>
  <c r="G57" i="37"/>
  <c r="G312" i="37"/>
  <c r="G167" i="37"/>
  <c r="G83" i="37"/>
  <c r="G67" i="37"/>
  <c r="G54" i="37"/>
  <c r="G36" i="37"/>
  <c r="G27" i="37"/>
  <c r="G1245" i="37"/>
  <c r="G19" i="37"/>
  <c r="G213" i="37"/>
  <c r="G152" i="37"/>
  <c r="G19" i="40" l="1"/>
  <c r="G27" i="40"/>
  <c r="G36" i="40"/>
  <c r="G54" i="40"/>
  <c r="G67" i="40"/>
  <c r="G57" i="40"/>
  <c r="G12" i="40"/>
  <c r="G24" i="40"/>
  <c r="G87" i="40"/>
  <c r="G28" i="40"/>
  <c r="G45" i="40"/>
  <c r="G34" i="40"/>
  <c r="G65" i="40"/>
  <c r="G42" i="40"/>
  <c r="G74" i="40"/>
  <c r="G17" i="40"/>
  <c r="G55" i="40"/>
  <c r="G32" i="40"/>
  <c r="G46" i="40"/>
  <c r="G62" i="40"/>
  <c r="G53" i="40"/>
  <c r="G10" i="40"/>
  <c r="G79" i="40" s="1"/>
  <c r="G25" i="40"/>
  <c r="G59" i="40"/>
  <c r="G43" i="40"/>
  <c r="G15" i="40"/>
  <c r="G30" i="40"/>
  <c r="G51" i="40"/>
  <c r="G60" i="40"/>
  <c r="G33" i="40"/>
  <c r="G63" i="40"/>
  <c r="G75" i="40"/>
  <c r="G47" i="40"/>
  <c r="G48" i="40"/>
  <c r="G22" i="40"/>
  <c r="G18" i="40"/>
  <c r="G39" i="40"/>
  <c r="G70" i="40"/>
  <c r="G56" i="40"/>
  <c r="G14" i="40"/>
  <c r="G50" i="40"/>
  <c r="G35" i="40"/>
  <c r="G29" i="40"/>
  <c r="G103" i="40"/>
  <c r="G58" i="40"/>
  <c r="G21" i="40"/>
  <c r="G37" i="40"/>
  <c r="G66" i="40"/>
  <c r="G52" i="40"/>
  <c r="G69" i="40"/>
  <c r="G31" i="40"/>
  <c r="G16" i="40"/>
  <c r="G13" i="40"/>
  <c r="G72" i="40"/>
  <c r="G23" i="40"/>
  <c r="G41" i="40"/>
  <c r="G94" i="40"/>
  <c r="G157" i="40"/>
  <c r="G123" i="40"/>
  <c r="G125" i="40"/>
  <c r="G144" i="40"/>
  <c r="G93" i="40"/>
  <c r="G112" i="40"/>
  <c r="G108" i="40"/>
  <c r="G85" i="40"/>
  <c r="G150" i="40"/>
  <c r="G133" i="40"/>
  <c r="G110" i="40"/>
  <c r="G96" i="40"/>
  <c r="G89" i="40"/>
  <c r="G130" i="40"/>
  <c r="G152" i="40"/>
  <c r="G98" i="40"/>
  <c r="G128" i="40"/>
  <c r="G126" i="40"/>
  <c r="G159" i="40"/>
  <c r="G140" i="40"/>
  <c r="G88" i="40"/>
  <c r="G109" i="40"/>
  <c r="G100" i="40"/>
  <c r="G119" i="40"/>
  <c r="G111" i="40"/>
  <c r="G83" i="40"/>
  <c r="G156" i="40"/>
  <c r="G136" i="40"/>
  <c r="G134" i="40"/>
  <c r="G115" i="40"/>
  <c r="G113" i="40"/>
  <c r="G97" i="40"/>
  <c r="G82" i="40"/>
  <c r="G90" i="40"/>
  <c r="G147" i="40"/>
  <c r="G145" i="40"/>
  <c r="G143" i="40"/>
  <c r="G99" i="40"/>
  <c r="G137" i="40"/>
  <c r="G122" i="40"/>
  <c r="G120" i="40"/>
  <c r="G102" i="40"/>
  <c r="G104" i="40"/>
  <c r="G139" i="40"/>
  <c r="G84" i="40"/>
  <c r="G153" i="40"/>
  <c r="G114" i="40"/>
  <c r="G107" i="40"/>
  <c r="G95" i="40"/>
  <c r="G129" i="40"/>
  <c r="G127" i="40"/>
  <c r="G92" i="40"/>
  <c r="G146" i="40"/>
  <c r="G149" i="40"/>
  <c r="G154" i="40"/>
  <c r="G138" i="40"/>
  <c r="G124" i="40"/>
  <c r="G121" i="40"/>
  <c r="G106" i="40"/>
  <c r="G116" i="40"/>
  <c r="G151" i="40"/>
  <c r="G135" i="40"/>
  <c r="G132" i="40"/>
  <c r="F6" i="37"/>
  <c r="F1320" i="37"/>
  <c r="F1238" i="37"/>
  <c r="F1265" i="37"/>
  <c r="F1283" i="37"/>
  <c r="F1299" i="37"/>
  <c r="F1315" i="37"/>
  <c r="F1276" i="37"/>
  <c r="F1293" i="37"/>
  <c r="F1307" i="37"/>
  <c r="F1326" i="37"/>
  <c r="F1235" i="37"/>
  <c r="F1281" i="37"/>
  <c r="F1297" i="37"/>
  <c r="F1300" i="37"/>
  <c r="F1318" i="37"/>
  <c r="F1271" i="37"/>
  <c r="F1203" i="37"/>
  <c r="F1216" i="37"/>
  <c r="F1221" i="37"/>
  <c r="F1236" i="37"/>
  <c r="F1263" i="37"/>
  <c r="F1141" i="37"/>
  <c r="F1154" i="37"/>
  <c r="F1157" i="37"/>
  <c r="F1172" i="37"/>
  <c r="F1190" i="37"/>
  <c r="F1327" i="37"/>
  <c r="F1088" i="37"/>
  <c r="F1104" i="37"/>
  <c r="F1107" i="37"/>
  <c r="F1128" i="37"/>
  <c r="F1282" i="37"/>
  <c r="F1298" i="37"/>
  <c r="F1314" i="37"/>
  <c r="F1331" i="37"/>
  <c r="F1322" i="37"/>
  <c r="F1204" i="37"/>
  <c r="F1219" i="37"/>
  <c r="F1233" i="37"/>
  <c r="F1259" i="37"/>
  <c r="F1278" i="37"/>
  <c r="F1142" i="37"/>
  <c r="F1155" i="37"/>
  <c r="F1170" i="37"/>
  <c r="F1186" i="37"/>
  <c r="F1201" i="37"/>
  <c r="F1323" i="37"/>
  <c r="F1121" i="37"/>
  <c r="F1123" i="37"/>
  <c r="F1139" i="37"/>
  <c r="F1242" i="37"/>
  <c r="F1270" i="37"/>
  <c r="F1288" i="37"/>
  <c r="F1302" i="37"/>
  <c r="F1305" i="37"/>
  <c r="F1260" i="37"/>
  <c r="F1280" i="37"/>
  <c r="F1296" i="37"/>
  <c r="F1312" i="37"/>
  <c r="F1329" i="37"/>
  <c r="F1321" i="37"/>
  <c r="F1202" i="37"/>
  <c r="F1215" i="37"/>
  <c r="F1231" i="37"/>
  <c r="F1257" i="37"/>
  <c r="F1239" i="37"/>
  <c r="F1266" i="37"/>
  <c r="F1286" i="37"/>
  <c r="F1289" i="37"/>
  <c r="F1303" i="37"/>
  <c r="F1175" i="37"/>
  <c r="F1193" i="37"/>
  <c r="F1206" i="37"/>
  <c r="F1209" i="37"/>
  <c r="F1225" i="37"/>
  <c r="F1277" i="37"/>
  <c r="F1294" i="37"/>
  <c r="F1310" i="37"/>
  <c r="F1313" i="37"/>
  <c r="F1330" i="37"/>
  <c r="F1200" i="37"/>
  <c r="F1213" i="37"/>
  <c r="F1229" i="37"/>
  <c r="F1232" i="37"/>
  <c r="F1258" i="37"/>
  <c r="F1267" i="37"/>
  <c r="F1287" i="37"/>
  <c r="F1301" i="37"/>
  <c r="F1319" i="37"/>
  <c r="F1185" i="37"/>
  <c r="F1194" i="37"/>
  <c r="F1207" i="37"/>
  <c r="F1222" i="37"/>
  <c r="F1237" i="37"/>
  <c r="F1264" i="37"/>
  <c r="F1311" i="37"/>
  <c r="F1328" i="37"/>
  <c r="F1158" i="37"/>
  <c r="F1173" i="37"/>
  <c r="F1191" i="37"/>
  <c r="F1151" i="37"/>
  <c r="F1196" i="37"/>
  <c r="F1243" i="37"/>
  <c r="F1292" i="37"/>
  <c r="F1295" i="37"/>
  <c r="F1078" i="37"/>
  <c r="F1089" i="37"/>
  <c r="F1099" i="37"/>
  <c r="F1110" i="37"/>
  <c r="F1135" i="37"/>
  <c r="F1065" i="37"/>
  <c r="F1081" i="37"/>
  <c r="F1117" i="37"/>
  <c r="F1073" i="37"/>
  <c r="F1076" i="37"/>
  <c r="F1174" i="37"/>
  <c r="F1180" i="37"/>
  <c r="F1195" i="37"/>
  <c r="F1208" i="37"/>
  <c r="F1214" i="37"/>
  <c r="F1147" i="37"/>
  <c r="F1161" i="37"/>
  <c r="F1187" i="37"/>
  <c r="F1096" i="37"/>
  <c r="F1113" i="37"/>
  <c r="F1034" i="37"/>
  <c r="F1037" i="37"/>
  <c r="F1063" i="37"/>
  <c r="F1101" i="37"/>
  <c r="F1138" i="37"/>
  <c r="F1165" i="37"/>
  <c r="F1223" i="37"/>
  <c r="F1230" i="37"/>
  <c r="F1027" i="37"/>
  <c r="F1129" i="37"/>
  <c r="F1150" i="37"/>
  <c r="F1241" i="37"/>
  <c r="F1290" i="37"/>
  <c r="F1054" i="37"/>
  <c r="F1153" i="37"/>
  <c r="F1169" i="37"/>
  <c r="F1060" i="37"/>
  <c r="F1083" i="37"/>
  <c r="F1119" i="37"/>
  <c r="F1199" i="37"/>
  <c r="F1052" i="37"/>
  <c r="F1070" i="37"/>
  <c r="F1072" i="37"/>
  <c r="F1144" i="37"/>
  <c r="F1075" i="37"/>
  <c r="F1077" i="37"/>
  <c r="F1137" i="37"/>
  <c r="F1156" i="37"/>
  <c r="F1164" i="37"/>
  <c r="F1043" i="37"/>
  <c r="F1067" i="37"/>
  <c r="F1140" i="37"/>
  <c r="F1179" i="37"/>
  <c r="F1058" i="37"/>
  <c r="F1163" i="37"/>
  <c r="F1212" i="37"/>
  <c r="F1005" i="37"/>
  <c r="F1020" i="37"/>
  <c r="F1040" i="37"/>
  <c r="F1160" i="37"/>
  <c r="F1178" i="37"/>
  <c r="F1205" i="37"/>
  <c r="F1049" i="37"/>
  <c r="F1131" i="37"/>
  <c r="F1109" i="37"/>
  <c r="F1134" i="37"/>
  <c r="F1146" i="37"/>
  <c r="F1228" i="37"/>
  <c r="F1152" i="37"/>
  <c r="F1227" i="37"/>
  <c r="F1198" i="37"/>
  <c r="F1220" i="37"/>
  <c r="F1086" i="37"/>
  <c r="F1092" i="37"/>
  <c r="F1149" i="37"/>
  <c r="F1094" i="37"/>
  <c r="F1116" i="37"/>
  <c r="F1168" i="37"/>
  <c r="F1211" i="37"/>
  <c r="F1068" i="37"/>
  <c r="F1112" i="37"/>
  <c r="F1126" i="37"/>
  <c r="F1130" i="37"/>
  <c r="F1133" i="37"/>
  <c r="F1197" i="37"/>
  <c r="F1026" i="37"/>
  <c r="F1031" i="37"/>
  <c r="F1045" i="37"/>
  <c r="F1057" i="37"/>
  <c r="F1097" i="37"/>
  <c r="F1166" i="37"/>
  <c r="F1210" i="37"/>
  <c r="F1247" i="37"/>
  <c r="F1273" i="37"/>
  <c r="F1015" i="37"/>
  <c r="F1019" i="37"/>
  <c r="F1039" i="37"/>
  <c r="F1048" i="37"/>
  <c r="F1066" i="37"/>
  <c r="F951" i="37"/>
  <c r="F954" i="37"/>
  <c r="F969" i="37"/>
  <c r="F984" i="37"/>
  <c r="F1000" i="37"/>
  <c r="F1272" i="37"/>
  <c r="F897" i="37"/>
  <c r="F901" i="37"/>
  <c r="F916" i="37"/>
  <c r="F937" i="37"/>
  <c r="F1114" i="37"/>
  <c r="F1162" i="37"/>
  <c r="F1171" i="37"/>
  <c r="F1304" i="37"/>
  <c r="F1177" i="37"/>
  <c r="F948" i="37"/>
  <c r="F960" i="37"/>
  <c r="F975" i="37"/>
  <c r="F989" i="37"/>
  <c r="F1059" i="37"/>
  <c r="F851" i="37"/>
  <c r="F854" i="37"/>
  <c r="F868" i="37"/>
  <c r="F884" i="37"/>
  <c r="F921" i="37"/>
  <c r="F1014" i="37"/>
  <c r="F1016" i="37"/>
  <c r="F1044" i="37"/>
  <c r="F816" i="37"/>
  <c r="F832" i="37"/>
  <c r="F1103" i="37"/>
  <c r="F905" i="37"/>
  <c r="F966" i="37"/>
  <c r="F996" i="37"/>
  <c r="F1012" i="37"/>
  <c r="F939" i="37"/>
  <c r="F973" i="37"/>
  <c r="F1025" i="37"/>
  <c r="F1055" i="37"/>
  <c r="F1084" i="37"/>
  <c r="F1226" i="37"/>
  <c r="F873" i="37"/>
  <c r="F876" i="37"/>
  <c r="F912" i="37"/>
  <c r="F925" i="37"/>
  <c r="F895" i="37"/>
  <c r="F946" i="37"/>
  <c r="F958" i="37"/>
  <c r="F987" i="37"/>
  <c r="F1047" i="37"/>
  <c r="F902" i="37"/>
  <c r="F964" i="37"/>
  <c r="F977" i="37"/>
  <c r="F994" i="37"/>
  <c r="F1093" i="37"/>
  <c r="F1148" i="37"/>
  <c r="F829" i="37"/>
  <c r="F852" i="37"/>
  <c r="F866" i="37"/>
  <c r="F881" i="37"/>
  <c r="F949" i="37"/>
  <c r="F1006" i="37"/>
  <c r="F1008" i="37"/>
  <c r="F1064" i="37"/>
  <c r="F1136" i="37"/>
  <c r="F1050" i="37"/>
  <c r="F1082" i="37"/>
  <c r="F1091" i="37"/>
  <c r="F1100" i="37"/>
  <c r="F1122" i="37"/>
  <c r="F890" i="37"/>
  <c r="F920" i="37"/>
  <c r="F947" i="37"/>
  <c r="F982" i="37"/>
  <c r="F1046" i="37"/>
  <c r="F1033" i="37"/>
  <c r="F1145" i="37"/>
  <c r="F864" i="37"/>
  <c r="F879" i="37"/>
  <c r="F883" i="37"/>
  <c r="F927" i="37"/>
  <c r="F938" i="37"/>
  <c r="F953" i="37"/>
  <c r="F965" i="37"/>
  <c r="F995" i="37"/>
  <c r="F872" i="37"/>
  <c r="F911" i="37"/>
  <c r="F945" i="37"/>
  <c r="F972" i="37"/>
  <c r="F1036" i="37"/>
  <c r="F804" i="37"/>
  <c r="F820" i="37"/>
  <c r="F840" i="37"/>
  <c r="F843" i="37"/>
  <c r="F857" i="37"/>
  <c r="F1118" i="37"/>
  <c r="F1143" i="37"/>
  <c r="F1108" i="37"/>
  <c r="F785" i="37"/>
  <c r="F788" i="37"/>
  <c r="F983" i="37"/>
  <c r="F1007" i="37"/>
  <c r="F1024" i="37"/>
  <c r="F1132" i="37"/>
  <c r="F1192" i="37"/>
  <c r="F1080" i="37"/>
  <c r="F1098" i="37"/>
  <c r="F908" i="37"/>
  <c r="F943" i="37"/>
  <c r="F970" i="37"/>
  <c r="F899" i="37"/>
  <c r="F915" i="37"/>
  <c r="F929" i="37"/>
  <c r="F990" i="37"/>
  <c r="F1032" i="37"/>
  <c r="F833" i="37"/>
  <c r="F841" i="37"/>
  <c r="F855" i="37"/>
  <c r="F869" i="37"/>
  <c r="F885" i="37"/>
  <c r="F1106" i="37"/>
  <c r="F961" i="37"/>
  <c r="F998" i="37"/>
  <c r="F1061" i="37"/>
  <c r="F818" i="37"/>
  <c r="F980" i="37"/>
  <c r="F1017" i="37"/>
  <c r="F1035" i="37"/>
  <c r="F1053" i="37"/>
  <c r="F1071" i="37"/>
  <c r="F931" i="37"/>
  <c r="F940" i="37"/>
  <c r="F952" i="37"/>
  <c r="F967" i="37"/>
  <c r="F1042" i="37"/>
  <c r="F1184" i="37"/>
  <c r="F878" i="37"/>
  <c r="F889" i="37"/>
  <c r="F918" i="37"/>
  <c r="F894" i="37"/>
  <c r="F991" i="37"/>
  <c r="F1105" i="37"/>
  <c r="F1087" i="37"/>
  <c r="F1183" i="37"/>
  <c r="F978" i="37"/>
  <c r="F1011" i="37"/>
  <c r="F803" i="37"/>
  <c r="F850" i="37"/>
  <c r="F856" i="37"/>
  <c r="F962" i="37"/>
  <c r="F774" i="37"/>
  <c r="F847" i="37"/>
  <c r="F880" i="37"/>
  <c r="F930" i="37"/>
  <c r="F815" i="37"/>
  <c r="F821" i="37"/>
  <c r="F827" i="37"/>
  <c r="F941" i="37"/>
  <c r="F1004" i="37"/>
  <c r="F892" i="37"/>
  <c r="F957" i="37"/>
  <c r="F779" i="37"/>
  <c r="F782" i="37"/>
  <c r="F795" i="37"/>
  <c r="F971" i="37"/>
  <c r="F807" i="37"/>
  <c r="F835" i="37"/>
  <c r="F849" i="37"/>
  <c r="F858" i="37"/>
  <c r="F956" i="37"/>
  <c r="F1003" i="37"/>
  <c r="F906" i="37"/>
  <c r="F936" i="37"/>
  <c r="F790" i="37"/>
  <c r="F802" i="37"/>
  <c r="F896" i="37"/>
  <c r="F1010" i="37"/>
  <c r="F823" i="37"/>
  <c r="F950" i="37"/>
  <c r="F1001" i="37"/>
  <c r="F762" i="37"/>
  <c r="F766" i="37"/>
  <c r="F780" i="37"/>
  <c r="F787" i="37"/>
  <c r="F825" i="37"/>
  <c r="F871" i="37"/>
  <c r="F875" i="37"/>
  <c r="F888" i="37"/>
  <c r="F756" i="37"/>
  <c r="F770" i="37"/>
  <c r="F799" i="37"/>
  <c r="F814" i="37"/>
  <c r="F924" i="37"/>
  <c r="F988" i="37"/>
  <c r="F914" i="37"/>
  <c r="F717" i="37"/>
  <c r="F733" i="37"/>
  <c r="F737" i="37"/>
  <c r="F900" i="37"/>
  <c r="F913" i="37"/>
  <c r="F935" i="37"/>
  <c r="F944" i="37"/>
  <c r="F1041" i="37"/>
  <c r="F1013" i="37"/>
  <c r="F917" i="37"/>
  <c r="F959" i="37"/>
  <c r="F974" i="37"/>
  <c r="F886" i="37"/>
  <c r="F1023" i="37"/>
  <c r="F798" i="37"/>
  <c r="F813" i="37"/>
  <c r="F860" i="37"/>
  <c r="F993" i="37"/>
  <c r="F904" i="37"/>
  <c r="F999" i="37"/>
  <c r="F848" i="37"/>
  <c r="F926" i="37"/>
  <c r="F963" i="37"/>
  <c r="F844" i="37"/>
  <c r="F979" i="37"/>
  <c r="F1056" i="37"/>
  <c r="F796" i="37"/>
  <c r="F839" i="37"/>
  <c r="F907" i="37"/>
  <c r="F773" i="37"/>
  <c r="F777" i="37"/>
  <c r="F793" i="37"/>
  <c r="F808" i="37"/>
  <c r="F891" i="37"/>
  <c r="F853" i="37"/>
  <c r="F865" i="37"/>
  <c r="F985" i="37"/>
  <c r="F1021" i="37"/>
  <c r="F658" i="37"/>
  <c r="F693" i="37"/>
  <c r="F703" i="37"/>
  <c r="F809" i="37"/>
  <c r="F863" i="37"/>
  <c r="F715" i="37"/>
  <c r="F746" i="37"/>
  <c r="F771" i="37"/>
  <c r="F797" i="37"/>
  <c r="F862" i="37"/>
  <c r="F619" i="37"/>
  <c r="F634" i="37"/>
  <c r="F649" i="37"/>
  <c r="F664" i="37"/>
  <c r="F676" i="37"/>
  <c r="F555" i="37"/>
  <c r="F569" i="37"/>
  <c r="F583" i="37"/>
  <c r="F599" i="37"/>
  <c r="F615" i="37"/>
  <c r="F683" i="37"/>
  <c r="F735" i="37"/>
  <c r="F748" i="37"/>
  <c r="F535" i="37"/>
  <c r="F552" i="37"/>
  <c r="F775" i="37"/>
  <c r="F791" i="37"/>
  <c r="F822" i="37"/>
  <c r="F861" i="37"/>
  <c r="F656" i="37"/>
  <c r="F761" i="37"/>
  <c r="F765" i="37"/>
  <c r="F768" i="37"/>
  <c r="F691" i="37"/>
  <c r="F738" i="37"/>
  <c r="F842" i="37"/>
  <c r="F922" i="37"/>
  <c r="F674" i="37"/>
  <c r="F707" i="37"/>
  <c r="F751" i="37"/>
  <c r="F694" i="37"/>
  <c r="F704" i="37"/>
  <c r="F753" i="37"/>
  <c r="F758" i="37"/>
  <c r="F831" i="37"/>
  <c r="F600" i="37"/>
  <c r="F616" i="37"/>
  <c r="F631" i="37"/>
  <c r="F653" i="37"/>
  <c r="F681" i="37"/>
  <c r="F665" i="37"/>
  <c r="F716" i="37"/>
  <c r="F719" i="37"/>
  <c r="F581" i="37"/>
  <c r="F597" i="37"/>
  <c r="F726" i="37"/>
  <c r="F729" i="37"/>
  <c r="F743" i="37"/>
  <c r="F745" i="37"/>
  <c r="F783" i="37"/>
  <c r="F621" i="37"/>
  <c r="F625" i="37"/>
  <c r="F640" i="37"/>
  <c r="F672" i="37"/>
  <c r="F702" i="37"/>
  <c r="F557" i="37"/>
  <c r="F561" i="37"/>
  <c r="F575" i="37"/>
  <c r="F589" i="37"/>
  <c r="F605" i="37"/>
  <c r="F755" i="37"/>
  <c r="F764" i="37"/>
  <c r="F909" i="37"/>
  <c r="F527" i="37"/>
  <c r="F540" i="37"/>
  <c r="F663" i="37"/>
  <c r="F679" i="37"/>
  <c r="F692" i="37"/>
  <c r="F714" i="37"/>
  <c r="F732" i="37"/>
  <c r="F747" i="37"/>
  <c r="F749" i="37"/>
  <c r="F767" i="37"/>
  <c r="F801" i="37"/>
  <c r="F651" i="37"/>
  <c r="F614" i="37"/>
  <c r="F629" i="37"/>
  <c r="F670" i="37"/>
  <c r="F699" i="37"/>
  <c r="F734" i="37"/>
  <c r="F828" i="37"/>
  <c r="F565" i="37"/>
  <c r="F579" i="37"/>
  <c r="F582" i="37"/>
  <c r="F598" i="37"/>
  <c r="F655" i="37"/>
  <c r="F682" i="37"/>
  <c r="F712" i="37"/>
  <c r="F760" i="37"/>
  <c r="F778" i="37"/>
  <c r="F680" i="37"/>
  <c r="F725" i="37"/>
  <c r="F697" i="37"/>
  <c r="F812" i="37"/>
  <c r="F867" i="37"/>
  <c r="F744" i="37"/>
  <c r="F819" i="37"/>
  <c r="F627" i="37"/>
  <c r="F630" i="37"/>
  <c r="F652" i="37"/>
  <c r="F687" i="37"/>
  <c r="F700" i="37"/>
  <c r="F721" i="37"/>
  <c r="F723" i="37"/>
  <c r="F728" i="37"/>
  <c r="F739" i="37"/>
  <c r="F806" i="37"/>
  <c r="F659" i="37"/>
  <c r="F671" i="37"/>
  <c r="F769" i="37"/>
  <c r="F834" i="37"/>
  <c r="F677" i="37"/>
  <c r="F713" i="37"/>
  <c r="F730" i="37"/>
  <c r="F845" i="37"/>
  <c r="F643" i="37"/>
  <c r="F650" i="37"/>
  <c r="F684" i="37"/>
  <c r="F669" i="37"/>
  <c r="F698" i="37"/>
  <c r="F710" i="37"/>
  <c r="F781" i="37"/>
  <c r="F792" i="37"/>
  <c r="F811" i="37"/>
  <c r="F609" i="37"/>
  <c r="F613" i="37"/>
  <c r="F628" i="37"/>
  <c r="F657" i="37"/>
  <c r="F757" i="37"/>
  <c r="F786" i="37"/>
  <c r="F675" i="37"/>
  <c r="F688" i="37"/>
  <c r="F772" i="37"/>
  <c r="F636" i="37"/>
  <c r="F648" i="37"/>
  <c r="F660" i="37"/>
  <c r="F708" i="37"/>
  <c r="F752" i="37"/>
  <c r="F696" i="37"/>
  <c r="F705" i="37"/>
  <c r="F724" i="37"/>
  <c r="F618" i="37"/>
  <c r="F632" i="37"/>
  <c r="F754" i="37"/>
  <c r="F759" i="37"/>
  <c r="F824" i="37"/>
  <c r="F874" i="37"/>
  <c r="F666" i="37"/>
  <c r="F641" i="37"/>
  <c r="F673" i="37"/>
  <c r="F686" i="37"/>
  <c r="F720" i="37"/>
  <c r="F722" i="37"/>
  <c r="F595" i="37"/>
  <c r="F590" i="37"/>
  <c r="F594" i="37"/>
  <c r="F610" i="37"/>
  <c r="F626" i="37"/>
  <c r="F505" i="37"/>
  <c r="F576" i="37"/>
  <c r="F638" i="37"/>
  <c r="F528" i="37"/>
  <c r="F559" i="37"/>
  <c r="F450" i="37"/>
  <c r="F463" i="37"/>
  <c r="F466" i="37"/>
  <c r="F479" i="37"/>
  <c r="F492" i="37"/>
  <c r="F623" i="37"/>
  <c r="F647" i="37"/>
  <c r="F518" i="37"/>
  <c r="F572" i="37"/>
  <c r="F585" i="37"/>
  <c r="F543" i="37"/>
  <c r="F554" i="37"/>
  <c r="F562" i="37"/>
  <c r="F567" i="37"/>
  <c r="F578" i="37"/>
  <c r="F470" i="37"/>
  <c r="F483" i="37"/>
  <c r="F486" i="37"/>
  <c r="F499" i="37"/>
  <c r="F512" i="37"/>
  <c r="F409" i="37"/>
  <c r="F425" i="37"/>
  <c r="F428" i="37"/>
  <c r="F444" i="37"/>
  <c r="F457" i="37"/>
  <c r="F709" i="37"/>
  <c r="F360" i="37"/>
  <c r="F363" i="37"/>
  <c r="F378" i="37"/>
  <c r="F392" i="37"/>
  <c r="F545" i="37"/>
  <c r="F564" i="37"/>
  <c r="F521" i="37"/>
  <c r="F556" i="37"/>
  <c r="F608" i="37"/>
  <c r="F464" i="37"/>
  <c r="F477" i="37"/>
  <c r="F490" i="37"/>
  <c r="F503" i="37"/>
  <c r="F506" i="37"/>
  <c r="F549" i="37"/>
  <c r="F558" i="37"/>
  <c r="F603" i="37"/>
  <c r="F622" i="37"/>
  <c r="F451" i="37"/>
  <c r="F606" i="37"/>
  <c r="F668" i="37"/>
  <c r="F529" i="37"/>
  <c r="F531" i="37"/>
  <c r="F538" i="37"/>
  <c r="F497" i="37"/>
  <c r="F510" i="37"/>
  <c r="F519" i="37"/>
  <c r="F580" i="37"/>
  <c r="F587" i="37"/>
  <c r="F571" i="37"/>
  <c r="F577" i="37"/>
  <c r="F566" i="37"/>
  <c r="F642" i="37"/>
  <c r="F484" i="37"/>
  <c r="F504" i="37"/>
  <c r="F517" i="37"/>
  <c r="F525" i="37"/>
  <c r="F542" i="37"/>
  <c r="F553" i="37"/>
  <c r="F449" i="37"/>
  <c r="F462" i="37"/>
  <c r="F475" i="37"/>
  <c r="F488" i="37"/>
  <c r="F491" i="37"/>
  <c r="F383" i="37"/>
  <c r="F399" i="37"/>
  <c r="F417" i="37"/>
  <c r="F430" i="37"/>
  <c r="F433" i="37"/>
  <c r="F689" i="37"/>
  <c r="F611" i="37"/>
  <c r="F523" i="37"/>
  <c r="F635" i="37"/>
  <c r="F368" i="37"/>
  <c r="F537" i="37"/>
  <c r="F539" i="37"/>
  <c r="F546" i="37"/>
  <c r="F544" i="37"/>
  <c r="F602" i="37"/>
  <c r="F526" i="37"/>
  <c r="F533" i="37"/>
  <c r="F586" i="37"/>
  <c r="F502" i="37"/>
  <c r="F515" i="37"/>
  <c r="F620" i="37"/>
  <c r="F661" i="37"/>
  <c r="F524" i="37"/>
  <c r="F662" i="37"/>
  <c r="F593" i="37"/>
  <c r="F563" i="37"/>
  <c r="F588" i="37"/>
  <c r="F500" i="37"/>
  <c r="F513" i="37"/>
  <c r="F516" i="37"/>
  <c r="F494" i="37"/>
  <c r="F507" i="37"/>
  <c r="F568" i="37"/>
  <c r="F574" i="37"/>
  <c r="F522" i="37"/>
  <c r="F604" i="37"/>
  <c r="F639" i="37"/>
  <c r="F465" i="37"/>
  <c r="F478" i="37"/>
  <c r="F481" i="37"/>
  <c r="F532" i="37"/>
  <c r="F570" i="37"/>
  <c r="F534" i="37"/>
  <c r="F536" i="37"/>
  <c r="F592" i="37"/>
  <c r="F420" i="37"/>
  <c r="F422" i="37"/>
  <c r="F456" i="37"/>
  <c r="F520" i="37"/>
  <c r="F530" i="37"/>
  <c r="F312" i="37"/>
  <c r="F325" i="37"/>
  <c r="F345" i="37"/>
  <c r="F380" i="37"/>
  <c r="F402" i="37"/>
  <c r="F489" i="37"/>
  <c r="F496" i="37"/>
  <c r="F281" i="37"/>
  <c r="F296" i="37"/>
  <c r="F299" i="37"/>
  <c r="F367" i="37"/>
  <c r="F404" i="37"/>
  <c r="F426" i="37"/>
  <c r="F474" i="37"/>
  <c r="F424" i="37"/>
  <c r="F388" i="37"/>
  <c r="F459" i="37"/>
  <c r="F316" i="37"/>
  <c r="F319" i="37"/>
  <c r="F337" i="37"/>
  <c r="F375" i="37"/>
  <c r="F390" i="37"/>
  <c r="F415" i="37"/>
  <c r="F357" i="37"/>
  <c r="F365" i="37"/>
  <c r="F323" i="37"/>
  <c r="F342" i="37"/>
  <c r="F355" i="37"/>
  <c r="F369" i="37"/>
  <c r="F373" i="37"/>
  <c r="F453" i="37"/>
  <c r="F469" i="37"/>
  <c r="F346" i="37"/>
  <c r="F448" i="37"/>
  <c r="F495" i="37"/>
  <c r="F435" i="37"/>
  <c r="F514" i="37"/>
  <c r="F541" i="37"/>
  <c r="F419" i="37"/>
  <c r="F443" i="37"/>
  <c r="F382" i="37"/>
  <c r="F421" i="37"/>
  <c r="F423" i="37"/>
  <c r="F445" i="37"/>
  <c r="F482" i="37"/>
  <c r="F295" i="37"/>
  <c r="F308" i="37"/>
  <c r="F321" i="37"/>
  <c r="F324" i="37"/>
  <c r="F343" i="37"/>
  <c r="F232" i="37"/>
  <c r="F245" i="37"/>
  <c r="F260" i="37"/>
  <c r="F263" i="37"/>
  <c r="F279" i="37"/>
  <c r="F473" i="37"/>
  <c r="F487" i="37"/>
  <c r="F198" i="37"/>
  <c r="F201" i="37"/>
  <c r="F214" i="37"/>
  <c r="F501" i="37"/>
  <c r="F350" i="37"/>
  <c r="F366" i="37"/>
  <c r="F437" i="37"/>
  <c r="F461" i="37"/>
  <c r="F385" i="37"/>
  <c r="F387" i="37"/>
  <c r="F389" i="37"/>
  <c r="F406" i="37"/>
  <c r="F447" i="37"/>
  <c r="F391" i="37"/>
  <c r="F511" i="37"/>
  <c r="F315" i="37"/>
  <c r="F328" i="37"/>
  <c r="F364" i="37"/>
  <c r="F442" i="37"/>
  <c r="F455" i="37"/>
  <c r="F493" i="37"/>
  <c r="F348" i="37"/>
  <c r="F362" i="37"/>
  <c r="F341" i="37"/>
  <c r="F412" i="37"/>
  <c r="F416" i="37"/>
  <c r="F418" i="37"/>
  <c r="F432" i="37"/>
  <c r="F351" i="37"/>
  <c r="F452" i="37"/>
  <c r="F458" i="37"/>
  <c r="F476" i="37"/>
  <c r="F322" i="37"/>
  <c r="F332" i="37"/>
  <c r="F377" i="37"/>
  <c r="F379" i="37"/>
  <c r="F381" i="37"/>
  <c r="F472" i="37"/>
  <c r="F436" i="37"/>
  <c r="F434" i="37"/>
  <c r="F468" i="37"/>
  <c r="F509" i="37"/>
  <c r="F326" i="37"/>
  <c r="F349" i="37"/>
  <c r="F386" i="37"/>
  <c r="F400" i="37"/>
  <c r="F403" i="37"/>
  <c r="F405" i="37"/>
  <c r="F291" i="37"/>
  <c r="F294" i="37"/>
  <c r="F307" i="37"/>
  <c r="F320" i="37"/>
  <c r="F338" i="37"/>
  <c r="F440" i="37"/>
  <c r="F454" i="37"/>
  <c r="F471" i="37"/>
  <c r="F508" i="37"/>
  <c r="F274" i="37"/>
  <c r="F446" i="37"/>
  <c r="F460" i="37"/>
  <c r="F480" i="37"/>
  <c r="F361" i="37"/>
  <c r="F407" i="37"/>
  <c r="F372" i="37"/>
  <c r="F410" i="37"/>
  <c r="F427" i="37"/>
  <c r="F429" i="37"/>
  <c r="F431" i="37"/>
  <c r="F311" i="37"/>
  <c r="F314" i="37"/>
  <c r="F327" i="37"/>
  <c r="F356" i="37"/>
  <c r="F359" i="37"/>
  <c r="F498" i="37"/>
  <c r="F467" i="37"/>
  <c r="F485" i="37"/>
  <c r="F283" i="37"/>
  <c r="F298" i="37"/>
  <c r="F398" i="37"/>
  <c r="F353" i="37"/>
  <c r="F376" i="37"/>
  <c r="F393" i="37"/>
  <c r="F397" i="37"/>
  <c r="F289" i="37"/>
  <c r="F292" i="37"/>
  <c r="F302" i="37"/>
  <c r="F176" i="37"/>
  <c r="F278" i="37"/>
  <c r="F306" i="37"/>
  <c r="F310" i="37"/>
  <c r="F233" i="37"/>
  <c r="F235" i="37"/>
  <c r="F268" i="37"/>
  <c r="F270" i="37"/>
  <c r="F254" i="37"/>
  <c r="F396" i="37"/>
  <c r="F237" i="37"/>
  <c r="F262" i="37"/>
  <c r="F191" i="37"/>
  <c r="F210" i="37"/>
  <c r="F241" i="37"/>
  <c r="F256" i="37"/>
  <c r="F264" i="37"/>
  <c r="F249" i="37"/>
  <c r="F273" i="37"/>
  <c r="F286" i="37"/>
  <c r="F374" i="37"/>
  <c r="F180" i="37"/>
  <c r="F144" i="37"/>
  <c r="F157" i="37"/>
  <c r="F172" i="37"/>
  <c r="F189" i="37"/>
  <c r="F197" i="37"/>
  <c r="F83" i="37"/>
  <c r="F102" i="37"/>
  <c r="F115" i="37"/>
  <c r="F128" i="37"/>
  <c r="F141" i="37"/>
  <c r="F181" i="37"/>
  <c r="F234" i="37"/>
  <c r="F251" i="37"/>
  <c r="F261" i="37"/>
  <c r="F79" i="37"/>
  <c r="F195" i="37"/>
  <c r="F236" i="37"/>
  <c r="F253" i="37"/>
  <c r="F269" i="37"/>
  <c r="F318" i="37"/>
  <c r="F135" i="37"/>
  <c r="F148" i="37"/>
  <c r="F161" i="37"/>
  <c r="F166" i="37"/>
  <c r="F187" i="37"/>
  <c r="F69" i="37"/>
  <c r="F89" i="37"/>
  <c r="F106" i="37"/>
  <c r="F109" i="37"/>
  <c r="F122" i="37"/>
  <c r="F340" i="37"/>
  <c r="F352" i="37"/>
  <c r="F33" i="37"/>
  <c r="F36" i="37"/>
  <c r="F53" i="37"/>
  <c r="F336" i="37"/>
  <c r="F282" i="37"/>
  <c r="F301" i="37"/>
  <c r="F304" i="37"/>
  <c r="F313" i="37"/>
  <c r="F192" i="37"/>
  <c r="F206" i="37"/>
  <c r="F221" i="37"/>
  <c r="F223" i="37"/>
  <c r="F238" i="37"/>
  <c r="F265" i="37"/>
  <c r="F272" i="37"/>
  <c r="F293" i="37"/>
  <c r="F303" i="37"/>
  <c r="F347" i="37"/>
  <c r="F244" i="37"/>
  <c r="F246" i="37"/>
  <c r="F335" i="37"/>
  <c r="F240" i="37"/>
  <c r="F242" i="37"/>
  <c r="F275" i="37"/>
  <c r="F287" i="37"/>
  <c r="F184" i="37"/>
  <c r="F200" i="37"/>
  <c r="F202" i="37"/>
  <c r="F72" i="37"/>
  <c r="F87" i="37"/>
  <c r="F100" i="37"/>
  <c r="F103" i="37"/>
  <c r="F156" i="37"/>
  <c r="F185" i="37"/>
  <c r="F194" i="37"/>
  <c r="F211" i="37"/>
  <c r="F48" i="37"/>
  <c r="F60" i="37"/>
  <c r="F50" i="37"/>
  <c r="F37" i="37"/>
  <c r="F84" i="37"/>
  <c r="F151" i="37"/>
  <c r="F182" i="37"/>
  <c r="F267" i="37"/>
  <c r="F317" i="37"/>
  <c r="F10" i="37"/>
  <c r="F14" i="37"/>
  <c r="F35" i="37"/>
  <c r="F153" i="37"/>
  <c r="F158" i="37"/>
  <c r="F204" i="37"/>
  <c r="F208" i="37"/>
  <c r="F228" i="37"/>
  <c r="F21" i="37"/>
  <c r="F46" i="37"/>
  <c r="F58" i="37"/>
  <c r="F134" i="37"/>
  <c r="F146" i="37"/>
  <c r="F126" i="37"/>
  <c r="F130" i="37"/>
  <c r="F132" i="37"/>
  <c r="F218" i="37"/>
  <c r="F29" i="37"/>
  <c r="F113" i="37"/>
  <c r="F117" i="37"/>
  <c r="F119" i="37"/>
  <c r="F66" i="37"/>
  <c r="F82" i="37"/>
  <c r="F227" i="37"/>
  <c r="F155" i="37"/>
  <c r="F168" i="37"/>
  <c r="F188" i="37"/>
  <c r="F247" i="37"/>
  <c r="F97" i="37"/>
  <c r="F104" i="37"/>
  <c r="F111" i="37"/>
  <c r="F207" i="37"/>
  <c r="F222" i="37"/>
  <c r="F63" i="37"/>
  <c r="F95" i="37"/>
  <c r="F163" i="37"/>
  <c r="F231" i="37"/>
  <c r="F56" i="37"/>
  <c r="F150" i="37"/>
  <c r="F160" i="37"/>
  <c r="F170" i="37"/>
  <c r="F173" i="37"/>
  <c r="F18" i="37"/>
  <c r="F196" i="37"/>
  <c r="F258" i="37"/>
  <c r="F47" i="37"/>
  <c r="F93" i="37"/>
  <c r="F143" i="37"/>
  <c r="F12" i="37"/>
  <c r="F27" i="37"/>
  <c r="F54" i="37"/>
  <c r="F67" i="37"/>
  <c r="F152" i="37"/>
  <c r="F41" i="37"/>
  <c r="F23" i="37"/>
  <c r="F31" i="37"/>
  <c r="F28" i="37"/>
  <c r="F13" i="37"/>
  <c r="F243" i="37"/>
  <c r="F179" i="37"/>
  <c r="F116" i="37"/>
  <c r="F105" i="37"/>
  <c r="F90" i="37"/>
  <c r="F118" i="37"/>
  <c r="F107" i="37"/>
  <c r="F75" i="37"/>
  <c r="F57" i="37"/>
  <c r="F277" i="37"/>
  <c r="F120" i="37"/>
  <c r="F51" i="37"/>
  <c r="F30" i="37"/>
  <c r="F305" i="37"/>
  <c r="F212" i="37"/>
  <c r="F205" i="37"/>
  <c r="F183" i="37"/>
  <c r="F171" i="37"/>
  <c r="F131" i="37"/>
  <c r="F124" i="37"/>
  <c r="F59" i="37"/>
  <c r="F43" i="37"/>
  <c r="F15" i="37"/>
  <c r="F255" i="37"/>
  <c r="F250" i="37"/>
  <c r="F288" i="37"/>
  <c r="F174" i="37"/>
  <c r="F139" i="37"/>
  <c r="F137" i="37"/>
  <c r="F133" i="37"/>
  <c r="F229" i="37"/>
  <c r="F213" i="37"/>
  <c r="F177" i="37"/>
  <c r="F25" i="37"/>
  <c r="F22" i="37"/>
  <c r="F224" i="37"/>
  <c r="F220" i="37"/>
  <c r="F86" i="37"/>
  <c r="F70" i="37"/>
  <c r="F39" i="37"/>
  <c r="F169" i="37"/>
  <c r="F91" i="37"/>
  <c r="F62" i="37"/>
  <c r="F32" i="37"/>
  <c r="F17" i="37"/>
  <c r="F94" i="37"/>
  <c r="F74" i="37"/>
  <c r="F55" i="37"/>
  <c r="F209" i="37"/>
  <c r="F186" i="37"/>
  <c r="F297" i="37"/>
  <c r="F239" i="37"/>
  <c r="F230" i="37"/>
  <c r="F108" i="37"/>
  <c r="F96" i="37"/>
  <c r="F142" i="37"/>
  <c r="F121" i="37"/>
  <c r="F112" i="37"/>
  <c r="F110" i="37"/>
  <c r="F42" i="37"/>
  <c r="F290" i="37"/>
  <c r="F178" i="37"/>
  <c r="F175" i="37"/>
  <c r="F159" i="37"/>
  <c r="F149" i="37"/>
  <c r="F123" i="37"/>
  <c r="F114" i="37"/>
  <c r="F78" i="37"/>
  <c r="F65" i="37"/>
  <c r="F309" i="37"/>
  <c r="F154" i="37"/>
  <c r="F147" i="37"/>
  <c r="F140" i="37"/>
  <c r="F138" i="37"/>
  <c r="F125" i="37"/>
  <c r="F45" i="37"/>
  <c r="F19" i="37"/>
  <c r="F16" i="37"/>
  <c r="F24" i="37"/>
  <c r="F257" i="37"/>
  <c r="F193" i="37"/>
  <c r="F190" i="37"/>
  <c r="F162" i="37"/>
  <c r="F136" i="37"/>
  <c r="F127" i="37"/>
  <c r="F167" i="37"/>
  <c r="F145" i="37"/>
  <c r="F129" i="37"/>
  <c r="F80" i="37"/>
  <c r="F199" i="37"/>
  <c r="F34" i="37"/>
  <c r="F300" i="37"/>
  <c r="F252" i="37"/>
  <c r="F226" i="37"/>
  <c r="F203" i="37"/>
  <c r="F52" i="37"/>
  <c r="F1245" i="37"/>
  <c r="F52" i="40" l="1"/>
  <c r="F34" i="40"/>
  <c r="F24" i="40"/>
  <c r="F16" i="40"/>
  <c r="F19" i="40"/>
  <c r="F45" i="40"/>
  <c r="F65" i="40"/>
  <c r="F42" i="40"/>
  <c r="F55" i="40"/>
  <c r="F74" i="40"/>
  <c r="F17" i="40"/>
  <c r="F32" i="40"/>
  <c r="F62" i="40"/>
  <c r="F39" i="40"/>
  <c r="F70" i="40"/>
  <c r="F22" i="40"/>
  <c r="F25" i="40"/>
  <c r="F15" i="40"/>
  <c r="F43" i="40"/>
  <c r="F59" i="40"/>
  <c r="F30" i="40"/>
  <c r="F51" i="40"/>
  <c r="F57" i="40"/>
  <c r="F75" i="40"/>
  <c r="F13" i="40"/>
  <c r="F28" i="40"/>
  <c r="F31" i="40"/>
  <c r="F23" i="40"/>
  <c r="F41" i="40"/>
  <c r="F67" i="40"/>
  <c r="F54" i="40"/>
  <c r="F27" i="40"/>
  <c r="F12" i="40"/>
  <c r="F47" i="40"/>
  <c r="F18" i="40"/>
  <c r="F56" i="40"/>
  <c r="F63" i="40"/>
  <c r="F66" i="40"/>
  <c r="F29" i="40"/>
  <c r="F58" i="40"/>
  <c r="F46" i="40"/>
  <c r="F21" i="40"/>
  <c r="F35" i="40"/>
  <c r="F14" i="40"/>
  <c r="F10" i="40"/>
  <c r="F79" i="40" s="1"/>
  <c r="F37" i="40"/>
  <c r="F50" i="40"/>
  <c r="F60" i="40"/>
  <c r="F48" i="40"/>
  <c r="F72" i="40"/>
  <c r="F82" i="40"/>
  <c r="F94" i="40"/>
  <c r="F83" i="40"/>
  <c r="F53" i="40"/>
  <c r="F36" i="40"/>
  <c r="F33" i="40"/>
  <c r="F99" i="40"/>
  <c r="F87" i="40"/>
  <c r="F69" i="40"/>
  <c r="F121" i="40"/>
  <c r="F143" i="40"/>
  <c r="F144" i="40"/>
  <c r="F140" i="40"/>
  <c r="F123" i="40"/>
  <c r="F100" i="40"/>
  <c r="F145" i="40"/>
  <c r="F106" i="40"/>
  <c r="F103" i="40"/>
  <c r="F157" i="40"/>
  <c r="F119" i="40"/>
  <c r="F154" i="40"/>
  <c r="F108" i="40"/>
  <c r="F85" i="40"/>
  <c r="F152" i="40"/>
  <c r="F150" i="40"/>
  <c r="F147" i="40"/>
  <c r="F133" i="40"/>
  <c r="F96" i="40"/>
  <c r="F128" i="40"/>
  <c r="F126" i="40"/>
  <c r="F124" i="40"/>
  <c r="F98" i="40"/>
  <c r="F159" i="40"/>
  <c r="F88" i="40"/>
  <c r="F109" i="40"/>
  <c r="F95" i="40"/>
  <c r="F111" i="40"/>
  <c r="F138" i="40"/>
  <c r="F153" i="40"/>
  <c r="F136" i="40"/>
  <c r="F134" i="40"/>
  <c r="F132" i="40"/>
  <c r="F113" i="40"/>
  <c r="F97" i="40"/>
  <c r="F90" i="40"/>
  <c r="F129" i="40"/>
  <c r="F93" i="40"/>
  <c r="F120" i="40"/>
  <c r="F116" i="40"/>
  <c r="F102" i="40"/>
  <c r="F89" i="40"/>
  <c r="F112" i="40"/>
  <c r="F104" i="40"/>
  <c r="F137" i="40"/>
  <c r="F122" i="40"/>
  <c r="F84" i="40"/>
  <c r="F135" i="40"/>
  <c r="F151" i="40"/>
  <c r="F114" i="40"/>
  <c r="F149" i="40"/>
  <c r="F127" i="40"/>
  <c r="F92" i="40"/>
  <c r="F115" i="40"/>
  <c r="F146" i="40"/>
  <c r="F130" i="40"/>
  <c r="F139" i="40"/>
  <c r="F125" i="40"/>
  <c r="F110" i="40"/>
  <c r="F107" i="40"/>
  <c r="F156" i="40"/>
  <c r="E6" i="37"/>
  <c r="E1289" i="37"/>
  <c r="E1293" i="37"/>
  <c r="E1307" i="37"/>
  <c r="E1326" i="37"/>
  <c r="E1209" i="37"/>
  <c r="E1212" i="37"/>
  <c r="E1228" i="37"/>
  <c r="E1243" i="37"/>
  <c r="E1271" i="37"/>
  <c r="E1297" i="37"/>
  <c r="E1313" i="37"/>
  <c r="E1318" i="37"/>
  <c r="E1179" i="37"/>
  <c r="E1196" i="37"/>
  <c r="E1216" i="37"/>
  <c r="E1232" i="37"/>
  <c r="E1236" i="37"/>
  <c r="E1263" i="37"/>
  <c r="E1281" i="37"/>
  <c r="E1154" i="37"/>
  <c r="E1169" i="37"/>
  <c r="E1172" i="37"/>
  <c r="E1190" i="37"/>
  <c r="E1203" i="37"/>
  <c r="E1088" i="37"/>
  <c r="E1104" i="37"/>
  <c r="E1119" i="37"/>
  <c r="E1128" i="37"/>
  <c r="E1141" i="37"/>
  <c r="E1304" i="37"/>
  <c r="E1322" i="37"/>
  <c r="E1054" i="37"/>
  <c r="E1057" i="37"/>
  <c r="E1072" i="37"/>
  <c r="E1226" i="37"/>
  <c r="E1241" i="37"/>
  <c r="E1267" i="37"/>
  <c r="E1272" i="37"/>
  <c r="E1290" i="37"/>
  <c r="E1162" i="37"/>
  <c r="E1177" i="37"/>
  <c r="E1194" i="37"/>
  <c r="E1197" i="37"/>
  <c r="E1210" i="37"/>
  <c r="E1097" i="37"/>
  <c r="E1112" i="37"/>
  <c r="E1132" i="37"/>
  <c r="E1135" i="37"/>
  <c r="E1148" i="37"/>
  <c r="E1314" i="37"/>
  <c r="E1331" i="37"/>
  <c r="E1061" i="37"/>
  <c r="E1077" i="37"/>
  <c r="E1081" i="37"/>
  <c r="E1233" i="37"/>
  <c r="E1259" i="37"/>
  <c r="E1278" i="37"/>
  <c r="E1295" i="37"/>
  <c r="E1298" i="37"/>
  <c r="E1170" i="37"/>
  <c r="E1186" i="37"/>
  <c r="E1201" i="37"/>
  <c r="E1214" i="37"/>
  <c r="E1219" i="37"/>
  <c r="E1123" i="37"/>
  <c r="E1139" i="37"/>
  <c r="E1152" i="37"/>
  <c r="E1155" i="37"/>
  <c r="E1323" i="37"/>
  <c r="E1086" i="37"/>
  <c r="E1101" i="37"/>
  <c r="E1105" i="37"/>
  <c r="E1121" i="37"/>
  <c r="E1242" i="37"/>
  <c r="E1270" i="37"/>
  <c r="E1288" i="37"/>
  <c r="E1302" i="37"/>
  <c r="E1320" i="37"/>
  <c r="E1178" i="37"/>
  <c r="E1195" i="37"/>
  <c r="E1208" i="37"/>
  <c r="E1223" i="37"/>
  <c r="E1238" i="37"/>
  <c r="E1280" i="37"/>
  <c r="E1296" i="37"/>
  <c r="E1312" i="37"/>
  <c r="E1329" i="37"/>
  <c r="E1174" i="37"/>
  <c r="E1202" i="37"/>
  <c r="E1215" i="37"/>
  <c r="E1231" i="37"/>
  <c r="E1257" i="37"/>
  <c r="E1276" i="37"/>
  <c r="E1330" i="37"/>
  <c r="E1286" i="37"/>
  <c r="E1300" i="37"/>
  <c r="E1303" i="37"/>
  <c r="E1321" i="37"/>
  <c r="E1258" i="37"/>
  <c r="E1277" i="37"/>
  <c r="E1294" i="37"/>
  <c r="E1310" i="37"/>
  <c r="E1327" i="37"/>
  <c r="E1180" i="37"/>
  <c r="E1185" i="37"/>
  <c r="E1200" i="37"/>
  <c r="E1213" i="37"/>
  <c r="E1229" i="37"/>
  <c r="E1301" i="37"/>
  <c r="E1319" i="37"/>
  <c r="E1138" i="37"/>
  <c r="E1151" i="37"/>
  <c r="E1165" i="37"/>
  <c r="E1222" i="37"/>
  <c r="E1237" i="37"/>
  <c r="E1264" i="37"/>
  <c r="E1282" i="37"/>
  <c r="E1287" i="37"/>
  <c r="E1158" i="37"/>
  <c r="E1173" i="37"/>
  <c r="E1191" i="37"/>
  <c r="E1204" i="37"/>
  <c r="E1207" i="37"/>
  <c r="E1093" i="37"/>
  <c r="E1108" i="37"/>
  <c r="E1129" i="37"/>
  <c r="E1142" i="37"/>
  <c r="E1145" i="37"/>
  <c r="E1273" i="37"/>
  <c r="E1292" i="37"/>
  <c r="E1305" i="37"/>
  <c r="E1311" i="37"/>
  <c r="E1328" i="37"/>
  <c r="E1198" i="37"/>
  <c r="E1211" i="37"/>
  <c r="E1227" i="37"/>
  <c r="E1230" i="37"/>
  <c r="E1247" i="37"/>
  <c r="E1136" i="37"/>
  <c r="E1149" i="37"/>
  <c r="E1163" i="37"/>
  <c r="E1166" i="37"/>
  <c r="E1183" i="37"/>
  <c r="E1260" i="37"/>
  <c r="E1265" i="37"/>
  <c r="E1283" i="37"/>
  <c r="E1299" i="37"/>
  <c r="E1315" i="37"/>
  <c r="E1187" i="37"/>
  <c r="E1192" i="37"/>
  <c r="E1205" i="37"/>
  <c r="E1220" i="37"/>
  <c r="E1235" i="37"/>
  <c r="E1122" i="37"/>
  <c r="E1130" i="37"/>
  <c r="E1143" i="37"/>
  <c r="E1156" i="37"/>
  <c r="E1171" i="37"/>
  <c r="E1117" i="37"/>
  <c r="E1126" i="37"/>
  <c r="E1175" i="37"/>
  <c r="E1091" i="37"/>
  <c r="E1106" i="37"/>
  <c r="E1157" i="37"/>
  <c r="E1266" i="37"/>
  <c r="E1161" i="37"/>
  <c r="E1044" i="37"/>
  <c r="E1071" i="37"/>
  <c r="E1144" i="37"/>
  <c r="E1239" i="37"/>
  <c r="E1153" i="37"/>
  <c r="E1060" i="37"/>
  <c r="E1150" i="37"/>
  <c r="E1140" i="37"/>
  <c r="E1147" i="37"/>
  <c r="E1058" i="37"/>
  <c r="E1075" i="37"/>
  <c r="E1164" i="37"/>
  <c r="E1001" i="37"/>
  <c r="E1005" i="37"/>
  <c r="E1020" i="37"/>
  <c r="E1040" i="37"/>
  <c r="E1067" i="37"/>
  <c r="E1089" i="37"/>
  <c r="E1096" i="37"/>
  <c r="E1107" i="37"/>
  <c r="E1131" i="37"/>
  <c r="E1206" i="37"/>
  <c r="E1065" i="37"/>
  <c r="E1083" i="37"/>
  <c r="E1113" i="37"/>
  <c r="E1160" i="37"/>
  <c r="E1049" i="37"/>
  <c r="E1221" i="37"/>
  <c r="E1010" i="37"/>
  <c r="E1025" i="37"/>
  <c r="E1033" i="37"/>
  <c r="E1056" i="37"/>
  <c r="E1098" i="37"/>
  <c r="E1137" i="37"/>
  <c r="E1146" i="37"/>
  <c r="E1193" i="37"/>
  <c r="E1199" i="37"/>
  <c r="E1026" i="37"/>
  <c r="E1031" i="37"/>
  <c r="E1045" i="37"/>
  <c r="E1068" i="37"/>
  <c r="E1133" i="37"/>
  <c r="E1055" i="37"/>
  <c r="E1080" i="37"/>
  <c r="E1103" i="37"/>
  <c r="E1100" i="37"/>
  <c r="E1118" i="37"/>
  <c r="E996" i="37"/>
  <c r="E1012" i="37"/>
  <c r="E1014" i="37"/>
  <c r="E1016" i="37"/>
  <c r="E1184" i="37"/>
  <c r="E891" i="37"/>
  <c r="E905" i="37"/>
  <c r="E954" i="37"/>
  <c r="E966" i="37"/>
  <c r="E983" i="37"/>
  <c r="E912" i="37"/>
  <c r="E939" i="37"/>
  <c r="E973" i="37"/>
  <c r="E1070" i="37"/>
  <c r="E1084" i="37"/>
  <c r="E918" i="37"/>
  <c r="E946" i="37"/>
  <c r="E958" i="37"/>
  <c r="E987" i="37"/>
  <c r="E1047" i="37"/>
  <c r="E902" i="37"/>
  <c r="E964" i="37"/>
  <c r="E994" i="37"/>
  <c r="E1076" i="37"/>
  <c r="E1168" i="37"/>
  <c r="E849" i="37"/>
  <c r="E852" i="37"/>
  <c r="E866" i="37"/>
  <c r="E881" i="37"/>
  <c r="E889" i="37"/>
  <c r="E1225" i="37"/>
  <c r="E795" i="37"/>
  <c r="E798" i="37"/>
  <c r="E814" i="37"/>
  <c r="E829" i="37"/>
  <c r="E1006" i="37"/>
  <c r="E1008" i="37"/>
  <c r="E1034" i="37"/>
  <c r="E1037" i="37"/>
  <c r="E1064" i="37"/>
  <c r="E1092" i="37"/>
  <c r="E909" i="37"/>
  <c r="E922" i="37"/>
  <c r="E937" i="37"/>
  <c r="E971" i="37"/>
  <c r="E956" i="37"/>
  <c r="E984" i="37"/>
  <c r="E1004" i="37"/>
  <c r="E1011" i="37"/>
  <c r="E1059" i="37"/>
  <c r="E1082" i="37"/>
  <c r="E1109" i="37"/>
  <c r="E1110" i="37"/>
  <c r="E935" i="37"/>
  <c r="E944" i="37"/>
  <c r="E927" i="37"/>
  <c r="E953" i="37"/>
  <c r="E989" i="37"/>
  <c r="E1063" i="37"/>
  <c r="E1134" i="37"/>
  <c r="E911" i="37"/>
  <c r="E945" i="37"/>
  <c r="E960" i="37"/>
  <c r="E972" i="37"/>
  <c r="E1036" i="37"/>
  <c r="E1043" i="37"/>
  <c r="E854" i="37"/>
  <c r="E857" i="37"/>
  <c r="E872" i="37"/>
  <c r="E897" i="37"/>
  <c r="E993" i="37"/>
  <c r="E1019" i="37"/>
  <c r="E1021" i="37"/>
  <c r="E1027" i="37"/>
  <c r="E1073" i="37"/>
  <c r="E1099" i="37"/>
  <c r="E888" i="37"/>
  <c r="E917" i="37"/>
  <c r="E979" i="37"/>
  <c r="E949" i="37"/>
  <c r="E977" i="37"/>
  <c r="E990" i="37"/>
  <c r="E1000" i="37"/>
  <c r="E1024" i="37"/>
  <c r="E869" i="37"/>
  <c r="E885" i="37"/>
  <c r="E899" i="37"/>
  <c r="E915" i="37"/>
  <c r="E929" i="37"/>
  <c r="E1039" i="37"/>
  <c r="E818" i="37"/>
  <c r="E833" i="37"/>
  <c r="E841" i="37"/>
  <c r="E855" i="37"/>
  <c r="E1066" i="37"/>
  <c r="E906" i="37"/>
  <c r="E961" i="37"/>
  <c r="E998" i="37"/>
  <c r="E1013" i="37"/>
  <c r="E980" i="37"/>
  <c r="E1015" i="37"/>
  <c r="E1017" i="37"/>
  <c r="E1035" i="37"/>
  <c r="E1053" i="37"/>
  <c r="E959" i="37"/>
  <c r="E988" i="37"/>
  <c r="E1042" i="37"/>
  <c r="E952" i="37"/>
  <c r="E967" i="37"/>
  <c r="E1087" i="37"/>
  <c r="E1116" i="37"/>
  <c r="E896" i="37"/>
  <c r="E913" i="37"/>
  <c r="E926" i="37"/>
  <c r="E930" i="37"/>
  <c r="E978" i="37"/>
  <c r="E1052" i="37"/>
  <c r="E1114" i="37"/>
  <c r="E1078" i="37"/>
  <c r="E962" i="37"/>
  <c r="E788" i="37"/>
  <c r="E847" i="37"/>
  <c r="E873" i="37"/>
  <c r="E880" i="37"/>
  <c r="E907" i="37"/>
  <c r="E920" i="37"/>
  <c r="E941" i="37"/>
  <c r="E1050" i="37"/>
  <c r="E801" i="37"/>
  <c r="E815" i="37"/>
  <c r="E821" i="37"/>
  <c r="E827" i="37"/>
  <c r="E868" i="37"/>
  <c r="E876" i="37"/>
  <c r="E925" i="37"/>
  <c r="E957" i="37"/>
  <c r="E765" i="37"/>
  <c r="E779" i="37"/>
  <c r="E813" i="37"/>
  <c r="E936" i="37"/>
  <c r="E951" i="37"/>
  <c r="E1048" i="37"/>
  <c r="E1094" i="37"/>
  <c r="E892" i="37"/>
  <c r="E755" i="37"/>
  <c r="E758" i="37"/>
  <c r="E772" i="37"/>
  <c r="E792" i="37"/>
  <c r="E862" i="37"/>
  <c r="E684" i="37"/>
  <c r="E700" i="37"/>
  <c r="E704" i="37"/>
  <c r="E720" i="37"/>
  <c r="E735" i="37"/>
  <c r="E884" i="37"/>
  <c r="E1003" i="37"/>
  <c r="E1046" i="37"/>
  <c r="E656" i="37"/>
  <c r="E670" i="37"/>
  <c r="E780" i="37"/>
  <c r="E790" i="37"/>
  <c r="E802" i="37"/>
  <c r="E865" i="37"/>
  <c r="E1032" i="37"/>
  <c r="E825" i="37"/>
  <c r="E835" i="37"/>
  <c r="E875" i="37"/>
  <c r="E950" i="37"/>
  <c r="E799" i="37"/>
  <c r="E820" i="37"/>
  <c r="E924" i="37"/>
  <c r="E940" i="37"/>
  <c r="E787" i="37"/>
  <c r="E901" i="37"/>
  <c r="E914" i="37"/>
  <c r="E995" i="37"/>
  <c r="E756" i="37"/>
  <c r="E770" i="37"/>
  <c r="E982" i="37"/>
  <c r="E785" i="37"/>
  <c r="E812" i="37"/>
  <c r="E832" i="37"/>
  <c r="E843" i="37"/>
  <c r="E974" i="37"/>
  <c r="E970" i="37"/>
  <c r="E975" i="37"/>
  <c r="E1041" i="37"/>
  <c r="E965" i="37"/>
  <c r="E969" i="37"/>
  <c r="E1023" i="37"/>
  <c r="E908" i="37"/>
  <c r="E1007" i="37"/>
  <c r="E883" i="37"/>
  <c r="E851" i="37"/>
  <c r="E895" i="37"/>
  <c r="E931" i="37"/>
  <c r="E963" i="37"/>
  <c r="E766" i="37"/>
  <c r="E769" i="37"/>
  <c r="E783" i="37"/>
  <c r="E811" i="37"/>
  <c r="E848" i="37"/>
  <c r="E999" i="37"/>
  <c r="E713" i="37"/>
  <c r="E716" i="37"/>
  <c r="E732" i="37"/>
  <c r="E752" i="37"/>
  <c r="E844" i="37"/>
  <c r="E916" i="37"/>
  <c r="E839" i="37"/>
  <c r="E890" i="37"/>
  <c r="E904" i="37"/>
  <c r="E745" i="37"/>
  <c r="E759" i="37"/>
  <c r="E773" i="37"/>
  <c r="E793" i="37"/>
  <c r="E808" i="37"/>
  <c r="E938" i="37"/>
  <c r="E985" i="37"/>
  <c r="E943" i="37"/>
  <c r="E948" i="37"/>
  <c r="E737" i="37"/>
  <c r="E791" i="37"/>
  <c r="E806" i="37"/>
  <c r="E819" i="37"/>
  <c r="E853" i="37"/>
  <c r="E860" i="37"/>
  <c r="E894" i="37"/>
  <c r="E921" i="37"/>
  <c r="E947" i="37"/>
  <c r="E991" i="37"/>
  <c r="E781" i="37"/>
  <c r="E746" i="37"/>
  <c r="E797" i="37"/>
  <c r="E824" i="37"/>
  <c r="E850" i="37"/>
  <c r="E856" i="37"/>
  <c r="E634" i="37"/>
  <c r="E664" i="37"/>
  <c r="E715" i="37"/>
  <c r="E730" i="37"/>
  <c r="E744" i="37"/>
  <c r="E569" i="37"/>
  <c r="E583" i="37"/>
  <c r="E599" i="37"/>
  <c r="E615" i="37"/>
  <c r="E630" i="37"/>
  <c r="E733" i="37"/>
  <c r="E748" i="37"/>
  <c r="E823" i="37"/>
  <c r="E552" i="37"/>
  <c r="E566" i="37"/>
  <c r="E803" i="37"/>
  <c r="E822" i="37"/>
  <c r="E861" i="37"/>
  <c r="E671" i="37"/>
  <c r="E683" i="37"/>
  <c r="E761" i="37"/>
  <c r="E768" i="37"/>
  <c r="E691" i="37"/>
  <c r="E738" i="37"/>
  <c r="E775" i="37"/>
  <c r="E886" i="37"/>
  <c r="E647" i="37"/>
  <c r="E662" i="37"/>
  <c r="E674" i="37"/>
  <c r="E751" i="37"/>
  <c r="E660" i="37"/>
  <c r="E688" i="37"/>
  <c r="E681" i="37"/>
  <c r="E753" i="37"/>
  <c r="E842" i="37"/>
  <c r="E771" i="37"/>
  <c r="E774" i="37"/>
  <c r="E796" i="37"/>
  <c r="E831" i="37"/>
  <c r="E871" i="37"/>
  <c r="E702" i="37"/>
  <c r="E724" i="37"/>
  <c r="E726" i="37"/>
  <c r="E729" i="37"/>
  <c r="E743" i="37"/>
  <c r="E605" i="37"/>
  <c r="E621" i="37"/>
  <c r="E636" i="37"/>
  <c r="E640" i="37"/>
  <c r="E672" i="37"/>
  <c r="E663" i="37"/>
  <c r="E679" i="37"/>
  <c r="E692" i="37"/>
  <c r="E714" i="37"/>
  <c r="E764" i="37"/>
  <c r="E734" i="37"/>
  <c r="E747" i="37"/>
  <c r="E767" i="37"/>
  <c r="E858" i="37"/>
  <c r="E651" i="37"/>
  <c r="E594" i="37"/>
  <c r="E598" i="37"/>
  <c r="E614" i="37"/>
  <c r="E629" i="37"/>
  <c r="E699" i="37"/>
  <c r="E828" i="37"/>
  <c r="E840" i="37"/>
  <c r="E549" i="37"/>
  <c r="E565" i="37"/>
  <c r="E579" i="37"/>
  <c r="E689" i="37"/>
  <c r="E709" i="37"/>
  <c r="E807" i="37"/>
  <c r="E712" i="37"/>
  <c r="E778" i="37"/>
  <c r="E900" i="37"/>
  <c r="E867" i="37"/>
  <c r="E649" i="37"/>
  <c r="E661" i="37"/>
  <c r="E676" i="37"/>
  <c r="E723" i="37"/>
  <c r="E728" i="37"/>
  <c r="E707" i="37"/>
  <c r="E725" i="37"/>
  <c r="E782" i="37"/>
  <c r="E760" i="37"/>
  <c r="E879" i="37"/>
  <c r="E659" i="37"/>
  <c r="E687" i="37"/>
  <c r="E721" i="37"/>
  <c r="E677" i="37"/>
  <c r="E694" i="37"/>
  <c r="E719" i="37"/>
  <c r="E739" i="37"/>
  <c r="E600" i="37"/>
  <c r="E604" i="37"/>
  <c r="E620" i="37"/>
  <c r="E635" i="37"/>
  <c r="E665" i="37"/>
  <c r="E536" i="37"/>
  <c r="E539" i="37"/>
  <c r="E556" i="37"/>
  <c r="E570" i="37"/>
  <c r="E585" i="37"/>
  <c r="E804" i="37"/>
  <c r="E845" i="37"/>
  <c r="E878" i="37"/>
  <c r="E834" i="37"/>
  <c r="E523" i="37"/>
  <c r="E657" i="37"/>
  <c r="E669" i="37"/>
  <c r="E698" i="37"/>
  <c r="E710" i="37"/>
  <c r="E749" i="37"/>
  <c r="E675" i="37"/>
  <c r="E593" i="37"/>
  <c r="E609" i="37"/>
  <c r="E625" i="37"/>
  <c r="E628" i="37"/>
  <c r="E682" i="37"/>
  <c r="E708" i="37"/>
  <c r="E757" i="37"/>
  <c r="E786" i="37"/>
  <c r="E864" i="37"/>
  <c r="E705" i="37"/>
  <c r="E777" i="37"/>
  <c r="E816" i="37"/>
  <c r="E632" i="37"/>
  <c r="E648" i="37"/>
  <c r="E643" i="37"/>
  <c r="E655" i="37"/>
  <c r="E666" i="37"/>
  <c r="E696" i="37"/>
  <c r="E686" i="37"/>
  <c r="E722" i="37"/>
  <c r="E754" i="37"/>
  <c r="E762" i="37"/>
  <c r="E874" i="37"/>
  <c r="E809" i="37"/>
  <c r="E863" i="37"/>
  <c r="E626" i="37"/>
  <c r="E641" i="37"/>
  <c r="E673" i="37"/>
  <c r="E638" i="37"/>
  <c r="E658" i="37"/>
  <c r="E693" i="37"/>
  <c r="E703" i="37"/>
  <c r="E717" i="37"/>
  <c r="E541" i="37"/>
  <c r="E572" i="37"/>
  <c r="E505" i="37"/>
  <c r="E576" i="37"/>
  <c r="E619" i="37"/>
  <c r="E581" i="37"/>
  <c r="E588" i="37"/>
  <c r="E623" i="37"/>
  <c r="E518" i="37"/>
  <c r="E526" i="37"/>
  <c r="E543" i="37"/>
  <c r="E554" i="37"/>
  <c r="E562" i="37"/>
  <c r="E567" i="37"/>
  <c r="E578" i="37"/>
  <c r="E470" i="37"/>
  <c r="E483" i="37"/>
  <c r="E496" i="37"/>
  <c r="E499" i="37"/>
  <c r="E512" i="37"/>
  <c r="E409" i="37"/>
  <c r="E425" i="37"/>
  <c r="E440" i="37"/>
  <c r="E444" i="37"/>
  <c r="E457" i="37"/>
  <c r="E608" i="37"/>
  <c r="E360" i="37"/>
  <c r="E375" i="37"/>
  <c r="E378" i="37"/>
  <c r="E392" i="37"/>
  <c r="E490" i="37"/>
  <c r="E503" i="37"/>
  <c r="E516" i="37"/>
  <c r="E545" i="37"/>
  <c r="E564" i="37"/>
  <c r="E618" i="37"/>
  <c r="E622" i="37"/>
  <c r="E461" i="37"/>
  <c r="E464" i="37"/>
  <c r="E477" i="37"/>
  <c r="E668" i="37"/>
  <c r="E529" i="37"/>
  <c r="E538" i="37"/>
  <c r="E558" i="37"/>
  <c r="E603" i="37"/>
  <c r="E510" i="37"/>
  <c r="E519" i="37"/>
  <c r="E575" i="37"/>
  <c r="E580" i="37"/>
  <c r="E587" i="37"/>
  <c r="E553" i="37"/>
  <c r="E527" i="37"/>
  <c r="E540" i="37"/>
  <c r="E613" i="37"/>
  <c r="E497" i="37"/>
  <c r="E501" i="37"/>
  <c r="E504" i="37"/>
  <c r="E517" i="37"/>
  <c r="E525" i="37"/>
  <c r="E542" i="37"/>
  <c r="E446" i="37"/>
  <c r="E449" i="37"/>
  <c r="E462" i="37"/>
  <c r="E475" i="37"/>
  <c r="E488" i="37"/>
  <c r="E611" i="37"/>
  <c r="E653" i="37"/>
  <c r="E590" i="37"/>
  <c r="E616" i="37"/>
  <c r="E697" i="37"/>
  <c r="E642" i="37"/>
  <c r="E469" i="37"/>
  <c r="E482" i="37"/>
  <c r="E495" i="37"/>
  <c r="E508" i="37"/>
  <c r="E537" i="37"/>
  <c r="E606" i="37"/>
  <c r="E652" i="37"/>
  <c r="E544" i="37"/>
  <c r="E602" i="37"/>
  <c r="E486" i="37"/>
  <c r="E489" i="37"/>
  <c r="E502" i="37"/>
  <c r="E515" i="37"/>
  <c r="E521" i="37"/>
  <c r="E428" i="37"/>
  <c r="E431" i="37"/>
  <c r="E447" i="37"/>
  <c r="E460" i="37"/>
  <c r="E473" i="37"/>
  <c r="E363" i="37"/>
  <c r="E366" i="37"/>
  <c r="E381" i="37"/>
  <c r="E397" i="37"/>
  <c r="E415" i="37"/>
  <c r="E533" i="37"/>
  <c r="E535" i="37"/>
  <c r="E586" i="37"/>
  <c r="E589" i="37"/>
  <c r="E348" i="37"/>
  <c r="E493" i="37"/>
  <c r="E506" i="37"/>
  <c r="E509" i="37"/>
  <c r="E610" i="37"/>
  <c r="E531" i="37"/>
  <c r="E513" i="37"/>
  <c r="E571" i="37"/>
  <c r="E577" i="37"/>
  <c r="E627" i="37"/>
  <c r="E480" i="37"/>
  <c r="E680" i="37"/>
  <c r="E471" i="37"/>
  <c r="E474" i="37"/>
  <c r="E487" i="37"/>
  <c r="E500" i="37"/>
  <c r="E597" i="37"/>
  <c r="E650" i="37"/>
  <c r="E522" i="37"/>
  <c r="E555" i="37"/>
  <c r="E563" i="37"/>
  <c r="E491" i="37"/>
  <c r="E494" i="37"/>
  <c r="E507" i="37"/>
  <c r="E568" i="37"/>
  <c r="E574" i="37"/>
  <c r="E582" i="37"/>
  <c r="E592" i="37"/>
  <c r="E639" i="37"/>
  <c r="E465" i="37"/>
  <c r="E478" i="37"/>
  <c r="E532" i="37"/>
  <c r="E546" i="37"/>
  <c r="E557" i="37"/>
  <c r="E631" i="37"/>
  <c r="E534" i="37"/>
  <c r="E595" i="37"/>
  <c r="E511" i="37"/>
  <c r="E514" i="37"/>
  <c r="E520" i="37"/>
  <c r="E530" i="37"/>
  <c r="E351" i="37"/>
  <c r="E424" i="37"/>
  <c r="E479" i="37"/>
  <c r="E528" i="37"/>
  <c r="E559" i="37"/>
  <c r="E386" i="37"/>
  <c r="E426" i="37"/>
  <c r="E451" i="37"/>
  <c r="E463" i="37"/>
  <c r="E561" i="37"/>
  <c r="E388" i="37"/>
  <c r="E459" i="37"/>
  <c r="E332" i="37"/>
  <c r="E337" i="37"/>
  <c r="E367" i="37"/>
  <c r="E369" i="37"/>
  <c r="E373" i="37"/>
  <c r="E390" i="37"/>
  <c r="E410" i="37"/>
  <c r="E365" i="37"/>
  <c r="E297" i="37"/>
  <c r="E310" i="37"/>
  <c r="E323" i="37"/>
  <c r="E342" i="37"/>
  <c r="E355" i="37"/>
  <c r="E234" i="37"/>
  <c r="E247" i="37"/>
  <c r="E262" i="37"/>
  <c r="E278" i="37"/>
  <c r="E294" i="37"/>
  <c r="E466" i="37"/>
  <c r="E187" i="37"/>
  <c r="E200" i="37"/>
  <c r="E213" i="37"/>
  <c r="E231" i="37"/>
  <c r="E419" i="37"/>
  <c r="E433" i="37"/>
  <c r="E443" i="37"/>
  <c r="E453" i="37"/>
  <c r="E448" i="37"/>
  <c r="E317" i="37"/>
  <c r="E335" i="37"/>
  <c r="E352" i="37"/>
  <c r="E396" i="37"/>
  <c r="E417" i="37"/>
  <c r="E421" i="37"/>
  <c r="E445" i="37"/>
  <c r="E435" i="37"/>
  <c r="E301" i="37"/>
  <c r="E314" i="37"/>
  <c r="E456" i="37"/>
  <c r="E340" i="37"/>
  <c r="E343" i="37"/>
  <c r="E380" i="37"/>
  <c r="E382" i="37"/>
  <c r="E406" i="37"/>
  <c r="E450" i="37"/>
  <c r="E350" i="37"/>
  <c r="E404" i="37"/>
  <c r="E437" i="37"/>
  <c r="E328" i="37"/>
  <c r="E364" i="37"/>
  <c r="E385" i="37"/>
  <c r="E387" i="37"/>
  <c r="E389" i="37"/>
  <c r="E357" i="37"/>
  <c r="E362" i="37"/>
  <c r="E299" i="37"/>
  <c r="E302" i="37"/>
  <c r="E315" i="37"/>
  <c r="E416" i="37"/>
  <c r="E430" i="37"/>
  <c r="E432" i="37"/>
  <c r="E442" i="37"/>
  <c r="E455" i="37"/>
  <c r="E306" i="37"/>
  <c r="E319" i="37"/>
  <c r="E322" i="37"/>
  <c r="E341" i="37"/>
  <c r="E412" i="37"/>
  <c r="E243" i="37"/>
  <c r="E257" i="37"/>
  <c r="E261" i="37"/>
  <c r="E277" i="37"/>
  <c r="E293" i="37"/>
  <c r="E472" i="37"/>
  <c r="E452" i="37"/>
  <c r="E458" i="37"/>
  <c r="E212" i="37"/>
  <c r="E230" i="37"/>
  <c r="E326" i="37"/>
  <c r="E346" i="37"/>
  <c r="E377" i="37"/>
  <c r="E379" i="37"/>
  <c r="E398" i="37"/>
  <c r="E265" i="37"/>
  <c r="E282" i="37"/>
  <c r="E287" i="37"/>
  <c r="E300" i="37"/>
  <c r="E313" i="37"/>
  <c r="E436" i="37"/>
  <c r="E481" i="37"/>
  <c r="E492" i="37"/>
  <c r="E434" i="37"/>
  <c r="E468" i="37"/>
  <c r="E383" i="37"/>
  <c r="E400" i="37"/>
  <c r="E403" i="37"/>
  <c r="E405" i="37"/>
  <c r="E423" i="37"/>
  <c r="E304" i="37"/>
  <c r="E307" i="37"/>
  <c r="E320" i="37"/>
  <c r="E338" i="37"/>
  <c r="E349" i="37"/>
  <c r="E429" i="37"/>
  <c r="E361" i="37"/>
  <c r="E407" i="37"/>
  <c r="E454" i="37"/>
  <c r="E524" i="37"/>
  <c r="E356" i="37"/>
  <c r="E359" i="37"/>
  <c r="E368" i="37"/>
  <c r="E372" i="37"/>
  <c r="E427" i="37"/>
  <c r="E283" i="37"/>
  <c r="E298" i="37"/>
  <c r="E311" i="37"/>
  <c r="E324" i="37"/>
  <c r="E327" i="37"/>
  <c r="E485" i="37"/>
  <c r="E235" i="37"/>
  <c r="E249" i="37"/>
  <c r="E263" i="37"/>
  <c r="E267" i="37"/>
  <c r="E498" i="37"/>
  <c r="E347" i="37"/>
  <c r="E374" i="37"/>
  <c r="E467" i="37"/>
  <c r="E476" i="37"/>
  <c r="E233" i="37"/>
  <c r="E260" i="37"/>
  <c r="E268" i="37"/>
  <c r="E292" i="37"/>
  <c r="E484" i="37"/>
  <c r="E149" i="37"/>
  <c r="E152" i="37"/>
  <c r="E167" i="37"/>
  <c r="E182" i="37"/>
  <c r="E196" i="37"/>
  <c r="E90" i="37"/>
  <c r="E94" i="37"/>
  <c r="E110" i="37"/>
  <c r="E123" i="37"/>
  <c r="E136" i="37"/>
  <c r="E254" i="37"/>
  <c r="E237" i="37"/>
  <c r="E252" i="37"/>
  <c r="E274" i="37"/>
  <c r="E321" i="37"/>
  <c r="E270" i="37"/>
  <c r="E295" i="37"/>
  <c r="E345" i="37"/>
  <c r="E376" i="37"/>
  <c r="E239" i="37"/>
  <c r="E226" i="37"/>
  <c r="E305" i="37"/>
  <c r="E393" i="37"/>
  <c r="E256" i="37"/>
  <c r="E264" i="37"/>
  <c r="E420" i="37"/>
  <c r="E422" i="37"/>
  <c r="E186" i="37"/>
  <c r="E199" i="37"/>
  <c r="E208" i="37"/>
  <c r="E318" i="37"/>
  <c r="E353" i="37"/>
  <c r="E232" i="37"/>
  <c r="E251" i="37"/>
  <c r="E391" i="37"/>
  <c r="E148" i="37"/>
  <c r="E161" i="37"/>
  <c r="E176" i="37"/>
  <c r="E195" i="37"/>
  <c r="E253" i="37"/>
  <c r="E222" i="37"/>
  <c r="E255" i="37"/>
  <c r="E325" i="37"/>
  <c r="E309" i="37"/>
  <c r="E418" i="37"/>
  <c r="E290" i="37"/>
  <c r="E170" i="37"/>
  <c r="E179" i="37"/>
  <c r="E193" i="37"/>
  <c r="E220" i="37"/>
  <c r="E275" i="37"/>
  <c r="E303" i="37"/>
  <c r="E336" i="37"/>
  <c r="E236" i="37"/>
  <c r="E269" i="37"/>
  <c r="E204" i="37"/>
  <c r="E218" i="37"/>
  <c r="E240" i="37"/>
  <c r="E242" i="37"/>
  <c r="E272" i="37"/>
  <c r="E244" i="37"/>
  <c r="E316" i="37"/>
  <c r="E402" i="37"/>
  <c r="E166" i="37"/>
  <c r="E169" i="37"/>
  <c r="E145" i="37"/>
  <c r="E158" i="37"/>
  <c r="E173" i="37"/>
  <c r="E190" i="37"/>
  <c r="E296" i="37"/>
  <c r="E13" i="37"/>
  <c r="E55" i="37"/>
  <c r="E96" i="37"/>
  <c r="E238" i="37"/>
  <c r="E399" i="37"/>
  <c r="E144" i="37"/>
  <c r="E151" i="37"/>
  <c r="E185" i="37"/>
  <c r="E194" i="37"/>
  <c r="E201" i="37"/>
  <c r="E58" i="37"/>
  <c r="E146" i="37"/>
  <c r="E153" i="37"/>
  <c r="E228" i="37"/>
  <c r="E84" i="37"/>
  <c r="E171" i="37"/>
  <c r="E286" i="37"/>
  <c r="E79" i="37"/>
  <c r="E21" i="37"/>
  <c r="E46" i="37"/>
  <c r="E82" i="37"/>
  <c r="E126" i="37"/>
  <c r="E130" i="37"/>
  <c r="E132" i="37"/>
  <c r="E139" i="37"/>
  <c r="E197" i="37"/>
  <c r="E43" i="37"/>
  <c r="E56" i="37"/>
  <c r="E75" i="37"/>
  <c r="E66" i="37"/>
  <c r="E128" i="37"/>
  <c r="E155" i="37"/>
  <c r="E168" i="37"/>
  <c r="E188" i="37"/>
  <c r="E191" i="37"/>
  <c r="E29" i="37"/>
  <c r="E35" i="37"/>
  <c r="E113" i="37"/>
  <c r="E117" i="37"/>
  <c r="E124" i="37"/>
  <c r="E227" i="37"/>
  <c r="E111" i="37"/>
  <c r="E115" i="37"/>
  <c r="E10" i="37"/>
  <c r="E25" i="37"/>
  <c r="E109" i="37"/>
  <c r="E141" i="37"/>
  <c r="E163" i="37"/>
  <c r="E97" i="37"/>
  <c r="E207" i="37"/>
  <c r="E17" i="37"/>
  <c r="E18" i="37"/>
  <c r="E63" i="37"/>
  <c r="E95" i="37"/>
  <c r="E102" i="37"/>
  <c r="E143" i="37"/>
  <c r="E150" i="37"/>
  <c r="E160" i="37"/>
  <c r="E214" i="37"/>
  <c r="E241" i="37"/>
  <c r="E258" i="37"/>
  <c r="E273" i="37"/>
  <c r="E33" i="37"/>
  <c r="E47" i="37"/>
  <c r="E93" i="37"/>
  <c r="E12" i="37"/>
  <c r="E27" i="37"/>
  <c r="E54" i="37"/>
  <c r="E184" i="37"/>
  <c r="E211" i="37"/>
  <c r="E60" i="37"/>
  <c r="E80" i="37"/>
  <c r="E157" i="37"/>
  <c r="E203" i="37"/>
  <c r="E291" i="37"/>
  <c r="E87" i="37"/>
  <c r="E72" i="37"/>
  <c r="E48" i="37"/>
  <c r="E69" i="37"/>
  <c r="E37" i="37"/>
  <c r="E223" i="37"/>
  <c r="E198" i="37"/>
  <c r="E156" i="37"/>
  <c r="E103" i="37"/>
  <c r="E100" i="37"/>
  <c r="E105" i="37"/>
  <c r="E41" i="37"/>
  <c r="E23" i="37"/>
  <c r="E19" i="37"/>
  <c r="E28" i="37"/>
  <c r="E118" i="37"/>
  <c r="E107" i="37"/>
  <c r="E57" i="37"/>
  <c r="E116" i="37"/>
  <c r="E114" i="37"/>
  <c r="E36" i="37"/>
  <c r="E30" i="37"/>
  <c r="E15" i="37"/>
  <c r="E154" i="37"/>
  <c r="E129" i="37"/>
  <c r="E131" i="37"/>
  <c r="E122" i="37"/>
  <c r="E120" i="37"/>
  <c r="E67" i="37"/>
  <c r="E51" i="37"/>
  <c r="E250" i="37"/>
  <c r="E205" i="37"/>
  <c r="E183" i="37"/>
  <c r="E180" i="37"/>
  <c r="E159" i="37"/>
  <c r="E137" i="37"/>
  <c r="E135" i="37"/>
  <c r="E133" i="37"/>
  <c r="E83" i="37"/>
  <c r="E59" i="37"/>
  <c r="E53" i="37"/>
  <c r="E308" i="37"/>
  <c r="E288" i="37"/>
  <c r="E192" i="37"/>
  <c r="E174" i="37"/>
  <c r="E229" i="37"/>
  <c r="E206" i="37"/>
  <c r="E202" i="37"/>
  <c r="E189" i="37"/>
  <c r="E177" i="37"/>
  <c r="E224" i="37"/>
  <c r="E86" i="37"/>
  <c r="E70" i="37"/>
  <c r="E39" i="37"/>
  <c r="E22" i="37"/>
  <c r="E89" i="37"/>
  <c r="E62" i="37"/>
  <c r="E50" i="37"/>
  <c r="E32" i="37"/>
  <c r="E289" i="37"/>
  <c r="E104" i="37"/>
  <c r="E74" i="37"/>
  <c r="E209" i="37"/>
  <c r="E172" i="37"/>
  <c r="E91" i="37"/>
  <c r="E279" i="37"/>
  <c r="E245" i="37"/>
  <c r="E181" i="37"/>
  <c r="E108" i="37"/>
  <c r="E106" i="37"/>
  <c r="E175" i="37"/>
  <c r="E142" i="37"/>
  <c r="E121" i="37"/>
  <c r="E119" i="37"/>
  <c r="E112" i="37"/>
  <c r="E34" i="37"/>
  <c r="E42" i="37"/>
  <c r="E14" i="37"/>
  <c r="E221" i="37"/>
  <c r="E178" i="37"/>
  <c r="E134" i="37"/>
  <c r="E125" i="37"/>
  <c r="E78" i="37"/>
  <c r="E65" i="37"/>
  <c r="E52" i="37"/>
  <c r="E281" i="37"/>
  <c r="E210" i="37"/>
  <c r="E147" i="37"/>
  <c r="E140" i="37"/>
  <c r="E138" i="37"/>
  <c r="E162" i="37"/>
  <c r="E127" i="37"/>
  <c r="E45" i="37"/>
  <c r="E31" i="37"/>
  <c r="E16" i="37"/>
  <c r="E1245" i="37"/>
  <c r="E24" i="37"/>
  <c r="E312" i="37"/>
  <c r="E246" i="37"/>
  <c r="E24" i="40" l="1"/>
  <c r="E16" i="40"/>
  <c r="E31" i="40"/>
  <c r="E45" i="40"/>
  <c r="E52" i="40"/>
  <c r="E65" i="40"/>
  <c r="E14" i="40"/>
  <c r="E42" i="40"/>
  <c r="E34" i="40"/>
  <c r="E74" i="40"/>
  <c r="E32" i="40"/>
  <c r="E50" i="40"/>
  <c r="E62" i="40"/>
  <c r="E22" i="40"/>
  <c r="E39" i="40"/>
  <c r="E70" i="40"/>
  <c r="E53" i="40"/>
  <c r="E59" i="40"/>
  <c r="E51" i="40"/>
  <c r="E67" i="40"/>
  <c r="E15" i="40"/>
  <c r="E30" i="40"/>
  <c r="E36" i="40"/>
  <c r="E57" i="40"/>
  <c r="E28" i="40"/>
  <c r="E19" i="40"/>
  <c r="E23" i="40"/>
  <c r="E41" i="40"/>
  <c r="E37" i="40"/>
  <c r="E69" i="40"/>
  <c r="E48" i="40"/>
  <c r="E72" i="40"/>
  <c r="E60" i="40"/>
  <c r="E54" i="40"/>
  <c r="E27" i="40"/>
  <c r="E12" i="40"/>
  <c r="E47" i="40"/>
  <c r="E33" i="40"/>
  <c r="E63" i="40"/>
  <c r="E18" i="40"/>
  <c r="E17" i="40"/>
  <c r="E25" i="40"/>
  <c r="E10" i="40"/>
  <c r="E79" i="40" s="1"/>
  <c r="E35" i="40"/>
  <c r="E29" i="40"/>
  <c r="E66" i="40"/>
  <c r="E75" i="40"/>
  <c r="E56" i="40"/>
  <c r="E43" i="40"/>
  <c r="E46" i="40"/>
  <c r="E21" i="40"/>
  <c r="E58" i="40"/>
  <c r="E146" i="40"/>
  <c r="E55" i="40"/>
  <c r="E13" i="40"/>
  <c r="E149" i="40"/>
  <c r="E83" i="40"/>
  <c r="E138" i="40"/>
  <c r="E100" i="40"/>
  <c r="E140" i="40"/>
  <c r="E123" i="40"/>
  <c r="E92" i="40"/>
  <c r="E121" i="40"/>
  <c r="E94" i="40"/>
  <c r="E119" i="40"/>
  <c r="E115" i="40"/>
  <c r="E106" i="40"/>
  <c r="E103" i="40"/>
  <c r="E154" i="40"/>
  <c r="E108" i="40"/>
  <c r="E96" i="40"/>
  <c r="E85" i="40"/>
  <c r="E152" i="40"/>
  <c r="E150" i="40"/>
  <c r="E147" i="40"/>
  <c r="E130" i="40"/>
  <c r="E145" i="40"/>
  <c r="E126" i="40"/>
  <c r="E124" i="40"/>
  <c r="E93" i="40"/>
  <c r="E159" i="40"/>
  <c r="E88" i="40"/>
  <c r="E109" i="40"/>
  <c r="E104" i="40"/>
  <c r="E136" i="40"/>
  <c r="E134" i="40"/>
  <c r="E132" i="40"/>
  <c r="E111" i="40"/>
  <c r="E151" i="40"/>
  <c r="E97" i="40"/>
  <c r="E153" i="40"/>
  <c r="E129" i="40"/>
  <c r="E127" i="40"/>
  <c r="E90" i="40"/>
  <c r="E87" i="40"/>
  <c r="E143" i="40"/>
  <c r="E99" i="40"/>
  <c r="E82" i="40"/>
  <c r="E102" i="40"/>
  <c r="E89" i="40"/>
  <c r="E112" i="40"/>
  <c r="E157" i="40"/>
  <c r="E137" i="40"/>
  <c r="E120" i="40"/>
  <c r="E116" i="40"/>
  <c r="E114" i="40"/>
  <c r="E84" i="40"/>
  <c r="E135" i="40"/>
  <c r="E133" i="40"/>
  <c r="E98" i="40"/>
  <c r="E95" i="40"/>
  <c r="E144" i="40"/>
  <c r="E128" i="40"/>
  <c r="E113" i="40"/>
  <c r="E110" i="40"/>
  <c r="E139" i="40"/>
  <c r="E125" i="40"/>
  <c r="E122" i="40"/>
  <c r="E107" i="40"/>
  <c r="E156" i="40"/>
  <c r="D6" i="37"/>
  <c r="D1271" i="37"/>
  <c r="D1289" i="37"/>
  <c r="D1303" i="37"/>
  <c r="D1307" i="37"/>
  <c r="D1326" i="37"/>
  <c r="D1281" i="37"/>
  <c r="D1297" i="37"/>
  <c r="D1313" i="37"/>
  <c r="D1330" i="37"/>
  <c r="D1243" i="37"/>
  <c r="D1287" i="37"/>
  <c r="D1290" i="37"/>
  <c r="D1304" i="37"/>
  <c r="D1322" i="37"/>
  <c r="D1263" i="37"/>
  <c r="D1207" i="37"/>
  <c r="D1210" i="37"/>
  <c r="D1226" i="37"/>
  <c r="D1241" i="37"/>
  <c r="D1267" i="37"/>
  <c r="D1145" i="37"/>
  <c r="D1148" i="37"/>
  <c r="D1162" i="37"/>
  <c r="D1177" i="37"/>
  <c r="D1194" i="37"/>
  <c r="D1077" i="37"/>
  <c r="D1093" i="37"/>
  <c r="D1097" i="37"/>
  <c r="D1112" i="37"/>
  <c r="D1132" i="37"/>
  <c r="D1302" i="37"/>
  <c r="D1320" i="37"/>
  <c r="D1311" i="37"/>
  <c r="D1314" i="37"/>
  <c r="D1331" i="37"/>
  <c r="D1223" i="37"/>
  <c r="D1238" i="37"/>
  <c r="D1265" i="37"/>
  <c r="D1270" i="37"/>
  <c r="D1288" i="37"/>
  <c r="D1160" i="37"/>
  <c r="D1174" i="37"/>
  <c r="D1192" i="37"/>
  <c r="D1195" i="37"/>
  <c r="D1208" i="37"/>
  <c r="D1312" i="37"/>
  <c r="D1329" i="37"/>
  <c r="D1130" i="37"/>
  <c r="D1133" i="37"/>
  <c r="D1146" i="37"/>
  <c r="D1321" i="37"/>
  <c r="D1257" i="37"/>
  <c r="D1276" i="37"/>
  <c r="D1293" i="37"/>
  <c r="D1296" i="37"/>
  <c r="D1239" i="37"/>
  <c r="D1266" i="37"/>
  <c r="D1286" i="37"/>
  <c r="D1300" i="37"/>
  <c r="D1318" i="37"/>
  <c r="D1327" i="37"/>
  <c r="D1193" i="37"/>
  <c r="D1206" i="37"/>
  <c r="D1221" i="37"/>
  <c r="D1236" i="37"/>
  <c r="D1229" i="37"/>
  <c r="D1272" i="37"/>
  <c r="D1277" i="37"/>
  <c r="D1294" i="37"/>
  <c r="D1310" i="37"/>
  <c r="D1165" i="37"/>
  <c r="D1180" i="37"/>
  <c r="D1197" i="37"/>
  <c r="D1200" i="37"/>
  <c r="D1213" i="37"/>
  <c r="D1264" i="37"/>
  <c r="D1282" i="37"/>
  <c r="D1298" i="37"/>
  <c r="D1301" i="37"/>
  <c r="D1319" i="37"/>
  <c r="D1191" i="37"/>
  <c r="D1204" i="37"/>
  <c r="D1219" i="37"/>
  <c r="D1222" i="37"/>
  <c r="D1237" i="37"/>
  <c r="D1292" i="37"/>
  <c r="D1305" i="37"/>
  <c r="D1323" i="37"/>
  <c r="D1328" i="37"/>
  <c r="D1173" i="37"/>
  <c r="D1211" i="37"/>
  <c r="D1227" i="37"/>
  <c r="D1242" i="37"/>
  <c r="D1247" i="37"/>
  <c r="D1273" i="37"/>
  <c r="D1315" i="37"/>
  <c r="D1163" i="37"/>
  <c r="D1178" i="37"/>
  <c r="D1183" i="37"/>
  <c r="D1198" i="37"/>
  <c r="D1202" i="37"/>
  <c r="D1215" i="37"/>
  <c r="D1232" i="37"/>
  <c r="D1283" i="37"/>
  <c r="D1299" i="37"/>
  <c r="D1068" i="37"/>
  <c r="D1154" i="37"/>
  <c r="D1170" i="37"/>
  <c r="D1225" i="37"/>
  <c r="D1050" i="37"/>
  <c r="D1157" i="37"/>
  <c r="D1201" i="37"/>
  <c r="D1295" i="37"/>
  <c r="D1138" i="37"/>
  <c r="D1231" i="37"/>
  <c r="D1141" i="37"/>
  <c r="D1153" i="37"/>
  <c r="D1042" i="37"/>
  <c r="D1048" i="37"/>
  <c r="D1060" i="37"/>
  <c r="D1214" i="37"/>
  <c r="D1099" i="37"/>
  <c r="D1123" i="37"/>
  <c r="D1129" i="37"/>
  <c r="D1164" i="37"/>
  <c r="D1070" i="37"/>
  <c r="D1117" i="37"/>
  <c r="D1144" i="37"/>
  <c r="D1187" i="37"/>
  <c r="D1230" i="37"/>
  <c r="D1105" i="37"/>
  <c r="D1110" i="37"/>
  <c r="D1135" i="37"/>
  <c r="D1161" i="37"/>
  <c r="D1067" i="37"/>
  <c r="D1087" i="37"/>
  <c r="D1101" i="37"/>
  <c r="D1147" i="37"/>
  <c r="D1156" i="37"/>
  <c r="D1107" i="37"/>
  <c r="D1131" i="37"/>
  <c r="D1150" i="37"/>
  <c r="D1179" i="37"/>
  <c r="D1186" i="37"/>
  <c r="D1113" i="37"/>
  <c r="D1049" i="37"/>
  <c r="D1081" i="37"/>
  <c r="D1089" i="37"/>
  <c r="D1096" i="37"/>
  <c r="D1025" i="37"/>
  <c r="D1033" i="37"/>
  <c r="D1056" i="37"/>
  <c r="D1065" i="37"/>
  <c r="D1083" i="37"/>
  <c r="D1169" i="37"/>
  <c r="D1199" i="37"/>
  <c r="D1205" i="37"/>
  <c r="D1260" i="37"/>
  <c r="D1010" i="37"/>
  <c r="D1092" i="37"/>
  <c r="D1109" i="37"/>
  <c r="D1128" i="37"/>
  <c r="D1134" i="37"/>
  <c r="D1143" i="37"/>
  <c r="D1278" i="37"/>
  <c r="D1228" i="37"/>
  <c r="D1259" i="37"/>
  <c r="D1280" i="37"/>
  <c r="D1047" i="37"/>
  <c r="D1104" i="37"/>
  <c r="D1116" i="37"/>
  <c r="D1168" i="37"/>
  <c r="D1212" i="37"/>
  <c r="D1220" i="37"/>
  <c r="D1140" i="37"/>
  <c r="D1149" i="37"/>
  <c r="D1258" i="37"/>
  <c r="D1075" i="37"/>
  <c r="D1094" i="37"/>
  <c r="D1185" i="37"/>
  <c r="D1235" i="37"/>
  <c r="D1052" i="37"/>
  <c r="D1100" i="37"/>
  <c r="D1118" i="37"/>
  <c r="D1066" i="37"/>
  <c r="D1088" i="37"/>
  <c r="D1106" i="37"/>
  <c r="D1122" i="37"/>
  <c r="D1152" i="37"/>
  <c r="D1172" i="37"/>
  <c r="D1184" i="37"/>
  <c r="D1233" i="37"/>
  <c r="D1035" i="37"/>
  <c r="D1039" i="37"/>
  <c r="D1043" i="37"/>
  <c r="D1064" i="37"/>
  <c r="D1082" i="37"/>
  <c r="D1091" i="37"/>
  <c r="D1136" i="37"/>
  <c r="D973" i="37"/>
  <c r="D989" i="37"/>
  <c r="D1005" i="37"/>
  <c r="D1008" i="37"/>
  <c r="D1024" i="37"/>
  <c r="D906" i="37"/>
  <c r="D921" i="37"/>
  <c r="D941" i="37"/>
  <c r="D945" i="37"/>
  <c r="D959" i="37"/>
  <c r="D1084" i="37"/>
  <c r="D1216" i="37"/>
  <c r="D1203" i="37"/>
  <c r="D886" i="37"/>
  <c r="D890" i="37"/>
  <c r="D899" i="37"/>
  <c r="D912" i="37"/>
  <c r="D929" i="37"/>
  <c r="D939" i="37"/>
  <c r="D1044" i="37"/>
  <c r="D821" i="37"/>
  <c r="D841" i="37"/>
  <c r="D844" i="37"/>
  <c r="D858" i="37"/>
  <c r="D873" i="37"/>
  <c r="D946" i="37"/>
  <c r="D1055" i="37"/>
  <c r="D1103" i="37"/>
  <c r="D1151" i="37"/>
  <c r="D1171" i="37"/>
  <c r="D980" i="37"/>
  <c r="D994" i="37"/>
  <c r="D1076" i="37"/>
  <c r="D1137" i="37"/>
  <c r="D918" i="37"/>
  <c r="D881" i="37"/>
  <c r="D889" i="37"/>
  <c r="D902" i="37"/>
  <c r="D952" i="37"/>
  <c r="D964" i="37"/>
  <c r="D1031" i="37"/>
  <c r="D1034" i="37"/>
  <c r="D1037" i="37"/>
  <c r="D1126" i="37"/>
  <c r="D866" i="37"/>
  <c r="D909" i="37"/>
  <c r="D937" i="37"/>
  <c r="D971" i="37"/>
  <c r="D1006" i="37"/>
  <c r="D1023" i="37"/>
  <c r="D956" i="37"/>
  <c r="D984" i="37"/>
  <c r="D1004" i="37"/>
  <c r="D1041" i="37"/>
  <c r="D1059" i="37"/>
  <c r="D871" i="37"/>
  <c r="D916" i="37"/>
  <c r="D930" i="37"/>
  <c r="D935" i="37"/>
  <c r="D944" i="37"/>
  <c r="D1166" i="37"/>
  <c r="D819" i="37"/>
  <c r="D834" i="37"/>
  <c r="D842" i="37"/>
  <c r="D856" i="37"/>
  <c r="D1121" i="37"/>
  <c r="D1209" i="37"/>
  <c r="D962" i="37"/>
  <c r="D991" i="37"/>
  <c r="D1001" i="37"/>
  <c r="D897" i="37"/>
  <c r="D960" i="37"/>
  <c r="D972" i="37"/>
  <c r="D1036" i="37"/>
  <c r="D1058" i="37"/>
  <c r="D1019" i="37"/>
  <c r="D1021" i="37"/>
  <c r="D854" i="37"/>
  <c r="D868" i="37"/>
  <c r="D872" i="37"/>
  <c r="D888" i="37"/>
  <c r="D905" i="37"/>
  <c r="D917" i="37"/>
  <c r="D979" i="37"/>
  <c r="D1016" i="37"/>
  <c r="D1054" i="37"/>
  <c r="D1063" i="37"/>
  <c r="D1108" i="37"/>
  <c r="D1119" i="37"/>
  <c r="D1158" i="37"/>
  <c r="D925" i="37"/>
  <c r="D951" i="37"/>
  <c r="D987" i="37"/>
  <c r="D1003" i="37"/>
  <c r="D1040" i="37"/>
  <c r="D848" i="37"/>
  <c r="D862" i="37"/>
  <c r="D876" i="37"/>
  <c r="D895" i="37"/>
  <c r="D1073" i="37"/>
  <c r="D793" i="37"/>
  <c r="D809" i="37"/>
  <c r="D824" i="37"/>
  <c r="D835" i="37"/>
  <c r="D1011" i="37"/>
  <c r="D1013" i="37"/>
  <c r="D1080" i="37"/>
  <c r="D1098" i="37"/>
  <c r="D1196" i="37"/>
  <c r="D1072" i="37"/>
  <c r="D892" i="37"/>
  <c r="D922" i="37"/>
  <c r="D961" i="37"/>
  <c r="D998" i="37"/>
  <c r="D1027" i="37"/>
  <c r="D1046" i="37"/>
  <c r="D1053" i="37"/>
  <c r="D1061" i="37"/>
  <c r="D878" i="37"/>
  <c r="D940" i="37"/>
  <c r="D967" i="37"/>
  <c r="D1015" i="37"/>
  <c r="D1017" i="37"/>
  <c r="D822" i="37"/>
  <c r="D825" i="37"/>
  <c r="D845" i="37"/>
  <c r="D860" i="37"/>
  <c r="D874" i="37"/>
  <c r="D1155" i="37"/>
  <c r="D947" i="37"/>
  <c r="D974" i="37"/>
  <c r="D988" i="37"/>
  <c r="D1190" i="37"/>
  <c r="D1142" i="37"/>
  <c r="D883" i="37"/>
  <c r="D904" i="37"/>
  <c r="D995" i="37"/>
  <c r="D1078" i="37"/>
  <c r="D1007" i="37"/>
  <c r="D1020" i="37"/>
  <c r="D1026" i="37"/>
  <c r="D1045" i="37"/>
  <c r="D1057" i="37"/>
  <c r="D1139" i="37"/>
  <c r="D1175" i="37"/>
  <c r="D1086" i="37"/>
  <c r="D1114" i="37"/>
  <c r="D985" i="37"/>
  <c r="D907" i="37"/>
  <c r="D920" i="37"/>
  <c r="D801" i="37"/>
  <c r="D863" i="37"/>
  <c r="D1012" i="37"/>
  <c r="D786" i="37"/>
  <c r="D798" i="37"/>
  <c r="D813" i="37"/>
  <c r="D815" i="37"/>
  <c r="D827" i="37"/>
  <c r="D855" i="37"/>
  <c r="D833" i="37"/>
  <c r="D957" i="37"/>
  <c r="D990" i="37"/>
  <c r="D779" i="37"/>
  <c r="D966" i="37"/>
  <c r="D996" i="37"/>
  <c r="D769" i="37"/>
  <c r="D772" i="37"/>
  <c r="D811" i="37"/>
  <c r="D818" i="37"/>
  <c r="D823" i="37"/>
  <c r="D884" i="37"/>
  <c r="D915" i="37"/>
  <c r="D896" i="37"/>
  <c r="D911" i="37"/>
  <c r="D950" i="37"/>
  <c r="D1032" i="37"/>
  <c r="D643" i="37"/>
  <c r="D977" i="37"/>
  <c r="D787" i="37"/>
  <c r="D847" i="37"/>
  <c r="D875" i="37"/>
  <c r="D880" i="37"/>
  <c r="D983" i="37"/>
  <c r="D770" i="37"/>
  <c r="D799" i="37"/>
  <c r="D820" i="37"/>
  <c r="D924" i="37"/>
  <c r="D814" i="37"/>
  <c r="D832" i="37"/>
  <c r="D843" i="37"/>
  <c r="D901" i="37"/>
  <c r="D914" i="37"/>
  <c r="D861" i="37"/>
  <c r="D965" i="37"/>
  <c r="D982" i="37"/>
  <c r="D785" i="37"/>
  <c r="D812" i="37"/>
  <c r="D760" i="37"/>
  <c r="D774" i="37"/>
  <c r="D778" i="37"/>
  <c r="D797" i="37"/>
  <c r="D852" i="37"/>
  <c r="D1071" i="37"/>
  <c r="D936" i="37"/>
  <c r="D722" i="37"/>
  <c r="D725" i="37"/>
  <c r="D746" i="37"/>
  <c r="D1014" i="37"/>
  <c r="D891" i="37"/>
  <c r="D927" i="37"/>
  <c r="D970" i="37"/>
  <c r="D975" i="37"/>
  <c r="D953" i="37"/>
  <c r="D908" i="37"/>
  <c r="D949" i="37"/>
  <c r="D954" i="37"/>
  <c r="D1000" i="37"/>
  <c r="D869" i="37"/>
  <c r="D796" i="37"/>
  <c r="D839" i="37"/>
  <c r="D913" i="37"/>
  <c r="D926" i="37"/>
  <c r="D943" i="37"/>
  <c r="D948" i="37"/>
  <c r="D969" i="37"/>
  <c r="D993" i="37"/>
  <c r="D816" i="37"/>
  <c r="D806" i="37"/>
  <c r="D853" i="37"/>
  <c r="D938" i="37"/>
  <c r="D999" i="37"/>
  <c r="D828" i="37"/>
  <c r="D963" i="37"/>
  <c r="D764" i="37"/>
  <c r="D767" i="37"/>
  <c r="D781" i="37"/>
  <c r="D791" i="37"/>
  <c r="D831" i="37"/>
  <c r="D850" i="37"/>
  <c r="D894" i="37"/>
  <c r="D931" i="37"/>
  <c r="D748" i="37"/>
  <c r="D885" i="37"/>
  <c r="D958" i="37"/>
  <c r="D978" i="37"/>
  <c r="D803" i="37"/>
  <c r="D775" i="37"/>
  <c r="D671" i="37"/>
  <c r="D683" i="37"/>
  <c r="D700" i="37"/>
  <c r="D733" i="37"/>
  <c r="D691" i="37"/>
  <c r="D713" i="37"/>
  <c r="D735" i="37"/>
  <c r="D738" i="37"/>
  <c r="D756" i="37"/>
  <c r="D604" i="37"/>
  <c r="D608" i="37"/>
  <c r="D623" i="37"/>
  <c r="D639" i="37"/>
  <c r="D656" i="37"/>
  <c r="D539" i="37"/>
  <c r="D542" i="37"/>
  <c r="D559" i="37"/>
  <c r="D574" i="37"/>
  <c r="D588" i="37"/>
  <c r="D698" i="37"/>
  <c r="D710" i="37"/>
  <c r="D751" i="37"/>
  <c r="D761" i="37"/>
  <c r="D768" i="37"/>
  <c r="D681" i="37"/>
  <c r="D765" i="37"/>
  <c r="D780" i="37"/>
  <c r="D802" i="37"/>
  <c r="D662" i="37"/>
  <c r="D808" i="37"/>
  <c r="D688" i="37"/>
  <c r="D790" i="37"/>
  <c r="D653" i="37"/>
  <c r="D669" i="37"/>
  <c r="D724" i="37"/>
  <c r="D726" i="37"/>
  <c r="D729" i="37"/>
  <c r="D743" i="37"/>
  <c r="D771" i="37"/>
  <c r="D605" i="37"/>
  <c r="D621" i="37"/>
  <c r="D636" i="37"/>
  <c r="D672" i="37"/>
  <c r="D702" i="37"/>
  <c r="D745" i="37"/>
  <c r="D783" i="37"/>
  <c r="D851" i="37"/>
  <c r="D586" i="37"/>
  <c r="D589" i="37"/>
  <c r="D732" i="37"/>
  <c r="D829" i="37"/>
  <c r="D651" i="37"/>
  <c r="D679" i="37"/>
  <c r="D714" i="37"/>
  <c r="D614" i="37"/>
  <c r="D629" i="37"/>
  <c r="D658" i="37"/>
  <c r="D686" i="37"/>
  <c r="D699" i="37"/>
  <c r="D549" i="37"/>
  <c r="D565" i="37"/>
  <c r="D579" i="37"/>
  <c r="D594" i="37"/>
  <c r="D610" i="37"/>
  <c r="D670" i="37"/>
  <c r="D712" i="37"/>
  <c r="D840" i="37"/>
  <c r="D531" i="37"/>
  <c r="D544" i="37"/>
  <c r="D676" i="37"/>
  <c r="D689" i="37"/>
  <c r="D709" i="37"/>
  <c r="D807" i="37"/>
  <c r="D849" i="37"/>
  <c r="D619" i="37"/>
  <c r="D634" i="37"/>
  <c r="D638" i="37"/>
  <c r="D649" i="37"/>
  <c r="D661" i="37"/>
  <c r="D867" i="37"/>
  <c r="D569" i="37"/>
  <c r="D572" i="37"/>
  <c r="D587" i="37"/>
  <c r="D603" i="37"/>
  <c r="D900" i="37"/>
  <c r="D647" i="37"/>
  <c r="D668" i="37"/>
  <c r="D697" i="37"/>
  <c r="D795" i="37"/>
  <c r="D723" i="37"/>
  <c r="D753" i="37"/>
  <c r="D788" i="37"/>
  <c r="D758" i="37"/>
  <c r="D782" i="37"/>
  <c r="D704" i="37"/>
  <c r="D719" i="37"/>
  <c r="D879" i="37"/>
  <c r="D687" i="37"/>
  <c r="D721" i="37"/>
  <c r="D857" i="37"/>
  <c r="D635" i="37"/>
  <c r="D665" i="37"/>
  <c r="D677" i="37"/>
  <c r="D694" i="37"/>
  <c r="D749" i="37"/>
  <c r="D773" i="37"/>
  <c r="D650" i="37"/>
  <c r="D716" i="37"/>
  <c r="D755" i="37"/>
  <c r="D737" i="37"/>
  <c r="D865" i="37"/>
  <c r="D684" i="37"/>
  <c r="D734" i="37"/>
  <c r="D747" i="37"/>
  <c r="D757" i="37"/>
  <c r="D864" i="37"/>
  <c r="D663" i="37"/>
  <c r="D675" i="37"/>
  <c r="D692" i="37"/>
  <c r="D618" i="37"/>
  <c r="D632" i="37"/>
  <c r="D648" i="37"/>
  <c r="D682" i="37"/>
  <c r="D708" i="37"/>
  <c r="D666" i="37"/>
  <c r="D696" i="37"/>
  <c r="D705" i="37"/>
  <c r="D752" i="37"/>
  <c r="D777" i="37"/>
  <c r="D739" i="37"/>
  <c r="D754" i="37"/>
  <c r="D762" i="37"/>
  <c r="D655" i="37"/>
  <c r="D606" i="37"/>
  <c r="D622" i="37"/>
  <c r="D626" i="37"/>
  <c r="D641" i="37"/>
  <c r="D673" i="37"/>
  <c r="D720" i="37"/>
  <c r="D759" i="37"/>
  <c r="D766" i="37"/>
  <c r="D792" i="37"/>
  <c r="D804" i="37"/>
  <c r="D744" i="37"/>
  <c r="D680" i="37"/>
  <c r="D693" i="37"/>
  <c r="D703" i="37"/>
  <c r="D717" i="37"/>
  <c r="D652" i="37"/>
  <c r="D664" i="37"/>
  <c r="D715" i="37"/>
  <c r="D728" i="37"/>
  <c r="D730" i="37"/>
  <c r="D674" i="37"/>
  <c r="D583" i="37"/>
  <c r="D599" i="37"/>
  <c r="D615" i="37"/>
  <c r="D630" i="37"/>
  <c r="D526" i="37"/>
  <c r="D541" i="37"/>
  <c r="D552" i="37"/>
  <c r="D609" i="37"/>
  <c r="D659" i="37"/>
  <c r="D578" i="37"/>
  <c r="D581" i="37"/>
  <c r="D585" i="37"/>
  <c r="D625" i="37"/>
  <c r="D518" i="37"/>
  <c r="D512" i="37"/>
  <c r="D543" i="37"/>
  <c r="D554" i="37"/>
  <c r="D562" i="37"/>
  <c r="D567" i="37"/>
  <c r="D457" i="37"/>
  <c r="D470" i="37"/>
  <c r="D483" i="37"/>
  <c r="D496" i="37"/>
  <c r="D509" i="37"/>
  <c r="D545" i="37"/>
  <c r="D556" i="37"/>
  <c r="D524" i="37"/>
  <c r="D592" i="37"/>
  <c r="D454" i="37"/>
  <c r="D474" i="37"/>
  <c r="D477" i="37"/>
  <c r="D490" i="37"/>
  <c r="D503" i="37"/>
  <c r="D516" i="37"/>
  <c r="D416" i="37"/>
  <c r="D419" i="37"/>
  <c r="D432" i="37"/>
  <c r="D448" i="37"/>
  <c r="D461" i="37"/>
  <c r="D707" i="37"/>
  <c r="D538" i="37"/>
  <c r="D367" i="37"/>
  <c r="D382" i="37"/>
  <c r="D398" i="37"/>
  <c r="D497" i="37"/>
  <c r="D510" i="37"/>
  <c r="D534" i="37"/>
  <c r="D536" i="37"/>
  <c r="D657" i="37"/>
  <c r="D613" i="37"/>
  <c r="D455" i="37"/>
  <c r="D468" i="37"/>
  <c r="D481" i="37"/>
  <c r="D494" i="37"/>
  <c r="D514" i="37"/>
  <c r="D517" i="37"/>
  <c r="D525" i="37"/>
  <c r="D527" i="37"/>
  <c r="D540" i="37"/>
  <c r="D523" i="37"/>
  <c r="D611" i="37"/>
  <c r="D590" i="37"/>
  <c r="D488" i="37"/>
  <c r="D501" i="37"/>
  <c r="D466" i="37"/>
  <c r="D479" i="37"/>
  <c r="D482" i="37"/>
  <c r="D495" i="37"/>
  <c r="D508" i="37"/>
  <c r="D404" i="37"/>
  <c r="D421" i="37"/>
  <c r="D424" i="37"/>
  <c r="D437" i="37"/>
  <c r="D453" i="37"/>
  <c r="D628" i="37"/>
  <c r="D602" i="37"/>
  <c r="D642" i="37"/>
  <c r="D374" i="37"/>
  <c r="D388" i="37"/>
  <c r="D535" i="37"/>
  <c r="D598" i="37"/>
  <c r="D537" i="37"/>
  <c r="D564" i="37"/>
  <c r="D575" i="37"/>
  <c r="D506" i="37"/>
  <c r="D529" i="37"/>
  <c r="D558" i="37"/>
  <c r="D616" i="37"/>
  <c r="D533" i="37"/>
  <c r="D561" i="37"/>
  <c r="D577" i="37"/>
  <c r="D580" i="37"/>
  <c r="D593" i="37"/>
  <c r="D627" i="37"/>
  <c r="D563" i="37"/>
  <c r="D620" i="37"/>
  <c r="D566" i="37"/>
  <c r="D571" i="37"/>
  <c r="D519" i="37"/>
  <c r="D507" i="37"/>
  <c r="D568" i="37"/>
  <c r="D597" i="37"/>
  <c r="D522" i="37"/>
  <c r="D555" i="37"/>
  <c r="D631" i="37"/>
  <c r="D582" i="37"/>
  <c r="D640" i="37"/>
  <c r="D491" i="37"/>
  <c r="D504" i="37"/>
  <c r="D520" i="37"/>
  <c r="D530" i="37"/>
  <c r="D532" i="37"/>
  <c r="D546" i="37"/>
  <c r="D557" i="37"/>
  <c r="D469" i="37"/>
  <c r="D472" i="37"/>
  <c r="D485" i="37"/>
  <c r="D498" i="37"/>
  <c r="D511" i="37"/>
  <c r="D528" i="37"/>
  <c r="D570" i="37"/>
  <c r="D595" i="37"/>
  <c r="D600" i="37"/>
  <c r="D660" i="37"/>
  <c r="D386" i="37"/>
  <c r="D436" i="37"/>
  <c r="D451" i="37"/>
  <c r="D463" i="37"/>
  <c r="D576" i="37"/>
  <c r="D290" i="37"/>
  <c r="D303" i="37"/>
  <c r="D316" i="37"/>
  <c r="D332" i="37"/>
  <c r="D383" i="37"/>
  <c r="D484" i="37"/>
  <c r="D505" i="37"/>
  <c r="D365" i="37"/>
  <c r="D446" i="37"/>
  <c r="D287" i="37"/>
  <c r="D363" i="37"/>
  <c r="D369" i="37"/>
  <c r="D390" i="37"/>
  <c r="D407" i="37"/>
  <c r="D410" i="37"/>
  <c r="D310" i="37"/>
  <c r="D323" i="37"/>
  <c r="D342" i="37"/>
  <c r="D349" i="37"/>
  <c r="D361" i="37"/>
  <c r="D553" i="37"/>
  <c r="D415" i="37"/>
  <c r="D440" i="37"/>
  <c r="D462" i="37"/>
  <c r="D307" i="37"/>
  <c r="D417" i="37"/>
  <c r="D431" i="37"/>
  <c r="D433" i="37"/>
  <c r="D443" i="37"/>
  <c r="D489" i="37"/>
  <c r="D515" i="37"/>
  <c r="D327" i="37"/>
  <c r="D335" i="37"/>
  <c r="D352" i="37"/>
  <c r="D392" i="37"/>
  <c r="D445" i="37"/>
  <c r="D459" i="37"/>
  <c r="D478" i="37"/>
  <c r="D378" i="37"/>
  <c r="D435" i="37"/>
  <c r="D487" i="37"/>
  <c r="D350" i="37"/>
  <c r="D456" i="37"/>
  <c r="D502" i="37"/>
  <c r="D402" i="37"/>
  <c r="D387" i="37"/>
  <c r="D406" i="37"/>
  <c r="D426" i="37"/>
  <c r="D450" i="37"/>
  <c r="D473" i="37"/>
  <c r="D312" i="37"/>
  <c r="D315" i="37"/>
  <c r="D328" i="37"/>
  <c r="D364" i="37"/>
  <c r="D385" i="37"/>
  <c r="D250" i="37"/>
  <c r="D253" i="37"/>
  <c r="D268" i="37"/>
  <c r="D286" i="37"/>
  <c r="D299" i="37"/>
  <c r="D465" i="37"/>
  <c r="D513" i="37"/>
  <c r="D205" i="37"/>
  <c r="D222" i="37"/>
  <c r="D236" i="37"/>
  <c r="D442" i="37"/>
  <c r="D357" i="37"/>
  <c r="D362" i="37"/>
  <c r="D428" i="37"/>
  <c r="D447" i="37"/>
  <c r="D360" i="37"/>
  <c r="D373" i="37"/>
  <c r="D409" i="37"/>
  <c r="D412" i="37"/>
  <c r="D430" i="37"/>
  <c r="D493" i="37"/>
  <c r="D319" i="37"/>
  <c r="D337" i="37"/>
  <c r="D341" i="37"/>
  <c r="D348" i="37"/>
  <c r="D379" i="37"/>
  <c r="D396" i="37"/>
  <c r="D355" i="37"/>
  <c r="D452" i="37"/>
  <c r="D458" i="37"/>
  <c r="D500" i="37"/>
  <c r="D326" i="37"/>
  <c r="D346" i="37"/>
  <c r="D375" i="37"/>
  <c r="D377" i="37"/>
  <c r="D423" i="37"/>
  <c r="D486" i="37"/>
  <c r="D492" i="37"/>
  <c r="D381" i="37"/>
  <c r="D434" i="37"/>
  <c r="D320" i="37"/>
  <c r="D338" i="37"/>
  <c r="D400" i="37"/>
  <c r="D403" i="37"/>
  <c r="D405" i="37"/>
  <c r="D368" i="37"/>
  <c r="D372" i="37"/>
  <c r="D425" i="37"/>
  <c r="D427" i="37"/>
  <c r="D429" i="37"/>
  <c r="D311" i="37"/>
  <c r="D324" i="37"/>
  <c r="D343" i="37"/>
  <c r="D356" i="37"/>
  <c r="D359" i="37"/>
  <c r="D480" i="37"/>
  <c r="D499" i="37"/>
  <c r="D279" i="37"/>
  <c r="D283" i="37"/>
  <c r="D298" i="37"/>
  <c r="D366" i="37"/>
  <c r="D460" i="37"/>
  <c r="D464" i="37"/>
  <c r="D467" i="37"/>
  <c r="D476" i="37"/>
  <c r="D376" i="37"/>
  <c r="D389" i="37"/>
  <c r="D391" i="37"/>
  <c r="D393" i="37"/>
  <c r="D347" i="37"/>
  <c r="D302" i="37"/>
  <c r="D305" i="37"/>
  <c r="D318" i="37"/>
  <c r="D336" i="37"/>
  <c r="D353" i="37"/>
  <c r="D449" i="37"/>
  <c r="D475" i="37"/>
  <c r="D444" i="37"/>
  <c r="D521" i="37"/>
  <c r="D289" i="37"/>
  <c r="D471" i="37"/>
  <c r="D399" i="37"/>
  <c r="D418" i="37"/>
  <c r="D420" i="37"/>
  <c r="D422" i="37"/>
  <c r="D237" i="37"/>
  <c r="D252" i="37"/>
  <c r="D274" i="37"/>
  <c r="D282" i="37"/>
  <c r="D321" i="37"/>
  <c r="D262" i="37"/>
  <c r="D306" i="37"/>
  <c r="D397" i="37"/>
  <c r="D188" i="37"/>
  <c r="D235" i="37"/>
  <c r="D264" i="37"/>
  <c r="D270" i="37"/>
  <c r="D295" i="37"/>
  <c r="D345" i="37"/>
  <c r="D254" i="37"/>
  <c r="D258" i="37"/>
  <c r="D281" i="37"/>
  <c r="D210" i="37"/>
  <c r="D212" i="37"/>
  <c r="D256" i="37"/>
  <c r="D176" i="37"/>
  <c r="D195" i="37"/>
  <c r="D204" i="37"/>
  <c r="D206" i="37"/>
  <c r="D228" i="37"/>
  <c r="D119" i="37"/>
  <c r="D132" i="37"/>
  <c r="D135" i="37"/>
  <c r="D148" i="37"/>
  <c r="D161" i="37"/>
  <c r="D325" i="37"/>
  <c r="D187" i="37"/>
  <c r="D309" i="37"/>
  <c r="D89" i="37"/>
  <c r="D106" i="37"/>
  <c r="D193" i="37"/>
  <c r="D220" i="37"/>
  <c r="D239" i="37"/>
  <c r="D301" i="37"/>
  <c r="D313" i="37"/>
  <c r="D126" i="37"/>
  <c r="D139" i="37"/>
  <c r="D152" i="37"/>
  <c r="D155" i="37"/>
  <c r="D170" i="37"/>
  <c r="D57" i="37"/>
  <c r="D75" i="37"/>
  <c r="D94" i="37"/>
  <c r="D97" i="37"/>
  <c r="D113" i="37"/>
  <c r="D214" i="37"/>
  <c r="D224" i="37"/>
  <c r="D241" i="37"/>
  <c r="D288" i="37"/>
  <c r="D42" i="37"/>
  <c r="D317" i="37"/>
  <c r="D340" i="37"/>
  <c r="D185" i="37"/>
  <c r="D203" i="37"/>
  <c r="D207" i="37"/>
  <c r="D293" i="37"/>
  <c r="D238" i="37"/>
  <c r="D255" i="37"/>
  <c r="D263" i="37"/>
  <c r="D297" i="37"/>
  <c r="D202" i="37"/>
  <c r="D209" i="37"/>
  <c r="D211" i="37"/>
  <c r="D213" i="37"/>
  <c r="D265" i="37"/>
  <c r="D198" i="37"/>
  <c r="D229" i="37"/>
  <c r="D257" i="37"/>
  <c r="D296" i="37"/>
  <c r="D322" i="37"/>
  <c r="D166" i="37"/>
  <c r="D174" i="37"/>
  <c r="D201" i="37"/>
  <c r="D233" i="37"/>
  <c r="D269" i="37"/>
  <c r="D37" i="37"/>
  <c r="D69" i="37"/>
  <c r="D84" i="37"/>
  <c r="D144" i="37"/>
  <c r="D151" i="37"/>
  <c r="D380" i="37"/>
  <c r="D146" i="37"/>
  <c r="D153" i="37"/>
  <c r="D182" i="37"/>
  <c r="D249" i="37"/>
  <c r="D137" i="37"/>
  <c r="D158" i="37"/>
  <c r="D171" i="37"/>
  <c r="D208" i="37"/>
  <c r="D294" i="37"/>
  <c r="D304" i="37"/>
  <c r="D53" i="37"/>
  <c r="D66" i="37"/>
  <c r="D82" i="37"/>
  <c r="D130" i="37"/>
  <c r="D197" i="37"/>
  <c r="D218" i="37"/>
  <c r="D223" i="37"/>
  <c r="D232" i="37"/>
  <c r="D242" i="37"/>
  <c r="D35" i="37"/>
  <c r="D124" i="37"/>
  <c r="D128" i="37"/>
  <c r="D168" i="37"/>
  <c r="D191" i="37"/>
  <c r="D261" i="37"/>
  <c r="D18" i="37"/>
  <c r="D63" i="37"/>
  <c r="D10" i="37"/>
  <c r="D25" i="37"/>
  <c r="D111" i="37"/>
  <c r="D115" i="37"/>
  <c r="D122" i="37"/>
  <c r="D227" i="37"/>
  <c r="D247" i="37"/>
  <c r="D109" i="37"/>
  <c r="D141" i="37"/>
  <c r="D43" i="37"/>
  <c r="D56" i="37"/>
  <c r="D79" i="37"/>
  <c r="D194" i="37"/>
  <c r="D267" i="37"/>
  <c r="D163" i="37"/>
  <c r="D275" i="37"/>
  <c r="D95" i="37"/>
  <c r="D107" i="37"/>
  <c r="D143" i="37"/>
  <c r="D150" i="37"/>
  <c r="D160" i="37"/>
  <c r="D179" i="37"/>
  <c r="D292" i="37"/>
  <c r="D314" i="37"/>
  <c r="D33" i="37"/>
  <c r="D72" i="37"/>
  <c r="D93" i="37"/>
  <c r="D54" i="37"/>
  <c r="D90" i="37"/>
  <c r="D173" i="37"/>
  <c r="D200" i="37"/>
  <c r="D260" i="37"/>
  <c r="D87" i="37"/>
  <c r="D291" i="37"/>
  <c r="D23" i="37"/>
  <c r="D27" i="37"/>
  <c r="D41" i="37"/>
  <c r="D167" i="37"/>
  <c r="D246" i="37"/>
  <c r="D300" i="37"/>
  <c r="D351" i="37"/>
  <c r="D60" i="37"/>
  <c r="D21" i="37"/>
  <c r="D16" i="37"/>
  <c r="D31" i="37"/>
  <c r="D45" i="37"/>
  <c r="D145" i="37"/>
  <c r="D55" i="37"/>
  <c r="D28" i="37"/>
  <c r="D13" i="37"/>
  <c r="D46" i="37"/>
  <c r="D17" i="37"/>
  <c r="D48" i="37"/>
  <c r="D34" i="37"/>
  <c r="D169" i="37"/>
  <c r="D142" i="37"/>
  <c r="D96" i="37"/>
  <c r="D149" i="37"/>
  <c r="D112" i="37"/>
  <c r="D103" i="37"/>
  <c r="D100" i="37"/>
  <c r="D65" i="37"/>
  <c r="D277" i="37"/>
  <c r="D243" i="37"/>
  <c r="D189" i="37"/>
  <c r="D186" i="37"/>
  <c r="D156" i="37"/>
  <c r="D19" i="37"/>
  <c r="D278" i="37"/>
  <c r="D116" i="37"/>
  <c r="D114" i="37"/>
  <c r="D105" i="37"/>
  <c r="D147" i="37"/>
  <c r="D129" i="37"/>
  <c r="D127" i="37"/>
  <c r="D118" i="37"/>
  <c r="D80" i="37"/>
  <c r="D15" i="37"/>
  <c r="D12" i="37"/>
  <c r="D244" i="37"/>
  <c r="D234" i="37"/>
  <c r="D154" i="37"/>
  <c r="D120" i="37"/>
  <c r="D67" i="37"/>
  <c r="D51" i="37"/>
  <c r="D36" i="37"/>
  <c r="D30" i="37"/>
  <c r="D183" i="37"/>
  <c r="D180" i="37"/>
  <c r="D162" i="37"/>
  <c r="D159" i="37"/>
  <c r="D131" i="37"/>
  <c r="D308" i="37"/>
  <c r="D192" i="37"/>
  <c r="D133" i="37"/>
  <c r="D83" i="37"/>
  <c r="D59" i="37"/>
  <c r="D199" i="37"/>
  <c r="D177" i="37"/>
  <c r="D157" i="37"/>
  <c r="D47" i="37"/>
  <c r="D22" i="37"/>
  <c r="D251" i="37"/>
  <c r="D184" i="37"/>
  <c r="D86" i="37"/>
  <c r="D70" i="37"/>
  <c r="D39" i="37"/>
  <c r="D50" i="37"/>
  <c r="D32" i="37"/>
  <c r="D29" i="37"/>
  <c r="D14" i="37"/>
  <c r="D272" i="37"/>
  <c r="D196" i="37"/>
  <c r="D172" i="37"/>
  <c r="D102" i="37"/>
  <c r="D91" i="37"/>
  <c r="D62" i="37"/>
  <c r="D240" i="37"/>
  <c r="D226" i="37"/>
  <c r="D181" i="37"/>
  <c r="D108" i="37"/>
  <c r="D230" i="37"/>
  <c r="D24" i="37"/>
  <c r="D110" i="37"/>
  <c r="D104" i="37"/>
  <c r="D74" i="37"/>
  <c r="D245" i="37"/>
  <c r="D175" i="37"/>
  <c r="D123" i="37"/>
  <c r="D121" i="37"/>
  <c r="D117" i="37"/>
  <c r="D58" i="37"/>
  <c r="D52" i="37"/>
  <c r="D273" i="37"/>
  <c r="D231" i="37"/>
  <c r="D221" i="37"/>
  <c r="D178" i="37"/>
  <c r="D138" i="37"/>
  <c r="D136" i="37"/>
  <c r="D134" i="37"/>
  <c r="D125" i="37"/>
  <c r="D78" i="37"/>
  <c r="D1245" i="37"/>
  <c r="D190" i="37"/>
  <c r="D140" i="37"/>
  <c r="D52" i="40" l="1"/>
  <c r="D58" i="40"/>
  <c r="D74" i="40"/>
  <c r="D24" i="40"/>
  <c r="D62" i="40"/>
  <c r="D14" i="40"/>
  <c r="D29" i="40"/>
  <c r="D32" i="40"/>
  <c r="D50" i="40"/>
  <c r="D39" i="40"/>
  <c r="D70" i="40"/>
  <c r="D22" i="40"/>
  <c r="D47" i="40"/>
  <c r="D59" i="40"/>
  <c r="D30" i="40"/>
  <c r="D36" i="40"/>
  <c r="D51" i="40"/>
  <c r="D67" i="40"/>
  <c r="D12" i="40"/>
  <c r="D15" i="40"/>
  <c r="D19" i="40"/>
  <c r="D65" i="40"/>
  <c r="D34" i="40"/>
  <c r="D48" i="40"/>
  <c r="D17" i="40"/>
  <c r="D46" i="40"/>
  <c r="D13" i="40"/>
  <c r="D28" i="40"/>
  <c r="D55" i="40"/>
  <c r="D45" i="40"/>
  <c r="D31" i="40"/>
  <c r="D16" i="40"/>
  <c r="D21" i="40"/>
  <c r="D60" i="40"/>
  <c r="D98" i="40"/>
  <c r="D41" i="40"/>
  <c r="D27" i="40"/>
  <c r="D23" i="40"/>
  <c r="D54" i="40"/>
  <c r="D72" i="40"/>
  <c r="D33" i="40"/>
  <c r="D56" i="40"/>
  <c r="D43" i="40"/>
  <c r="D25" i="40"/>
  <c r="D10" i="40"/>
  <c r="D79" i="40" s="1"/>
  <c r="D63" i="40"/>
  <c r="D18" i="40"/>
  <c r="D35" i="40"/>
  <c r="D66" i="40"/>
  <c r="D53" i="40"/>
  <c r="D127" i="40"/>
  <c r="D69" i="40"/>
  <c r="D37" i="40"/>
  <c r="D87" i="40"/>
  <c r="D42" i="40"/>
  <c r="D75" i="40"/>
  <c r="D57" i="40"/>
  <c r="D92" i="40"/>
  <c r="D144" i="40"/>
  <c r="D146" i="40"/>
  <c r="D100" i="40"/>
  <c r="D83" i="40"/>
  <c r="D94" i="40"/>
  <c r="D140" i="40"/>
  <c r="D138" i="40"/>
  <c r="D136" i="40"/>
  <c r="D123" i="40"/>
  <c r="D113" i="40"/>
  <c r="D106" i="40"/>
  <c r="D103" i="40"/>
  <c r="D90" i="40"/>
  <c r="D119" i="40"/>
  <c r="D115" i="40"/>
  <c r="D152" i="40"/>
  <c r="D150" i="40"/>
  <c r="D147" i="40"/>
  <c r="D85" i="40"/>
  <c r="D128" i="40"/>
  <c r="D124" i="40"/>
  <c r="D122" i="40"/>
  <c r="D93" i="40"/>
  <c r="D102" i="40"/>
  <c r="D143" i="40"/>
  <c r="D126" i="40"/>
  <c r="D95" i="40"/>
  <c r="D88" i="40"/>
  <c r="D84" i="40"/>
  <c r="D159" i="40"/>
  <c r="D156" i="40"/>
  <c r="D120" i="40"/>
  <c r="D107" i="40"/>
  <c r="D109" i="40"/>
  <c r="D104" i="40"/>
  <c r="D132" i="40"/>
  <c r="D111" i="40"/>
  <c r="D153" i="40"/>
  <c r="D134" i="40"/>
  <c r="D149" i="40"/>
  <c r="D97" i="40"/>
  <c r="D125" i="40"/>
  <c r="D139" i="40"/>
  <c r="D99" i="40"/>
  <c r="D82" i="40"/>
  <c r="D108" i="40"/>
  <c r="D96" i="40"/>
  <c r="D89" i="40"/>
  <c r="D157" i="40"/>
  <c r="D154" i="40"/>
  <c r="D137" i="40"/>
  <c r="D116" i="40"/>
  <c r="D110" i="40"/>
  <c r="D112" i="40"/>
  <c r="D130" i="40"/>
  <c r="D133" i="40"/>
  <c r="D135" i="40"/>
  <c r="D121" i="40"/>
  <c r="D151" i="40"/>
  <c r="D145" i="40"/>
  <c r="D129" i="40"/>
  <c r="D114" i="40"/>
</calcChain>
</file>

<file path=xl/sharedStrings.xml><?xml version="1.0" encoding="utf-8"?>
<sst xmlns="http://schemas.openxmlformats.org/spreadsheetml/2006/main" count="10741" uniqueCount="10373">
  <si>
    <t>Assets Under Management - Cash Flows &amp; Dividends</t>
  </si>
  <si>
    <t>Assets Under Management - Market Appreciation / (Depreciation)</t>
  </si>
  <si>
    <t>Def. Benefit Total Cost of Supple Plans</t>
  </si>
  <si>
    <t>Def. Benefit Total Cost Incl. Supple Plans</t>
  </si>
  <si>
    <t>Provision for Doubtful Accounts - Patient Service Revenue</t>
  </si>
  <si>
    <t>General Partner - Common Equity</t>
  </si>
  <si>
    <t>General Partner - Preferred Equity</t>
  </si>
  <si>
    <t>General Partner - Minority Interest</t>
  </si>
  <si>
    <t>General Partner Interest (Supple)</t>
  </si>
  <si>
    <t>Depreciation And Amortization Notes for Partial CF</t>
  </si>
  <si>
    <t>Amortization Of Goodwill Notes for Partial CF</t>
  </si>
  <si>
    <t>Assets Under Management - Acquisitions and Transfers</t>
  </si>
  <si>
    <t>Assets Under Management - Other Adjustments</t>
  </si>
  <si>
    <t>Assets Under Management - End of Period</t>
  </si>
  <si>
    <t>Assets Under Management - Average</t>
  </si>
  <si>
    <t>Assets Under Management - Net Change</t>
  </si>
  <si>
    <t>Contingent Rental Expense</t>
  </si>
  <si>
    <t>Short-Term Borrowing Derivatives</t>
  </si>
  <si>
    <t>Curr. Port. of LT Debt Derivatives</t>
  </si>
  <si>
    <t>Long-Term Debt Derivatives</t>
  </si>
  <si>
    <t>Current Derivative Assets</t>
  </si>
  <si>
    <t>Long-Term Derivative Assets</t>
  </si>
  <si>
    <t>Gross Intangible Assets</t>
  </si>
  <si>
    <t>Accumulated Amortization of Intangible Assets</t>
  </si>
  <si>
    <t>Gross Goodwill</t>
  </si>
  <si>
    <t>Accumulated Amortization of Goodwill</t>
  </si>
  <si>
    <t>Aircraft Rental Expense</t>
  </si>
  <si>
    <t>Current Derivative Liabilities</t>
  </si>
  <si>
    <t>Non-Current Derivative Liabilities</t>
  </si>
  <si>
    <t>Derivative Trading Asset Securities</t>
  </si>
  <si>
    <t>Total Assets Under Management</t>
  </si>
  <si>
    <t>Net Income to Company</t>
  </si>
  <si>
    <t>Net Income to Parent</t>
  </si>
  <si>
    <t>Earnings to Parent before Extraordinary Items</t>
  </si>
  <si>
    <t>Redeemable Minority Interest</t>
  </si>
  <si>
    <t>Finance Division Redeemable Minority Interest</t>
  </si>
  <si>
    <t>Total Redeemable Minority Interest</t>
  </si>
  <si>
    <t>Finance Division Minority Interest</t>
  </si>
  <si>
    <t>Capitalized/Purchased Software</t>
  </si>
  <si>
    <t>Minimum Rental Expense</t>
  </si>
  <si>
    <t>Other Rental Expense</t>
  </si>
  <si>
    <t>Depreciation of Rental Assets</t>
  </si>
  <si>
    <t>Sale Proceeds from Rental Assets</t>
  </si>
  <si>
    <t>Cash Flow per Share</t>
  </si>
  <si>
    <t>Net Cash from Discontinued Ops. - Investing</t>
  </si>
  <si>
    <t>Net Cash from Discontinued Ops. - Financing</t>
  </si>
  <si>
    <t>Net Rental Expense, Total</t>
  </si>
  <si>
    <t>NYSE:IBM</t>
  </si>
  <si>
    <t>Net Rental Expense</t>
  </si>
  <si>
    <t>Net Rental Expense (Supple)</t>
  </si>
  <si>
    <t>Fees and Other Income</t>
  </si>
  <si>
    <t>Source: S&amp;P Capital IQ</t>
  </si>
  <si>
    <t>Time Period</t>
  </si>
  <si>
    <t>EQUITY</t>
  </si>
  <si>
    <t>Conversion</t>
  </si>
  <si>
    <t>Currency</t>
  </si>
  <si>
    <t>Date</t>
  </si>
  <si>
    <t>(EBITDA-Capex)</t>
  </si>
  <si>
    <t>Amortization of Negative Goodwill</t>
  </si>
  <si>
    <t>Amortization of Negative Goodwill - After Tax</t>
  </si>
  <si>
    <t>Book Value/Share (Reported)</t>
  </si>
  <si>
    <t>Accounts Receivables - Unbilled</t>
  </si>
  <si>
    <t>Mutual Fund - Beginning of Period</t>
  </si>
  <si>
    <t>Mutual Fund - Sales</t>
  </si>
  <si>
    <t>Mutual Fund - Redemptions</t>
  </si>
  <si>
    <t>Mutual Fund - Net Sales</t>
  </si>
  <si>
    <t>Mutual Fund - Market Appreciation / (Depreciation)</t>
  </si>
  <si>
    <t>Mutual Fund - Acquisitions and Other</t>
  </si>
  <si>
    <t>Mutual Fund - End of Period</t>
  </si>
  <si>
    <t>Daily Average Revenue Trades</t>
  </si>
  <si>
    <t>Number of Trades Executed</t>
  </si>
  <si>
    <t>Organic Growth Rate</t>
  </si>
  <si>
    <t>Net New Client Assets</t>
  </si>
  <si>
    <t>Average Revenue Per Trade</t>
  </si>
  <si>
    <t>Assets Under Administration</t>
  </si>
  <si>
    <t>Value of Customer Assets</t>
  </si>
  <si>
    <t>Asset Managed Growth Rate</t>
  </si>
  <si>
    <t>Net Income</t>
  </si>
  <si>
    <t>ASSETS</t>
  </si>
  <si>
    <t>Total Current Assets</t>
  </si>
  <si>
    <t>LIABILITIES</t>
  </si>
  <si>
    <t>Total Equity</t>
  </si>
  <si>
    <t>Common Stock</t>
  </si>
  <si>
    <t>Cash Interest Paid</t>
  </si>
  <si>
    <t>Cash Taxes Paid</t>
  </si>
  <si>
    <t>Accounts Payable</t>
  </si>
  <si>
    <t>Total Debt</t>
  </si>
  <si>
    <t>Interest Expense</t>
  </si>
  <si>
    <t>Gross Profit</t>
  </si>
  <si>
    <t>Treasury Stock</t>
  </si>
  <si>
    <t>Accounts Receivable</t>
  </si>
  <si>
    <t>Goodwill</t>
  </si>
  <si>
    <t>Revenues</t>
  </si>
  <si>
    <t>Total Revenues</t>
  </si>
  <si>
    <t>R &amp; D Exp.</t>
  </si>
  <si>
    <t>Depreciation &amp; Amort., Total</t>
  </si>
  <si>
    <t>Other Operating Expense/(Income)</t>
  </si>
  <si>
    <t>Other Operating Exp., Total</t>
  </si>
  <si>
    <t>Operating Income</t>
  </si>
  <si>
    <t>Interest and Invest. Income</t>
  </si>
  <si>
    <t>Net Interest Exp.</t>
  </si>
  <si>
    <t>EBT Excl Unusual Items</t>
  </si>
  <si>
    <t>Impairment of Goodwill</t>
  </si>
  <si>
    <t>Gain (Loss) On Sale Of Invest.</t>
  </si>
  <si>
    <t>Gain (Loss) On Sale Of Assets</t>
  </si>
  <si>
    <t>EBT Incl Unusual Items</t>
  </si>
  <si>
    <t>Income Tax Expense</t>
  </si>
  <si>
    <t>Earnings from Cont. Ops.</t>
  </si>
  <si>
    <t>Earnings of Discontinued Ops.</t>
  </si>
  <si>
    <t>Extraord. Item &amp; Account. Change</t>
  </si>
  <si>
    <t>Pref. Dividends and Other Adj.</t>
  </si>
  <si>
    <t>NI to Common Incl Extra Items</t>
  </si>
  <si>
    <t>NI to Common Excl Extra Items</t>
  </si>
  <si>
    <t>Basic EPS</t>
  </si>
  <si>
    <t>Basic EPS Excl. Extra Items</t>
  </si>
  <si>
    <t>Weighted Avg. Basic Shares Out.</t>
  </si>
  <si>
    <t>Diluted EPS</t>
  </si>
  <si>
    <t>Diluted EPS Excl Extra Items</t>
  </si>
  <si>
    <t>Weighted Avg. Diluted Shares Out.</t>
  </si>
  <si>
    <t>Supplemental Items</t>
  </si>
  <si>
    <t>EBITDA</t>
  </si>
  <si>
    <t>Cash And Equivalents</t>
  </si>
  <si>
    <t>Short Term Investments</t>
  </si>
  <si>
    <t>Total Cash &amp; ST Investments</t>
  </si>
  <si>
    <t>Notes Receivable</t>
  </si>
  <si>
    <t>Total Receivables</t>
  </si>
  <si>
    <t>Inventory</t>
  </si>
  <si>
    <t>Prepaid Exp.</t>
  </si>
  <si>
    <t>Gross Property, Plant &amp; Equipment</t>
  </si>
  <si>
    <t>Accumulated Depreciation</t>
  </si>
  <si>
    <t>Net Property, Plant &amp; Equipment</t>
  </si>
  <si>
    <t>Other Intangibles</t>
  </si>
  <si>
    <t>Accrued Exp.</t>
  </si>
  <si>
    <t>Total Current Liabilities</t>
  </si>
  <si>
    <t>Retained Earnings</t>
  </si>
  <si>
    <t>Total Common Equity</t>
  </si>
  <si>
    <t>Total Liabilities And Equity</t>
  </si>
  <si>
    <t>Book Value/Share</t>
  </si>
  <si>
    <t>Net Debt</t>
  </si>
  <si>
    <t>Cash from Ops.</t>
  </si>
  <si>
    <t>Capital Expenditure</t>
  </si>
  <si>
    <t>Sale of Property, Plant, and Equipment</t>
  </si>
  <si>
    <t>Cash Acquisitions</t>
  </si>
  <si>
    <t>Divestitures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</si>
  <si>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</si>
  <si>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</si>
  <si>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</si>
  <si>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</si>
  <si>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</si>
  <si>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</si>
  <si>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</si>
  <si>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</si>
  <si>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</t>
  </si>
  <si>
    <t>Issuance of Pref. Stock</t>
  </si>
  <si>
    <t>Repurchase of Preferred</t>
  </si>
  <si>
    <t>Total Dividends Paid</t>
  </si>
  <si>
    <t>Cash from Financing</t>
  </si>
  <si>
    <t>Net Change in Cash</t>
  </si>
  <si>
    <t>Net Debt Issued</t>
  </si>
  <si>
    <t>Other Revenues</t>
  </si>
  <si>
    <t>Cost Of Goods Sold</t>
  </si>
  <si>
    <t>Selling General &amp; Admin Exp.</t>
  </si>
  <si>
    <t>Depreciation &amp; Amort.</t>
  </si>
  <si>
    <t>Other Non-Operating Inc. (Exp.)</t>
  </si>
  <si>
    <t>Merger &amp; Related Restruct. Charges</t>
  </si>
  <si>
    <t>Other Unusual Items</t>
  </si>
  <si>
    <t>Deferred Tax Assets, Curr.</t>
  </si>
  <si>
    <t>Other Current Assets</t>
  </si>
  <si>
    <t>Loans Receivable Long-Term</t>
  </si>
  <si>
    <t>Deferred Tax Assets, LT</t>
  </si>
  <si>
    <t>Other Long-Term Assets</t>
  </si>
  <si>
    <t>Unearned Revenue, Current</t>
  </si>
  <si>
    <t>Other Current Liabilities</t>
  </si>
  <si>
    <t>Def. Tax Liability, Non-Curr.</t>
  </si>
  <si>
    <t>Other Non-Current Liabilities</t>
  </si>
  <si>
    <t>Additional Paid In Capital</t>
  </si>
  <si>
    <t>Comprehensive Inc. and Other</t>
  </si>
  <si>
    <t>Amort. of Goodwill and Intangibles</t>
  </si>
  <si>
    <t>(Gain) Loss On Sale Of Invest.</t>
  </si>
  <si>
    <t>Tax Benefit from Stock Options</t>
  </si>
  <si>
    <t>Change in Acc. Receivable</t>
  </si>
  <si>
    <t>Change In Inventories</t>
  </si>
  <si>
    <t>Change in Acc. Payable</t>
  </si>
  <si>
    <t>Change in Unearned Rev.</t>
  </si>
  <si>
    <t>Change in Def. Taxes</t>
  </si>
  <si>
    <t>Net (Inc.) Dec. in Loans Originated/Sold</t>
  </si>
  <si>
    <t>Other Investing Activities</t>
  </si>
  <si>
    <t>Common Dividends Paid</t>
  </si>
  <si>
    <t>Pref. Dividends Paid</t>
  </si>
  <si>
    <t>Common and/or Pref. Dividends Paid</t>
  </si>
  <si>
    <t>Special Dividend Paid</t>
  </si>
  <si>
    <t>Other Financing Activities</t>
  </si>
  <si>
    <t>Foreign Exchange Rate Adj.</t>
  </si>
  <si>
    <t>Finance Div. Revenues</t>
  </si>
  <si>
    <t>Insurance Div. Revenues</t>
  </si>
  <si>
    <t>Interest And Invest. Income (Rev)</t>
  </si>
  <si>
    <t>Finance Div. Operating Exp.</t>
  </si>
  <si>
    <t>Insurance Div. Operating Exp.</t>
  </si>
  <si>
    <t>Interest Expense - Finance Division</t>
  </si>
  <si>
    <t>Income / (Loss) from Affiliates</t>
  </si>
  <si>
    <t>Currency Exchange Gains (Loss)</t>
  </si>
  <si>
    <t>Restructuring Charges</t>
  </si>
  <si>
    <t>Asset Writedown</t>
  </si>
  <si>
    <t>Insurance Settlements</t>
  </si>
  <si>
    <t>Legal Settlements</t>
  </si>
  <si>
    <t>Minority Int. in Earnings</t>
  </si>
  <si>
    <t>Trading Asset Securities</t>
  </si>
  <si>
    <t>Other Receivables</t>
  </si>
  <si>
    <t>Finance Div. Loans and Leases, ST</t>
  </si>
  <si>
    <t>Finance Div. Other Curr. Assets</t>
  </si>
  <si>
    <t>Loans Held For Sale</t>
  </si>
  <si>
    <t>Restricted Cash</t>
  </si>
  <si>
    <t>Long-term Investments</t>
  </si>
  <si>
    <t>Finance Div. Loans and Leases, LT</t>
  </si>
  <si>
    <t>Finance Div. Other LT Assets</t>
  </si>
  <si>
    <t>Accounts Receivable Long-Term</t>
  </si>
  <si>
    <t>Deferred Charges, LT</t>
  </si>
  <si>
    <t>Short-term Borrowings</t>
  </si>
  <si>
    <t>Current Portion of Long Term Debt</t>
  </si>
  <si>
    <t>Finance Div. Debt Current</t>
  </si>
  <si>
    <t>Finance Div. Other Curr. Liab.</t>
  </si>
  <si>
    <t>Curr. Income Taxes Payable</t>
  </si>
  <si>
    <t>Def. Tax Liability, Curr.</t>
  </si>
  <si>
    <t>Long-Term Debt</t>
  </si>
  <si>
    <t>Minority Interest</t>
  </si>
  <si>
    <t>Finance Div. Debt Non-Curr.</t>
  </si>
  <si>
    <t>Finance Div. Other Non-Curr. Liab.</t>
  </si>
  <si>
    <t>Unearned Revenue, Non-Current</t>
  </si>
  <si>
    <t>Pension &amp; Other Post-Retire. Benefits</t>
  </si>
  <si>
    <t>Pref. Stock, Redeemable</t>
  </si>
  <si>
    <t>Pref. Stock, Non-Redeem.</t>
  </si>
  <si>
    <t>Pref. Stock, Convertible</t>
  </si>
  <si>
    <t>Pref. Stock, Other</t>
  </si>
  <si>
    <t>Impair. of Oil, Gas &amp; Mineral Prop.</t>
  </si>
  <si>
    <t>(Gain) Loss From Sale Of Asset</t>
  </si>
  <si>
    <t>Asset Writedown &amp; Restructuring Costs</t>
  </si>
  <si>
    <t>Net (Increase) Decrease in Loans Orig./Sold</t>
  </si>
  <si>
    <t>Provision for Credit Losses</t>
  </si>
  <si>
    <t>(Income) Loss on Equity Invest.</t>
  </si>
  <si>
    <t>Stock-Based Compensation</t>
  </si>
  <si>
    <t>Provision &amp; Write-off of Bad debts</t>
  </si>
  <si>
    <t>Net Cash From Discontinued Ops.</t>
  </si>
  <si>
    <t>Other Operating Activities</t>
  </si>
  <si>
    <t>Change in Trad. Asset Securities</t>
  </si>
  <si>
    <t>Change in Inc. Taxes</t>
  </si>
  <si>
    <t>Exploration/Drilling Costs</t>
  </si>
  <si>
    <t>Provision for Bad Debts</t>
  </si>
  <si>
    <t>Pre-Opening Costs</t>
  </si>
  <si>
    <t>Misc. Cash Flow Adj.</t>
  </si>
  <si>
    <t>Net Income per SFAS 123 (after Options)</t>
  </si>
  <si>
    <t>Ticker</t>
  </si>
  <si>
    <t>As-Reported Total Revenue</t>
  </si>
  <si>
    <t>Filing Date</t>
  </si>
  <si>
    <t>Tangible Book Value/Share</t>
  </si>
  <si>
    <t>Total Capitalization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</si>
  <si>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</si>
  <si>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</si>
  <si>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</si>
  <si>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</si>
  <si>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</si>
  <si>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</si>
  <si>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</si>
  <si>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</si>
  <si>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RATIOS</t>
  </si>
  <si>
    <t>PROFITABILITY</t>
  </si>
  <si>
    <t>Return on Assets (%)</t>
  </si>
  <si>
    <t>Return on Capital (%)</t>
  </si>
  <si>
    <t>Return on Equity (%)</t>
  </si>
  <si>
    <t>MARGIN ANALYSIS</t>
  </si>
  <si>
    <t>Gross Margin (%)</t>
  </si>
  <si>
    <t>EBITDA Margin (%)</t>
  </si>
  <si>
    <t>EBIT Margin (%)</t>
  </si>
  <si>
    <t>Net Income Margin (%)</t>
  </si>
  <si>
    <t>Total Asset Turnover</t>
  </si>
  <si>
    <t>Fixed Asset Turnover</t>
  </si>
  <si>
    <t>Accounts Receivable Turnover</t>
  </si>
  <si>
    <t>Inventory Turnover</t>
  </si>
  <si>
    <t>ASSET TURNOVER</t>
  </si>
  <si>
    <t>SHORT-TERM LIQUIDITY</t>
  </si>
  <si>
    <t>Current Ratio</t>
  </si>
  <si>
    <t>Quick Ratio</t>
  </si>
  <si>
    <t>Avg. Cash Conversion Cycle</t>
  </si>
  <si>
    <t>LONG-TERM SOLVENCY</t>
  </si>
  <si>
    <t>EBIT / Interest Expense</t>
  </si>
  <si>
    <t>Total Debt / EBITDA</t>
  </si>
  <si>
    <t>Net Debt / EBITDA</t>
  </si>
  <si>
    <t>Altman Z Score</t>
  </si>
  <si>
    <t>GROWTH OVER PRIOR YEAR</t>
  </si>
  <si>
    <t>Total Revenue (%)</t>
  </si>
  <si>
    <t>Gross Profit (%)</t>
  </si>
  <si>
    <t>EBITDA (%)</t>
  </si>
  <si>
    <t>EBIT (%)</t>
  </si>
  <si>
    <t>Net Income (%)</t>
  </si>
  <si>
    <t>Diluted EPS before Extra (%)</t>
  </si>
  <si>
    <t>CAGR (3 YEAR)</t>
  </si>
  <si>
    <t>CAGR (5 YEAR)</t>
  </si>
  <si>
    <t>EBITDA / Interest Expense</t>
  </si>
  <si>
    <t>(EBITDA-CAPEX) / Interest Expense</t>
  </si>
  <si>
    <t>Avg. Days Sales Outstanding</t>
  </si>
  <si>
    <t>Avg. Days Inventory Outstanding</t>
  </si>
  <si>
    <t>Avg. Days Payable Outstanding</t>
  </si>
  <si>
    <t>Cash from Operations to Currrent Liabilities</t>
  </si>
  <si>
    <t>Total Debt / Equity (%)</t>
  </si>
  <si>
    <t>Total Debt / Capital (%)</t>
  </si>
  <si>
    <t>LT Debt / Equity (%)</t>
  </si>
  <si>
    <t>LT Debt / Capital (%)</t>
  </si>
  <si>
    <t>Total Liabilities / Total Assets (%)</t>
  </si>
  <si>
    <t>Dates</t>
  </si>
  <si>
    <t>Trading Data</t>
  </si>
  <si>
    <t>EV Calculation</t>
  </si>
  <si>
    <t>Financial Data</t>
  </si>
  <si>
    <t>Trading Multiples</t>
  </si>
  <si>
    <t>Margin Analysis (%)</t>
  </si>
  <si>
    <t>LTM Growth Rates (%)</t>
  </si>
  <si>
    <t>Leverage and Coverage</t>
  </si>
  <si>
    <t>LTM Profitability (%)</t>
  </si>
  <si>
    <t>Stock Price</t>
  </si>
  <si>
    <t>% of</t>
  </si>
  <si>
    <t>Total Revenue</t>
  </si>
  <si>
    <t>PE</t>
  </si>
  <si>
    <t>Price /</t>
  </si>
  <si>
    <t>Gross Margin</t>
  </si>
  <si>
    <t>EBITDA Margin</t>
  </si>
  <si>
    <t>Net Income Margin</t>
  </si>
  <si>
    <t>EPS</t>
  </si>
  <si>
    <t>Total Debt/</t>
  </si>
  <si>
    <t>Net Debt/</t>
  </si>
  <si>
    <t>(Debt+Pref)/</t>
  </si>
  <si>
    <t>EBITDA/</t>
  </si>
  <si>
    <t>(EBITDA-Capex)/</t>
  </si>
  <si>
    <t>Current</t>
  </si>
  <si>
    <t>Quick</t>
  </si>
  <si>
    <t>Avg.</t>
  </si>
  <si>
    <t>Name</t>
  </si>
  <si>
    <t>FYE</t>
  </si>
  <si>
    <t>Low</t>
  </si>
  <si>
    <t>52W High</t>
  </si>
  <si>
    <t>52W Low</t>
  </si>
  <si>
    <t>Shares Out</t>
  </si>
  <si>
    <t>Market Cap</t>
  </si>
  <si>
    <t>Cash</t>
  </si>
  <si>
    <t>Pref. Stock</t>
  </si>
  <si>
    <t>Minority Int.</t>
  </si>
  <si>
    <t>FY</t>
  </si>
  <si>
    <t>LTM</t>
  </si>
  <si>
    <t>CY+1</t>
  </si>
  <si>
    <t>CY+2</t>
  </si>
  <si>
    <t>BV</t>
  </si>
  <si>
    <t>Tangible BV</t>
  </si>
  <si>
    <t>FY-2</t>
  </si>
  <si>
    <t>FY-1</t>
  </si>
  <si>
    <t>5-Yr CAGR</t>
  </si>
  <si>
    <t>3-Yr CAGR</t>
  </si>
  <si>
    <t>LTM EBITDA</t>
  </si>
  <si>
    <t>Interest</t>
  </si>
  <si>
    <t>Total Equity (%)</t>
  </si>
  <si>
    <t>Total Cap. (%)</t>
  </si>
  <si>
    <t>ROE</t>
  </si>
  <si>
    <t>ROA</t>
  </si>
  <si>
    <t>ROIC</t>
  </si>
  <si>
    <t>Ratio</t>
  </si>
  <si>
    <t>Days Sales Out.</t>
  </si>
  <si>
    <t>Days Inv. Out.</t>
  </si>
  <si>
    <t>Days Payable Out.</t>
  </si>
  <si>
    <t>Cash Conv. Cycle</t>
  </si>
  <si>
    <t>Total Assets</t>
  </si>
  <si>
    <t>Fixed Assets</t>
  </si>
  <si>
    <t>A/R</t>
  </si>
  <si>
    <t>Max</t>
  </si>
  <si>
    <t>Min</t>
  </si>
  <si>
    <t>Mean</t>
  </si>
  <si>
    <t>Target Company</t>
  </si>
  <si>
    <t>VALUATION</t>
  </si>
  <si>
    <t>TEV / Total Revenue</t>
  </si>
  <si>
    <t>TEV / EBITDA</t>
  </si>
  <si>
    <t>TEV / EBIT</t>
  </si>
  <si>
    <t>P/E</t>
  </si>
  <si>
    <t>P/BV</t>
  </si>
  <si>
    <t>P/Tangible BV</t>
  </si>
  <si>
    <t>Shares</t>
  </si>
  <si>
    <t>Market</t>
  </si>
  <si>
    <t>Enterprise</t>
  </si>
  <si>
    <t>Revenue</t>
  </si>
  <si>
    <t>Trading Data and Size</t>
  </si>
  <si>
    <t>Out.</t>
  </si>
  <si>
    <t>Cap</t>
  </si>
  <si>
    <t>Value</t>
  </si>
  <si>
    <t>Leverage and Trading Multiples</t>
  </si>
  <si>
    <t>/Interest</t>
  </si>
  <si>
    <t>Total Cap (%)</t>
  </si>
  <si>
    <t>3-Year Historical CAGR (%)</t>
  </si>
  <si>
    <t>LTM Margins (%)</t>
  </si>
  <si>
    <t>Liquidity Ratios</t>
  </si>
  <si>
    <t>LTM Activity</t>
  </si>
  <si>
    <t>Operating Statistics</t>
  </si>
  <si>
    <t>DSO</t>
  </si>
  <si>
    <t>DPO</t>
  </si>
  <si>
    <t>DIO</t>
  </si>
  <si>
    <t>Current as % of 52-Week (%)</t>
  </si>
  <si>
    <t>TEV/Revenue</t>
  </si>
  <si>
    <t>TEV/EBITDA</t>
  </si>
  <si>
    <t>TEV</t>
  </si>
  <si>
    <t>TEV/Total Revenue</t>
  </si>
  <si>
    <t>Median</t>
  </si>
  <si>
    <t>Tot. Equity (%)</t>
  </si>
  <si>
    <t>Gain/(Loss) on Sale Of Assets (Rev)</t>
  </si>
  <si>
    <t>Gain/(Loss) on Sale Of Invest.(Rev)</t>
  </si>
  <si>
    <t>In Process R &amp; D Exp.</t>
  </si>
  <si>
    <t>Sale/(Purchase) of Real Estate Properties</t>
  </si>
  <si>
    <t>Sale/(Purchase) of Intangible Assets</t>
  </si>
  <si>
    <t>Invest. in Marketable &amp; Equity Sec.</t>
  </si>
  <si>
    <t>Effective Tax Rate (%)</t>
  </si>
  <si>
    <t>Payout Ratio (%)</t>
  </si>
  <si>
    <t>Tangible Book Value</t>
  </si>
  <si>
    <t>Total Shares Out. on Balance Sheet Date</t>
  </si>
  <si>
    <t>Right</t>
  </si>
  <si>
    <t>Left</t>
  </si>
  <si>
    <t>Most Recent on the:</t>
  </si>
  <si>
    <t>Fiscal Year</t>
  </si>
  <si>
    <t>Fiscal Quarter</t>
  </si>
  <si>
    <t>Year to Date</t>
  </si>
  <si>
    <t>Last Twelve Months</t>
  </si>
  <si>
    <t>Calendar Year</t>
  </si>
  <si>
    <t>Calendar Quarter</t>
  </si>
  <si>
    <t>COMPARABLE COMPANY ANALYSIS</t>
  </si>
  <si>
    <t>EBITDA (Incl. Equity Inc. from Affiliates)</t>
  </si>
  <si>
    <t>EBITDA (Excl. SBC and Incl. Equity Inc. from Affiliates)</t>
  </si>
  <si>
    <t>EBITDA (Excl. SBC)</t>
  </si>
  <si>
    <t>EBIT (Incl. Equity Inc. from Affiliates)</t>
  </si>
  <si>
    <t>EBIT (Excl. SBC and Incl. Equity Inc. from Affiliates)</t>
  </si>
  <si>
    <t>EBIT (Excl. SBC)</t>
  </si>
  <si>
    <t>EBITA (Incl. Equity Inc. from Affiliates)</t>
  </si>
  <si>
    <t>EBITA (Excl. SBC and Incl. Equity Inc. from Affiliates)</t>
  </si>
  <si>
    <t>EBITA (Excl. SBC)</t>
  </si>
  <si>
    <t>EBITDAR (Incl. Equity Inc. from Affiliates)</t>
  </si>
  <si>
    <t>EBITDAR (Excl. SBC and Incl. Equity Inc. from Affiliates)</t>
  </si>
  <si>
    <t>EBITDAR (Excl. SBC)</t>
  </si>
  <si>
    <t>Restr. Stock Comp. Exp., Before Tax</t>
  </si>
  <si>
    <t>Restr. Stock Comp. Exp. Tax Effect</t>
  </si>
  <si>
    <t>Restr. Stock Comp. Exp., After Tax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</si>
  <si>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</si>
  <si>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</si>
  <si>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</si>
  <si>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</si>
  <si>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</si>
  <si>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</si>
  <si>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EBIT</t>
  </si>
  <si>
    <t>EBITA</t>
  </si>
  <si>
    <t>EBITDAR</t>
  </si>
  <si>
    <t>Def. Benefit Service Cost</t>
  </si>
  <si>
    <t>Def. Benefit Interest Cost</t>
  </si>
  <si>
    <t>Def. Benefit Return on Assets</t>
  </si>
  <si>
    <t>Def. Benefit Other Cost</t>
  </si>
  <si>
    <t>Def. Benefit Total Cost</t>
  </si>
  <si>
    <t>Def. Contribution Cost</t>
  </si>
  <si>
    <t>Total Pension Expense</t>
  </si>
  <si>
    <t>Defined Benefit Net Periodic Cost</t>
  </si>
  <si>
    <t>Defined Benefit Obligation</t>
  </si>
  <si>
    <t>Beg. Def. Benefit Obligation</t>
  </si>
  <si>
    <t>Def. Benefit Employee Contributions</t>
  </si>
  <si>
    <t>Def. Benefit Actuarial Gain/Losses</t>
  </si>
  <si>
    <t>Foreign Exchange Adj.</t>
  </si>
  <si>
    <t>Acq. Benefit Obligation</t>
  </si>
  <si>
    <t>Def. Benefit Settlement/Curtailment</t>
  </si>
  <si>
    <t>Other Adj. To Def. Benefit Obligation</t>
  </si>
  <si>
    <t>Proj. Benefit Obligation</t>
  </si>
  <si>
    <t>Accum. Benefit Obligation (Pension)</t>
  </si>
  <si>
    <t>Plan Assets</t>
  </si>
  <si>
    <t>Beg. Plan Assets</t>
  </si>
  <si>
    <t>Actual Return on Plan Assets</t>
  </si>
  <si>
    <t>Employer Contributions</t>
  </si>
  <si>
    <t>Participant Contributions</t>
  </si>
  <si>
    <t>Benefits Paid</t>
  </si>
  <si>
    <t>Foreign Exchange Adjustments</t>
  </si>
  <si>
    <t>Acquired Plan Assets</t>
  </si>
  <si>
    <t>Plan Settlement/Curtailment</t>
  </si>
  <si>
    <t>Other Plan Adjustments</t>
  </si>
  <si>
    <t>Total Plan Assets</t>
  </si>
  <si>
    <t>Weighted Avg. Assumptions on Net Periodic Cost</t>
  </si>
  <si>
    <t>Net Periodic Cost Disc. Rate - Min</t>
  </si>
  <si>
    <t>Net Periodic Cost Disc. Rate - Max</t>
  </si>
  <si>
    <t>Rate of Comp. Increase - Min</t>
  </si>
  <si>
    <t>Exp. Long-Term Rate of Return on Assets - Min</t>
  </si>
  <si>
    <t>Exp. Long-Term Rate of Return on Assets - Max</t>
  </si>
  <si>
    <t>Breakdown of Plan Assets</t>
  </si>
  <si>
    <t>Plan Assets - Equities (%)</t>
  </si>
  <si>
    <t>Plan Assets - Fixed Income (%)</t>
  </si>
  <si>
    <t>Plan Assets- Real Estate (%)</t>
  </si>
  <si>
    <t>Other Plan Assets (%)</t>
  </si>
  <si>
    <t>Plan Assets - Equities</t>
  </si>
  <si>
    <t>Plan Assets - Fixed Income</t>
  </si>
  <si>
    <t>Plan Assets- Real Estate</t>
  </si>
  <si>
    <t>Other Plan Assets</t>
  </si>
  <si>
    <t>Weighted Avg. Assumptions on Def. Benefit Obligation</t>
  </si>
  <si>
    <t>PBO Assumed Rate of Return - Min</t>
  </si>
  <si>
    <t>PBO Assumed Rate of Return - Max</t>
  </si>
  <si>
    <t>Rate of PBO Compensation Increase - Min</t>
  </si>
  <si>
    <t>Rate of PBO Compensation Increase - Max</t>
  </si>
  <si>
    <t>Estimated Future Benefits Paid</t>
  </si>
  <si>
    <t>Est. Future Benefits Paid - 1st Yr</t>
  </si>
  <si>
    <t>Est. Future Benefits Paid - 2nd Yr</t>
  </si>
  <si>
    <t>Est. Future Benefits Paid - 3rd Yr</t>
  </si>
  <si>
    <t>Est. Future Benefits Paid - 4th Yr</t>
  </si>
  <si>
    <t>Est. Future Benefits Paid - 5th Yr</t>
  </si>
  <si>
    <t>Est. Future Benefits Paid - Thereafter</t>
  </si>
  <si>
    <t>Balance Sheet Reconciliation Items</t>
  </si>
  <si>
    <t>Prepaid Benefit Cost</t>
  </si>
  <si>
    <t>Accrued Benefit Liability</t>
  </si>
  <si>
    <t>Intangible Assets</t>
  </si>
  <si>
    <t>Accum. Other Comp. Income</t>
  </si>
  <si>
    <t>Other Assets/Liabilities</t>
  </si>
  <si>
    <t>Adj. for Liability Recognized on Balance Sheet</t>
  </si>
  <si>
    <t>Unrecog. Prior Plan Service Cost</t>
  </si>
  <si>
    <t>Other Adj. (Net Benefit Asset/Liab.)</t>
  </si>
  <si>
    <t>Net Asset/Liability Recognized on Balance Sheet</t>
  </si>
  <si>
    <t>Other Pension Related Items</t>
  </si>
  <si>
    <t>Unfunded &amp; Vested Pension Liab.</t>
  </si>
  <si>
    <t>Est. Contributions - Next Year</t>
  </si>
  <si>
    <t>Quarterly Employer Contribution</t>
  </si>
  <si>
    <t>Quarterly Additional Contributions Expected</t>
  </si>
  <si>
    <t>Unfunded Additional Minimum Liab.</t>
  </si>
  <si>
    <t>Benefit Info Date</t>
  </si>
  <si>
    <t>Def. Benefit Expected Return on Assets</t>
  </si>
  <si>
    <t>Def. Benefit Benefit Total Cost</t>
  </si>
  <si>
    <t>Total OPEB Expense</t>
  </si>
  <si>
    <t>Projected Benefit Obligation</t>
  </si>
  <si>
    <t>Accumulated Benefit Obligation</t>
  </si>
  <si>
    <t>Benefits Sensitivity Analysis</t>
  </si>
  <si>
    <t>1% Increase - Effect on Service and Interest Cost</t>
  </si>
  <si>
    <t>1% Increase - Effect on PBO</t>
  </si>
  <si>
    <t>1% Decrease - Effect on Service and Interest Cost</t>
  </si>
  <si>
    <t>1% Decrease - Effect on PBO</t>
  </si>
  <si>
    <t>Other Post-Retirement Benefit Related Items</t>
  </si>
  <si>
    <t>Health Care Cost Trend Rate, Initial</t>
  </si>
  <si>
    <t>Health Care Cost Trend Rate, Ultimate</t>
  </si>
  <si>
    <t>Capitalized Interest Data</t>
  </si>
  <si>
    <t>Interest Capitalized, Beg. Of Period</t>
  </si>
  <si>
    <t>Interest Capitalized</t>
  </si>
  <si>
    <t>Interest Capitalized, Expensed</t>
  </si>
  <si>
    <t>Interest Capitalized, Written-off</t>
  </si>
  <si>
    <t>Interest Capitalized, Other Adj.</t>
  </si>
  <si>
    <t>Interest Capitalized, End Of Period</t>
  </si>
  <si>
    <t>Loss Carry Forward Related Items</t>
  </si>
  <si>
    <t>NOL C/F, Current Year</t>
  </si>
  <si>
    <t>NOL C/F, Current Year + 1</t>
  </si>
  <si>
    <t>NOL C/F, Current Year + 2</t>
  </si>
  <si>
    <t>NOL C/F, Current Year + 3</t>
  </si>
  <si>
    <t>NOL C/F, Current Year + 4</t>
  </si>
  <si>
    <t>NOL C/F, After Five Years</t>
  </si>
  <si>
    <t>NOL C/F, No Expiration</t>
  </si>
  <si>
    <t>Total NOL C/F</t>
  </si>
  <si>
    <t>Max. Year for NOL C/F</t>
  </si>
  <si>
    <t>Capital Loss C/F, Current Year</t>
  </si>
  <si>
    <t>Capital Loss C/F, Current Year + 1</t>
  </si>
  <si>
    <t>Capital Loss C/F, Current Year + 2</t>
  </si>
  <si>
    <t>Capital Loss C/F, Current Year + 3</t>
  </si>
  <si>
    <t>Capital Loss C/F, Current Year + 4</t>
  </si>
  <si>
    <t>Capital Loss C/F, After Five Years</t>
  </si>
  <si>
    <t>Capital Loss C/F, No Expiration</t>
  </si>
  <si>
    <t>Total Capital Loss C/F</t>
  </si>
  <si>
    <t>Max. Year for Capital Loss C/F</t>
  </si>
  <si>
    <t>Tax Benefit C/F, Current Year</t>
  </si>
  <si>
    <t>Tax Benefit C/F, Current Year + 1</t>
  </si>
  <si>
    <t>Tax Benefit C/F, Current Year + 2</t>
  </si>
  <si>
    <t>Tax Benefit C/F, Current Year + 3</t>
  </si>
  <si>
    <t>Tax Benefit C/F, Current Year + 4</t>
  </si>
  <si>
    <t>Tax Benefit C/F, After Five Years</t>
  </si>
  <si>
    <t>Tax Benefit C/F, No Expiration</t>
  </si>
  <si>
    <t>Total Tax Benefit C/F</t>
  </si>
  <si>
    <t>Max. Year for Tax Benefit C/F</t>
  </si>
  <si>
    <t>Assumed Comp. Growth Rate</t>
  </si>
  <si>
    <t>Exp.Ret. On Pension Assets</t>
  </si>
  <si>
    <t>Normalized Basic EPS</t>
  </si>
  <si>
    <t>Normalized Diluted EPS</t>
  </si>
  <si>
    <t>Distributable Cash per Share</t>
  </si>
  <si>
    <t>Revenues per Share</t>
  </si>
  <si>
    <t>Special Dividend per Share</t>
  </si>
  <si>
    <t>Dividends per Share</t>
  </si>
  <si>
    <t>Period Length in Months</t>
  </si>
  <si>
    <t>Same Store Sales Growth</t>
  </si>
  <si>
    <t>Current Domestic Taxes</t>
  </si>
  <si>
    <t>Current Foreign Taxes</t>
  </si>
  <si>
    <t>Deferred Domestic Taxes</t>
  </si>
  <si>
    <t>Deferred Foreign Taxes</t>
  </si>
  <si>
    <t>Normalized Net Income</t>
  </si>
  <si>
    <t>Interest On Long Term Debt</t>
  </si>
  <si>
    <t>Non-Cash Pension Expense</t>
  </si>
  <si>
    <t>D&amp;A For EBITDA</t>
  </si>
  <si>
    <t>Distributable Cash</t>
  </si>
  <si>
    <t>Interest Expense (Incl. Cap. Interest)</t>
  </si>
  <si>
    <t>Common Stock Dividend Declared</t>
  </si>
  <si>
    <t>Marketing Expense</t>
  </si>
  <si>
    <t>Selling And Marketing Expense</t>
  </si>
  <si>
    <t>General and Administrative Expense</t>
  </si>
  <si>
    <t>Maintenance &amp; Repair Expenses</t>
  </si>
  <si>
    <t>Imputed Oper. Lease Interest Exp</t>
  </si>
  <si>
    <t>Imputed Oper. Lease Depreciation</t>
  </si>
  <si>
    <t>Stock-Based Comp., COGS</t>
  </si>
  <si>
    <t>Stock-Based Comp., R&amp;D Exp</t>
  </si>
  <si>
    <t>Stock-Based Comp., S&amp;M Exp</t>
  </si>
  <si>
    <t>Stock-Based Comp., G&amp;A Exp</t>
  </si>
  <si>
    <t>Stock-Based Comp., SG&amp;A Exp</t>
  </si>
  <si>
    <t>Stock-Based Comp., Unallocated</t>
  </si>
  <si>
    <t>Stock-Based Comp., After-Tax</t>
  </si>
  <si>
    <t>Stock-Based Comp., Total</t>
  </si>
  <si>
    <t>Annualized Distributions per Unit</t>
  </si>
  <si>
    <t>Restatement Type</t>
  </si>
  <si>
    <t>Calculation Type</t>
  </si>
  <si>
    <t>Filing Currency</t>
  </si>
  <si>
    <t>Diluted Net Income</t>
  </si>
  <si>
    <t>Depreciation (From Notes)</t>
  </si>
  <si>
    <t>Change in Net Working Capital</t>
  </si>
  <si>
    <t>Maintenance CAPEX</t>
  </si>
  <si>
    <t>Cash per Share</t>
  </si>
  <si>
    <t>Working Capital</t>
  </si>
  <si>
    <t>Net Working Capital</t>
  </si>
  <si>
    <t>Equity Method Investments</t>
  </si>
  <si>
    <t>Inventory Method</t>
  </si>
  <si>
    <t>Full Time Employees</t>
  </si>
  <si>
    <t>Part Time Employees</t>
  </si>
  <si>
    <t>Total Employees</t>
  </si>
  <si>
    <t>Finance Division Long-term Debt, Total</t>
  </si>
  <si>
    <t>Finance Division Short-term Debt, Total</t>
  </si>
  <si>
    <t>Cost of Borrowing</t>
  </si>
  <si>
    <t>Total Debt (Excl.Fin.Div.Debt)</t>
  </si>
  <si>
    <t>Order Backlog</t>
  </si>
  <si>
    <t>Distributable Cash Payout Ratio (Income Trusts)</t>
  </si>
  <si>
    <t>Advertising Expense</t>
  </si>
  <si>
    <t>Accumulated Allowance for Doubtful Accounts</t>
  </si>
  <si>
    <t>Minority Interest, Total</t>
  </si>
  <si>
    <t>R&amp;D Expense (Foot Note)</t>
  </si>
  <si>
    <t>INCOME STATEMENT (Contd.)</t>
  </si>
  <si>
    <t>Pension</t>
  </si>
  <si>
    <t>OPEB</t>
  </si>
  <si>
    <t>Pension - Domestic</t>
  </si>
  <si>
    <t>OPEB - Domestic</t>
  </si>
  <si>
    <t>Pension - Foreign</t>
  </si>
  <si>
    <t>OPEB - Foreign</t>
  </si>
  <si>
    <t>Change In Other Net Operating Assets</t>
  </si>
  <si>
    <t>Net Actuarial Loss/Gain – Compr. Inc.</t>
  </si>
  <si>
    <t>Prior Service Cost/Benefit – Compr. Inc.</t>
  </si>
  <si>
    <t>Transition Asset/Obligation – Compr. Inc.</t>
  </si>
  <si>
    <t>Other Misc. Adj. – Compr. Inc.</t>
  </si>
  <si>
    <t>Net Actuarial Loss/Gain Recog. Next Period</t>
  </si>
  <si>
    <t>Prior Service Cost/Benefit Recog. Next Period</t>
  </si>
  <si>
    <t>Transition Asset/Obligation Recog. Next Period</t>
  </si>
  <si>
    <t>Total Amount to be Recognized Next Period</t>
  </si>
  <si>
    <t>Long Term Assets</t>
  </si>
  <si>
    <t>Current Liabilities</t>
  </si>
  <si>
    <t>Long Term Liabilities</t>
  </si>
  <si>
    <t>Avg Employees</t>
  </si>
  <si>
    <t>Temporary/Seasonal Employees</t>
  </si>
  <si>
    <t>Breakdown of Amounts recognized in Other Comprehensive Income in BS</t>
  </si>
  <si>
    <t>Net Amount Recognized – Compr. Inc.</t>
  </si>
  <si>
    <t>Expected to be recognized as components of net periodic benefit cost in the next year</t>
  </si>
  <si>
    <t>Excise Taxes Excluded from Sales</t>
  </si>
  <si>
    <t>Excise Taxes Included in Sales</t>
  </si>
  <si>
    <t>Finance Division Debt, Total</t>
  </si>
  <si>
    <t>Financial Accounting Standard</t>
  </si>
  <si>
    <t>Total Debt Current</t>
  </si>
  <si>
    <t>Auditor Name</t>
  </si>
  <si>
    <t>Auditor Opinion</t>
  </si>
  <si>
    <t>Restricted Cash (Non-Current)</t>
  </si>
  <si>
    <t>Finance Division Cash and Equivalents</t>
  </si>
  <si>
    <t>Finance Division Short-Term Investments</t>
  </si>
  <si>
    <t>Cash Interest Paid - Operating Activities</t>
  </si>
  <si>
    <t>Cash Interest Paid - Investing Activities</t>
  </si>
  <si>
    <t>Cash Interest Paid - Financing Activities</t>
  </si>
  <si>
    <t>Cash Taxes Paid - Operating Activities</t>
  </si>
  <si>
    <t>Cash Taxes Paid - Investing Activities</t>
  </si>
  <si>
    <t>Cash Taxes Paid - Financing Activities</t>
  </si>
  <si>
    <t>Fiscal Half</t>
  </si>
  <si>
    <t>Calendar Half</t>
  </si>
  <si>
    <t>Historical</t>
  </si>
  <si>
    <t>USD</t>
  </si>
  <si>
    <t>Deferred Income Taxes, Total</t>
  </si>
  <si>
    <t>Per Share Items</t>
  </si>
  <si>
    <t>Supplemental Operating Expense Items</t>
  </si>
  <si>
    <t>Distributable Cash Shares (Basic)</t>
  </si>
  <si>
    <t>Distributable Cash Shares (Diluted)</t>
  </si>
  <si>
    <t>Distributable Cash per Share (Diluted)</t>
  </si>
  <si>
    <t>Salaries and Other Employee Benefits</t>
  </si>
  <si>
    <t>Stock-Based Comp., Exploration/Drilling Exp.</t>
  </si>
  <si>
    <t>Employees Under Union Contracts</t>
  </si>
  <si>
    <t>Contingent Liabilities</t>
  </si>
  <si>
    <t>Unrecog. Tax Benefits, Beginning of the Period</t>
  </si>
  <si>
    <t>Additions Based on Tax Positions - Current Yr.</t>
  </si>
  <si>
    <t>Reductions Based on Tax Positions - Current Yr.</t>
  </si>
  <si>
    <t>Additions for Tax Positions - Prior Yrs</t>
  </si>
  <si>
    <t>Reductions for Tax Positions - Prior Yrs</t>
  </si>
  <si>
    <t>Settlements with Tax Authorities</t>
  </si>
  <si>
    <t>Lapse of Statute of Limitations</t>
  </si>
  <si>
    <t>Unrecog. Tax Benefits - Other Adj.</t>
  </si>
  <si>
    <t>Unrecog. Tax Benefits, End of the Period</t>
  </si>
  <si>
    <t>Account Code - Interest and Penalties</t>
  </si>
  <si>
    <t>Interest and Penalties Recog. on IS - Before Tax</t>
  </si>
  <si>
    <t>Interest and Penalties Recog. on IS - After Tax</t>
  </si>
  <si>
    <t>Interest and Penalties Recog. on BS - Before Tax</t>
  </si>
  <si>
    <t>Interest and Penalties Recog. on BS - After Tax</t>
  </si>
  <si>
    <t>Changes in Unrecog. Tax Benefit within a Year of the Rep. Date - Min</t>
  </si>
  <si>
    <t>Changes in Unrecog. Tax Benefit within a Year of the Rep. Date - Max</t>
  </si>
  <si>
    <t>Impact of Unrecog. Tax Benefit on the Effective Tax Rate</t>
  </si>
  <si>
    <t>Adoption of FIN 48 Related Items</t>
  </si>
  <si>
    <t>Liquidation Value of Preferred Stock - Convertible</t>
  </si>
  <si>
    <t>Liquidation Value of Preferred Stock - Non-Redeemable</t>
  </si>
  <si>
    <t>Liquidation Value of Preferred Stock - Redeemable</t>
  </si>
  <si>
    <t>Level 1 Assets - Quoted Prices</t>
  </si>
  <si>
    <t>Netting and Other Adj. to Assets</t>
  </si>
  <si>
    <t>Fair Value of Assets</t>
  </si>
  <si>
    <t>Level 1 Liabilities - Quoted Prices</t>
  </si>
  <si>
    <t>Netting and Other Adj. to Liabilities</t>
  </si>
  <si>
    <t>Fair Value of Liabilities</t>
  </si>
  <si>
    <t>Fair Value Change Included in Earnings</t>
  </si>
  <si>
    <t>Exploration/Drilling Exp.</t>
  </si>
  <si>
    <t>Debt Issuance Costs</t>
  </si>
  <si>
    <t>Period Date</t>
  </si>
  <si>
    <t>Cash Interest Paid Net of Interest Received</t>
  </si>
  <si>
    <t>Unusual Items, Total (Supple)</t>
  </si>
  <si>
    <t>Restructuring Charges (Supple)</t>
  </si>
  <si>
    <t>Merger &amp; Related Restruct. Charges (Supple)</t>
  </si>
  <si>
    <t>Impairment of Goodwill (Supple)</t>
  </si>
  <si>
    <t>Asset Writedown, Total (Supple)</t>
  </si>
  <si>
    <t>In Process R &amp; D Exp. (Supple)</t>
  </si>
  <si>
    <t>Insurance Settlements (Supple)</t>
  </si>
  <si>
    <t>Legal Settlements (Supple)</t>
  </si>
  <si>
    <t>Other Unusual Items (Supple)</t>
  </si>
  <si>
    <t>Total Shares Out. on Filing Date</t>
  </si>
  <si>
    <t>Level 2 Assets - Observable Prices</t>
  </si>
  <si>
    <t>Level 3 Assets - Unobservable Prices</t>
  </si>
  <si>
    <t>Level 2 Liabilities - Observable Prices</t>
  </si>
  <si>
    <t>Level 3 Liabilities - Unobservable Prices</t>
  </si>
  <si>
    <t>Other Amortization</t>
  </si>
  <si>
    <t>Assets Under Capital Lease - Accumulated Dep.</t>
  </si>
  <si>
    <t>Assets Under Capital Lease - Gross</t>
  </si>
  <si>
    <t>Assets on Operating Lease - Accumulated Dep.</t>
  </si>
  <si>
    <t>Assets on Operating Lease - Gross</t>
  </si>
  <si>
    <t>Return on Common Equity (%)</t>
  </si>
  <si>
    <t>Total Debt / (EBITDA-CAPEX)</t>
  </si>
  <si>
    <t>Net Debt / (EBITDA-CAPEX)</t>
  </si>
  <si>
    <t>Total Revenues/ Employee</t>
  </si>
  <si>
    <t>Shares per Depository Receipt</t>
  </si>
  <si>
    <t>Assets Under Management</t>
  </si>
  <si>
    <t>EBITDA - CAPEX</t>
  </si>
  <si>
    <t>Tangible Book Value Per Share (Reported)</t>
  </si>
  <si>
    <t>Total Current Taxes</t>
  </si>
  <si>
    <t>Total Deferred Taxes</t>
  </si>
  <si>
    <t>Capex as % of Revenues</t>
  </si>
  <si>
    <t>Total Intangibles</t>
  </si>
  <si>
    <t>Standardized Distributable Cash</t>
  </si>
  <si>
    <t>Construction in Progress</t>
  </si>
  <si>
    <t>Leasehold Improvements</t>
  </si>
  <si>
    <t>Assets Under Management - Private Equity</t>
  </si>
  <si>
    <t>Assets Under Management - Real Estate</t>
  </si>
  <si>
    <t>Assets Under Management - Institutional</t>
  </si>
  <si>
    <t>Assets Under Management - Retail</t>
  </si>
  <si>
    <t>Assets Under Management - High Net Worth</t>
  </si>
  <si>
    <t>Assets Under Management - Other Clients</t>
  </si>
  <si>
    <t>Assets Under Management - Domestic</t>
  </si>
  <si>
    <t>Assets Under Management - Foreign</t>
  </si>
  <si>
    <t>Assets Under Management - Fee Earning</t>
  </si>
  <si>
    <t>Assets Under Management - Non Fee Earning</t>
  </si>
  <si>
    <t>Assets Under Management - Retail Customers</t>
  </si>
  <si>
    <t>Assets Under Management - Institutional Customers</t>
  </si>
  <si>
    <t>Assets Under Management - Small, Medium Enterprise Customers</t>
  </si>
  <si>
    <t>Assets Under Management - Other Customers</t>
  </si>
  <si>
    <t>Assets Under Management - Total Customers</t>
  </si>
  <si>
    <t>Assets Under Management - Beginning of Period</t>
  </si>
  <si>
    <t>Assets Under Management - Inflows</t>
  </si>
  <si>
    <t>Assets Under Management - Outflows</t>
  </si>
  <si>
    <t>Assets Under Management - Net Inflows / (Outflows)</t>
  </si>
  <si>
    <t>Amortization of Debt Issuance Costs</t>
  </si>
  <si>
    <t>Amortization of Software Assets</t>
  </si>
  <si>
    <t>Deferred Tax Valuation Allowance</t>
  </si>
  <si>
    <t>Interest Income</t>
  </si>
  <si>
    <t>Warranty Liabilities</t>
  </si>
  <si>
    <t>Investment Income</t>
  </si>
  <si>
    <t>Depreciation on Right of Use Assets</t>
  </si>
  <si>
    <t>Operating Lease Payments</t>
  </si>
  <si>
    <t>Change in Operating Lease Liabilities</t>
  </si>
  <si>
    <t>Change in Operating Lease Liabilities Non-Cash</t>
  </si>
  <si>
    <t>Right-of-Use Asset-Gross</t>
  </si>
  <si>
    <t>Right-of-Use Asset-Accumulated Depreciation</t>
  </si>
  <si>
    <t>Right-of-Use Asset-Net</t>
  </si>
  <si>
    <t>Right-of-Use Asset-Capital Lease-Gross</t>
  </si>
  <si>
    <t>Right-of-Use Asset-Capital Lease-Accumulated Depreciation</t>
  </si>
  <si>
    <t>Right-of-Use Asset-Capital Lease-Net</t>
  </si>
  <si>
    <t>Right-of-Use Asset-Operating Lease-Gross</t>
  </si>
  <si>
    <t>Right-of-Use Asset-Operating Lease-Accumulated Depreciation</t>
  </si>
  <si>
    <t>Right-of-Use Asset-Operating Lease-Net</t>
  </si>
  <si>
    <t>Non-Recurring Income Taxes</t>
  </si>
  <si>
    <t>Interest Expenses On Lease Liability/Debt</t>
  </si>
  <si>
    <t>EBITDA, Lease Adjusted</t>
  </si>
  <si>
    <t>Lease Adjustment for EBITDA</t>
  </si>
  <si>
    <t>EBITDA (Incl. Equity Inc. from Affiliates, Excl. Op. Lease Adj.)</t>
  </si>
  <si>
    <t>As Reported EBITDA</t>
  </si>
  <si>
    <t>Gain on Bargain Acquisition</t>
  </si>
  <si>
    <t>Gain on Bargain Acquisition  - Supple</t>
  </si>
  <si>
    <t>Depreciation &amp; Amortization - CF, Excl. Operating Leases</t>
  </si>
  <si>
    <t>Depreciation &amp; Amort., Total, Excl. Operating Leases</t>
  </si>
  <si>
    <t>Long-Term Debt Repaid, Excl. Leases</t>
  </si>
  <si>
    <t>Total Debt Repaid, Excl. Leases</t>
  </si>
  <si>
    <t>Gain on Bargain Acquisition - (CF)</t>
  </si>
  <si>
    <t>Current Portion of Leases</t>
  </si>
  <si>
    <t>Long-Term Leases</t>
  </si>
  <si>
    <t>Gross PP&amp;E, Excl. Operating Leases</t>
  </si>
  <si>
    <t>Accumulated Depreciation, Excl. Operating Leases</t>
  </si>
  <si>
    <t>Net PP&amp;E, Excl. Operating Leases</t>
  </si>
  <si>
    <t>Finance Leases, Current</t>
  </si>
  <si>
    <t>Finance Leases, Long Term</t>
  </si>
  <si>
    <t>Total Finance Leases</t>
  </si>
  <si>
    <t>Current Portion of Operating Lease Liabilities</t>
  </si>
  <si>
    <t>Long-Term Portion of Operating Lease Liabilities</t>
  </si>
  <si>
    <t>Total Operating Leases</t>
  </si>
  <si>
    <t>Total Leases</t>
  </si>
  <si>
    <t>Current Financing Obligations, Excl. Operating Leases</t>
  </si>
  <si>
    <t>Non-Current Financing Obligations Excl. Operating Leases</t>
  </si>
  <si>
    <t>Total Debt, Excl. Operating Leases</t>
  </si>
  <si>
    <t>Total Debt, Excl. Leases</t>
  </si>
  <si>
    <t>IFRS 16 / ASC 842 Items</t>
  </si>
  <si>
    <t>Long Term Marketable Securities</t>
  </si>
  <si>
    <t>Advances for Supplies</t>
  </si>
  <si>
    <t>Goodwill and Intangibles (Net)</t>
  </si>
  <si>
    <t>Goodwill (Net)</t>
  </si>
  <si>
    <t>Intangibles (Net)</t>
  </si>
  <si>
    <t>Intercompany Non-Current Assets</t>
  </si>
  <si>
    <t>Intercompany Current Liabilities</t>
  </si>
  <si>
    <t>Intercompany Non-Current Liabilities</t>
  </si>
  <si>
    <t>English</t>
  </si>
  <si>
    <t>Chinese Simplified</t>
  </si>
  <si>
    <t>Chinese Traditional</t>
  </si>
  <si>
    <t>French</t>
  </si>
  <si>
    <t>German</t>
  </si>
  <si>
    <t>Italian</t>
  </si>
  <si>
    <t>Japanese</t>
  </si>
  <si>
    <t>Russian</t>
  </si>
  <si>
    <t>Spanish</t>
  </si>
  <si>
    <t>Korean</t>
  </si>
  <si>
    <t>Income Statement</t>
  </si>
  <si>
    <t>Cash Flow Statement</t>
  </si>
  <si>
    <t>Balance Sheet</t>
  </si>
  <si>
    <t>In Millions</t>
  </si>
  <si>
    <t>Ended</t>
  </si>
  <si>
    <t>millions, except per share data</t>
  </si>
  <si>
    <t>Select Language</t>
  </si>
  <si>
    <t>Trading Currency</t>
  </si>
  <si>
    <t>时期</t>
  </si>
  <si>
    <t>時期</t>
  </si>
  <si>
    <t>Période de temps</t>
  </si>
  <si>
    <t>表示頻度</t>
  </si>
  <si>
    <t>Период времени</t>
  </si>
  <si>
    <t>Periodo de tiempo</t>
  </si>
  <si>
    <t>Zeitraum</t>
  </si>
  <si>
    <t>Periodo di tempo</t>
  </si>
  <si>
    <t>기간</t>
  </si>
  <si>
    <t>会计季度</t>
  </si>
  <si>
    <t>會計季度</t>
  </si>
  <si>
    <t>Trimestre fiscal</t>
  </si>
  <si>
    <t>会計四半期</t>
  </si>
  <si>
    <t>финансовый квартал</t>
  </si>
  <si>
    <t>Steuerquartal</t>
  </si>
  <si>
    <t>Trimestre fiscale</t>
  </si>
  <si>
    <t>회계 분기</t>
  </si>
  <si>
    <t>过去十二个月</t>
  </si>
  <si>
    <t>過去十二個月</t>
  </si>
  <si>
    <t>12 derniers mois</t>
  </si>
  <si>
    <t>直近12ヵ月</t>
  </si>
  <si>
    <t>За последние двенадцать месяцев</t>
  </si>
  <si>
    <t>Los últimos doce meses</t>
  </si>
  <si>
    <t>Letzte zwölf Monate</t>
  </si>
  <si>
    <t>Ultimi dodici mesi</t>
  </si>
  <si>
    <t>최근 12개월</t>
  </si>
  <si>
    <t>日历季度</t>
  </si>
  <si>
    <t>日曆季度</t>
  </si>
  <si>
    <t>Trimestre calendaire</t>
  </si>
  <si>
    <t>会计半年度</t>
  </si>
  <si>
    <t>會計半年度</t>
  </si>
  <si>
    <t>La moitié fiscale</t>
  </si>
  <si>
    <t>日历半年度</t>
  </si>
  <si>
    <t>日曆半年度</t>
  </si>
  <si>
    <t>La moitié calendrier</t>
  </si>
  <si>
    <t>暦四半期</t>
  </si>
  <si>
    <t>Календарный квартал</t>
  </si>
  <si>
    <t>Trimestre de calendario</t>
  </si>
  <si>
    <t>半期</t>
  </si>
  <si>
    <t>Финансовый семестр</t>
  </si>
  <si>
    <t>La mitad fiscal</t>
  </si>
  <si>
    <t>暦半期</t>
  </si>
  <si>
    <t>Календарный семестр</t>
  </si>
  <si>
    <t>La mitad del calendario</t>
  </si>
  <si>
    <t>Kalenderquartal</t>
  </si>
  <si>
    <t>Trimestre di calendario</t>
  </si>
  <si>
    <t>Steuerliches Halbjahr</t>
  </si>
  <si>
    <t>Semestre fiscale</t>
  </si>
  <si>
    <t>Kalender-Halbjahr</t>
  </si>
  <si>
    <t>Semestre di calendario</t>
  </si>
  <si>
    <t>달력 분기</t>
  </si>
  <si>
    <t>회계 1/2년</t>
  </si>
  <si>
    <t>달력 1/2년</t>
  </si>
  <si>
    <t>截至</t>
  </si>
  <si>
    <t>Terminé</t>
  </si>
  <si>
    <t>終了</t>
  </si>
  <si>
    <t xml:space="preserve">Закончен </t>
  </si>
  <si>
    <t>Terminado</t>
  </si>
  <si>
    <t>Beendet</t>
  </si>
  <si>
    <t>Terminato</t>
  </si>
  <si>
    <t>종료일</t>
  </si>
  <si>
    <t>出售资产损益（收入）</t>
  </si>
  <si>
    <t>出售資產損益（收入）</t>
  </si>
  <si>
    <t>Gain/(perte) sur la vente d'actifs (Rev)</t>
  </si>
  <si>
    <t>处分投资损益（收入）</t>
  </si>
  <si>
    <t>處分投資損益（收入）</t>
  </si>
  <si>
    <t>Gain/(Perte) sur la vente de l'investissement (Rev)</t>
  </si>
  <si>
    <t>資産売却損益 (収益)</t>
  </si>
  <si>
    <t>Прибыль/(Убыток) от продажи активов (Прибыль)</t>
  </si>
  <si>
    <t>Ganancia/(Pérdida) en la venta de activos (Ganancias)</t>
  </si>
  <si>
    <t>投資売却損益 (収益)</t>
  </si>
  <si>
    <t>Прибыль/(убыток) от продажи инвестиций (Прибыль)</t>
  </si>
  <si>
    <t>Ganancia/(Pérdida) en la venta de la inversión (Ganancia)</t>
  </si>
  <si>
    <t>Gewinn(Verlust) aus dem Verkauf von Vermögenswerten (Erlös)</t>
  </si>
  <si>
    <t>Utile/(perdita) su vendita di attività (riv.)</t>
  </si>
  <si>
    <t>Gewinn(Verlust) aus dem Verkauf von Investments (Erlös)</t>
  </si>
  <si>
    <t>Utile/(perdita) su vendita di invest. (riv.)</t>
  </si>
  <si>
    <t>자산 매각의 이익(손실) (수입)</t>
  </si>
  <si>
    <t>투자 매각의 이익/(손실) (수입)</t>
  </si>
  <si>
    <t>资产减值</t>
  </si>
  <si>
    <t>資產減值</t>
  </si>
  <si>
    <t>Dépréciation d'actifs</t>
  </si>
  <si>
    <t>資産評価損</t>
  </si>
  <si>
    <t>Списание активов</t>
  </si>
  <si>
    <t>Reducción de activos</t>
  </si>
  <si>
    <t>Abschreibungen auf Vermögensgegenstände</t>
  </si>
  <si>
    <t>Svalutazione delle immobilizzazioni</t>
  </si>
  <si>
    <t>자산 상계액</t>
  </si>
  <si>
    <t>母公司净收入</t>
  </si>
  <si>
    <t>母公司淨收入</t>
  </si>
  <si>
    <t>Bénéfice net aux parents</t>
  </si>
  <si>
    <t>当期純利益</t>
  </si>
  <si>
    <t>Чистый доход для материнской компании</t>
  </si>
  <si>
    <t>Ingresos netos para empresa matriz</t>
  </si>
  <si>
    <t>Der Muttergesellschaft zuzurechnendes Nettoergebnis</t>
  </si>
  <si>
    <t>Risultato netto alla Capogruppo</t>
  </si>
  <si>
    <t>모회사 순 이익</t>
  </si>
  <si>
    <t>加权平均基本流通股数</t>
  </si>
  <si>
    <t>加權平均基本流通股數</t>
  </si>
  <si>
    <t>Nombre moyen pondéré d'actions de base en circulation</t>
  </si>
  <si>
    <t>加重平均発行済み株式</t>
  </si>
  <si>
    <t xml:space="preserve">Средневзвешенные основные акции </t>
  </si>
  <si>
    <t>Promedio ponderado de acciones basicas en circulación</t>
  </si>
  <si>
    <t>Gewichteter Durchschnitt umlaufender Basisaktien</t>
  </si>
  <si>
    <t>Media ponderata azioni di base in circolaz.</t>
  </si>
  <si>
    <t>가중평균 기본유통주식</t>
  </si>
  <si>
    <t>加权平均稀释流通股数</t>
  </si>
  <si>
    <t>加權平均稀釋流通股數</t>
  </si>
  <si>
    <t>Nombre moyen pondéré d'actions diluées en circulation</t>
  </si>
  <si>
    <t>加重平均潜在発行済み株式</t>
  </si>
  <si>
    <t xml:space="preserve">Средневзвешенные разводненные акции </t>
  </si>
  <si>
    <t>Promedio ponderado de acciones diluidas en circulación</t>
  </si>
  <si>
    <t>Gewichteter Durchschnitt verwässerter umlaufender Basisaktien</t>
  </si>
  <si>
    <t>Media ponderata azioni diluite in circolaz.</t>
  </si>
  <si>
    <t>가중평균 희석유통주식</t>
  </si>
  <si>
    <t>正常化基本每股盈利</t>
  </si>
  <si>
    <t>BPA de base normalisé</t>
  </si>
  <si>
    <t>正常化摊薄每股盈利</t>
  </si>
  <si>
    <t>正常化攤薄每股盈利</t>
  </si>
  <si>
    <t>BPA dilué normalisé</t>
  </si>
  <si>
    <t>每股可分配现金（稀释）</t>
  </si>
  <si>
    <t>每股可分配現金（稀釋）</t>
  </si>
  <si>
    <t>Espèces distribuables par action (diluées)</t>
  </si>
  <si>
    <t>可分配现金股数（基本）</t>
  </si>
  <si>
    <t>可分配現金股數（基本）</t>
  </si>
  <si>
    <t>Actions en espèces distribuables (de base)</t>
  </si>
  <si>
    <t>可分配现金股（稀释）</t>
  </si>
  <si>
    <t>可分配現金股（稀釋）</t>
  </si>
  <si>
    <t>Actions en espèces distribuables (diluées)</t>
  </si>
  <si>
    <t>每股股息</t>
  </si>
  <si>
    <t>Dividendes par action</t>
  </si>
  <si>
    <t>每个存托凭证的股份</t>
  </si>
  <si>
    <t>每個存託憑證的股份</t>
  </si>
  <si>
    <t>Actions par certificat de dépôt</t>
  </si>
  <si>
    <t>每股收益</t>
  </si>
  <si>
    <t>Revenus par action</t>
  </si>
  <si>
    <t>每股可分配现金</t>
  </si>
  <si>
    <t>每股可分配現金</t>
  </si>
  <si>
    <t>Espèces distribuables par action</t>
  </si>
  <si>
    <t>每股特别股息</t>
  </si>
  <si>
    <t>每股特別股息</t>
  </si>
  <si>
    <t>Dividende spécial par action</t>
  </si>
  <si>
    <t>（標準化後）
一株当たり当期純利益</t>
  </si>
  <si>
    <t>Базовая стандартизированная прибыль на акцию</t>
  </si>
  <si>
    <t>Ganancia por Acción básico normalizado</t>
  </si>
  <si>
    <t>（標準化後）潜在株式調整後一株当たり当期純利益</t>
  </si>
  <si>
    <t>Разводненная стандартизированная прибыль на акцию</t>
  </si>
  <si>
    <t>Ganancia por Acción diluido normalizado</t>
  </si>
  <si>
    <t>一株当たり分配可能額(潜在株式調整後)</t>
  </si>
  <si>
    <t>Распределяемые денежные средства на акцию (разводненные)</t>
  </si>
  <si>
    <t>Efectivo distribuible por acción (diluidas)</t>
  </si>
  <si>
    <t>分配可能な発行済み現金株</t>
  </si>
  <si>
    <t>Акции, подлежащие распределению в денежной форме (базовые)</t>
  </si>
  <si>
    <t>Acciones distribuibles en efectivo (Básicas)</t>
  </si>
  <si>
    <t>分配可能な潜在株式調整後現金株</t>
  </si>
  <si>
    <t>Акции, подлежащие распределению в денежной форме (разводненные)</t>
  </si>
  <si>
    <t>Acciones distribuibles en efectivo (diluidas)</t>
  </si>
  <si>
    <t>一株当たり配当金</t>
  </si>
  <si>
    <t>Дивиденды на акцию</t>
  </si>
  <si>
    <t>Dividendos por acción</t>
  </si>
  <si>
    <t>預託証券あたり株式数</t>
  </si>
  <si>
    <t>Акции посредством депозитной расписки</t>
  </si>
  <si>
    <t>Acciones por recibo de depósito</t>
  </si>
  <si>
    <t>一株当たり売上高</t>
  </si>
  <si>
    <t>Доход на акцию</t>
  </si>
  <si>
    <t>Ingresos por acción</t>
  </si>
  <si>
    <t>一株当たり分配可能額</t>
  </si>
  <si>
    <t>Распределяемые денежные средства на акцию</t>
  </si>
  <si>
    <t>Efectivo distribuible por acción</t>
  </si>
  <si>
    <t>一株当たり特別配当金(分配金)</t>
  </si>
  <si>
    <t>Специальный дивиденд на акцию</t>
  </si>
  <si>
    <t>Dividendo especial por acción</t>
  </si>
  <si>
    <t>Normalisierter einfacher Gewinn pro Aktie</t>
  </si>
  <si>
    <t>EPS di base normalizzato</t>
  </si>
  <si>
    <t>Normalisierter verwässerter Gewinn pro Aktie</t>
  </si>
  <si>
    <t>EPS diluito normalizzato</t>
  </si>
  <si>
    <t>Ausschüttungsfähige Barmittel pro Aktie (verwässert)</t>
  </si>
  <si>
    <t>Contanti per azione distribuibili (diluito)</t>
  </si>
  <si>
    <t>Ausschüttungsfähige Barmittel aus Aktien (Basis)</t>
  </si>
  <si>
    <t>Azioni in contanti distribuibili (base)</t>
  </si>
  <si>
    <t>Ausschüttungsfähige Barmittel aus Aktien (verwässert)</t>
  </si>
  <si>
    <t>Azioni in contanti distribuibili (diluito)</t>
  </si>
  <si>
    <t>Dividende pro Aktie</t>
  </si>
  <si>
    <t>Dividendi per Azione</t>
  </si>
  <si>
    <t>Aktien pro Hinterlegungsschein</t>
  </si>
  <si>
    <t>Azioni in base a ricevuta di deposito</t>
  </si>
  <si>
    <t>Erlöse pro Aktie</t>
  </si>
  <si>
    <t>Ricavi per azione</t>
  </si>
  <si>
    <t>Ausschüttungsfähige Barmittel pro Aktie</t>
  </si>
  <si>
    <t>Contanti per azione distribuibili</t>
  </si>
  <si>
    <t>Sonderdividende pro Aktie</t>
  </si>
  <si>
    <t>Dividendi straordinari per azione</t>
  </si>
  <si>
    <t>정상화된 기본 EPS</t>
  </si>
  <si>
    <t>정상화된 희석 EPS</t>
  </si>
  <si>
    <t>주당 배당가능 현금(희석)</t>
  </si>
  <si>
    <t>주당 배당가능 현금(기본)</t>
  </si>
  <si>
    <t>배당가능 현금(희석)</t>
  </si>
  <si>
    <t>주당 배당금</t>
  </si>
  <si>
    <t>주식 예탁 증권 당 주식</t>
  </si>
  <si>
    <t>주당 수익</t>
  </si>
  <si>
    <t>주당 배당가능 현금</t>
  </si>
  <si>
    <t>주당 특별 배당금</t>
  </si>
  <si>
    <t>报告日期</t>
  </si>
  <si>
    <t>報告日期</t>
  </si>
  <si>
    <t>Date de dépôt</t>
  </si>
  <si>
    <t>周期长度（月）</t>
  </si>
  <si>
    <t>週期長度（月）</t>
  </si>
  <si>
    <t>Durée de la période en mois</t>
  </si>
  <si>
    <t>決算開示日</t>
  </si>
  <si>
    <t>Дата презентации</t>
  </si>
  <si>
    <t>Fecha de presentación</t>
  </si>
  <si>
    <t>会計期間（月数）</t>
  </si>
  <si>
    <t>Продолжительность периода в месяцах</t>
  </si>
  <si>
    <t>Duración del período en meses</t>
  </si>
  <si>
    <t>Einreichungsdatum</t>
  </si>
  <si>
    <t>Data di presentazione</t>
  </si>
  <si>
    <t>Periodenlänge in Monaten</t>
  </si>
  <si>
    <t>Durata del periodo in mesi</t>
  </si>
  <si>
    <t>제출 날짜</t>
  </si>
  <si>
    <t>기간(개월)</t>
  </si>
  <si>
    <t>息税折旧摊销前利润 (包括附属企业股权收益)</t>
  </si>
  <si>
    <t>息稅折舊攤銷前利潤  (包括附屬企業股權收益)</t>
  </si>
  <si>
    <t>EBITDA (y compris la quote-part des affiliés)</t>
  </si>
  <si>
    <t>息税折旧摊销前利润 (除股票补偿,包括附属企业股权收益)</t>
  </si>
  <si>
    <t>息稅折舊攤銷前利潤  (除股票補償,包括附屬企業股權收益)</t>
  </si>
  <si>
    <t>EBITDA (à l'exclusion de la rémunération à base d'actions et y compris la quote-part des affiliés)</t>
  </si>
  <si>
    <t>息税折旧摊销前利润 (除股票补偿)</t>
  </si>
  <si>
    <t>息稅折舊攤銷前利潤  (除股票補償)</t>
  </si>
  <si>
    <t>EBITDA (à l'exclusion de la rémunération à base d'actions)</t>
  </si>
  <si>
    <t>息税折旧摊销前利润,已调整租赁</t>
  </si>
  <si>
    <t>息稅折舊攤銷前利潤 ,已調整租賃</t>
  </si>
  <si>
    <t>EBITDA, ajusté au bail</t>
  </si>
  <si>
    <t>息税折旧摊销前利润的租赁调整</t>
  </si>
  <si>
    <t>息稅折舊攤銷前利潤 的租賃調整</t>
  </si>
  <si>
    <t>Ajustement du bail pour l'EBITDA</t>
  </si>
  <si>
    <t>息税折旧摊销前利润(包括附属企业股权收益,不包括经调整的经营租赁)</t>
  </si>
  <si>
    <t>息稅折舊攤銷前利潤 (包括附屬企業股權收益,不包括經調整的經營租賃)</t>
  </si>
  <si>
    <t>EBITDA (y compris les revenus des participations des filiales, à l'exclusion de l'ajustement des contrats de location-exploitation)</t>
  </si>
  <si>
    <t>EBITDA(持分法投資損益を含む)</t>
  </si>
  <si>
    <t>EBITDA (включая доход от долевого участия аффилированных лиц)</t>
  </si>
  <si>
    <t>EBITDA (Incluyendo Ingresos de capital de las filiales)</t>
  </si>
  <si>
    <t>EBITDA(持分法投資損益を含み、株式報酬費用除く)</t>
  </si>
  <si>
    <t>EBITDA (без учета компенсаций на основе акций и доходов от долевого участия от аффилированных компаний)</t>
  </si>
  <si>
    <t>EBITDA (Excluyendo compensación basada en acciones e incluyendo Ingresos de Capital de las filiales)</t>
  </si>
  <si>
    <t>EBITDA(株式報酬費用除く)</t>
  </si>
  <si>
    <t>EBITDA (без учета компенсаций на основе акций)</t>
  </si>
  <si>
    <t>EBITDA (Excluyendo compensación basada en acciones)</t>
  </si>
  <si>
    <t>EBITDA(リース調整後)</t>
  </si>
  <si>
    <t>EBITDA, Скорректированная на лизинг</t>
  </si>
  <si>
    <t>EBITDA, Ajustado por el arrendamiento</t>
  </si>
  <si>
    <t>EBITDAのリース調整額</t>
  </si>
  <si>
    <t>Корректировка на лизинг для EBITDA</t>
  </si>
  <si>
    <t>Ajuste del arrendamiento para el EBITDA</t>
  </si>
  <si>
    <t>EBITDA(持分法投資損益を含み、オペレーティング・リース除く)</t>
  </si>
  <si>
    <t>EBITDA (включая прибыль от долевого участия аффилированных компаний, без учета корректировки по операционной аренде)</t>
  </si>
  <si>
    <t>EBITDA (Incluyendo Ingresos de Capital de las filiales, excluido el ajuste del arrendamiento operativo)</t>
  </si>
  <si>
    <t>EBITDA (inkl. Beteiligungserträge aus verbundenen Unternehmen)</t>
  </si>
  <si>
    <t>EBITDA (incl. equity inc. da consociate)</t>
  </si>
  <si>
    <t>EBITDA (ohne SBC und inkl. Beteiligungserträge aus verbundenen Unternehmen)</t>
  </si>
  <si>
    <t>EBITDA (escl. SBC e incl. equity inc. da consociate)</t>
  </si>
  <si>
    <t>EBITDA (ohne SBC)</t>
  </si>
  <si>
    <t>EBITDA (escl. SBC)</t>
  </si>
  <si>
    <t>EBITDA, mietbereinigt</t>
  </si>
  <si>
    <t>EBITDA, rettificato per locazioni</t>
  </si>
  <si>
    <t>Mietanpassung für EBITDA</t>
  </si>
  <si>
    <t>Rettifica locazioni per EBITDA</t>
  </si>
  <si>
    <t>EBITDA (inkl. Beteiligungserträge aus verbundenen Unternehmen, ohne Anpassungen für Operating Leasing)</t>
  </si>
  <si>
    <t>EBITDA (incl. equity inc. da consociate, escl. rettifica per locazioni op.)</t>
  </si>
  <si>
    <t>EBITDA(계열사의 투자수익 포함)</t>
  </si>
  <si>
    <t>EBITDA(SBC 제외, 계열사의 투자수익 포함)</t>
  </si>
  <si>
    <t>EBITDA(SBC 제외)</t>
  </si>
  <si>
    <t>EBITDA, 리스 조정</t>
  </si>
  <si>
    <t>EBITDA를 위한 리스 조정</t>
  </si>
  <si>
    <t>EBITDA(계열사의 투자수익 포함, 운용리스 조정 제외)</t>
  </si>
  <si>
    <t>息税前利润 (包括附属企业股权收益)</t>
  </si>
  <si>
    <t>息稅前利潤 (包括附屬企業股權收益)</t>
  </si>
  <si>
    <t>EBIT (y compris les revenus des sociétés affiliées)</t>
  </si>
  <si>
    <t>息税前利润 (不包括股票补偿和包括附属企业股权收益)</t>
  </si>
  <si>
    <t>息稅前利潤 (不包括股票補償和包括附屬企業股權收益)</t>
  </si>
  <si>
    <t>EBIT (à l'exclusion de la rémunération à base d'actions et y compris les revenus en actions des sociétés affiliées)</t>
  </si>
  <si>
    <t>息税前利润 (不包括股票补偿)</t>
  </si>
  <si>
    <t>息稅前利潤 (不包括股票補償)</t>
  </si>
  <si>
    <t>EBIT (à l'exclusion de la rémunération à base d'actions)</t>
  </si>
  <si>
    <t>EBIT(持分法投資損益を含む)</t>
  </si>
  <si>
    <t>EBIT (в том числе доход от долевого участия аффилированных лиц)</t>
  </si>
  <si>
    <t>EBIT (Incluyendo Ingresos de Capital de las filiales)</t>
  </si>
  <si>
    <t>EBIT(持分法投資損益を含み、株式報酬費用除く)</t>
  </si>
  <si>
    <t>EBIT (без учета компенсаций на основе акций и доходов от долевого участия от аффилированных компаний)</t>
  </si>
  <si>
    <t>EBIT (Excluyendo compensación basada en acciones e incluyendo Ingresos de Capital de las filiales)</t>
  </si>
  <si>
    <t>EBIT(株式報酬費用除く)</t>
  </si>
  <si>
    <t>EBIT (без учета компенсаций на основе акций)</t>
  </si>
  <si>
    <t>EBIT (Excluyendo compensación basada en acciones)</t>
  </si>
  <si>
    <t>EBIT (inkl. Beteiligungserträge aus verbundenen Unternehmen)</t>
  </si>
  <si>
    <t>EBIT (incl. equity inc. da consociate)</t>
  </si>
  <si>
    <t>EBIT (ohne SBC und inkl. Beteiligungserträge aus verbundenen Unternehmen)</t>
  </si>
  <si>
    <t>EBIT (escl. SBC e incl. equity inc. da consociate)</t>
  </si>
  <si>
    <t>EBIT (ohne SBC)</t>
  </si>
  <si>
    <t>EBIT (escl. SBC)</t>
  </si>
  <si>
    <t>EBIT(계열사의 투자수익 포함)</t>
  </si>
  <si>
    <t>EBIT(SBC 제외, 계열사의 투자수익 포함)</t>
  </si>
  <si>
    <t>EBIT(SBC 제외)</t>
  </si>
  <si>
    <t>税息及摊销前利润</t>
  </si>
  <si>
    <t xml:space="preserve">稅息及攤銷前利潤 </t>
  </si>
  <si>
    <t>税息及摊销前利润 (包括附属企业股权收益)</t>
  </si>
  <si>
    <t>稅息及攤銷前利潤 (包括附屬企業股權收益)</t>
  </si>
  <si>
    <t>EBITA (y compris les revenus des sociétés affiliées)</t>
  </si>
  <si>
    <t>税息及摊销前利润 (不包括股票补偿和包括附属企业股权收益)</t>
  </si>
  <si>
    <t>稅息及攤銷前利潤 (不包括股票補償和包括附屬企業股權收益)</t>
  </si>
  <si>
    <t>EBITA (à l'exclusion des rémunérations à base d'actions et y compris les revenus en actions des sociétés affiliées)</t>
  </si>
  <si>
    <t>税息及摊销前利润 (不包括股票补偿)</t>
  </si>
  <si>
    <t>稅息及攤銷前利潤 (不包括股票補償)</t>
  </si>
  <si>
    <t>EBITA (à l'exclusion de la rémunération à base d'actions)</t>
  </si>
  <si>
    <t>EBITA(持分法投資損益を含む)</t>
  </si>
  <si>
    <t>EBITA (в том числе доходы от долевого участия в аффилированных компаниях)</t>
  </si>
  <si>
    <t>EBITA (Incluyendo Ingresos de Capital de las filiales)</t>
  </si>
  <si>
    <t>EBITA(持分法投資損益を含み、株式報酬費用除く)</t>
  </si>
  <si>
    <t>EBITA (без учета компенсаций на основе акций и доходов от долевого участия в аффилированных компаниях)</t>
  </si>
  <si>
    <t>EBITA (Excluyendo compensación basada en acciones e incluyendo Ingresos de Capital de las filiales)</t>
  </si>
  <si>
    <t>EBITA(株式報酬費用除く)</t>
  </si>
  <si>
    <t>EBITA (без учета компенсаций на основе акций)</t>
  </si>
  <si>
    <t>EBITA (Excluyendo compensación basada en acciones)</t>
  </si>
  <si>
    <t>EBITA (inkl. Beteiligungserträge aus verbundenen Unternehmen)</t>
  </si>
  <si>
    <t>EBITA (incl. equity inc. da consociate)</t>
  </si>
  <si>
    <t>EBITA (ohne SBC und inkl. Beteiligungserträge aus verbundenen Unternehmen)</t>
  </si>
  <si>
    <t>EBITA (escl. SBC e incl. equity inc. da consociate)</t>
  </si>
  <si>
    <t>EBITA (ohne SBC)</t>
  </si>
  <si>
    <t>EBITA (escl. SBC)</t>
  </si>
  <si>
    <t>EBITA(계열사의 투자수익 포함)</t>
  </si>
  <si>
    <t>EBITA(SBC 제외, 계열사의 투자수익 포함)</t>
  </si>
  <si>
    <t>EBITA(SBC 제외)</t>
  </si>
  <si>
    <t>息税折旧摊销重组费用前利润 (包括附属企业股权收益)</t>
  </si>
  <si>
    <t>息稅折舊攤銷重組費用前利潤 (包括附屬企業股權收益)</t>
  </si>
  <si>
    <t>EBITDAR (y compris les revenus des sociétés affiliées)</t>
  </si>
  <si>
    <t>息税折旧摊销重组费用前利润 (不包括股票补偿和包括附属企业股权收益)</t>
  </si>
  <si>
    <t>息稅折舊攤銷重組費用前利潤 (不包括股票補償和包括附屬企業股權收益)</t>
  </si>
  <si>
    <t>EBITDAR (à l'exclusion des rémunérations à base d'actions et y compris les revenus en actions des sociétés affiliées)</t>
  </si>
  <si>
    <t>息税折旧摊销重组费用前利润 (不包括股票补偿)</t>
  </si>
  <si>
    <t>息稅折舊攤銷重組費用前利潤 (不包括股票補償)</t>
  </si>
  <si>
    <t>EBITDAR (hors rémunération à base d'actions)</t>
  </si>
  <si>
    <t>息税折旧摊销前利润 - 资本支出</t>
  </si>
  <si>
    <t>息稅折舊攤銷前利潤  - 資本支出</t>
  </si>
  <si>
    <t>费用及其他收入</t>
  </si>
  <si>
    <t>費用及其他收入</t>
  </si>
  <si>
    <t>Honoraires et autres revenus</t>
  </si>
  <si>
    <t>同店销售增长</t>
  </si>
  <si>
    <t>同店銷售增長</t>
  </si>
  <si>
    <t>Croissance des ventes dans les mêmes magasins</t>
  </si>
  <si>
    <t>据公司呈报的总收入</t>
  </si>
  <si>
    <t>據公司呈報的總收入</t>
  </si>
  <si>
    <t>Revenus totaux tels que déclarés</t>
  </si>
  <si>
    <t>据公司呈报的息税折旧摊销前利润</t>
  </si>
  <si>
    <t xml:space="preserve">據公司呈報的息稅折舊攤銷前利潤 </t>
  </si>
  <si>
    <t>Tel que rapporté EBITDA</t>
  </si>
  <si>
    <t>备抵坏账-患者服务收入</t>
  </si>
  <si>
    <t>備抵壞賬-患者服務收入</t>
  </si>
  <si>
    <t>Provision pour créances douteuses - Revenus des services aux patients</t>
  </si>
  <si>
    <t>母公司盈利(不包括非经常性项目)</t>
  </si>
  <si>
    <t>母公司盈利(不包括非經常性項目)</t>
  </si>
  <si>
    <t>Bénéfices aux parents avant éléments extraordinaires</t>
  </si>
  <si>
    <t>每个SFAS 123的净收入（期权后）</t>
  </si>
  <si>
    <t>每個SFAS 123的淨收入（期權後）</t>
  </si>
  <si>
    <t>Bénéfice net selon la norme SFAS 123 (après options)</t>
  </si>
  <si>
    <t>EBITDAR(持分法投資損益を含む)</t>
  </si>
  <si>
    <t>EBITDAR (включая доход от долевого участия в аффилированных компаниях)</t>
  </si>
  <si>
    <t>EBITDAR (Incluyendo Ingresos de Capital de las filiales)</t>
  </si>
  <si>
    <t>EBITDAR(持分法投資損益を含み、株式報酬費用除く)</t>
  </si>
  <si>
    <t>EBITDAR (без учета компенсаций на основе акций и доходов от долевого участия в аффилированных компаниях)</t>
  </si>
  <si>
    <t>EBITDAR (Excluyendo compensación basada en acciones e incluyendo Ingresos de Capital de las filiales)</t>
  </si>
  <si>
    <t>EBITDAR(株式報酬費用除く)</t>
  </si>
  <si>
    <t>EBITDAR (без учета компенсаций по акциям)</t>
  </si>
  <si>
    <t>EBITDAR (Excluyendo compensación basada en acciones)</t>
  </si>
  <si>
    <t>EBITDA - 設備投資</t>
  </si>
  <si>
    <t>手数料・その他の利益</t>
  </si>
  <si>
    <t>Комиссионные и другие доходы</t>
  </si>
  <si>
    <t>Honorarios y otros ingresos</t>
  </si>
  <si>
    <t>小売既存店売上成長率</t>
  </si>
  <si>
    <t>Рост продаж одних и тех же магазинов</t>
  </si>
  <si>
    <t>Crecimiento de las ventas en la misma tienda</t>
  </si>
  <si>
    <t>総売上高(開示ベース)</t>
  </si>
  <si>
    <t>Итоговая выручка согласно отчёту</t>
  </si>
  <si>
    <t xml:space="preserve">Ingresos totales Reportados </t>
  </si>
  <si>
    <t>EBITDA (開示ベース)</t>
  </si>
  <si>
    <t>EBITDA согласно отчёту</t>
  </si>
  <si>
    <t>EBITDA reportado</t>
  </si>
  <si>
    <t>貸倒引当金繰入額(医療機関の患者に対する金額)</t>
  </si>
  <si>
    <t>Резерв по сомнительным счетам - Доходы от обслуживания пациентов</t>
  </si>
  <si>
    <t>Provisión para cuentas dudosas - Ingresos del servicio al paciente</t>
  </si>
  <si>
    <t>当期純利益
(非継続事業からの損益等の異常項目を除く)</t>
  </si>
  <si>
    <t>Заработок родительской компании до вычета чрезвычайных статей</t>
  </si>
  <si>
    <t>Ganancias para la casa matriz antes de los artículos extraordinarios</t>
  </si>
  <si>
    <t>SFASに基づく当期純利益(オプション除き)</t>
  </si>
  <si>
    <t>Чистая прибыль на SFAS 123 (после опционов)</t>
  </si>
  <si>
    <t>Ingreso neto por SFAS 123 (después de las opciones)</t>
  </si>
  <si>
    <t>EBITDAR (inkl. Beteiligungserträge aus verbundenen Unternehmen)</t>
  </si>
  <si>
    <t>EBITDAR (incl. equity inc. da consociate)</t>
  </si>
  <si>
    <t>EBITDAR (ohne SBC und inkl. Beteiligungserträge aus verbundenen Unternehmen)</t>
  </si>
  <si>
    <t>EBITDAR (escl. SBC e incl. equity inc. da consociate)</t>
  </si>
  <si>
    <t>EBITDAR (ohne SBC)</t>
  </si>
  <si>
    <t>EBITDAR (escl. SBC)</t>
  </si>
  <si>
    <t>EBITDA – ANLAGEINVESTITIONEN</t>
  </si>
  <si>
    <t>Gebühren und sonstige Erträge</t>
  </si>
  <si>
    <t>Tariffe e altre entrate</t>
  </si>
  <si>
    <t>Wachstum des flächenbereinigten Umsatzes</t>
  </si>
  <si>
    <t>Same Store Sales Growth (crescita vendite al dettaglio in periodi di tempo paragonabili)</t>
  </si>
  <si>
    <t>Gemeldete Gesamterlöse</t>
  </si>
  <si>
    <t>Totale ricavi come riportato</t>
  </si>
  <si>
    <t>Gemeldete EBITDA</t>
  </si>
  <si>
    <t>EBITDA come riportato</t>
  </si>
  <si>
    <t>Rückstellungen für zweifelhafte Forderungen – Erlöse aus Patientenversorgung</t>
  </si>
  <si>
    <t>Fondo accumulato per svalutazione crediti - Patient Service Revenue (ricavi assistenza pazienti meno crediti inesigibili)</t>
  </si>
  <si>
    <t>Gewinnausschüttung an Muttergesellschaft vor außerordentlichen Posten</t>
  </si>
  <si>
    <t>Utili per la controllante prima delle componenti straordinarie</t>
  </si>
  <si>
    <t>Reingewinn nach SFAS 123 (nach Optionen)</t>
  </si>
  <si>
    <t>Risultato netto in base a SFAS 123 (dopo le Opzioni)</t>
  </si>
  <si>
    <t>EBITDAR(계열사의 투자수익 포함)</t>
  </si>
  <si>
    <t>EBITDAR(SBC 제외, 계열사의 투자수익 포함)</t>
  </si>
  <si>
    <t>EBITDAR(SBC 제외)</t>
  </si>
  <si>
    <t>수수료 및 기타 수익</t>
  </si>
  <si>
    <t>동일 매장 매출 성장</t>
  </si>
  <si>
    <t>보고된 총수입</t>
  </si>
  <si>
    <t>보고된 EBITDA</t>
  </si>
  <si>
    <t>대손충당금 - 환자 서비스 수익</t>
  </si>
  <si>
    <t>특별 손익 항목 전 모회사 수익</t>
  </si>
  <si>
    <t>SFAS 123 당 순이익(옵션 후)</t>
  </si>
  <si>
    <t>投资收益</t>
  </si>
  <si>
    <t>投資收益</t>
  </si>
  <si>
    <t>Revenus des investissements</t>
  </si>
  <si>
    <t>销售中不包括消费税</t>
  </si>
  <si>
    <t>銷售中不包括消費稅</t>
  </si>
  <si>
    <t>Taxes d'accises exclues des ventes</t>
  </si>
  <si>
    <t>销售中包含消费税</t>
  </si>
  <si>
    <t>銷售中包含消費稅</t>
  </si>
  <si>
    <t>Taxes d'accises incluses dans les ventes</t>
  </si>
  <si>
    <t>当期国内税</t>
  </si>
  <si>
    <t>當期國內稅</t>
  </si>
  <si>
    <t>Impôts intérieurs actuels</t>
  </si>
  <si>
    <t>当期外国税</t>
  </si>
  <si>
    <t>當期外國稅</t>
  </si>
  <si>
    <t>Impôts étrangers actuels</t>
  </si>
  <si>
    <t>当期税款总额</t>
  </si>
  <si>
    <t>當期稅款總額</t>
  </si>
  <si>
    <t>Total des impôts courants</t>
  </si>
  <si>
    <t>递延国内税</t>
  </si>
  <si>
    <t>遞延國內稅</t>
  </si>
  <si>
    <t>Impôts intérieurs différés</t>
  </si>
  <si>
    <t>递延外国税</t>
  </si>
  <si>
    <t>遞延外國稅</t>
  </si>
  <si>
    <t>Impôts étrangers différés</t>
  </si>
  <si>
    <t>递延税款总额</t>
  </si>
  <si>
    <t>遞延稅款總額</t>
  </si>
  <si>
    <t>Total des impôts différés</t>
  </si>
  <si>
    <t>非经常性所得税</t>
  </si>
  <si>
    <t>非經常性所得稅</t>
  </si>
  <si>
    <t>Impôts sur les revenus non récurrents</t>
  </si>
  <si>
    <t>正常化净收入</t>
  </si>
  <si>
    <t>正常化淨收入</t>
  </si>
  <si>
    <t>Revenu net normalisé</t>
  </si>
  <si>
    <t xml:space="preserve">稀释净收入 </t>
  </si>
  <si>
    <t>稀釋淨收入</t>
  </si>
  <si>
    <t>Revenu net dilué</t>
  </si>
  <si>
    <t>投資収益</t>
  </si>
  <si>
    <t>Доход от инвестиций</t>
  </si>
  <si>
    <t>Ingresos por inversiones</t>
  </si>
  <si>
    <t>消費税額(税抜処理された金額)</t>
  </si>
  <si>
    <t>Акцизные налоги, исключенные из выручки от продажи</t>
  </si>
  <si>
    <t>Impuestos especiales excluidos de las ventas</t>
  </si>
  <si>
    <t>消費税額(税込処理により売上に含まれる金額)</t>
  </si>
  <si>
    <t>Акцизные налоги, включенные в выручку от продажи</t>
  </si>
  <si>
    <t>Los impuestos especiales incluidos en las ventas</t>
  </si>
  <si>
    <t>法人税等(当年度分/国内)</t>
  </si>
  <si>
    <t>Текущие национальные налоги</t>
  </si>
  <si>
    <t>Impuestos internos corrientes</t>
  </si>
  <si>
    <t>法人税等(当年度分/海外)</t>
  </si>
  <si>
    <t>Текущие иностранные налоги</t>
  </si>
  <si>
    <t>Impuestos extranjeros corrientes</t>
  </si>
  <si>
    <t>法人税等(当年度分合計)</t>
  </si>
  <si>
    <t>Итого текущие налоги</t>
  </si>
  <si>
    <t>Total de impuestos corrientes</t>
  </si>
  <si>
    <t>法人税等(繰延税額分/国内)</t>
  </si>
  <si>
    <t>Отложенные национальные налоги</t>
  </si>
  <si>
    <t>Impuestos internos diferidos</t>
  </si>
  <si>
    <t>法人税等(繰延税額分/海外)</t>
  </si>
  <si>
    <t>Отложенные иностранные налоги</t>
  </si>
  <si>
    <t>Impuestos extranjeros diferidos</t>
  </si>
  <si>
    <t>法人税等(繰延税額分合計)</t>
  </si>
  <si>
    <t>Итого Отложенные налоги</t>
  </si>
  <si>
    <t>Total de impuestos diferidos</t>
  </si>
  <si>
    <t>非経常的法人税</t>
  </si>
  <si>
    <t>Вторичные подоходные налоги</t>
  </si>
  <si>
    <t>Impuestos sobre la renta no recurrentes</t>
  </si>
  <si>
    <t>標準化後当期純利益</t>
  </si>
  <si>
    <t>Нормализованная чистая прибыль</t>
  </si>
  <si>
    <t>Ingresos netos normalizados</t>
  </si>
  <si>
    <t>希薄化考慮後当期純利益</t>
  </si>
  <si>
    <t>Разводненная чистая прибыль</t>
  </si>
  <si>
    <t>Ingresos netos diluidos</t>
  </si>
  <si>
    <t>Investmenterträge</t>
  </si>
  <si>
    <t>Reddito da investimenti</t>
  </si>
  <si>
    <t>Umsatz ohne Verbrauchssteuern</t>
  </si>
  <si>
    <t>Accise escluse dalle vendite</t>
  </si>
  <si>
    <t>Umsatz inklusive Verbrauchssteuern</t>
  </si>
  <si>
    <t>Accise incluse nelle vendite</t>
  </si>
  <si>
    <t>Kurzfristige inländische Steuern</t>
  </si>
  <si>
    <t>Imposte nazionali correnti</t>
  </si>
  <si>
    <t>Kurzfristige ausländische Steuern</t>
  </si>
  <si>
    <t>Imposte estere correnti</t>
  </si>
  <si>
    <t>Summe der kurzfristigen Steuern</t>
  </si>
  <si>
    <t>Totale imposte correnti</t>
  </si>
  <si>
    <t>Latente inländische Steuern</t>
  </si>
  <si>
    <t>Imposte nazionali differite</t>
  </si>
  <si>
    <t>Latente ausländische Steuern</t>
  </si>
  <si>
    <t>Imposte estere differite</t>
  </si>
  <si>
    <t>Summe der latenten Steuern</t>
  </si>
  <si>
    <t>Totale imposte differite</t>
  </si>
  <si>
    <t>Einmalige Einkommenssteuern</t>
  </si>
  <si>
    <t>Imposte sul reddito non ricorrenti</t>
  </si>
  <si>
    <t>Normalisierter Reingewinn</t>
  </si>
  <si>
    <t>Risultato netto normalizzato</t>
  </si>
  <si>
    <t>Verwässerter Reingewinn</t>
  </si>
  <si>
    <t>Risultato netto diluito</t>
  </si>
  <si>
    <t>투자 수익</t>
  </si>
  <si>
    <t>매출에서 제외된 특별소비세</t>
  </si>
  <si>
    <t>매출에 포함된 특별소비세</t>
  </si>
  <si>
    <t>당기 내국세</t>
  </si>
  <si>
    <t>당기 외국세</t>
  </si>
  <si>
    <t>총 당기 세금</t>
  </si>
  <si>
    <t>이연내국세</t>
  </si>
  <si>
    <t>이연외국세</t>
  </si>
  <si>
    <t>총 이연법인세</t>
  </si>
  <si>
    <t>비경상 소득세</t>
  </si>
  <si>
    <t>정규화된 순이익</t>
  </si>
  <si>
    <t>희석 순이익</t>
  </si>
  <si>
    <t>利息资本化</t>
  </si>
  <si>
    <t>利息資本化</t>
  </si>
  <si>
    <t>Intérêts capitalisés</t>
  </si>
  <si>
    <t>长期债务利息</t>
  </si>
  <si>
    <t>長期債務利息</t>
  </si>
  <si>
    <t>Intérêts sur la dette à long terme</t>
  </si>
  <si>
    <t>租赁负债/债务利 息支出</t>
  </si>
  <si>
    <t>租賃負債/債務 利息支出</t>
  </si>
  <si>
    <t>Frais d'intérêt sur les dettes de location</t>
  </si>
  <si>
    <t>利息费用（包括资本利息）</t>
  </si>
  <si>
    <t>利息費用（包括資本利息）</t>
  </si>
  <si>
    <t>Frais d'intérêt (y compris les intérêts sur le capital)</t>
  </si>
  <si>
    <t>非现金养老金费用</t>
  </si>
  <si>
    <t>非現金養老金費用</t>
  </si>
  <si>
    <t>Frais de pension non monétaires</t>
  </si>
  <si>
    <t>息税折旧摊销前利润的折旧和摊销</t>
  </si>
  <si>
    <t>息稅折舊攤銷前利潤 的折舊和攤銷</t>
  </si>
  <si>
    <t>Amortissement et dépréciation pour l'EBITDA</t>
  </si>
  <si>
    <t>可分配现金</t>
  </si>
  <si>
    <t>可分配現金</t>
  </si>
  <si>
    <t>Liquidités distribuables</t>
  </si>
  <si>
    <t>正常化可分配现金</t>
  </si>
  <si>
    <t>正常化可分配現金</t>
  </si>
  <si>
    <t>Liquidités distribuables normalisées</t>
  </si>
  <si>
    <t>每单位年度化分派</t>
  </si>
  <si>
    <t>每單位年度化分派</t>
  </si>
  <si>
    <t>Distributions annualisées par unité</t>
  </si>
  <si>
    <t>原価算入分の借入資本利子</t>
  </si>
  <si>
    <t>Капитализированные проценты</t>
  </si>
  <si>
    <t>Interés capitalizado</t>
  </si>
  <si>
    <t>支払利息(長期有利子負債に対応分)</t>
  </si>
  <si>
    <t>Проценты по долгосрочному долгу</t>
  </si>
  <si>
    <t>Intereses de la deuda a largo plazo</t>
  </si>
  <si>
    <t>リース負債/負債に対する利息費用</t>
  </si>
  <si>
    <t>Процентные расходы по лизинговым обязательствам/долг</t>
  </si>
  <si>
    <t>Gastos de intereses en la responsabilidad de arrendamiento/deuda</t>
  </si>
  <si>
    <t>支払利息(キャピタル・リース取引から発生した分を含む)</t>
  </si>
  <si>
    <t>Процентные расходы (вкл. "Процентные расходы")</t>
  </si>
  <si>
    <t>Gastos de intereses (incluido el interés de capital)</t>
  </si>
  <si>
    <t>退職給付費用(現金非支出額)</t>
  </si>
  <si>
    <t>Расходы по безналичному пенсионному обеспечению</t>
  </si>
  <si>
    <t>Gastos de pensión en No-efectivo</t>
  </si>
  <si>
    <t>EBITDA計算過程に使用する減価償却費</t>
  </si>
  <si>
    <t>Износ и амортизация для EBITDA</t>
  </si>
  <si>
    <t>Depreciación y amortización para EBITDA</t>
  </si>
  <si>
    <t>分配可能現金額</t>
  </si>
  <si>
    <t>Распределяемые денежные средства</t>
  </si>
  <si>
    <t>Caja distribuible</t>
  </si>
  <si>
    <t>標準化後分配可能現金額</t>
  </si>
  <si>
    <t>Стандартизированные распределяемые денежные средства</t>
  </si>
  <si>
    <t>Caja distribuible estandarizado</t>
  </si>
  <si>
    <t>一株当たり配当金(年換算後)</t>
  </si>
  <si>
    <t>Годовые распределения на единицу</t>
  </si>
  <si>
    <t>Distribuciones anualizadas por unidad</t>
  </si>
  <si>
    <t>Kapitalisierte Zinsen</t>
  </si>
  <si>
    <t>Interesse capitalizzato</t>
  </si>
  <si>
    <t>Zinsen auf langfristige Anleihen</t>
  </si>
  <si>
    <t>Interessi sul debito a lungo termine</t>
  </si>
  <si>
    <t>Zinsaufwendungen für Leasingverbindlichkeiten/-schulden</t>
  </si>
  <si>
    <t>Interessi passivi su passività da locazioni/debito</t>
  </si>
  <si>
    <t>Zinsaufwendungen (inkl. Kap.-Zinsen)</t>
  </si>
  <si>
    <t>Interessi passivi (incl. interesse cap.)</t>
  </si>
  <si>
    <t>Unbarer Pensionsaufwand</t>
  </si>
  <si>
    <t>Spesa pensioni non in contanti</t>
  </si>
  <si>
    <t>Abschreibungen für EBITDA</t>
  </si>
  <si>
    <t>D&amp;A per EBITDA</t>
  </si>
  <si>
    <t>Ausschüttungsfähige Barmittel</t>
  </si>
  <si>
    <t>Contanti distribuibili</t>
  </si>
  <si>
    <t>Standardisiertes ausschüttungsfähige Barmittel</t>
  </si>
  <si>
    <t>Contanti distribuibili standardizzati</t>
  </si>
  <si>
    <t>Annualisierte Ausschüttungen pro Stück</t>
  </si>
  <si>
    <t>Distribuzioni annuali per unità</t>
  </si>
  <si>
    <t>원금 가산 이자</t>
  </si>
  <si>
    <t>장기부채 이자</t>
  </si>
  <si>
    <t>리스 부채 이자비용</t>
  </si>
  <si>
    <t>이자비용(원금 가산 이자 포함)</t>
  </si>
  <si>
    <t>비현금 연금 비용</t>
  </si>
  <si>
    <t>EBITDA의 D&amp;A</t>
  </si>
  <si>
    <t>배당가능 현금</t>
  </si>
  <si>
    <t>표준화된 배당가능 현금</t>
  </si>
  <si>
    <t>단위 당 연간 계산된 배당금</t>
  </si>
  <si>
    <t>可分配现金股息支付比率（收入信托）</t>
  </si>
  <si>
    <t>可分配現金股息支付比率（收入信託）</t>
  </si>
  <si>
    <t>Ratio de distribution des liquidités distribuables (fiducies de revenu)</t>
  </si>
  <si>
    <t>宣布的普通股股利</t>
  </si>
  <si>
    <t>Déclaration de dividende sur les actions ordinaires</t>
  </si>
  <si>
    <t>分配可能額に対する配当金支払額の割合</t>
  </si>
  <si>
    <t>Коэффициент распределения денежных выплат (трасты по доходам)</t>
  </si>
  <si>
    <t>Ratio de pago de caja distribuible (fideicomisos de ingresos)</t>
  </si>
  <si>
    <t>公表された配当金支払額</t>
  </si>
  <si>
    <t>Объявленные дивиденды по обыкновенным акциям</t>
  </si>
  <si>
    <t>Dividendos de las acciones comunes declaradas</t>
  </si>
  <si>
    <t>Auszahlungsquote für ausschüttungsfähige Barmittel (Income Trusts)</t>
  </si>
  <si>
    <t>Rapporto di pagamento contanti distribuibili (income trust)</t>
  </si>
  <si>
    <t>Angekündigte Dividende auf Stammaktien</t>
  </si>
  <si>
    <t>Dividendi ordinari dichiarati</t>
  </si>
  <si>
    <t>배당가능 현금 배당성향(수익신탁)</t>
  </si>
  <si>
    <t>보통주 배당 고시</t>
  </si>
  <si>
    <t>派息率（％）</t>
  </si>
  <si>
    <t>Ratio de distribution (%)</t>
  </si>
  <si>
    <t>债务发行成本</t>
  </si>
  <si>
    <t>債務發行成本</t>
  </si>
  <si>
    <t>Frais d'émission de la dette</t>
  </si>
  <si>
    <t>据呈报的货币</t>
  </si>
  <si>
    <t>據呈報的貨幣</t>
  </si>
  <si>
    <t>Monnaie de dépôt</t>
  </si>
  <si>
    <t>重述类型</t>
  </si>
  <si>
    <t>重述類型</t>
  </si>
  <si>
    <t>Type de retraitement</t>
  </si>
  <si>
    <t>计算类型</t>
  </si>
  <si>
    <t>計算類型</t>
  </si>
  <si>
    <t>Type de calcul</t>
  </si>
  <si>
    <t>财务会计准则</t>
  </si>
  <si>
    <t>財務會計準則</t>
  </si>
  <si>
    <t>Norme de comptabilité financière</t>
  </si>
  <si>
    <t>补充营业费用项目</t>
  </si>
  <si>
    <t>補充營業費用項目</t>
  </si>
  <si>
    <t>Postes supplémentaires de dépenses de fonctionnement</t>
  </si>
  <si>
    <t>配当性向</t>
  </si>
  <si>
    <t>Коэффициент покрытия (%)</t>
  </si>
  <si>
    <t>Ratio de pago de dividendos (%)</t>
  </si>
  <si>
    <t>債券発行費用</t>
  </si>
  <si>
    <t>Затраты на выпуск долговых обязательств</t>
  </si>
  <si>
    <t>Costos de emisión de deuda</t>
  </si>
  <si>
    <t>開示通貨</t>
  </si>
  <si>
    <t>Валюта отчетности</t>
  </si>
  <si>
    <t>Presentación de la moneda</t>
  </si>
  <si>
    <t>リステートメント・タイプ</t>
  </si>
  <si>
    <t>Тип отчетности</t>
  </si>
  <si>
    <t>Tipo de restauración</t>
  </si>
  <si>
    <t>計算・タイプ</t>
  </si>
  <si>
    <t>Вычислительный метод</t>
  </si>
  <si>
    <t>Tipo de cálculo</t>
  </si>
  <si>
    <t>開示会計基準</t>
  </si>
  <si>
    <t>Стандарт финансовой отчетности</t>
  </si>
  <si>
    <t>Estándar de contabilidad financiera</t>
  </si>
  <si>
    <t>補足営業費用項目</t>
  </si>
  <si>
    <t>Дополнительные эксплуатационные расходы</t>
  </si>
  <si>
    <t>Artículos de gastos de operación suplementarios</t>
  </si>
  <si>
    <t>Ausschüttungsquote (%)</t>
  </si>
  <si>
    <t>Rapporto di pagamento (%)</t>
  </si>
  <si>
    <t>Kosten für die Ausgabe von Anleihen</t>
  </si>
  <si>
    <t>Costi emissione debito</t>
  </si>
  <si>
    <t>Währung der Erklärung</t>
  </si>
  <si>
    <t>Valuta di inserimento</t>
  </si>
  <si>
    <t>Art der Neuformulierung</t>
  </si>
  <si>
    <t>Tipo di rideterminazione</t>
  </si>
  <si>
    <t>Berechnungstyp</t>
  </si>
  <si>
    <t>Tipo di calcolo</t>
  </si>
  <si>
    <t>Finanzbuchhaltungstandard</t>
  </si>
  <si>
    <t>Standard di contabilità finanziaria</t>
  </si>
  <si>
    <t>Posten für zusätzliche Betriebsaufwendungen</t>
  </si>
  <si>
    <t>Elementi di spesa operativa supplementari</t>
  </si>
  <si>
    <t>배당성향(%)</t>
  </si>
  <si>
    <t>부채 발행 비용</t>
  </si>
  <si>
    <t>고시 통화</t>
  </si>
  <si>
    <t>수정 재무제표 유형</t>
  </si>
  <si>
    <t>계산 유형</t>
  </si>
  <si>
    <t>재무회계 표준</t>
  </si>
  <si>
    <t>부가 운영비 항목</t>
  </si>
  <si>
    <t>营销费用</t>
  </si>
  <si>
    <t>營銷費用</t>
  </si>
  <si>
    <t>Frais de marketing</t>
  </si>
  <si>
    <t>销售与营销费用</t>
  </si>
  <si>
    <t>銷售與營銷費用</t>
  </si>
  <si>
    <t>Frais de vente et de marketing</t>
  </si>
  <si>
    <t>マーケティング費用</t>
  </si>
  <si>
    <t>Маркетинговые расходы</t>
  </si>
  <si>
    <t>Gastos de marketing</t>
  </si>
  <si>
    <t>販売・マーケティング費用</t>
  </si>
  <si>
    <t>Расходы на продажу и маркетинг</t>
  </si>
  <si>
    <t>Gastos de venta y marketing</t>
  </si>
  <si>
    <t>Marketingaufwendungen</t>
  </si>
  <si>
    <t>Spese di marketing</t>
  </si>
  <si>
    <t>Verkaufs- und Marketingaufwendungen</t>
  </si>
  <si>
    <t>Spese di vendita e marketing</t>
  </si>
  <si>
    <t>마케팅 비용</t>
  </si>
  <si>
    <t>판매 및 마케팅 비용</t>
  </si>
  <si>
    <t>研发费用(注脚)</t>
  </si>
  <si>
    <t>研發費用(註腳)</t>
  </si>
  <si>
    <t>Dépenses de R&amp;D (Note de bas de page)</t>
  </si>
  <si>
    <t>净租金支出，总计</t>
  </si>
  <si>
    <t>淨租金支出，總計</t>
  </si>
  <si>
    <t>Frais de location nets, total</t>
  </si>
  <si>
    <t>净租金支出</t>
  </si>
  <si>
    <t>淨租金支出</t>
  </si>
  <si>
    <t>Frais de location nets</t>
  </si>
  <si>
    <t>净租金支出(补充)</t>
  </si>
  <si>
    <t>淨租金支出(補充)</t>
  </si>
  <si>
    <t>Frais de location nets (Supplément)</t>
  </si>
  <si>
    <t>或有租金费用</t>
  </si>
  <si>
    <t>或有租金費用</t>
  </si>
  <si>
    <t>Frais de location éventuels</t>
  </si>
  <si>
    <t>最低租金费用</t>
  </si>
  <si>
    <t>最低租金費用</t>
  </si>
  <si>
    <t>Frais de location minimum</t>
  </si>
  <si>
    <t>其他租金费用</t>
  </si>
  <si>
    <t>其他租金費用</t>
  </si>
  <si>
    <t>Autres frais de location</t>
  </si>
  <si>
    <t>飞机租赁费用</t>
  </si>
  <si>
    <t>飛機租賃費用</t>
  </si>
  <si>
    <t>Frais de location des aéronefs</t>
  </si>
  <si>
    <t>租赁资产折旧</t>
  </si>
  <si>
    <t>租賃資產折舊</t>
  </si>
  <si>
    <t>Amortissement des biens locatifs</t>
  </si>
  <si>
    <t>勘探/钻探费用</t>
  </si>
  <si>
    <t>勘探/鑽探費用</t>
  </si>
  <si>
    <t>Frais d'exploration/forage</t>
  </si>
  <si>
    <t>保养和维修费用</t>
  </si>
  <si>
    <t>保養和維修費用</t>
  </si>
  <si>
    <t>Frais de maintenance et de réparation</t>
  </si>
  <si>
    <t>估算的经营租赁利息费用</t>
  </si>
  <si>
    <t>估算的經營租賃利息費用</t>
  </si>
  <si>
    <t>Frais d'intérêt sur les contrats de leasing opérationnel imputés</t>
  </si>
  <si>
    <t>估算的经营租赁折旧</t>
  </si>
  <si>
    <t>估算的經營租賃折舊</t>
  </si>
  <si>
    <t>Amortissement des contrats de leasing opérationnel imputé</t>
  </si>
  <si>
    <t>薪金及其他员工福利</t>
  </si>
  <si>
    <t>薪金及其他員工福利</t>
  </si>
  <si>
    <t>Salaires et autres avantages sociaux</t>
  </si>
  <si>
    <t>研究開発費(注記)</t>
  </si>
  <si>
    <t>Расходы на НИОКР (Примечание)</t>
  </si>
  <si>
    <t>Gastos de I+D (Nota al pie)</t>
  </si>
  <si>
    <t>リース料(合計)</t>
  </si>
  <si>
    <t>Чистые расходы на аренду, всего</t>
  </si>
  <si>
    <t>Gastos netos de alquiler, total</t>
  </si>
  <si>
    <t>リース料</t>
  </si>
  <si>
    <t>Чистые расходы на аренду</t>
  </si>
  <si>
    <t>Gastos netos de alquiler</t>
  </si>
  <si>
    <t>リース料(注記)</t>
  </si>
  <si>
    <t>Чистые расходы на аренду (Дополнительно)</t>
  </si>
  <si>
    <t>Gasto neto de alquiler (Suplemento)</t>
  </si>
  <si>
    <t>変動リース料</t>
  </si>
  <si>
    <t>Условные расходы на аренду</t>
  </si>
  <si>
    <t>Gastos de alquiler contingentes</t>
  </si>
  <si>
    <t>最低リース料</t>
  </si>
  <si>
    <t>Минимальные расходы на аренду</t>
  </si>
  <si>
    <t>Gastos mínimos de alquiler</t>
  </si>
  <si>
    <t>その他リース料</t>
  </si>
  <si>
    <t>Другие расходы на аренду</t>
  </si>
  <si>
    <t>Otros gastos de alquiler</t>
  </si>
  <si>
    <t>航空機のリース料</t>
  </si>
  <si>
    <t>Расходы на аренду воздушного судна</t>
  </si>
  <si>
    <t>Gastos de alquiler de aviones</t>
  </si>
  <si>
    <t>リース資産にかかる減価償却費</t>
  </si>
  <si>
    <t>Амортизация арендных активов</t>
  </si>
  <si>
    <t>Depreciación de los activos de alquiler</t>
  </si>
  <si>
    <t>踏査/掘削費</t>
  </si>
  <si>
    <t>Расходы на разведку/бурение</t>
  </si>
  <si>
    <t>Gastos de exploración y perforación</t>
  </si>
  <si>
    <t>修繕費</t>
  </si>
  <si>
    <t>Расходы на техническое обслуживание и ремонт</t>
  </si>
  <si>
    <t>Gastos de mantenimiento y reparación</t>
  </si>
  <si>
    <t>賃貸借リース取引にかかる支払利息</t>
  </si>
  <si>
    <t>Вмененные процентные расходы по операционной аренде</t>
  </si>
  <si>
    <t xml:space="preserve">Operaciones imputadas. Gastos de Interés de arrendamiento </t>
  </si>
  <si>
    <t>賃貸借リース取引にかかる減価償却費</t>
  </si>
  <si>
    <t>Амортизация по операционной аренде</t>
  </si>
  <si>
    <t>Operaciones imputadas. Depreciación de Arrendamiento</t>
  </si>
  <si>
    <t>従業員に対する給与・福利厚生費用</t>
  </si>
  <si>
    <t>Зарплаты и другие льготы</t>
  </si>
  <si>
    <t>Sueldos y otras prestaciones para los empleados</t>
  </si>
  <si>
    <t>F&amp;E-Aufwendungen (Fußnote)</t>
  </si>
  <si>
    <t>Spese ricerca e sviluppo (Nota di bilancio)</t>
  </si>
  <si>
    <t>Nettomietaufwendungen, Summe</t>
  </si>
  <si>
    <t>Spese noleggio nette, totale</t>
  </si>
  <si>
    <t>Nettomietaufwendungen</t>
  </si>
  <si>
    <t>Spese noleggio nette</t>
  </si>
  <si>
    <t>Nettomietaufwendungen (Zus.)</t>
  </si>
  <si>
    <t>Spese noleggio nette (flessibile)</t>
  </si>
  <si>
    <t>Bedingte Mietaufwendungen</t>
  </si>
  <si>
    <t>Spese noleggio potenziali</t>
  </si>
  <si>
    <t>Mindestmietaufwendungen</t>
  </si>
  <si>
    <t>Spese noleggio minime</t>
  </si>
  <si>
    <t>Andere Mietaufwendungen</t>
  </si>
  <si>
    <t>Altre spese noleggio</t>
  </si>
  <si>
    <t>Mietaufwendungen für Flugzeuge</t>
  </si>
  <si>
    <t>Spese noleggio velivoli</t>
  </si>
  <si>
    <t>Abschreibung von Mietvermögen</t>
  </si>
  <si>
    <t>Ammortamento attività di noleggio</t>
  </si>
  <si>
    <t>Explorations-/Bohraufwand</t>
  </si>
  <si>
    <t>Spese di esplorazione/trivellazione</t>
  </si>
  <si>
    <t>Kosten für Wartung und Reparatur</t>
  </si>
  <si>
    <t>Spese di riparazione e manutenzione</t>
  </si>
  <si>
    <t>Annahmen zum betrieblichen Mietaufwand</t>
  </si>
  <si>
    <t>Interesse passivo locazioni oper. contabile</t>
  </si>
  <si>
    <t>Annahmen zu betrieblichen Mietabschreibungen</t>
  </si>
  <si>
    <t>Ammortamento locazioni oper. contabile</t>
  </si>
  <si>
    <t>Gehälter und andere Leistungen für Mitarbeiter</t>
  </si>
  <si>
    <t>Stipendi e altri benefici dei dipendenti</t>
  </si>
  <si>
    <t>R&amp;D 비용(주석)</t>
  </si>
  <si>
    <t>순 임대 비용, 총계</t>
  </si>
  <si>
    <t>순 임대 비용</t>
  </si>
  <si>
    <t>순 임대 비용(부가)</t>
  </si>
  <si>
    <t>조건부 임대 비용</t>
  </si>
  <si>
    <t>최소 임대 비용</t>
  </si>
  <si>
    <t>기타 임대 비용</t>
  </si>
  <si>
    <t>항공기 임대 비용</t>
  </si>
  <si>
    <t>임대 자산 감가상각</t>
  </si>
  <si>
    <t>탐사/시추 비용</t>
  </si>
  <si>
    <t>유지보수 및 수리 비용</t>
  </si>
  <si>
    <t>귀속 운영 리스 이자 비용</t>
  </si>
  <si>
    <t>귀속 운영 리스 감가상각</t>
  </si>
  <si>
    <t>급여 및 기타 직원 수당</t>
  </si>
  <si>
    <t>重组费用（补充）</t>
  </si>
  <si>
    <t>重組費用（補充）</t>
  </si>
  <si>
    <t>Frais de restructuration (Supplément)</t>
  </si>
  <si>
    <t>合并及相关重组费用（补充）</t>
  </si>
  <si>
    <t>合併及相關重組費用（補充）</t>
  </si>
  <si>
    <t>Frais de fusion et de restructuration (Supplément)</t>
  </si>
  <si>
    <t>商誉减值（补充）</t>
  </si>
  <si>
    <t>商譽減值（補充）</t>
  </si>
  <si>
    <t>Dépréciation de la survaleur ( Supplément)</t>
  </si>
  <si>
    <t>资产减值, 总计（补充）</t>
  </si>
  <si>
    <t>資產減值, 總計（補充）</t>
  </si>
  <si>
    <t>Dépréciation d'actifs, total ( Supplément)</t>
  </si>
  <si>
    <t>进行中的研发费用（补充）</t>
  </si>
  <si>
    <t>進行中的研發費用（補充）</t>
  </si>
  <si>
    <t>Dépenses de R &amp; D en cours (Supplément)</t>
  </si>
  <si>
    <t>廉价购买利益</t>
  </si>
  <si>
    <t>廉價購買利益</t>
  </si>
  <si>
    <t>Gain sur l'Acquisition de bonnes affaires</t>
  </si>
  <si>
    <t>廉价购买利益-补充</t>
  </si>
  <si>
    <t>廉價購買利益-補充</t>
  </si>
  <si>
    <t>Gain sur l'Acquisition de bonnes affaires - Supplément</t>
  </si>
  <si>
    <t>保险结算（补充）</t>
  </si>
  <si>
    <t>保險結算（補充）</t>
  </si>
  <si>
    <t>Règlements d'assurance (Supplément)</t>
  </si>
  <si>
    <t>法律和解（补充）</t>
  </si>
  <si>
    <t>法律和解（補充）</t>
  </si>
  <si>
    <t>Règlements juridiques (Supplément)</t>
  </si>
  <si>
    <t>其他异常项目（补充）</t>
  </si>
  <si>
    <t>其他異常項目（補充）</t>
  </si>
  <si>
    <t>Autres éléments inhabituels (Supplément)</t>
  </si>
  <si>
    <t>异常项目，总计（补充）</t>
  </si>
  <si>
    <t>異常項目，總計（補充）</t>
  </si>
  <si>
    <t>Éléments inhabituels, total (Supplément)</t>
  </si>
  <si>
    <t>负商誉摊销</t>
  </si>
  <si>
    <t>負商譽攤銷</t>
  </si>
  <si>
    <t>Amortissement du fonds de commerce négatif</t>
  </si>
  <si>
    <t>负商誉的摊销-税后</t>
  </si>
  <si>
    <t>負商譽的攤銷-稅後</t>
  </si>
  <si>
    <t>Amortissement du fonds de commerce négatif - après impôt</t>
  </si>
  <si>
    <t>股票补偿, 销货成本</t>
  </si>
  <si>
    <t>股票補償, 銷貨成本</t>
  </si>
  <si>
    <t>Rémunération à base d'actions, coûts de production (COGS)</t>
  </si>
  <si>
    <t>股票补偿, 研发费用</t>
  </si>
  <si>
    <t>股票補償, 研發費用</t>
  </si>
  <si>
    <t>Rémunération à base d'actions, dépenses de R&amp;D</t>
  </si>
  <si>
    <t>股票补偿, 销售与营销费用</t>
  </si>
  <si>
    <t>股票補償, 銷售與營銷費用</t>
  </si>
  <si>
    <t>Rémunération à base d'actions, frais de vente et de marketing</t>
  </si>
  <si>
    <t>股票补偿, 一般行政费用</t>
  </si>
  <si>
    <t>股票補償, 一般行政費用</t>
  </si>
  <si>
    <t>Rémunération à base d'actions, frais généraux et administratifs</t>
  </si>
  <si>
    <t>股票补偿, 销售及一般行政费用</t>
  </si>
  <si>
    <t>股票補償, 銷售及一般行政費用</t>
  </si>
  <si>
    <t>Rémunération à base d'actions, frais de vente, frais généraux et administratifs</t>
  </si>
  <si>
    <t>股票补偿, 勘探/钻探费用</t>
  </si>
  <si>
    <t>股票補償, 勘探/鑽探費用</t>
  </si>
  <si>
    <t>Rémunération à base d'actions, frais d'exploration/forage</t>
  </si>
  <si>
    <t>股票补偿，未分配</t>
  </si>
  <si>
    <t>股票補償，未分配</t>
  </si>
  <si>
    <t>Rémunération à base d'actions, non allouée</t>
  </si>
  <si>
    <t>股票补偿，税后</t>
  </si>
  <si>
    <t>股票補償，稅後</t>
  </si>
  <si>
    <t>Rémunération à base d'actions, après impôt</t>
  </si>
  <si>
    <t>股票补偿，总计</t>
  </si>
  <si>
    <t>股票補償，總計</t>
  </si>
  <si>
    <t>Rémunération à base d'actions, Total</t>
  </si>
  <si>
    <t>限制性股票补偿费用，税前</t>
  </si>
  <si>
    <t>限制性股票補償費用，稅前</t>
  </si>
  <si>
    <t>Restructuration Frais de rémunération en actions, avant impôt</t>
  </si>
  <si>
    <t>限制性股票补偿费用有效税收</t>
  </si>
  <si>
    <t>限制性股票補償費用有效稅收</t>
  </si>
  <si>
    <t>Restructuration Rémunération en actions Effet fiscal</t>
  </si>
  <si>
    <t>限制性股票补偿费用，税后</t>
  </si>
  <si>
    <t>限制性股票補償費用，稅後</t>
  </si>
  <si>
    <t>Restructuration Frais de rémunération en actions, après impôts</t>
  </si>
  <si>
    <t>税前股票期权补偿费用</t>
  </si>
  <si>
    <t>稅前股票期權補償費用</t>
  </si>
  <si>
    <t>Frais de rémunération des options d'achat d'actions, avant impôt</t>
  </si>
  <si>
    <t>股票期权补偿费用有效税收</t>
  </si>
  <si>
    <t>股票期權補償費用有效稅收</t>
  </si>
  <si>
    <t>Effet fiscal des frais de rémunération en options d'achat d'actions</t>
  </si>
  <si>
    <t>税后股票期权补偿费用</t>
  </si>
  <si>
    <t>稅後股票期權補償費用</t>
  </si>
  <si>
    <t>Frais de rémunération des options d'achat d'actions, après impôts</t>
  </si>
  <si>
    <t>税前基于股票的补偿费用</t>
  </si>
  <si>
    <t>稅前基於股票的補償費用</t>
  </si>
  <si>
    <t>Frais de rémunération à base d'actions, avant impôt</t>
  </si>
  <si>
    <t>基于股票的补偿费用有效税收</t>
  </si>
  <si>
    <t>基於股票的補償費用有效稅收</t>
  </si>
  <si>
    <t>Rémunération à base d'actions - Effet fiscal</t>
  </si>
  <si>
    <t>税后基于股票的补偿费用</t>
  </si>
  <si>
    <t>稅後基於股票的補償費用</t>
  </si>
  <si>
    <t>Frais de rémunération à base d'actions, après impôts</t>
  </si>
  <si>
    <t>構造改革費用(注記)</t>
  </si>
  <si>
    <t>Реструктуризация расходов (Дополнение)</t>
  </si>
  <si>
    <t>Cargos por reestructuración (Suplemento)</t>
  </si>
  <si>
    <t>M&amp;A関連費用(注記)</t>
  </si>
  <si>
    <t>Расходы на слияние и реструктуризацию (Дополнение)</t>
  </si>
  <si>
    <t>Fusión y reestructuración relacionada. Cargos (Suplemento)</t>
  </si>
  <si>
    <t>のれんの減損損失(注記)</t>
  </si>
  <si>
    <t>Обесценение гудвила (Дополнение)</t>
  </si>
  <si>
    <t>Deterioro de Bienes de Uso (Suplemento)</t>
  </si>
  <si>
    <t>固定資産の減損損失(注記)</t>
  </si>
  <si>
    <t>Обесценение активов, всего (Дополнение)</t>
  </si>
  <si>
    <t>Reducción de activos, total (Suplemento)</t>
  </si>
  <si>
    <t>仕掛研究開発費(注記)</t>
  </si>
  <si>
    <t>Текущие расходы на НИОКР (Дополнение)</t>
  </si>
  <si>
    <t>Gastos de I+D en proceso (Suplemento)</t>
  </si>
  <si>
    <t>廉価買収益</t>
  </si>
  <si>
    <t>Прибыль от приобретения</t>
  </si>
  <si>
    <t>Ganancia en la adquisición de la negociación</t>
  </si>
  <si>
    <t>廉価買収益(注記)</t>
  </si>
  <si>
    <t>Прибыль от приобретения - Дополнение</t>
  </si>
  <si>
    <t>Ganar en la adquisición de negociación - Suplemento</t>
  </si>
  <si>
    <t>保険差損益(注記)</t>
  </si>
  <si>
    <t>Страховые расчеты (дополнение)</t>
  </si>
  <si>
    <t>Acuerdos de seguros (Suplemento)</t>
  </si>
  <si>
    <t>法務費用(注記)</t>
  </si>
  <si>
    <t>Правовые расчеты (Дополнение)</t>
  </si>
  <si>
    <t>Acuerdos legales (Suplemento)</t>
  </si>
  <si>
    <t>その他特別損益項目合計(注記)</t>
  </si>
  <si>
    <t>Прочие необычные предметы (Дополнение)</t>
  </si>
  <si>
    <t>Otros artículos inusuales (Suplemento)</t>
  </si>
  <si>
    <t>特別損益項目合計(注記)</t>
  </si>
  <si>
    <t>Необычные статьи, Всего (Дополнение)</t>
  </si>
  <si>
    <t>Artículos inusuales, Total (Suplemento)</t>
  </si>
  <si>
    <t>負ののれんの償却額</t>
  </si>
  <si>
    <t>Амортизация отрицательного гудвила</t>
  </si>
  <si>
    <t>Amortización de bienes de uso negativo</t>
  </si>
  <si>
    <t>負ののれんの償却額(税引後)</t>
  </si>
  <si>
    <t>Амортизация отрицательного гудвила - после налогообложения</t>
  </si>
  <si>
    <t>Amortización de bienes de uso negativo - Después de impuestos</t>
  </si>
  <si>
    <t>株式報酬費用(売上原価に帰属)</t>
  </si>
  <si>
    <t>Компенсация на основе акций, COGS</t>
  </si>
  <si>
    <t>Compensación basada en acciones, Costo de Mercadería Vendida</t>
  </si>
  <si>
    <t>株式報酬費用(研究開発費に帰属)</t>
  </si>
  <si>
    <t>Компенсация на основе акций, расходы на НИОКР</t>
  </si>
  <si>
    <t>Compensación basada en acciones, Gastos de I+D</t>
  </si>
  <si>
    <t>株式報酬費用(販売費及びマーケティング費用に帰属)</t>
  </si>
  <si>
    <t>Компенсации на основе акций, расходы на продажи и маркетинг</t>
  </si>
  <si>
    <t xml:space="preserve">Compensación basada en acciones, Gastos de Ventas y Marketing </t>
  </si>
  <si>
    <t>株式報酬費用(一般管理費に帰属)</t>
  </si>
  <si>
    <t>Компенсация на основе акций, общие и административные расходы</t>
  </si>
  <si>
    <t xml:space="preserve">Compensación basada en acciones, Gastos Generales y Administrativos </t>
  </si>
  <si>
    <t>株式報酬費用(販売費及び一般管理費に帰属)</t>
  </si>
  <si>
    <t>Компенсация на основе акций, Продажа, Общие и административные расходы</t>
  </si>
  <si>
    <t xml:space="preserve">Compensación basada en acciones, Gastos de Ventas, generales y adminsitrativos </t>
  </si>
  <si>
    <t>株式報酬費用(踏査/掘削費)</t>
  </si>
  <si>
    <t>Компенсация на основе акций, расходы на геологоразведку/бурение</t>
  </si>
  <si>
    <t>Compensación basada en acciones, Gastos de Exploración y Perforación</t>
  </si>
  <si>
    <t>株式報酬費用(その他)</t>
  </si>
  <si>
    <t>Компенсация на основе акций, нераспределенная</t>
  </si>
  <si>
    <t>Compensación basada en stock, no asignada</t>
  </si>
  <si>
    <t>株式報酬費用(税引後)</t>
  </si>
  <si>
    <t>Компенсация на основе акций, после уплаты налогов</t>
  </si>
  <si>
    <t>Compensación basada en acciones después de impuestos</t>
  </si>
  <si>
    <t>株式報酬費用(総額)</t>
  </si>
  <si>
    <t>Компенсация на основе акций, Всего</t>
  </si>
  <si>
    <t>Compensación basada en acciones Total</t>
  </si>
  <si>
    <t>譲渡制限付株式報酬費用(税引前)</t>
  </si>
  <si>
    <t>Реструктуризация компенсаций по акциям Расходы до налогообложения</t>
  </si>
  <si>
    <t>Gastos de compensación de acciones restringidos, antes de impuestos</t>
  </si>
  <si>
    <t>譲渡制限付株式報酬費用(税金相当分)</t>
  </si>
  <si>
    <t xml:space="preserve">Реструктуризация компенсаций по акциям Налоговый эффект </t>
  </si>
  <si>
    <t>Gastos de compensación de acciones restringidos, Efecto del impuesto sobre la renta</t>
  </si>
  <si>
    <t>譲渡制限付株式報酬費用(税引後)</t>
  </si>
  <si>
    <t>Реструктуризация компенсаций по акциям Расходы после налогообложения</t>
  </si>
  <si>
    <t>Gastos de compensación de acciones restringidos, después de impuestos</t>
  </si>
  <si>
    <t>ストック・オプション付与による賞与支払(税引前)</t>
  </si>
  <si>
    <t>Компенсация опционов на акции Расходы до налогообложения</t>
  </si>
  <si>
    <t>Gastos de compensación de opciones sobre acciones, antes de impuestos</t>
  </si>
  <si>
    <t>ストック・オプション付与による賞与支払(税金相当分)</t>
  </si>
  <si>
    <t>Компенсация опционов на акции Налоговый эффект</t>
  </si>
  <si>
    <t xml:space="preserve">Gastos de compensación de opciones sobre acciones, Efecto Impositivo </t>
  </si>
  <si>
    <t>ストック・オプション付与による賞与支払(税引後)</t>
  </si>
  <si>
    <t>Компенсация опционов на акции Расходы, после уплаты налога</t>
  </si>
  <si>
    <t>Gastos de compensación de opciones sobre acciones, Después de impuestos</t>
  </si>
  <si>
    <t>株式報酬費用合計(税引前)</t>
  </si>
  <si>
    <t>Компенсация на основе акций Расходы до налогообложения</t>
  </si>
  <si>
    <t>Gastos de compensación basados ​​en acciones, antes de impuestos</t>
  </si>
  <si>
    <t>株式報酬費用合計(税金相当分)</t>
  </si>
  <si>
    <t>Компенсация на основе акций Налоговый эффект</t>
  </si>
  <si>
    <t xml:space="preserve">Gastos de compensación basados ​​en acciones, Efecto de los impuestos </t>
  </si>
  <si>
    <t>株式報酬費用合計(税引後)</t>
  </si>
  <si>
    <t>Компенсация на основе акций Расходы после уплаты налогов</t>
  </si>
  <si>
    <t>Gastos de compensación basados ​​en acciones, Después de impuestos</t>
  </si>
  <si>
    <t>Umstrukturierungskosten (Zus.)</t>
  </si>
  <si>
    <t>Costi di ristrutturazione (flessibili)</t>
  </si>
  <si>
    <t>Fusions- und damit verbundene Sanierungskosten (Zus.)</t>
  </si>
  <si>
    <t>Costi di fusione e relative ristrutturazioni (flessibili)</t>
  </si>
  <si>
    <t>Minderung des ideellen Unternehmenswerts(Zus.)</t>
  </si>
  <si>
    <t>Rettif. di valore dell'avviamento (flessibile)</t>
  </si>
  <si>
    <t>Vermögensabschreibung, Summe (Zus.)</t>
  </si>
  <si>
    <t>Svalutazione delle immobilizzazioni, totale (flessibile)</t>
  </si>
  <si>
    <t>Laufender F&amp;E-Aufwand (Zus.)</t>
  </si>
  <si>
    <t>Spese per ricerca e sviluppo in corso (flessibile)</t>
  </si>
  <si>
    <t>Gewinn aus dem Erwerb von Schnäppchen</t>
  </si>
  <si>
    <t>Utile per acquisto a prezzi favorevoli</t>
  </si>
  <si>
    <t>Gewinn beim Erwerb von Schnäppchen (Zus.)</t>
  </si>
  <si>
    <t>Utile per acquisto a prezzi favorevoli - Flessibile</t>
  </si>
  <si>
    <t>Versicherungsabrechnungen (Zus.)</t>
  </si>
  <si>
    <t>Indennizzi assicurativi (flessibile)</t>
  </si>
  <si>
    <t>Verfahrensvergleiche (Zus.)</t>
  </si>
  <si>
    <t>Indennizzi legali (flessibile)</t>
  </si>
  <si>
    <t>Sonstige außerordentliche Positionen (Zus.)</t>
  </si>
  <si>
    <t>Altre componenti non usuali (flessibile)</t>
  </si>
  <si>
    <t>Außerordentliche Positionen, Summe (Zus.)</t>
  </si>
  <si>
    <t>Componenti non usuali, totale (flessibile)</t>
  </si>
  <si>
    <t>Abschreibung von negativem ideellen Unternehmenswert</t>
  </si>
  <si>
    <t>Ammortamento avviamento negativo</t>
  </si>
  <si>
    <t>Abschreibung von negativem ideellen Unternehmenswert – nach Steuern</t>
  </si>
  <si>
    <t>Ammortamento avviamento negativo - Al netto delle imposte</t>
  </si>
  <si>
    <t>Aktienvergütungen, Gestehungskosten</t>
  </si>
  <si>
    <t>Comp. basata su azioni, COGS (costo del venduto)</t>
  </si>
  <si>
    <t>Aktienvergütungen, F&amp;E-Aufwendungen</t>
  </si>
  <si>
    <t>Comp. basata su azioni, spese ricerca e sviluppo</t>
  </si>
  <si>
    <t>Aktienvergütungen, S&amp;M-Aufwendungen</t>
  </si>
  <si>
    <t>Comp. basata su azioni, spese vendite e marketing</t>
  </si>
  <si>
    <t>Aktienvergütungen, G&amp;A-Aufwendungen</t>
  </si>
  <si>
    <t>Comp. basata su azioni, spese generali e amministrative</t>
  </si>
  <si>
    <t>Aktienvergütungen, SG&amp;A-Aufwendungen</t>
  </si>
  <si>
    <t>Comp. basata su azioni, spese generali, vendite e marketing</t>
  </si>
  <si>
    <t>Aktienvergütungen, Explorations-/Bohrungensaufwendungen</t>
  </si>
  <si>
    <t>Comp. basata su azioni, spese di esplorazione/trivellazione</t>
  </si>
  <si>
    <t>Aktienvergütungen, nicht zugeordnet</t>
  </si>
  <si>
    <t>Comp. basata su azioni, non allocato</t>
  </si>
  <si>
    <t>Aktienvergütungen, nach Steuern</t>
  </si>
  <si>
    <t>Comp. basata su azioni, al netto delle imposte</t>
  </si>
  <si>
    <t>Aktienvergütungen, Summe</t>
  </si>
  <si>
    <t>Comp. basata su azioni, totale</t>
  </si>
  <si>
    <t>Aufwand für Aktienvergütungen mit Sperrfrist, vor Steuern</t>
  </si>
  <si>
    <t>Spese comp. azioni vincolate, al lordo delle imposte</t>
  </si>
  <si>
    <t>Aufwand für Aktienvergütungen mit Sperrfrist, Steuereffekt</t>
  </si>
  <si>
    <t>Effetto fiscale spese comp. azioni vincolate</t>
  </si>
  <si>
    <t>Aufwand für Aktienvergütungen mit Sperrfrist, nach Steuern</t>
  </si>
  <si>
    <t>Spese comp. azioni vincolate, al netto delle imposte</t>
  </si>
  <si>
    <t>Aufwand für Vergütung mit Aktienoptionen, vor Steuern</t>
  </si>
  <si>
    <t>Spese comp. opzioni su azioni, al lordo delle imposte</t>
  </si>
  <si>
    <t>Aufwand für Vergütung mit Aktienoptionen, Steuereffekt</t>
  </si>
  <si>
    <t>Effetto fiscale spese comp. opzioni su azioni</t>
  </si>
  <si>
    <t>Aufwand für Vergütung mit Aktienoptionen, nach Steuern</t>
  </si>
  <si>
    <t>Spese comp. opzioni su azioni, al netto delle imposte</t>
  </si>
  <si>
    <t>Aufwand für Aktienvergütungen, vor Steuern</t>
  </si>
  <si>
    <t>Spese comp. basata su azioni, al lordo delle imposte</t>
  </si>
  <si>
    <t>Aufwand für Aktienvergütungen, Steuereffekt</t>
  </si>
  <si>
    <t>Effetto fiscale spese comp. basata su azioni</t>
  </si>
  <si>
    <t>Aufwand für Aktienvergütungen, nach Steuern</t>
  </si>
  <si>
    <t>Spese comp. basata su azioni, al netto delle imposte</t>
  </si>
  <si>
    <t>구조조정 비용(부가)</t>
  </si>
  <si>
    <t>합병 및 관련 구조조정 비용(부가)</t>
  </si>
  <si>
    <t>영업권 손실(부가)</t>
  </si>
  <si>
    <t>자산 상계액, 총계(부가)</t>
  </si>
  <si>
    <t>진행 중인 연구개발비(부가)</t>
  </si>
  <si>
    <t>계약 인수 이익</t>
  </si>
  <si>
    <t>계약 인수 이익 - 부가</t>
  </si>
  <si>
    <t>보험 결산(부가)</t>
  </si>
  <si>
    <t>법적 결산(부가)</t>
  </si>
  <si>
    <t>기타 비일반적 항목(부가)</t>
  </si>
  <si>
    <t>비일반적 항목, 총계(부가)</t>
  </si>
  <si>
    <t>부의 영업권 상각</t>
  </si>
  <si>
    <t>부의 영업권 상각 - 세후</t>
  </si>
  <si>
    <t>배당금수익, COGS</t>
  </si>
  <si>
    <t>배당금수익, R&amp;D 비용</t>
  </si>
  <si>
    <t>배당금수익, S&amp;M 비용</t>
  </si>
  <si>
    <t>배당금수익, G&amp;A 비용</t>
  </si>
  <si>
    <t>배당금수익, SG&amp;A 비용</t>
  </si>
  <si>
    <t>배당금수익, 탐사/시추 비용</t>
  </si>
  <si>
    <t>배당금수익, 할당되지 않음</t>
  </si>
  <si>
    <t>배당금수익, 세후</t>
  </si>
  <si>
    <t>배당금수익, 총계</t>
  </si>
  <si>
    <t>양도제한 주식 보상비, 세전</t>
  </si>
  <si>
    <t>양도제한 주식 보상비 절세효과</t>
  </si>
  <si>
    <t>양도제한 주식 보상비, 세후</t>
  </si>
  <si>
    <t>스톡옵션 보상비, 세전</t>
  </si>
  <si>
    <t>스톡옵션 보상비 절세효과</t>
  </si>
  <si>
    <t>스톡옵션 보상비, 세후</t>
  </si>
  <si>
    <t>배당금수익 비용, 세전</t>
  </si>
  <si>
    <t>배당금수익 비용 절세효과</t>
  </si>
  <si>
    <t>배당금수익 비용, 세후</t>
  </si>
  <si>
    <t>已付现金利息扣除已付利息</t>
  </si>
  <si>
    <t>已付現金利息扣除已付利息</t>
  </si>
  <si>
    <t>Intérêts payés en espèces nets des intérêts reçus</t>
  </si>
  <si>
    <t>现金股利和收到的利息</t>
  </si>
  <si>
    <t>現金股利和收到的利息</t>
  </si>
  <si>
    <t>Dividendes et intérêts reçus en espèces</t>
  </si>
  <si>
    <t>已付现金利息-经营活动</t>
  </si>
  <si>
    <t>已付現金利息-經營活動</t>
  </si>
  <si>
    <t>Intérêts payés en espèces - Activités de exploitation</t>
  </si>
  <si>
    <t>已付现金利息-投资活动</t>
  </si>
  <si>
    <t>已付現金利息-投資活動</t>
  </si>
  <si>
    <t>Intérêts payés en espèces - Activités d'investissement</t>
  </si>
  <si>
    <t>已付现金利息-融资活动</t>
  </si>
  <si>
    <t>已付現金利息-融資活動</t>
  </si>
  <si>
    <t>Intérêts payés en espèces - Activités de financement</t>
  </si>
  <si>
    <t>支払利息の現金支出額</t>
  </si>
  <si>
    <t>Проценты уплаченные наличными за вычетом процентов полученных</t>
  </si>
  <si>
    <t>Interés en efectivo pagado neto de interés recibido</t>
  </si>
  <si>
    <t>受取利息・受取配当金の収入額</t>
  </si>
  <si>
    <t>Денежные дивиденды и проценты полученные</t>
  </si>
  <si>
    <t>Dividendos en efectivo e intereses recibidos</t>
  </si>
  <si>
    <t>支払利息の現金支出額(営業活動に帰属分)</t>
  </si>
  <si>
    <t>Денежные проценты уплаченные - Операционная деятельность</t>
  </si>
  <si>
    <t>Intereses pagados en efectivo - Actividades operativas</t>
  </si>
  <si>
    <t>支払利息の現金支出額(投資活動に帰属分)</t>
  </si>
  <si>
    <t>Денежные проценты уплаченные - Инвестиционная деятельность</t>
  </si>
  <si>
    <t>Intereses pagados en efectivo - Actividades de inversión</t>
  </si>
  <si>
    <t>支払利息の現金支出額(財務活動に帰属分)</t>
  </si>
  <si>
    <t>Денежные проценты уплаченные - Финансовая деятельность</t>
  </si>
  <si>
    <t>Intereses pagados en efectivo - Actividades de financiación</t>
  </si>
  <si>
    <t>Gezahlte Barzinsen abzüglich erhaltener Zinsen</t>
  </si>
  <si>
    <t>Interessi in contanti pagati al netto degli interessi attivi</t>
  </si>
  <si>
    <t>Erhaltene Bardividenden und Zinsen</t>
  </si>
  <si>
    <t>Dividendo in contanti e interessi attivi</t>
  </si>
  <si>
    <t>Bar gezahlte Zinsen – Betriebstätigkeit</t>
  </si>
  <si>
    <t>Interessi in contanti pagati - Attività operative</t>
  </si>
  <si>
    <t>Bar gezahlte Zinsen – Investitionstätigkeit</t>
  </si>
  <si>
    <t>Interessi in contanti pagati - Attività d'investimento</t>
  </si>
  <si>
    <t>Bar gezahlte Zinsen – Finanzierungstätigkeit</t>
  </si>
  <si>
    <t>Interessi in contanti pagati - Attività di finanziamento</t>
  </si>
  <si>
    <t>지불된 현금 이자 순 수취이자</t>
  </si>
  <si>
    <t>현금 배당금 및 수취이자</t>
  </si>
  <si>
    <t>지불된 현금 이자 - 운영 활동</t>
  </si>
  <si>
    <t>지불된 현금 이자 - 투자 활동</t>
  </si>
  <si>
    <t>지불된 현금 이자 - 재무 활동</t>
  </si>
  <si>
    <t>已付现金税-经营活动</t>
  </si>
  <si>
    <t>已付現金稅-經營活動</t>
  </si>
  <si>
    <t>Impôts payés en espèces - Activités d'exploitation</t>
  </si>
  <si>
    <t>已付现金税-投资活动</t>
  </si>
  <si>
    <t>已付現金稅-投資活動</t>
  </si>
  <si>
    <t>Impôts payés en espèces - Activités d'investissement</t>
  </si>
  <si>
    <t>已付现金税-筹资活动</t>
  </si>
  <si>
    <t>已付現金稅-籌資活動</t>
  </si>
  <si>
    <t>Impôts payés en espèces - Activités de financement</t>
  </si>
  <si>
    <t>递延所得税，总计</t>
  </si>
  <si>
    <t>遞延所得稅，總計</t>
  </si>
  <si>
    <t>Impôts différés sur le revenu, total</t>
  </si>
  <si>
    <t>净营运资金变动</t>
  </si>
  <si>
    <t>淨營運資金變動</t>
  </si>
  <si>
    <t>Variation du fonds de roulement net</t>
  </si>
  <si>
    <t>杠杆自由现金流</t>
  </si>
  <si>
    <t>槓桿自由現金流</t>
  </si>
  <si>
    <t>Flux de trésorerie disponible</t>
  </si>
  <si>
    <t>法人税等の現金支出額(営業活動に帰属分)</t>
  </si>
  <si>
    <t>Денежные налоги уплаченные - операционная деятельность</t>
  </si>
  <si>
    <t>Impuestos pagados en efectivo - Actividades operativas</t>
  </si>
  <si>
    <t>法人税等の現金支出額(投資活動に帰属分)</t>
  </si>
  <si>
    <t>Денежные налоги уплаченные - Инвестиционная деятельность</t>
  </si>
  <si>
    <t>Impuestos pagados en efectivo - Actividades de inversión</t>
  </si>
  <si>
    <t>法人税等の現金支出額(財務活動に帰属分)</t>
  </si>
  <si>
    <t>Денежные налоги уплаченные - Финансовая деятельность</t>
  </si>
  <si>
    <t>Impuestos pagados en efectivo - Actividades de financiación</t>
  </si>
  <si>
    <t>繰延法人税総額</t>
  </si>
  <si>
    <t>Отложенные налоги на прибыль, всего</t>
  </si>
  <si>
    <t>Impuestos sobre la renta diferidos, total</t>
  </si>
  <si>
    <t>純運転資本の増減額</t>
  </si>
  <si>
    <t>Изменение чистого оборотного капитала</t>
  </si>
  <si>
    <t>Variación del capital de trabajo neto</t>
  </si>
  <si>
    <t>レバード・フリー・キャッシュ・フロー</t>
  </si>
  <si>
    <t>Cвободный денежный поток с долговой нагрузкой</t>
  </si>
  <si>
    <t>El flujo de efectivo libre apalancado</t>
  </si>
  <si>
    <t>Bar gezahlte Steuern – Betriebstätigkeit</t>
  </si>
  <si>
    <t>Imposte in contanti pagate - Attività operative</t>
  </si>
  <si>
    <t>Bar gezahlte Steuern – Investitionstätigkeit</t>
  </si>
  <si>
    <t>Imposte in contanti pagate - Attività d'investimento</t>
  </si>
  <si>
    <t>Bar gezahlte Steuern – Finanzierungstätigkeit</t>
  </si>
  <si>
    <t>Imposte in contanti pagate - Attività di finanziamento</t>
  </si>
  <si>
    <t>Latente Ertragssteuern, Summe</t>
  </si>
  <si>
    <t>Imposte sul reddito differite, totale</t>
  </si>
  <si>
    <t>Veränderung des Nettoumlaufvermögens</t>
  </si>
  <si>
    <t>Variazione capitale circolante netto</t>
  </si>
  <si>
    <t>Fremdfinanzierter freier Cashflow</t>
  </si>
  <si>
    <t>Flusso di cassa con leva</t>
  </si>
  <si>
    <t>지불된 현금 세금 - 운영 활동</t>
  </si>
  <si>
    <t>지불된 현금 세금 - 투자 활동</t>
  </si>
  <si>
    <t>지불된 현금 세금 - 재무 활동</t>
  </si>
  <si>
    <t>이연법인세, 총계</t>
  </si>
  <si>
    <t>순운영자본 변동</t>
  </si>
  <si>
    <t>차입 잉여현금흐름</t>
  </si>
  <si>
    <t>每股现金流量</t>
  </si>
  <si>
    <t>每股現金流量</t>
  </si>
  <si>
    <t>Flux de trésorerie par action</t>
  </si>
  <si>
    <t>已发行净债务</t>
  </si>
  <si>
    <t>已發行淨債務</t>
  </si>
  <si>
    <t>Dette nette émise</t>
  </si>
  <si>
    <t>维修资本支出</t>
  </si>
  <si>
    <t>維修資本支出</t>
  </si>
  <si>
    <t>终止经营项目净现金收入-投资</t>
  </si>
  <si>
    <t>終止經營項目淨現金收入-投資</t>
  </si>
  <si>
    <t>Trésorerie nette des opérations abandonnées. - Investissement</t>
  </si>
  <si>
    <t>终止经营项目净现金收入-筹资</t>
  </si>
  <si>
    <t>終止經營項目淨現金收入-籌資</t>
  </si>
  <si>
    <t>Trésorerie nette des opérations abandonnées. - Financement</t>
  </si>
  <si>
    <t>经营租赁支付</t>
  </si>
  <si>
    <t>經營租賃支付</t>
  </si>
  <si>
    <t>Paiements de leasing opérationnel</t>
  </si>
  <si>
    <t>经营租赁负债变动</t>
  </si>
  <si>
    <t>經營租賃負債變動</t>
  </si>
  <si>
    <t>Variation du passif des contrats de location-exploitation</t>
  </si>
  <si>
    <t>经营租赁负债变动（非现金）</t>
  </si>
  <si>
    <t>經營租賃負債變動（非現金）</t>
  </si>
  <si>
    <t>Variation du passif des contrats de location-exploitation hors trésorerie</t>
  </si>
  <si>
    <t>已偿还的长期债务，不包括租赁</t>
  </si>
  <si>
    <t>已償還的長期債務，不包括租賃</t>
  </si>
  <si>
    <t>Dette à long terme remboursée, à l'exclusion des contrats de location</t>
  </si>
  <si>
    <t>已偿还债务总额，不包括租赁</t>
  </si>
  <si>
    <t>已償還債務總額，不包括租賃</t>
  </si>
  <si>
    <t>Dette totale remboursée, à l'exclusion des contrats de location</t>
  </si>
  <si>
    <t>廉价购买利益 -（现金流量）</t>
  </si>
  <si>
    <t>廉價購買利益 -（現金流量）</t>
  </si>
  <si>
    <t>Gain sur l'acquisition d'une bonne affaire - Flux de trésorerie</t>
  </si>
  <si>
    <t>一株当たりキャッシュフロー</t>
  </si>
  <si>
    <t>Денежный поток на акцию</t>
  </si>
  <si>
    <t>Flujo de efectivo por acción</t>
  </si>
  <si>
    <t>負債の発行の純増減</t>
  </si>
  <si>
    <t>Выпущенный чистый долг</t>
  </si>
  <si>
    <t>Deuda neta emitida</t>
  </si>
  <si>
    <t>メンテナンス設備投資額（修繕費支出）</t>
  </si>
  <si>
    <t>Капитальные расходы на содержание</t>
  </si>
  <si>
    <t>CAPEX de mantenimiento</t>
  </si>
  <si>
    <t>非継続事業による現金増減(投資活動に帰属分)</t>
  </si>
  <si>
    <t>Чистые денежные средства от прекращенной деятельности. - Инвестиционная деятельность</t>
  </si>
  <si>
    <t>Efectivo neto de operaciones discontinuadas. - Inversión</t>
  </si>
  <si>
    <t>非継続事業による現金増減(財務活動に帰属分)</t>
  </si>
  <si>
    <t>Чистые денежные средства от прекращенной деятельности. - Финансовая деятельность</t>
  </si>
  <si>
    <t>Efectivo neto de operaciones discontinuadas. - Financiación</t>
  </si>
  <si>
    <t>オペレーティング・リース支払</t>
  </si>
  <si>
    <t>Платежи по операционной аренде</t>
  </si>
  <si>
    <t>Pagos de arrendamientos operativos</t>
  </si>
  <si>
    <t>オペレーティングリース債務の変更</t>
  </si>
  <si>
    <t>Изменение обязательств по операционной аренде</t>
  </si>
  <si>
    <t>Variación de las obligaciones de arrendamiento operativo</t>
  </si>
  <si>
    <t>オペレーティングリース負債の非現金の変更</t>
  </si>
  <si>
    <t>Изменение обязательств по операционной аренде Неденежные средства</t>
  </si>
  <si>
    <t>Variación de los pasivos de arrendamiento operativo no monetario</t>
  </si>
  <si>
    <t>返済済み長期借入金(リース除く)</t>
  </si>
  <si>
    <t>Погашение долгосрочного долга, исключая договоры аренды</t>
  </si>
  <si>
    <t>Pago de deudas a largo plazo, excepto arrendamientos.</t>
  </si>
  <si>
    <t>返済済み負債総額(リース除く)</t>
  </si>
  <si>
    <t>Полное погашение задолженности, исключая договоры аренды</t>
  </si>
  <si>
    <t>Total de la deuda pagada, excluyendo los arrendamientos</t>
  </si>
  <si>
    <t>廉価買収益 - （CF）</t>
  </si>
  <si>
    <t>Прибыль от приобретения - (Денежный поток)</t>
  </si>
  <si>
    <t>Ganancia en la Adquisición de Negocios - (Flujo de Fondos)</t>
  </si>
  <si>
    <t>Cashflow pro Aktie</t>
  </si>
  <si>
    <t>Contanti per azione</t>
  </si>
  <si>
    <t>Nettoneuverschuldung</t>
  </si>
  <si>
    <t>Debito netto emesso</t>
  </si>
  <si>
    <t>CAPEX für Instandhaltung</t>
  </si>
  <si>
    <t>Manutenzione CAPEX</t>
  </si>
  <si>
    <t>Nettobarmittel aus aufgegebenem Geschäftsbetrieb – Investitionen</t>
  </si>
  <si>
    <t>Liquidità netta da attività cessate - Investimenti</t>
  </si>
  <si>
    <t>Nettobarmittel aus aufgegebenem Geschäftsbetrieb – Finanzierung</t>
  </si>
  <si>
    <t>Liquidità netta da attività cessate - Finanziamenti</t>
  </si>
  <si>
    <t>Zahlungen für Operating-Leasing</t>
  </si>
  <si>
    <t>Pagamenti locazioni operative</t>
  </si>
  <si>
    <t>Veränderung der Verbindlichkeiten aus Operating-Leasing</t>
  </si>
  <si>
    <t>Variazioni passività locazioni operative</t>
  </si>
  <si>
    <t>Veränderung der Verbindlichkeiten aus Operating-Leasing, nicht zahlungswirksam</t>
  </si>
  <si>
    <t>Variazioni passività locazioni operative non in contanti</t>
  </si>
  <si>
    <t>Rückzahlung langfristiger Schulden, ohne Mieten</t>
  </si>
  <si>
    <t>Debito a lungo termine rimborsato, escl. locazioni</t>
  </si>
  <si>
    <t>Summe der zurückgezahlten Schulden, ohne Mieten</t>
  </si>
  <si>
    <t>Debito totale rimborsato, escl. locazioni</t>
  </si>
  <si>
    <t>Gewinn beim Erwerb von Schnäppchen – (CF)</t>
  </si>
  <si>
    <t>Utile per acquisto a prezzi favorevoli - (CF)</t>
  </si>
  <si>
    <t>주당 현금 흐름</t>
  </si>
  <si>
    <t>순 발행 부채</t>
  </si>
  <si>
    <t>유지보수 CAPEX</t>
  </si>
  <si>
    <t>중단 영업의 순현금 - 투자</t>
  </si>
  <si>
    <t>중단 영업의 순현금 - 재무</t>
  </si>
  <si>
    <t>운용리스 지불</t>
  </si>
  <si>
    <t>운용리스 부채 변동</t>
  </si>
  <si>
    <t>운용리스 부채 변동 비현금</t>
  </si>
  <si>
    <t>상환 장기부채, 리스 제외</t>
  </si>
  <si>
    <t>총 상환 부채, 리스 제외</t>
  </si>
  <si>
    <t>계약 인수 이익 - (CF)</t>
  </si>
  <si>
    <t>使用权资产-毛额</t>
  </si>
  <si>
    <t>使用權資產-毛額</t>
  </si>
  <si>
    <t>Droit d'utilisation des biens - brut</t>
  </si>
  <si>
    <t>使用权资产-累计折旧</t>
  </si>
  <si>
    <t>使用權資產-累計折舊</t>
  </si>
  <si>
    <t>Droit d'utilisation des biens - Amortissement cumulé</t>
  </si>
  <si>
    <t>使用权资产-净额</t>
  </si>
  <si>
    <t>使用權資產-淨額</t>
  </si>
  <si>
    <t>Droit d'utilisation des biens - net</t>
  </si>
  <si>
    <t>使用权资产-资本租赁-毛额</t>
  </si>
  <si>
    <t>使用權資產-資本租賃-毛額</t>
  </si>
  <si>
    <t>Droit d'utilisation des biens - Contrat de location de capital - Brut</t>
  </si>
  <si>
    <t>使用权资产-资本租赁-累计折旧</t>
  </si>
  <si>
    <t>使用權資產-資本租賃-累計折舊</t>
  </si>
  <si>
    <t>Droit d'utilisation d'un actif - Contrat de location de capital - Amortissement cumulé</t>
  </si>
  <si>
    <t>使用权资产-资本租赁-净额</t>
  </si>
  <si>
    <t>使用權資產-資本租賃-淨額</t>
  </si>
  <si>
    <t>Droit d'utilisation des actifs - Contrat de location de capital - net</t>
  </si>
  <si>
    <t>使用权资产-经营租赁-毛额</t>
  </si>
  <si>
    <t>使用權資產-經營租賃-毛額</t>
  </si>
  <si>
    <t>Droit d'utilisation des actifs - leasing opérationnel - brut</t>
  </si>
  <si>
    <t>使用权资产-经营租赁-累计折旧</t>
  </si>
  <si>
    <t>使用權資產-經營租賃-累計折舊</t>
  </si>
  <si>
    <t>Droit d'utilisation des actifs - leasing opérationnel - amortissement cumulé</t>
  </si>
  <si>
    <t>使用权资产-经营租赁-净额</t>
  </si>
  <si>
    <t>使用權資產-經營租賃-淨額</t>
  </si>
  <si>
    <t>Droit d'utilisation des actifs - Leasing Opérationnel - Net</t>
  </si>
  <si>
    <t>房产， 厂房及设备总值, 不包括经营租赁</t>
  </si>
  <si>
    <t>房產， 廠房及設備總值, 不包括經營租賃</t>
  </si>
  <si>
    <t>Immobilisations corporelles brutes, à l'exclusion des leasings opérationnels</t>
  </si>
  <si>
    <t>累计折旧, 不包括经营租赁</t>
  </si>
  <si>
    <t>累計折舊, 不包括經營租賃</t>
  </si>
  <si>
    <t>Amortissement cumulé, à l'exclusion du leasing opérationnel</t>
  </si>
  <si>
    <t>房产, 厂房及设备净额, 不包括经营租赁</t>
  </si>
  <si>
    <t>房產, 廠房及設備淨額, 不包括經營租賃</t>
  </si>
  <si>
    <t>Immobilisations corporelles nettes, à l'exclusion du leasing opérationnel</t>
  </si>
  <si>
    <t>财务租赁, 当前</t>
  </si>
  <si>
    <t>財務租賃, 當前</t>
  </si>
  <si>
    <t>Leasing financier, courant</t>
  </si>
  <si>
    <t>财务租赁, 长期</t>
  </si>
  <si>
    <t>財務租賃, 長期</t>
  </si>
  <si>
    <t>Leasing financier à long terme</t>
  </si>
  <si>
    <t>财务租赁总额</t>
  </si>
  <si>
    <t>財務租賃總額</t>
  </si>
  <si>
    <t>Total des leasings financiers</t>
  </si>
  <si>
    <t>使用権資産-グロス</t>
  </si>
  <si>
    <t>Право использования активов - брутто</t>
  </si>
  <si>
    <t>Activos con derecho de uso - bruto</t>
  </si>
  <si>
    <t>使用権資産、減価償却累計額</t>
  </si>
  <si>
    <t>Право использования активов - накопленная амортизация</t>
  </si>
  <si>
    <t>activos con derecho de uso - Depreciación acumulada</t>
  </si>
  <si>
    <t>使用権資産ネット</t>
  </si>
  <si>
    <t>Право использования активов - нетто</t>
  </si>
  <si>
    <t>Activos con derecho de uso - Neto</t>
  </si>
  <si>
    <t>使用権資産・資本リース・グロス</t>
  </si>
  <si>
    <t>Право использования активов - брутто-аренда капитала</t>
  </si>
  <si>
    <t>Derecho de uso de activos - capital de arrendamiento, bruto</t>
  </si>
  <si>
    <t>使用権資産・資本リース減価償却累計額</t>
  </si>
  <si>
    <t>Право использования активов - аренда капитала - накопленная амортизация</t>
  </si>
  <si>
    <t>Derecho de uso de activos -capital de arrendamiento, depreciación acumulada</t>
  </si>
  <si>
    <t>使用権資産・資本リースネット</t>
  </si>
  <si>
    <t>Право использования активов - аренда капитала - нетто</t>
  </si>
  <si>
    <t>Derecho de uso de activos - capital de arrendamiento, neto</t>
  </si>
  <si>
    <t>使用権資産・オペレーティングリース、グロス</t>
  </si>
  <si>
    <t>Право использования активов-лизинговая аренда-брутто</t>
  </si>
  <si>
    <t>Derecho de uso de activos - Arrendamiento operativo - Bruto</t>
  </si>
  <si>
    <t>使用権資産・オペレーティングリース減価償却累計額</t>
  </si>
  <si>
    <t>Права использования активов - лизинговая аренда - накопленная амортизация</t>
  </si>
  <si>
    <t>Derecho de uso de activos - Arrendamiento operativo - Depreciación acumulada</t>
  </si>
  <si>
    <t>使用権資産・オペレーティングリースネット</t>
  </si>
  <si>
    <t>Право использования активов - операционная аренда - нетто</t>
  </si>
  <si>
    <t>Derecho de uso de activos - Arrendamiento operativo - Neto</t>
  </si>
  <si>
    <t>有形固定資産(オペレーティング・リース除く)</t>
  </si>
  <si>
    <t>Валовые основные средства, за исключением операционной аренды</t>
  </si>
  <si>
    <t>Propiedad, Plata y Equipos bruto, excluyendo los arrendamientos operativos</t>
  </si>
  <si>
    <t>減価償却累計(オペレーティング・リース除く)</t>
  </si>
  <si>
    <t>Накопленная амортизация, исключая операционную аренду</t>
  </si>
  <si>
    <t>Depreciación acumulada, excluyendo los arrendamientos operativos</t>
  </si>
  <si>
    <t>純有形固定資産(オペレーティング・リース除く)</t>
  </si>
  <si>
    <t>Чистые основные средства, за исключением операционной аренды</t>
  </si>
  <si>
    <t>Propiedad, Plata y Equipos Neto, excluyendo los arrendamientos operativos</t>
  </si>
  <si>
    <t>金融は、現在のリース</t>
  </si>
  <si>
    <t>Финансовая аренда, текущая</t>
  </si>
  <si>
    <t>Arrendamientos financieros, actuales</t>
  </si>
  <si>
    <t>ファイナンスは、長期リース</t>
  </si>
  <si>
    <t>Финансовая аренда, долгосрочная</t>
  </si>
  <si>
    <t>Arrendamientos financieros a largo plazo</t>
  </si>
  <si>
    <t>総ファイナンス・リース取引</t>
  </si>
  <si>
    <t>Всего Финансовая аренда</t>
  </si>
  <si>
    <t>Total de Arrendamientos Financieros</t>
  </si>
  <si>
    <t>Vermögen aus Nutzungsrechten, brutto</t>
  </si>
  <si>
    <t>Attività diritto d'uso - Lordo</t>
  </si>
  <si>
    <t>Vermögen aus Nutzungsrechten, kumulierte Abschreibungen</t>
  </si>
  <si>
    <t>Attività diritto d'uso - Fondo ammortamenti</t>
  </si>
  <si>
    <t>Vermögen aus Nutzungsrechten, netto</t>
  </si>
  <si>
    <t>Attività diritto d'uso - Netto</t>
  </si>
  <si>
    <t>Vermögen aus Nutzungsrechten – Kapitalleasing – Brutto</t>
  </si>
  <si>
    <t>Attività diritto d'uso - Leasing finanziario - Lordo</t>
  </si>
  <si>
    <t>Vermögen aus Nutzungsrechten – Kapitalleasing – Kumulierte Abschreibungen</t>
  </si>
  <si>
    <t>Attività diritto d'uso - Leasing finanziario - Fondo ammortamenti</t>
  </si>
  <si>
    <t>Vermögen aus Nutzungsrechten – Kapitalleasing – Netto</t>
  </si>
  <si>
    <t>Attività diritto d'uso - Leasing finanziario - Netto</t>
  </si>
  <si>
    <t>Vermögen aus Nutzungsrechten – Operating-Leasing – Brutto</t>
  </si>
  <si>
    <t>Attività diritto d'uso - Locazioni operative - Lordo</t>
  </si>
  <si>
    <t>Vermögen aus Nutzungsrechten – Operating-Leasing – Kumulierte Abschreibungen</t>
  </si>
  <si>
    <t>Attività diritto d'uso - Locazioni operative - Fondo ammortamenti</t>
  </si>
  <si>
    <t>Vermögen aus Nutzungsrechten – Operating-Leasing – Netto</t>
  </si>
  <si>
    <t>Attività diritto d'uso - Locazioni operative - Netto</t>
  </si>
  <si>
    <t>Brutto-PP&amp;E, ohne Operating-Leasing</t>
  </si>
  <si>
    <t>Immobili, impianti e macchinari lordi, escl. locazioni operative</t>
  </si>
  <si>
    <t>Kumulierte Abschreibungen, ohne Operating-Leasing</t>
  </si>
  <si>
    <t>Fondo ammortamenti, escl. locazioni operative</t>
  </si>
  <si>
    <t>Netto-PP&amp;E, ohne Operating-Leasing</t>
  </si>
  <si>
    <t>Immobili, impianti e macchinari netti, escl. locazioni operative</t>
  </si>
  <si>
    <t>Finanzierungsleasing, kurzfristig</t>
  </si>
  <si>
    <t>Leasing finanziari, correnti</t>
  </si>
  <si>
    <t>Finanzierungsleasing, langfristig</t>
  </si>
  <si>
    <t>Leasing finanziari, a lungo termine</t>
  </si>
  <si>
    <t>Finanzierungsleasing, Summe</t>
  </si>
  <si>
    <t>Totale leasing finanziari</t>
  </si>
  <si>
    <t>사용권 자산-총액</t>
  </si>
  <si>
    <t>사용권 자산 누적 감가상각</t>
  </si>
  <si>
    <t>순 사용권 자산</t>
  </si>
  <si>
    <t>총 사용권 자산 금융리스</t>
  </si>
  <si>
    <t>사용권 자산 금융리스 누적 감가상각</t>
  </si>
  <si>
    <t>순 사용권 자산 금융리스</t>
  </si>
  <si>
    <t>총 사용권 자산 운용리스</t>
  </si>
  <si>
    <t>사용권 자산 운용리스 누적 감가상각</t>
  </si>
  <si>
    <t>순 사용권 자산 운용리스</t>
  </si>
  <si>
    <t>총 PP&amp;E, 운용리스 제외</t>
  </si>
  <si>
    <t>누적 감가상각, 운용리스 제외</t>
  </si>
  <si>
    <t>순 PP&amp;E, 운용리스 제외</t>
  </si>
  <si>
    <t>금융리스, 당기</t>
  </si>
  <si>
    <t>금융리스, 장기</t>
  </si>
  <si>
    <t>총 금융리스</t>
  </si>
  <si>
    <t>经营租赁负债的当前部分</t>
  </si>
  <si>
    <t>經營租賃負債的當前部分</t>
  </si>
  <si>
    <t>Portion courante du passif des leasings opérationnels</t>
  </si>
  <si>
    <t>经营租赁负债的长期部分</t>
  </si>
  <si>
    <t>經營租賃負債的長期部分</t>
  </si>
  <si>
    <t>Portion à long terme du passif du leasing opérationnel</t>
  </si>
  <si>
    <t>总经营租赁</t>
  </si>
  <si>
    <t>總經營租賃</t>
  </si>
  <si>
    <t>Total des contrats de leasing opérationnel</t>
  </si>
  <si>
    <t>オペレーティングリース債務の現在の部分</t>
  </si>
  <si>
    <t>Текущая часть обязательств по операционной аренде</t>
  </si>
  <si>
    <t>Porción actual de las obligaciones de arrendamiento operativo</t>
  </si>
  <si>
    <t>オペレーティングリース債務の長期部分</t>
  </si>
  <si>
    <t>Долгосрочная часть обязательств по операционной аренде</t>
  </si>
  <si>
    <t>La porción a largo plazo de las obligaciones de arrendamiento operativo</t>
  </si>
  <si>
    <t>総オペレーティング・リース</t>
  </si>
  <si>
    <t>Всего операционная аренда</t>
  </si>
  <si>
    <t>Total de arrendamientos operativos</t>
  </si>
  <si>
    <t>Kurzfristiger Anteil von Kapitalleasingverbindlichkeiten</t>
  </si>
  <si>
    <t>Porzione corrente di passività locazioni operative</t>
  </si>
  <si>
    <t>Langfristiger Anteil der Verbindlichkeiten aus Operating-Leasing</t>
  </si>
  <si>
    <t>Porzione a lungo termine di passività locazioni operative</t>
  </si>
  <si>
    <t>Operating-Leasing, Summe</t>
  </si>
  <si>
    <t>Totale locazioni operative</t>
  </si>
  <si>
    <t>당기 운용리스 부채</t>
  </si>
  <si>
    <t>장기 운용리스 부채</t>
  </si>
  <si>
    <t>총 운용리스</t>
  </si>
  <si>
    <t>当前的融资义务，不包括经营租赁</t>
  </si>
  <si>
    <t>當前的融資義務，不包括經營租賃</t>
  </si>
  <si>
    <t>Obligations de financement courantes, à l'exclusion du leasing opérationnel</t>
  </si>
  <si>
    <t>不包括经营租赁的非流动融资义务</t>
  </si>
  <si>
    <t>不包括經營租賃的非流動融資義務</t>
  </si>
  <si>
    <t>Obligations de financement à long terme à l'exclusion du leasing opérationnel</t>
  </si>
  <si>
    <t>总债务，不包括经营租赁</t>
  </si>
  <si>
    <t>總債務，不包括經營租賃</t>
  </si>
  <si>
    <t>Dette totale, à l'exclusion du leasing opérationnel</t>
  </si>
  <si>
    <t>债务总额，不包括租赁</t>
  </si>
  <si>
    <t>債務總額，不包括租賃</t>
  </si>
  <si>
    <t>Dette totale, à l'exclusion du leasing</t>
  </si>
  <si>
    <t>IFRS 16 / ASC 842项目</t>
  </si>
  <si>
    <t>IFRS 16 / ASC 842項目</t>
  </si>
  <si>
    <t>Éléments de l'IFRS 16 / ASC 842</t>
  </si>
  <si>
    <t>于报告日期已发行股份总数</t>
  </si>
  <si>
    <t>於報告日期已發行股份總數</t>
  </si>
  <si>
    <t>Nombre total d'actions à la date de dépôt</t>
  </si>
  <si>
    <t>资产负债表日已发行股份总数</t>
  </si>
  <si>
    <t>資產負債表日已發行股份總數</t>
  </si>
  <si>
    <t>Total des parts à la date du bilan</t>
  </si>
  <si>
    <t>每股账面值</t>
  </si>
  <si>
    <t>每股賬面值</t>
  </si>
  <si>
    <t>Valeur comptable/action</t>
  </si>
  <si>
    <t>每股账面值（呈报）</t>
  </si>
  <si>
    <t>每股賬面值（呈報）</t>
  </si>
  <si>
    <t>Valeur comptable/action (déclarée)</t>
  </si>
  <si>
    <t>有形每股账面值</t>
  </si>
  <si>
    <t>有形每股賬面值</t>
  </si>
  <si>
    <t>Valeur comptable tangible/action</t>
  </si>
  <si>
    <t>有形每股账面值（呈报）</t>
  </si>
  <si>
    <t>有形每股賬面值（呈報）</t>
  </si>
  <si>
    <t>Valeur comptable tangible par action (déclarée)</t>
  </si>
  <si>
    <t>有形账面价值</t>
  </si>
  <si>
    <t>有形賬面價值</t>
  </si>
  <si>
    <t>Valeur comptable tangible</t>
  </si>
  <si>
    <t>一年内返済予定金融債務(オペレーティング・リース除く)</t>
  </si>
  <si>
    <t>Текущие финансовые обязательства, за исключением операционной аренды</t>
  </si>
  <si>
    <t>Obligaciones financieras actuales, excepto los arrendamientos operativos</t>
  </si>
  <si>
    <t>長期金融債務(オペレーティング・リース除く)</t>
  </si>
  <si>
    <t>Долгосрочные финансовые обязательства за исключением операционной аренды</t>
  </si>
  <si>
    <t>Obligaciones de financiación no corriente, excepto los arrendamientos operativos</t>
  </si>
  <si>
    <t>負債総額、のぞきます。オペレーティング・リース</t>
  </si>
  <si>
    <t>Общий долг, исключая операционную аренду</t>
  </si>
  <si>
    <t>Deuda total, excluyendo arrendamientos operativos</t>
  </si>
  <si>
    <t>負債総額、のぞきます。リース</t>
  </si>
  <si>
    <t>Общий долг, исключая аренду</t>
  </si>
  <si>
    <t>Deuda total, excluyendo arrendamientos</t>
  </si>
  <si>
    <t>IFRS 16 / ASC 842件のアイテム</t>
  </si>
  <si>
    <t>МСФО 16 / ASC 842 Статьи</t>
  </si>
  <si>
    <t xml:space="preserve">Artículos IFRS 16 / ASC 842 </t>
  </si>
  <si>
    <t>発行済株式総数(決算開示日)</t>
  </si>
  <si>
    <t>Всего Акций на дату отчетности</t>
  </si>
  <si>
    <t>Total de acciones en cirulación en la fecha de presentación</t>
  </si>
  <si>
    <t>発行済株式総数(貸借対照表日)</t>
  </si>
  <si>
    <t>Всего Акций на дату баланса</t>
  </si>
  <si>
    <t>Total de acciones en circulación en la fecha del balance</t>
  </si>
  <si>
    <t>一株当たり純資産</t>
  </si>
  <si>
    <t>Балансовая стоимость/акция</t>
  </si>
  <si>
    <t xml:space="preserve">Valor contable de libros/Acción </t>
  </si>
  <si>
    <t>一株当たり純資産(開示ベース)</t>
  </si>
  <si>
    <t>Балансовая стоимость/акция (отчетная)</t>
  </si>
  <si>
    <t>Valor contable de libros/Acción (reportado)</t>
  </si>
  <si>
    <t>一株当たり(無形固定資産除く)純資産</t>
  </si>
  <si>
    <t>Материальная балансовая стоимость/акция</t>
  </si>
  <si>
    <t>Valor contable de libros tangible/acción</t>
  </si>
  <si>
    <t>一株当たり(無形固定資産除く)純資産（開示ベース）</t>
  </si>
  <si>
    <t>Материальная балансовая стоимость на акцию (отчетная)</t>
  </si>
  <si>
    <t>Valor contable de libros tangible/acción (reportado)</t>
  </si>
  <si>
    <t>(無形固定資産除く)純資産</t>
  </si>
  <si>
    <t>Материальная балансовая стоимость</t>
  </si>
  <si>
    <t>Valor contable de libros tangible</t>
  </si>
  <si>
    <t>Kurzfristige Finanzierungsverpflichtungen, ohne Operating-Leasing</t>
  </si>
  <si>
    <t>Obbligazioni finanziarie correnti, escl. locazioni operative</t>
  </si>
  <si>
    <t>Langfristige Finanzierungsverpflichtungen, ohne Operating-Leasing</t>
  </si>
  <si>
    <t>Obbligazioni finanziarie non correnti, escl. locazioni operative</t>
  </si>
  <si>
    <t>Gesamtverschuldung, ohne Operating-Leasing</t>
  </si>
  <si>
    <t>Totale debito, escl. locazioni operative</t>
  </si>
  <si>
    <t>Gesamtverschuldung, ohne Leasing</t>
  </si>
  <si>
    <t>Totale debito, escl. locazioni</t>
  </si>
  <si>
    <t>Posten nach IFRS 16 / ASC 842</t>
  </si>
  <si>
    <t>Elementi IFRS 16/ASC 842</t>
  </si>
  <si>
    <t>Gesamtzahl der umlaufenden Aktien am Anmeldetag</t>
  </si>
  <si>
    <t>Azioni totali data di presentazione</t>
  </si>
  <si>
    <t>Gesamtzahl der umlaufenden Aktien am Bilanzstichtag</t>
  </si>
  <si>
    <t>Azioni totali data bilancio</t>
  </si>
  <si>
    <t>Buchwert/Aktie</t>
  </si>
  <si>
    <t>Valore contabile/azione</t>
  </si>
  <si>
    <t>Buchwert/Aktie (angemeldet)</t>
  </si>
  <si>
    <t>Valore contabile/azione (riportato)</t>
  </si>
  <si>
    <t>Buchwert des Materialvermögens/Aktie</t>
  </si>
  <si>
    <t>Valore contabile tangibile/azione</t>
  </si>
  <si>
    <t>Buchwert des Materialvermögens pro Aktie (angemeldet)</t>
  </si>
  <si>
    <t>Valore contabile tangibile per azione (riportato)</t>
  </si>
  <si>
    <t>Buchwert des Materialvermögens</t>
  </si>
  <si>
    <t>Valore contabile tangibile</t>
  </si>
  <si>
    <t>유동성 금융 채권, 운용리스 제외</t>
  </si>
  <si>
    <t>비유동성 금융 채권, 운용리스 제외</t>
  </si>
  <si>
    <t>총 부채, 운용리스 제외</t>
  </si>
  <si>
    <t>총 부채, 리스 제외</t>
  </si>
  <si>
    <t>IFRS 16 / ASC 842 항목</t>
  </si>
  <si>
    <t>제출일 총 유통주식</t>
  </si>
  <si>
    <t>대차 대조표 날짜 총 유통주식</t>
  </si>
  <si>
    <t>장부가/주식</t>
  </si>
  <si>
    <t>장부가/주식(보고됨)</t>
  </si>
  <si>
    <t>유형 장부가/주식</t>
  </si>
  <si>
    <t>주당 유형 장부가(보고됨)</t>
  </si>
  <si>
    <t>유형 장부가</t>
  </si>
  <si>
    <t>每股现金</t>
  </si>
  <si>
    <t>每股現金</t>
  </si>
  <si>
    <t>Cash par action</t>
  </si>
  <si>
    <t>一株当たり現金及び同等物</t>
  </si>
  <si>
    <t>Денежные средства на Акцию</t>
  </si>
  <si>
    <t>Efectivo por acción</t>
  </si>
  <si>
    <t>Barmittel pro Aktie</t>
  </si>
  <si>
    <t>주당 현금</t>
  </si>
  <si>
    <t>流动债务总额</t>
  </si>
  <si>
    <t>流動債務總額</t>
  </si>
  <si>
    <t>Dette totale actuelle</t>
  </si>
  <si>
    <t>非流动债务总额</t>
  </si>
  <si>
    <t>非流動債務總額</t>
  </si>
  <si>
    <t>Total de la dette non courante</t>
  </si>
  <si>
    <t>総有利子負債(短期)</t>
  </si>
  <si>
    <t>Общий долг текущий</t>
  </si>
  <si>
    <t>Deuda total Corriente</t>
  </si>
  <si>
    <t>総有利子負債(長期)</t>
  </si>
  <si>
    <t>Общий долгосрочный долг</t>
  </si>
  <si>
    <t>Total de la deuda No Corriente</t>
  </si>
  <si>
    <t>Summe kurzfristige Schulden</t>
  </si>
  <si>
    <t>Totale debito corrente</t>
  </si>
  <si>
    <t>Summe nicht kurzfristiger Schulden</t>
  </si>
  <si>
    <t>Totale debito non corrente</t>
  </si>
  <si>
    <t>총 유동성 부채</t>
  </si>
  <si>
    <t>총 비유동성 부채</t>
  </si>
  <si>
    <t>资本化/购买软件</t>
  </si>
  <si>
    <t>資本化/購買軟體</t>
  </si>
  <si>
    <t>Logiciels capitalisés/achetés</t>
  </si>
  <si>
    <t>天然资源，按成本计算</t>
  </si>
  <si>
    <t>天然資源，按成本計算</t>
  </si>
  <si>
    <t>Ressources naturelles, au prix coûtant</t>
  </si>
  <si>
    <t>在建工程</t>
  </si>
  <si>
    <t>Construction en cours</t>
  </si>
  <si>
    <t>租赁权益改良</t>
  </si>
  <si>
    <t>租賃權益改良</t>
  </si>
  <si>
    <t>Améliorations locatives</t>
  </si>
  <si>
    <t>可赎回少数股权</t>
  </si>
  <si>
    <t>可贖回少數股權</t>
  </si>
  <si>
    <t>Intérêts minoritaires remboursables</t>
  </si>
  <si>
    <t>财务科可赎回少数股权</t>
  </si>
  <si>
    <t>財務科可贖回少數股權</t>
  </si>
  <si>
    <t>Division des finances : Intérêts minoritaires remboursables</t>
  </si>
  <si>
    <t>可赎回少数股东权益总额</t>
  </si>
  <si>
    <t>可贖回少數股東權益總額</t>
  </si>
  <si>
    <t>Total des intérêts minoritaires remboursables</t>
  </si>
  <si>
    <t>财务部少数股东权益</t>
  </si>
  <si>
    <t>財務部少數股東權益</t>
  </si>
  <si>
    <t>Division des finances : Intérêts minoritaires</t>
  </si>
  <si>
    <t>递延税项估价备抵</t>
  </si>
  <si>
    <t>遞延稅項估價備抵</t>
  </si>
  <si>
    <t>Déduction pour évaluation d'impôt différé</t>
  </si>
  <si>
    <t>一般合伙人-普通股</t>
  </si>
  <si>
    <t>一般合夥人-普通股</t>
  </si>
  <si>
    <t>Partenaire général - Actions ordinaires</t>
  </si>
  <si>
    <t>一般合伙人-优先股</t>
  </si>
  <si>
    <t>一般合夥人-優先股</t>
  </si>
  <si>
    <t>Partenaire général - Actions privilégiées</t>
  </si>
  <si>
    <t>一般合伙人-少数股东权益</t>
  </si>
  <si>
    <t>一般合夥人-少數股東權益</t>
  </si>
  <si>
    <t>Partenaire général - Intérêts minoritaires</t>
  </si>
  <si>
    <t>一般合伙人利息（补充）</t>
  </si>
  <si>
    <t>一般合夥人利息（補充）</t>
  </si>
  <si>
    <t>Intérêt du partenaire général (Supplément)</t>
  </si>
  <si>
    <t>优先股-可转换债券的清算价值</t>
  </si>
  <si>
    <t>優先股-可轉換債券的清算價值</t>
  </si>
  <si>
    <t>Valeur de liquidation des actions privilégiées - Convertibles</t>
  </si>
  <si>
    <t>优先股的清算价值-不可赎回</t>
  </si>
  <si>
    <t>優先股的清算價值-不可贖回</t>
  </si>
  <si>
    <t>Valeur de liquidation des actions privilégiées - non remboursables</t>
  </si>
  <si>
    <t>优先股的清算价值-可赎回</t>
  </si>
  <si>
    <t>優先股的清算價值-可贖回</t>
  </si>
  <si>
    <t>Valeur de liquidation des actions privilégiées - Remboursable</t>
  </si>
  <si>
    <t>第1级资产-报价</t>
  </si>
  <si>
    <t>第1級資產-報價</t>
  </si>
  <si>
    <t>Actifs de niveau 1 - Prix cotés</t>
  </si>
  <si>
    <t>第2级资产-可观察的价格</t>
  </si>
  <si>
    <t>第2級資產-可觀察的價格</t>
  </si>
  <si>
    <t>Actifs de niveau 2 - Prix observables</t>
  </si>
  <si>
    <t>第3级资产-不可观察的价格</t>
  </si>
  <si>
    <t>第3級資產-不可觀察的價格</t>
  </si>
  <si>
    <t>Actifs de niveau 3 - Prix non observables</t>
  </si>
  <si>
    <t>净额结算及其他资产调整</t>
  </si>
  <si>
    <t>淨額結算及其他資產調整</t>
  </si>
  <si>
    <t>Compensation et autres ajustements à l'actif</t>
  </si>
  <si>
    <t>资产公允价值</t>
  </si>
  <si>
    <t>資產公允價值</t>
  </si>
  <si>
    <t>Juste valeur des actifs</t>
  </si>
  <si>
    <t>第1级负债-报价</t>
  </si>
  <si>
    <t>第1級負債-報價</t>
  </si>
  <si>
    <t>Passifs de niveau 1 - Prix cotés</t>
  </si>
  <si>
    <t>第2级负债-可观察的价格</t>
  </si>
  <si>
    <t>第2級負債-可觀察的價格</t>
  </si>
  <si>
    <t>Passifs de niveau 2 - Prix observables</t>
  </si>
  <si>
    <t>第3级负债-无法观察的价格</t>
  </si>
  <si>
    <t>第3級負債-無法觀察的價格</t>
  </si>
  <si>
    <t>Passifs de niveau 3 - Prix non observables</t>
  </si>
  <si>
    <t>净额结算及其他负债调整</t>
  </si>
  <si>
    <t>淨額結算及其他負債調整</t>
  </si>
  <si>
    <t>Corrections et autres ajustements au passif</t>
  </si>
  <si>
    <t>外部購入のソフトウェア</t>
  </si>
  <si>
    <t>Капитализированное/приобретенное программное обеспечение</t>
  </si>
  <si>
    <t>Software capitalizado/comprado</t>
  </si>
  <si>
    <t>天然資源</t>
  </si>
  <si>
    <t>Природные ресурсы, по себестоимости</t>
  </si>
  <si>
    <t>Recursos naturales, al costo</t>
  </si>
  <si>
    <t>建設仮勘定</t>
  </si>
  <si>
    <t>Незавершенное строительство</t>
  </si>
  <si>
    <t>Construcción en progreso</t>
  </si>
  <si>
    <t>リース資産にかかる修繕費</t>
  </si>
  <si>
    <t>Улучшения арендованной собственности</t>
  </si>
  <si>
    <t>Mejoras en el arrendamiento</t>
  </si>
  <si>
    <t>償還可能な少数株主持分</t>
  </si>
  <si>
    <t>Доля миноритарных акционеров, подлежащая погашению</t>
  </si>
  <si>
    <t>Interés minoritario redimible</t>
  </si>
  <si>
    <t>(金融部門に帰属する)償還可能な少数株主持分</t>
  </si>
  <si>
    <t>Финансовый отдел: Доля миноритарных акционеров, подлежащая погашению</t>
  </si>
  <si>
    <t>División de Finanzas de interés minoritario rescatable</t>
  </si>
  <si>
    <t>償還可能な少数株主持分の総額</t>
  </si>
  <si>
    <t>Всего процентов миноритарных акционеров, подлежащих выкупу</t>
  </si>
  <si>
    <t>Total de intereses minoritarios rescatables</t>
  </si>
  <si>
    <t>(金融部門に帰属する)少数株主持分</t>
  </si>
  <si>
    <t>Финансовый отдел: Доля меньшинства</t>
  </si>
  <si>
    <t>División de Finanzas. Interés Minoritario</t>
  </si>
  <si>
    <t>繰延税金評価引当金</t>
  </si>
  <si>
    <t>Резерв по отсроченному налогообложению</t>
  </si>
  <si>
    <t>Asignación por valoración de impuestos diferidos</t>
  </si>
  <si>
    <t>無限責任社員-株主資本</t>
  </si>
  <si>
    <t>Генеральный партнер - Общий акционерный капитал</t>
  </si>
  <si>
    <t>Socio general - Capital común</t>
  </si>
  <si>
    <t>無限責任社員-優先株式</t>
  </si>
  <si>
    <t>Генеральный партнер - Привилегированный капитал</t>
  </si>
  <si>
    <t>Socio General - Capital Preferente</t>
  </si>
  <si>
    <t>無限責任社員-少数株主持分</t>
  </si>
  <si>
    <t>Генеральный партнер - Миноритарные интересы</t>
  </si>
  <si>
    <t>Socio General - Interés Minoritario</t>
  </si>
  <si>
    <t>無限責任社員の持分(注記)</t>
  </si>
  <si>
    <t>Доля генерального партнера (Дополнение)</t>
  </si>
  <si>
    <t>Interés general de los socios (Suplemento)</t>
  </si>
  <si>
    <t>(転換可能)優先株式の清算価値</t>
  </si>
  <si>
    <t>Ликвидационная стоимость привилегированных акций - конвертируемые акции</t>
  </si>
  <si>
    <t>Valor de liquidación de las acciones preferentes - Convertible</t>
  </si>
  <si>
    <t>(償還不能)優先株式の清算価値</t>
  </si>
  <si>
    <t>Ликвидационная стоимость привилегированных акций - не подлежащая выкупу</t>
  </si>
  <si>
    <t>Valor de liquidación de las acciones preferentes - No rescatables</t>
  </si>
  <si>
    <t>(償還可能)優先株式の清算価値</t>
  </si>
  <si>
    <t>Ликвидационная стоимость привилегированных акций - подлежащая выкупу</t>
  </si>
  <si>
    <t>Valor de liquidación de las acciones preferentes - Redimible</t>
  </si>
  <si>
    <t>資産の公正価値(Level 1　時価評価が容易な金額)</t>
  </si>
  <si>
    <t>Уровень 1 Активы - Котировки</t>
  </si>
  <si>
    <t>Activos de nivel 1 - Precios cotizados</t>
  </si>
  <si>
    <t>資産の公正価値(Level 2　時価評価がある程度可能な金額)</t>
  </si>
  <si>
    <t>Уровень 2 Активы - Наблюдаемые цены</t>
  </si>
  <si>
    <t>Activos del nivel 2 - Precios observables</t>
  </si>
  <si>
    <t>資産の公正価値(Level 3　時価評価が困難な金額)</t>
  </si>
  <si>
    <t>Уровень 3 Активы - Ненаблюдаемые цены</t>
  </si>
  <si>
    <t>Activos de nivel 3 - Precios no observables</t>
  </si>
  <si>
    <t>資産の公正価値(その他調整額)</t>
  </si>
  <si>
    <t>Неттинг и прочее скорректированые активы</t>
  </si>
  <si>
    <t>Compensación y otros ajustes a los activos</t>
  </si>
  <si>
    <t>資産の公正価値</t>
  </si>
  <si>
    <t>Справедливая стоимость активов</t>
  </si>
  <si>
    <t>Valor razonable de los activos</t>
  </si>
  <si>
    <t>負債の公正価値(Level 1　時価評価が容易な金額)</t>
  </si>
  <si>
    <t>Уровень 1 Обязательства - Котировки</t>
  </si>
  <si>
    <t>Pasivos de nivel 1 - Precios cotizados</t>
  </si>
  <si>
    <t>負債の公正価値(Level 2　時価評価がある程度可能な金額)</t>
  </si>
  <si>
    <t>Уровень 2 Обязательства - Наблюдаемые цены</t>
  </si>
  <si>
    <t>Pasivos del nivel 2 - Precios observables</t>
  </si>
  <si>
    <t>負債の公正価値(Level 3　時価評価が困難な金額)</t>
  </si>
  <si>
    <t>Уровень 3 Обязательства - Ненаблюдаемые цены</t>
  </si>
  <si>
    <t>Pasivos del nivel 3 - Precios inobservables</t>
  </si>
  <si>
    <t>負債の公正価値(その他調整額)</t>
  </si>
  <si>
    <t>Неттинг и прочие корректировки обязательств</t>
  </si>
  <si>
    <t>Compensación y otros ajustes del pasivo</t>
  </si>
  <si>
    <t>Aktivierte/gekaufte Software</t>
  </si>
  <si>
    <t>Software capitalizzato/acquistato</t>
  </si>
  <si>
    <t>Natürliche Ressourcen, zum Selbstkostenpreis</t>
  </si>
  <si>
    <t>Risorse naturali, al costo</t>
  </si>
  <si>
    <t>Laufende Bauarbeiten</t>
  </si>
  <si>
    <t>Immobilizzazioni in corso</t>
  </si>
  <si>
    <t>Sanierung von Mietobjekten</t>
  </si>
  <si>
    <t>Migliorie su beni di terzi</t>
  </si>
  <si>
    <t>Rückkaufbare Minderheitsbeteiligungen</t>
  </si>
  <si>
    <t>Partecipazione minoritaria riscattabile</t>
  </si>
  <si>
    <t>Finanzabteilung, veräußerbare Minderheitsbeteiligungen</t>
  </si>
  <si>
    <t>Partecipazione minoritaria riscattabile divisione finanziaria</t>
  </si>
  <si>
    <t>Summe der rückkaufbaren Minderheitsanteile</t>
  </si>
  <si>
    <t>Totale partecipazione minoritaria riscattabile</t>
  </si>
  <si>
    <t>Finanzabteilung, Minderheitsbeteiligungen</t>
  </si>
  <si>
    <t>Partecipazione minoritaria divisione finanziaria</t>
  </si>
  <si>
    <t>Bewertungszuschlag für latente Steuern</t>
  </si>
  <si>
    <t>Fondo valutazione imposte differite</t>
  </si>
  <si>
    <t>Kommanditist – Stammkapital</t>
  </si>
  <si>
    <t>Socio a responsabilità illimitata - Common equity</t>
  </si>
  <si>
    <t>Kommanditist – Vorzugsaktien</t>
  </si>
  <si>
    <t>Socio a responsabilità illimitata - Equity privilegiato</t>
  </si>
  <si>
    <t>Kommanditist – Minderheitsbeteiligung</t>
  </si>
  <si>
    <t>Socio a responsabilità illimitata - Partecipazione minoritaria</t>
  </si>
  <si>
    <t>Kommmanditbeteiligung (Zus.)</t>
  </si>
  <si>
    <t>Interesse socio a responsabilità illimitata (flessibile)</t>
  </si>
  <si>
    <t>Liquidationswert von Vorzugsaktien – wandelbar</t>
  </si>
  <si>
    <t>Valore di liquidazione di azioni privilegiate - Convertibile</t>
  </si>
  <si>
    <t>Liquidationswert von Vorzugsaktien – nicht rückkaufbar</t>
  </si>
  <si>
    <t>Valore di liquidazione di azioni privilegiate - Non riscattabili</t>
  </si>
  <si>
    <t>Liquidationswert von Vorzugsaktien – rückkaufbar</t>
  </si>
  <si>
    <t>Valore di liquidazione di azioni privilegiate - Riscattabili</t>
  </si>
  <si>
    <t>Vermögen der Stufe 1 – notierte Preise</t>
  </si>
  <si>
    <t>Attività livello 1 - Prezzi quotazione</t>
  </si>
  <si>
    <t>Vermögen der Stufe 2 – beobachtbare Preise</t>
  </si>
  <si>
    <t>Attività livello 2 - Prezzi osservabili</t>
  </si>
  <si>
    <t>Vermögen der Stufe 3 – nicht beobachtbare Preise</t>
  </si>
  <si>
    <t>Attività livello 3 - Prezzi non osservabili</t>
  </si>
  <si>
    <t>Saldierung und andere Vermögensanpassungen</t>
  </si>
  <si>
    <t>Netting e altre rettif. ad attività</t>
  </si>
  <si>
    <t>Marktwert von Vermögensgegenständen</t>
  </si>
  <si>
    <t>Fair Value attività</t>
  </si>
  <si>
    <t>Verbindlichkeiten der Stufe 1 – notierte Preise</t>
  </si>
  <si>
    <t>Passività livello 1 - Prezzi quotazione</t>
  </si>
  <si>
    <t>Verbindlichkeiten der Stufe 2 – beobachtbare Preise</t>
  </si>
  <si>
    <t>Passività livello 2 - Prezzi osservabili</t>
  </si>
  <si>
    <t>Verbindlichkeiten der Stufe 3 – nicht beobachtbare Preise</t>
  </si>
  <si>
    <t>Passività livello 3 - Prezzi non osservabili</t>
  </si>
  <si>
    <t>Saldierung und andere Anpassungen an Verbindlichkeiten</t>
  </si>
  <si>
    <t>Netting e altre rettif. a passività</t>
  </si>
  <si>
    <t>투자/매입한 소프트웨어</t>
  </si>
  <si>
    <t>천연 자원, 비용</t>
  </si>
  <si>
    <t>건설 진행 중</t>
  </si>
  <si>
    <t>리스개량자산</t>
  </si>
  <si>
    <t>상환 소수주주 지분</t>
  </si>
  <si>
    <t>금융분과 상환 소수주주 지분</t>
  </si>
  <si>
    <t>총 상환 소수주주 지분</t>
  </si>
  <si>
    <t>금융분과 소수주주 지분</t>
  </si>
  <si>
    <t>이연법인세 평가성 충당금</t>
  </si>
  <si>
    <t>일반 투자자 - 보통주</t>
  </si>
  <si>
    <t>일반 투자자 - 우선주</t>
  </si>
  <si>
    <t>일반 투자자 - 소수주주 지분</t>
  </si>
  <si>
    <t>일반 투자자 지분(부가)</t>
  </si>
  <si>
    <t>우선주 청산가치 - 전환</t>
  </si>
  <si>
    <t>우선주 청산가치 - 비상환</t>
  </si>
  <si>
    <t>우선주 청산가치 - 상환</t>
  </si>
  <si>
    <t>수준 1 자산 - 상장가</t>
  </si>
  <si>
    <t>수준 2 자산 - 관찰 가능 가격</t>
  </si>
  <si>
    <t>수준 3 자산 - 관찰 불가 가격</t>
  </si>
  <si>
    <t>네팅 및 기타 자산 조정</t>
  </si>
  <si>
    <t>자산 공정가치</t>
  </si>
  <si>
    <t>수준 1 부채 - 상장가</t>
  </si>
  <si>
    <t>수준 2 부채 - 관찰 가능 가격</t>
  </si>
  <si>
    <t>수준 3 부채 - 관찰 불가 가격</t>
  </si>
  <si>
    <t>네팅 및 기타 부채 조정</t>
  </si>
  <si>
    <t>设定受益义务的加权平均假设</t>
  </si>
  <si>
    <t>設定受益義務的加權平均假設</t>
  </si>
  <si>
    <t>La moyenne pondérée des hypothèses dans l'obligation de prestations définies</t>
  </si>
  <si>
    <t>退休后福利义务假定回报率-最低</t>
  </si>
  <si>
    <t>退休後福利義務假定回報率-最低</t>
  </si>
  <si>
    <t>Taux de rendement supposé pour l'obligation de profit projeté - Minimum</t>
  </si>
  <si>
    <t>退休后福利义务假定回报率-最高</t>
  </si>
  <si>
    <t>退休後福利義務假定回報率-最高</t>
  </si>
  <si>
    <t>Taux de rendement supposé pour l'obligation de prestation projetée - Maximum</t>
  </si>
  <si>
    <t>退休后福利义务补偿率-最低</t>
  </si>
  <si>
    <t>退休後福利義務補償率-最低</t>
  </si>
  <si>
    <t>Taux d'augmentation de la compensation pour l'obligation de prestation projetée - Minimum</t>
  </si>
  <si>
    <t>退休后福利责任补偿率-最高</t>
  </si>
  <si>
    <t>退休後福利責任補償率-最高</t>
  </si>
  <si>
    <t>Taux d'augmentation de l'indemnité pour l'obligation de prestation projetée - Maximum</t>
  </si>
  <si>
    <t>预计支付的未来收益</t>
  </si>
  <si>
    <t>預計支付的未來收益</t>
  </si>
  <si>
    <t>Estimation des prestations futures versées</t>
  </si>
  <si>
    <t>预计支付的未来收益-第1年</t>
  </si>
  <si>
    <t>預計支付的未來收益-第1年</t>
  </si>
  <si>
    <t>Estimation des prestations futures versées - 1ère année</t>
  </si>
  <si>
    <t>预计支付的未来收益-第2年</t>
  </si>
  <si>
    <t>預計支付的未來收益-第2年</t>
  </si>
  <si>
    <t>Estimation des prestations futures versées - 2ème année</t>
  </si>
  <si>
    <t>预计支付的未来收益-第3年</t>
  </si>
  <si>
    <t>預計支付的未來收益-第3年</t>
  </si>
  <si>
    <t>Estimation des prestations futures versées - 3ème année</t>
  </si>
  <si>
    <t>预计支付的未来收益-第4年</t>
  </si>
  <si>
    <t>預計支付的未來收益-第4年</t>
  </si>
  <si>
    <t>Estimation des prestations futures versées - 4ème année</t>
  </si>
  <si>
    <t>预计支付的未来收益-第5年</t>
  </si>
  <si>
    <t>預計支付的未來收益-第5年</t>
  </si>
  <si>
    <t>Estimation des prestations futures versées - 5ème année</t>
  </si>
  <si>
    <t>预计支付的未来收益-之后</t>
  </si>
  <si>
    <t>預計支付的未來收益-之後</t>
  </si>
  <si>
    <t>Estimation des futures prestations versées - par la suite</t>
  </si>
  <si>
    <t>资产负债表对帐项目</t>
  </si>
  <si>
    <t>資產負債表對帳項目</t>
  </si>
  <si>
    <t>Éléments de réconciliation du bilan</t>
  </si>
  <si>
    <t>预付福利成本</t>
  </si>
  <si>
    <t>預付福利成本</t>
  </si>
  <si>
    <t>Coût des prestations payées d'avance</t>
  </si>
  <si>
    <t>应计福利负债</t>
  </si>
  <si>
    <t>應計福利負債</t>
  </si>
  <si>
    <t>Responsabilité pour les prestations accumulées</t>
  </si>
  <si>
    <t>无形资产</t>
  </si>
  <si>
    <t>無形資產</t>
  </si>
  <si>
    <t>Actifs incorporels</t>
  </si>
  <si>
    <t>累计其他补偿收入</t>
  </si>
  <si>
    <t>累計其他補償收入</t>
  </si>
  <si>
    <t xml:space="preserve">Autres éléments du résultat global cumulé </t>
  </si>
  <si>
    <t>长期资产</t>
  </si>
  <si>
    <t>長期資產</t>
  </si>
  <si>
    <t>Actifs à long terme</t>
  </si>
  <si>
    <t>流动负债</t>
  </si>
  <si>
    <t>流動負債</t>
  </si>
  <si>
    <t>Passif à court terme</t>
  </si>
  <si>
    <t>长期负债</t>
  </si>
  <si>
    <t>長期負債</t>
  </si>
  <si>
    <t>Passif à long terme</t>
  </si>
  <si>
    <t>確定給付債務の加重平均仮定</t>
  </si>
  <si>
    <t>Средневзвешенные допущения в обязательствах по выплатам с установленными выплатами</t>
  </si>
  <si>
    <t>El promedio ponderado Supuestos en Obligación de prestaciones definidas</t>
  </si>
  <si>
    <t>予測給付債務想定収益率 - 最小限</t>
  </si>
  <si>
    <t>Предполагаемая норма доходности для обязательства по прогнозируемой прибыли - Минимум</t>
  </si>
  <si>
    <t>Tasa de rendimiento asumida por el Obligación de beneficio proyectada - Mínima</t>
  </si>
  <si>
    <t>予測給付債務想定収益率 - 最大限</t>
  </si>
  <si>
    <t>Предполагаемая норма доходности для прогнозируемого обязательства по выплатам пособий - максимальная</t>
  </si>
  <si>
    <t>Tasa de rendimiento asumida por la Obligación de beneficio proyectada - Máximo</t>
  </si>
  <si>
    <t>予測給付債務給与の上昇率 - 最小限</t>
  </si>
  <si>
    <t>Скорость увеличения компенсации по прогнозируемому обязательству по выплатам - Минимум</t>
  </si>
  <si>
    <t>Tasa de aumento de la compensación del Obligación de beneficio proyectada - Mínima</t>
  </si>
  <si>
    <t>予測給付債務給与の上昇率 - 最大限</t>
  </si>
  <si>
    <t>Скорость увеличения компенсации по обязательствам по прогнозируемым выплатам - Максимум</t>
  </si>
  <si>
    <t>Tasa de aumento de la compensación de la Obligación de beneficio proyectada - Máximo</t>
  </si>
  <si>
    <t>予測将来給付支出</t>
  </si>
  <si>
    <t>Предполагаемые будущие пособия Оплаченные</t>
  </si>
  <si>
    <t>Estimación de los beneficios futuros pagados</t>
  </si>
  <si>
    <t>予測将来給付支出 - 1年</t>
  </si>
  <si>
    <t>Предполагаемые будущие пособия Оплаченные - 1 год</t>
  </si>
  <si>
    <t>Estimación Beneficios futuros pagados - 1er año</t>
  </si>
  <si>
    <t>予測将来給付支出 - 2年</t>
  </si>
  <si>
    <t>Предполагаемые будущие пособия Оплаченные - 2 года</t>
  </si>
  <si>
    <t>Estimación Beneficios futuros pagados - 2º año</t>
  </si>
  <si>
    <t>予測将来給付支出 - 3年</t>
  </si>
  <si>
    <t>Предполагаемые будущие пособия Оплаченные - 3 года</t>
  </si>
  <si>
    <t>Estimación Beneficios futuros pagados - 3er año</t>
  </si>
  <si>
    <t>予測将来給付支出 - 4年</t>
  </si>
  <si>
    <t>Предполагаемые будущие пособия Оплаченные - 4 года</t>
  </si>
  <si>
    <t>Estimación Beneficios futuros pagados - 4º año</t>
  </si>
  <si>
    <t>予測将来給付支出 - 5年</t>
  </si>
  <si>
    <t>Предполагаемые будущие выплаты Оплаченные - 5 лет</t>
  </si>
  <si>
    <t>Estimación Beneficios futuros pagados - 5º año</t>
  </si>
  <si>
    <t>予測将来給付支出 - その後</t>
  </si>
  <si>
    <t>Предполагаемые будущие выплаты Оплаченные - В дальнейшем</t>
  </si>
  <si>
    <t>Estimación Beneficios futuros pagados - a partir de entonces</t>
  </si>
  <si>
    <t>貸借対照表調整項目</t>
  </si>
  <si>
    <t>Примирительные элементы баланса</t>
  </si>
  <si>
    <t>Partidas de conciliación del balance</t>
  </si>
  <si>
    <t>プリペイド給付費用</t>
  </si>
  <si>
    <t>Стоимость предоплаченного пособия</t>
  </si>
  <si>
    <t>Costo de los beneficios prepagados</t>
  </si>
  <si>
    <t>発生給付負債</t>
  </si>
  <si>
    <t>Обязательство по начисленным выплатам</t>
  </si>
  <si>
    <t>Responsabilidad por beneficios acumulados</t>
  </si>
  <si>
    <t>無形資産</t>
  </si>
  <si>
    <t>Нематериальные активы</t>
  </si>
  <si>
    <t>Activos intangibles</t>
  </si>
  <si>
    <t>累積その他の包括利益</t>
  </si>
  <si>
    <t xml:space="preserve">Накопленный прочий компенсационный доход </t>
  </si>
  <si>
    <t xml:space="preserve">Otros Ingresos Integrales Acumulados </t>
  </si>
  <si>
    <t>長期資産</t>
  </si>
  <si>
    <t>Долгосрочные активы</t>
  </si>
  <si>
    <t>Activos a largo plazo</t>
  </si>
  <si>
    <t>Текущие обязательства</t>
  </si>
  <si>
    <t>Pasivos actuales</t>
  </si>
  <si>
    <t>長期の負債</t>
  </si>
  <si>
    <t>Долгосрочные обязательства</t>
  </si>
  <si>
    <t>Pasivos a largo plazo</t>
  </si>
  <si>
    <t>Gewichtete durchschnittliche Annahmen zu den Leistungsverpflichtungen</t>
  </si>
  <si>
    <t>Media ponderata ipotesi obbligo benefici def.</t>
  </si>
  <si>
    <t>Angenommene PBO-Rendite – Min</t>
  </si>
  <si>
    <t>Tasso di rendimento supposto PBO - Min</t>
  </si>
  <si>
    <t>Angenommene PBO-Rendite – Max</t>
  </si>
  <si>
    <t>Tasso di rendimento supposto PBO - Max</t>
  </si>
  <si>
    <t>Geschwindigkeit der PBO-Vergütungszunahme – Min</t>
  </si>
  <si>
    <t>Tasso di incremento compensazione PBO - Min</t>
  </si>
  <si>
    <t>Geschwindigkeit der PBO-Vergütungszunahme – Max</t>
  </si>
  <si>
    <t>Tasso di incremento compensazione PBO - Max</t>
  </si>
  <si>
    <t>Geschätzte zukünftige Leistungszahlungen</t>
  </si>
  <si>
    <t>Benefici futuri stimati pagati</t>
  </si>
  <si>
    <t>Geschätzte zukünftige Leistungszahlungen – Jahr 1</t>
  </si>
  <si>
    <t>Benefici futuri stim. pagati - 1° anno</t>
  </si>
  <si>
    <t>Geschätzte zukünftige Leistungszahlungen – Jahr 2</t>
  </si>
  <si>
    <t>Benefici futuri stim. pagati - 2° anno</t>
  </si>
  <si>
    <t>Geschätzte zukünftige Leistungszahlungen – Jahr 3</t>
  </si>
  <si>
    <t>Benefici futuri stim. pagati - 3° anno</t>
  </si>
  <si>
    <t>Geschätzte zukünftige Leistungszahlungen – Jahr 4</t>
  </si>
  <si>
    <t>Benefici futuri stim. pagati - 4° anno</t>
  </si>
  <si>
    <t>Geschätzte zukünftige Leistungszahlungen – Jahr 5</t>
  </si>
  <si>
    <t>Benefici futuri stim. pagati - 5° anno</t>
  </si>
  <si>
    <t>Geschätzte zukünftige Leistungszahlungen – ab dann</t>
  </si>
  <si>
    <t>Benefici futuri stim. pagati - Da lì in poi</t>
  </si>
  <si>
    <t>Bilanzabstimmungsposten</t>
  </si>
  <si>
    <t>Voci di riconciliazione bilancio</t>
  </si>
  <si>
    <t>Kosten für Vorauszahlungen auf Leistungen</t>
  </si>
  <si>
    <t>Costo benefici prepagato</t>
  </si>
  <si>
    <t>Aufgelaufene Leistungsverpflichtungen</t>
  </si>
  <si>
    <t>Passività benefici accumulata</t>
  </si>
  <si>
    <t>Immaterialvermögen</t>
  </si>
  <si>
    <t>Attività immateriali</t>
  </si>
  <si>
    <t>Akkumulierter sonstiger Gesamtertrag</t>
  </si>
  <si>
    <t>Altre compon. reddit. accumul.</t>
  </si>
  <si>
    <t>Vermögenswerte, langfristig</t>
  </si>
  <si>
    <t>Attività a lungo termine</t>
  </si>
  <si>
    <t>Kurzfristige Verbindlichkeiten</t>
  </si>
  <si>
    <t>Passività correnti</t>
  </si>
  <si>
    <t>Verbindlichkeiten, langfristig</t>
  </si>
  <si>
    <t>Passività a lungo termine</t>
  </si>
  <si>
    <t>확정급여형 연금 채무의 가중평균 가정</t>
  </si>
  <si>
    <t>PBO 가정 이익률 - 최소</t>
  </si>
  <si>
    <t>PBO 가정 이익률 - 최대</t>
  </si>
  <si>
    <t>PBO 구상환율 인상 - 최소</t>
  </si>
  <si>
    <t>PBO 구상환율 인상 - 최대</t>
  </si>
  <si>
    <t>예상 지급 미래 급여</t>
  </si>
  <si>
    <t>예상 지급 미래 급여 - 첫 해</t>
  </si>
  <si>
    <t>예상 지급 미래 급여 - 두 번째 해</t>
  </si>
  <si>
    <t>예상 지급 미래 급여 - 세 번째 해</t>
  </si>
  <si>
    <t>예상 지급 미래 급여 - 네 번째 해</t>
  </si>
  <si>
    <t>예상 지급 미래 급여 - 다섯 번째 해</t>
  </si>
  <si>
    <t>예상 지급 미래 급여 - 그 이후</t>
  </si>
  <si>
    <t>대차대조표 조정 항목</t>
  </si>
  <si>
    <t>선지급 급여 비용</t>
  </si>
  <si>
    <t>누적 급여 채무</t>
  </si>
  <si>
    <t>무형자산</t>
  </si>
  <si>
    <t>누적 기타 구상이익</t>
  </si>
  <si>
    <t>장기 자산</t>
  </si>
  <si>
    <t>유동부채</t>
  </si>
  <si>
    <t>장기부채</t>
  </si>
  <si>
    <t>累积给付义务（养老金）</t>
  </si>
  <si>
    <t>累積給付義務（養老金）</t>
  </si>
  <si>
    <t>Obligation de prestations accumulées (pension)</t>
  </si>
  <si>
    <t>退休基金资产</t>
  </si>
  <si>
    <t>退休基金資產</t>
  </si>
  <si>
    <t>Actifs du régime</t>
  </si>
  <si>
    <t>初始退休基金资产</t>
  </si>
  <si>
    <t>初始退休基金資產</t>
  </si>
  <si>
    <t>Actifs du régime initial</t>
  </si>
  <si>
    <t>退休基金资产的实际收益</t>
  </si>
  <si>
    <t>退休基金資產的實際收益</t>
  </si>
  <si>
    <t>Rendement réel des actifs du régime</t>
  </si>
  <si>
    <t>雇主供款</t>
  </si>
  <si>
    <t>Cotisations de l'employeur</t>
  </si>
  <si>
    <t>参与者提存</t>
  </si>
  <si>
    <t>參與者提存</t>
  </si>
  <si>
    <t>Contributions des participants</t>
  </si>
  <si>
    <t>福利支付</t>
  </si>
  <si>
    <t>Prestations versées</t>
  </si>
  <si>
    <t>外汇汇率调整</t>
  </si>
  <si>
    <t>外匯匯率調整</t>
  </si>
  <si>
    <t>Ajustements des taux de change</t>
  </si>
  <si>
    <t>子公司退休基金资产</t>
  </si>
  <si>
    <t>子公司退休基金資產</t>
  </si>
  <si>
    <t>Actifs de régime acquis</t>
  </si>
  <si>
    <t>退休基金资产结算/削減</t>
  </si>
  <si>
    <t>退休基金資產結算/縮減</t>
  </si>
  <si>
    <t>Plan de règlement / réduction</t>
  </si>
  <si>
    <t>其他计划调整</t>
  </si>
  <si>
    <t>其他計劃調整</t>
  </si>
  <si>
    <t>Autres ajustements du régime</t>
  </si>
  <si>
    <t>计划总资产</t>
  </si>
  <si>
    <t>計劃總資產</t>
  </si>
  <si>
    <t>Total des actifs du régime</t>
  </si>
  <si>
    <t>净周期成本的加权平均假设</t>
  </si>
  <si>
    <t>淨週期成本的加權平均假設</t>
  </si>
  <si>
    <t>Hypothèses moyennes pondérées sur le coût périodique net</t>
  </si>
  <si>
    <t>净定期费用折扣率-最低</t>
  </si>
  <si>
    <t>淨定期費用折扣率-最低</t>
  </si>
  <si>
    <t>Taux de coût périodique net - Min</t>
  </si>
  <si>
    <t>净定期费用折扣率-最高</t>
  </si>
  <si>
    <t>淨定期費用折扣率-最高</t>
  </si>
  <si>
    <t>Taux de coût périodique net - Max</t>
  </si>
  <si>
    <t>补偿率增加-最低</t>
  </si>
  <si>
    <t>補償率增加-最低</t>
  </si>
  <si>
    <t>Augmentation du taux de rémunération - Min</t>
  </si>
  <si>
    <t>补偿率增加-最高</t>
  </si>
  <si>
    <t>補償率增加-最高</t>
  </si>
  <si>
    <t>Augmentation du taux de rémunération - Max</t>
  </si>
  <si>
    <t>预期长期资产收益率-最低</t>
  </si>
  <si>
    <t>預期長期資產收益率-最低</t>
  </si>
  <si>
    <t>Dépenses Taux de rendement à long terme des actifs - Min</t>
  </si>
  <si>
    <t>预期长期资产收益率-最高</t>
  </si>
  <si>
    <t>預期長期資產收益率-最高</t>
  </si>
  <si>
    <t>Dépenses Taux de rendement à long terme des actifs - Max</t>
  </si>
  <si>
    <t>计划资产明细</t>
  </si>
  <si>
    <t>計劃資產明細</t>
  </si>
  <si>
    <t>Composition des actifs du régime</t>
  </si>
  <si>
    <t>计划资产-权益（％）</t>
  </si>
  <si>
    <t>計劃資產-權益（％）</t>
  </si>
  <si>
    <t>Actifs du régime - Actions (%)</t>
  </si>
  <si>
    <t>计划资产-固定收益（％）</t>
  </si>
  <si>
    <t>計劃資產-固定收益（％）</t>
  </si>
  <si>
    <t>Actifs du régime - Revenu fixe (%)</t>
  </si>
  <si>
    <t>计划资产-房地产（％）</t>
  </si>
  <si>
    <t>計劃資產-房地產（％）</t>
  </si>
  <si>
    <t>Actifs du régime - Immobilier (%)</t>
  </si>
  <si>
    <t>其他计划资产（％）</t>
  </si>
  <si>
    <t>其他計劃資產（％）</t>
  </si>
  <si>
    <t>Autres actifs du régime (%)</t>
  </si>
  <si>
    <t>计划资产-权益</t>
  </si>
  <si>
    <t>計劃資產-權益</t>
  </si>
  <si>
    <t>Actifs de régime - Actions</t>
  </si>
  <si>
    <t>计划资产-固定收益</t>
  </si>
  <si>
    <t>計劃資產-固定收益</t>
  </si>
  <si>
    <t>Actifs de régime - Revenu fixe</t>
  </si>
  <si>
    <t>计划资产-房地产</t>
  </si>
  <si>
    <t>計劃資產-房地產</t>
  </si>
  <si>
    <t>Actifs du régime - Immobilier</t>
  </si>
  <si>
    <t>其他计划资产</t>
  </si>
  <si>
    <t>其他計劃資產</t>
  </si>
  <si>
    <t>Autres actifs du régime</t>
  </si>
  <si>
    <t>资产负债表中确认的其他综合收益金额明细</t>
  </si>
  <si>
    <t>資產負債表中確認的其他綜合收益金額明細</t>
  </si>
  <si>
    <t>Ventilation des montants comptabilisés dans les autres éléments du résultat global au bilan</t>
  </si>
  <si>
    <t>净精算损失/收益–综合收益</t>
  </si>
  <si>
    <t>淨精算損失/收益–綜合收益</t>
  </si>
  <si>
    <t>Perte/gain actuariel net - Résultat global</t>
  </si>
  <si>
    <t>事前服务成本/收益–综合收益</t>
  </si>
  <si>
    <t>事前服務成本/收益–綜合收益</t>
  </si>
  <si>
    <t>Coût/bénéfice des services antérieurs - Résultat global</t>
  </si>
  <si>
    <t>过渡资产/债务–综合收益</t>
  </si>
  <si>
    <t>過渡資產/債務–綜合收益</t>
  </si>
  <si>
    <t>Actif/obligation de transition - Résultat global</t>
  </si>
  <si>
    <t>其他杂项调整-综合收益</t>
  </si>
  <si>
    <t>其他雜項調整-綜合收益</t>
  </si>
  <si>
    <t>Autres Divers Ajusté - Résultat global</t>
  </si>
  <si>
    <t>确认的净额–综合收益</t>
  </si>
  <si>
    <t>確認的淨額–綜合收益</t>
  </si>
  <si>
    <t>Montant net comptabilisé - Résultat global</t>
  </si>
  <si>
    <t>预计将在明年确认为周期性定期福利费用净额的组成部分</t>
  </si>
  <si>
    <t>預計將在明年確認為周期性定期福利費用淨額的組成部分</t>
  </si>
  <si>
    <t>Prévu pour être comptabilisé comme un élément du coût net des prestations périodiques au cours de l'année suivante</t>
  </si>
  <si>
    <t>先前确认的先前服务费用/收益</t>
  </si>
  <si>
    <t>先前確認的先前服務費用/收益</t>
  </si>
  <si>
    <t>Reconnaissance du coût/bénéfice du service antérieur Prochaine période</t>
  </si>
  <si>
    <t>下一期间的净精算损失/收益确认</t>
  </si>
  <si>
    <t>下一期間的淨精算損失/收益確認</t>
  </si>
  <si>
    <t>Gain/perte actuariel(le) net(le) de reconnaissance. Prochaine période</t>
  </si>
  <si>
    <t>下一时期确认的过渡资产/债务</t>
  </si>
  <si>
    <t>下一時期確認的過渡資產/債務</t>
  </si>
  <si>
    <t>Reconnaissance des actifs de transition/obligation. Prochaine période</t>
  </si>
  <si>
    <t>下一期间将确认的总金额</t>
  </si>
  <si>
    <t>下一期間將確認的總金額</t>
  </si>
  <si>
    <t>Montant total à comptabiliser dans la période suivante</t>
  </si>
  <si>
    <t>累積給付債務（年金）</t>
  </si>
  <si>
    <t>Обязательство по накопленным выплатам (пенсия)</t>
  </si>
  <si>
    <t>Accum. Obligación de prestaciones (Pensión)</t>
  </si>
  <si>
    <t>制度資産</t>
  </si>
  <si>
    <t>Плановые активы</t>
  </si>
  <si>
    <t>Activos del Plan</t>
  </si>
  <si>
    <t>期初制度資産</t>
  </si>
  <si>
    <t>Начальные плановые активы</t>
  </si>
  <si>
    <t>Activos del Plan al principio</t>
  </si>
  <si>
    <t>制度資産の実際収益</t>
  </si>
  <si>
    <t>Фактическая рентабельность плановых активов</t>
  </si>
  <si>
    <t>Rendimiento Actual de los activos del Plan</t>
  </si>
  <si>
    <t>雇用者拠出</t>
  </si>
  <si>
    <t>Взносы работодателей</t>
  </si>
  <si>
    <t>Contribuciones del empleador</t>
  </si>
  <si>
    <t>参加者拠出</t>
  </si>
  <si>
    <t>Взносы участников</t>
  </si>
  <si>
    <t>Contribuciones de los participantes</t>
  </si>
  <si>
    <t>給付支出</t>
  </si>
  <si>
    <t>Выплаченные средства</t>
  </si>
  <si>
    <t>Beneficios pagados</t>
  </si>
  <si>
    <t>外国為替の調整</t>
  </si>
  <si>
    <t>Валютные корректировки</t>
  </si>
  <si>
    <t>Ajustes de divisas</t>
  </si>
  <si>
    <t>買収制度資産</t>
  </si>
  <si>
    <t>Приобретенные плановые активы</t>
  </si>
  <si>
    <t>Activos Adquiridos del Plan</t>
  </si>
  <si>
    <t>計画決済/縮小</t>
  </si>
  <si>
    <t>План урегулирования/сокращения</t>
  </si>
  <si>
    <t>Liquidación del Plan / Reducción</t>
  </si>
  <si>
    <t>その他の計画の調整</t>
  </si>
  <si>
    <t>Другие корректировки плана</t>
  </si>
  <si>
    <t>Otros ajustes del plan</t>
  </si>
  <si>
    <t>総制度資産</t>
  </si>
  <si>
    <t>Всего Плановые Активы</t>
  </si>
  <si>
    <t>Activos totales del Plan</t>
  </si>
  <si>
    <t>加重平均純期間費用の仮定</t>
  </si>
  <si>
    <t>Средневзвешенные допущения по чистой периодической стоимости</t>
  </si>
  <si>
    <t>El promedio ponderado Supuestos sobre el costo periódico neto</t>
  </si>
  <si>
    <t>純期間費用ディスクレート - 最小限</t>
  </si>
  <si>
    <t>Ставка чистой периодической стоимости - Мин.</t>
  </si>
  <si>
    <t>Costo periódico neto. Tasa - Mínimo</t>
  </si>
  <si>
    <t>純期間費用ディスクレート - 最大限</t>
  </si>
  <si>
    <t>Ставка чистой периодической стоимости - Макс.</t>
  </si>
  <si>
    <t>Costo periódico neto. Tasa - Máximo</t>
  </si>
  <si>
    <t>コンプの割合増加 - 最小限</t>
  </si>
  <si>
    <t>Скорость компенсирования  - Мин.</t>
  </si>
  <si>
    <t>Tasa de Componentes Incremento - Min</t>
  </si>
  <si>
    <t>コンプの割合増加 - 最大限</t>
  </si>
  <si>
    <t>Скорость компенсирования  - Макс.</t>
  </si>
  <si>
    <t>Tasa de Componentes Aumento - Máximo</t>
  </si>
  <si>
    <t>資産の長期期待収益率 - 最小限</t>
  </si>
  <si>
    <t>Долгосрочная норма доходности активов - Мин.</t>
  </si>
  <si>
    <t>Exp.Tasa de Largo plazo ROA - Mínimo</t>
  </si>
  <si>
    <t>資産の長期期待収益率 - 最大限</t>
  </si>
  <si>
    <t>Долгосрочная норма доходности активов - макс.</t>
  </si>
  <si>
    <t>Exp.Tasa de Largo plazo ROA - Máximo</t>
  </si>
  <si>
    <t>制度資産の内訳</t>
  </si>
  <si>
    <t>Анализ плановых активов</t>
  </si>
  <si>
    <t>Desglose de los activos del Plan</t>
  </si>
  <si>
    <t>制度資産 - 株式（％）</t>
  </si>
  <si>
    <t>Плановые активы - Акции (%)</t>
  </si>
  <si>
    <t>Activos del Plan - Acciones (%)</t>
  </si>
  <si>
    <t>制度資産 - 債券（％）</t>
  </si>
  <si>
    <t>Плановые активы - фиксированный доход (%)</t>
  </si>
  <si>
    <t>Activos del Plan - Renta fija (%)</t>
  </si>
  <si>
    <t>プラン資産̶不動産（％）</t>
  </si>
  <si>
    <t>Плановые активы - Недвижимость (%)</t>
  </si>
  <si>
    <t>Activos del plan - Bienes inmuebles (%)</t>
  </si>
  <si>
    <t>その他の制度資産（％）</t>
  </si>
  <si>
    <t>Прочие плановые активы (%)</t>
  </si>
  <si>
    <t>Otros activos del Plan (%)</t>
  </si>
  <si>
    <t>制度資産 - 株式</t>
  </si>
  <si>
    <t>Плановые активы - Акции</t>
  </si>
  <si>
    <t>Activos del Plan - Acciones</t>
  </si>
  <si>
    <t>制度資産 - 債券</t>
  </si>
  <si>
    <t>Плановые активы - фиксированный доход</t>
  </si>
  <si>
    <t>Activos del Plan - Renta fija</t>
  </si>
  <si>
    <t>プラン資産̶不動産</t>
  </si>
  <si>
    <t>Плановые активы - Недвижимость</t>
  </si>
  <si>
    <t>Activos del plan - Bienes raíces</t>
  </si>
  <si>
    <t>その他の制度資産</t>
  </si>
  <si>
    <t>Другие плановые активы</t>
  </si>
  <si>
    <t>Otros activos del Plan</t>
  </si>
  <si>
    <t>貸借対照表のその他の包括利益で認識された金額の内訳</t>
  </si>
  <si>
    <t>Распределение сумм, отраженных в составе прочего совокупного дохода в бухгалтерском балансе</t>
  </si>
  <si>
    <t>Desglose de los importes reconocidos en Otros ingresos globales en el Balance</t>
  </si>
  <si>
    <t>数理計算上の純損益 - 包括利益</t>
  </si>
  <si>
    <t>Чистые актуарные убытки/прибыль - совокупный доход</t>
  </si>
  <si>
    <t>Pérdida/Ganancia actuarial neta - Resultado Integral</t>
  </si>
  <si>
    <t>過去勤務損益 - 包括利益</t>
  </si>
  <si>
    <t>Затраты/выгоды, связанные с предыдущим обслуживанием - совокупный доход</t>
  </si>
  <si>
    <t>Costo/beneficio del servicio anterior - Resultado Integral</t>
  </si>
  <si>
    <t>移行資産・債務 - 包括利益</t>
  </si>
  <si>
    <t>Переходные активы/обязательства - совокупный доход</t>
  </si>
  <si>
    <t>Activo de transición/Obligación - Resultado Integral</t>
  </si>
  <si>
    <t>その他の雑用修正 - 包括利益</t>
  </si>
  <si>
    <t>Прочее скорректировано - совокупный доход</t>
  </si>
  <si>
    <t>Otros Ajustes Miscelaneos - Resultado Integral</t>
  </si>
  <si>
    <t>認識された純金額 - 包括利益</t>
  </si>
  <si>
    <t>Чистая признанная сумма - совокупный доход</t>
  </si>
  <si>
    <t>Monto neto reconocido - Resultado Integral</t>
  </si>
  <si>
    <t>来年の純期間給付・費用の構成要素として認識される予定</t>
  </si>
  <si>
    <t>Ожидается, что в предстоящем году в качестве компонентов чистых расходов на периодические пособия и льготы будут учитываться следующие компоненты</t>
  </si>
  <si>
    <t>Se espera que se reconozcan como componentes del costo neto de las prestaciones periódicas en el próximo año</t>
  </si>
  <si>
    <t>次期認識される過去勤務損益</t>
  </si>
  <si>
    <t>Учет затрат/выгод от предыдущей услуги последующий период</t>
  </si>
  <si>
    <t>Reconocimiento del costo/beneficio del servicio anterior. Próximo período</t>
  </si>
  <si>
    <t>次期認識される数理計算上の純損益</t>
  </si>
  <si>
    <t>Актуарные прибыли/убытки за вычетом признанных расходов. последующий период</t>
  </si>
  <si>
    <t>Pérdida/Ganancia actuarial neta de reconocimiento. Próximo período</t>
  </si>
  <si>
    <t>次期認識される移行資産・債務</t>
  </si>
  <si>
    <t>Признание переходных/обязательных активов. последующий период</t>
  </si>
  <si>
    <t>Reconocimiento de Activos de Transición/Obligación. Próximo período</t>
  </si>
  <si>
    <t>次期認識される総額</t>
  </si>
  <si>
    <t>Итого сумма, подлежащая признанию в следующем периоде</t>
  </si>
  <si>
    <t>Cantidad total que se reconocerá en el próximo período</t>
  </si>
  <si>
    <t>Akkumulierte Leistungsverpflichtung (Pension)</t>
  </si>
  <si>
    <t>Obbligo a benefici acc. (pensioni)</t>
  </si>
  <si>
    <t>Planvermögen</t>
  </si>
  <si>
    <t>Attività a servizio del piano</t>
  </si>
  <si>
    <t>Anfängliches Planvermögen</t>
  </si>
  <si>
    <t>Attività a servizio del piano in.</t>
  </si>
  <si>
    <t>Tatsächliche Rendite auf das Planvermögen</t>
  </si>
  <si>
    <t>Rendimento attuale su attività a servizio del piano</t>
  </si>
  <si>
    <t>Arbeitgeberbeiträge</t>
  </si>
  <si>
    <t>Contributi dipendenti</t>
  </si>
  <si>
    <t>Mitgliedsbeiträge</t>
  </si>
  <si>
    <t>Contributi partecipanti</t>
  </si>
  <si>
    <t>Gezahlte Leistungen</t>
  </si>
  <si>
    <t>Benefici pagati</t>
  </si>
  <si>
    <t>Wechselkursanpassungen</t>
  </si>
  <si>
    <t>Rettifiche tasso di cambio</t>
  </si>
  <si>
    <t>Erworbenes Planvermögen</t>
  </si>
  <si>
    <t>Attività a servizio del piano acquisite</t>
  </si>
  <si>
    <t>Planabwicklung/-kürzung</t>
  </si>
  <si>
    <t>Riduzione/Estensione del piano</t>
  </si>
  <si>
    <t>Sonstige Plananpassungen</t>
  </si>
  <si>
    <t>Altre rettifiche del piano</t>
  </si>
  <si>
    <t>Summe des Planvermögens</t>
  </si>
  <si>
    <t>Totale attività piano</t>
  </si>
  <si>
    <t>Gewichtete durchschnittliche Annahmen zu den Nettoperiodenkosten</t>
  </si>
  <si>
    <t>Media ponderata ipotesi costo periodico netto</t>
  </si>
  <si>
    <t>Nettoperiodenkosten Abzinsungssatz – Min</t>
  </si>
  <si>
    <t>Tasso sconto costo periodico netto - Min</t>
  </si>
  <si>
    <t>Nettoperiodenkosten Abzinsungssatz – Max</t>
  </si>
  <si>
    <t>Tasso sconto costo periodico netto - Max</t>
  </si>
  <si>
    <t>Rate der Vergütungszunahme – Min</t>
  </si>
  <si>
    <t>Tasso di aumento comp. - Min</t>
  </si>
  <si>
    <t>Rate der Vergütungszunahme – Max</t>
  </si>
  <si>
    <t>Tasso di aumento comp. - Max</t>
  </si>
  <si>
    <t>Erwartete langfristige Vermögensrendite – Min</t>
  </si>
  <si>
    <t>Tasso di rendimento sulle attività a lungo termine att. - Min</t>
  </si>
  <si>
    <t>Erwartete langfristige Vermögensrendite – Max</t>
  </si>
  <si>
    <t>Tasso di rendimento sulle attività a lungo termine att. - Max</t>
  </si>
  <si>
    <t>Aufschlüsselung des Planvermögens</t>
  </si>
  <si>
    <t>Ripartizione attività piano</t>
  </si>
  <si>
    <t>Planvermögen – Aktien (%)</t>
  </si>
  <si>
    <t>Attività a servizio del piano - Equity (%)</t>
  </si>
  <si>
    <t>Planvermögen – Rentenpapiere (%)</t>
  </si>
  <si>
    <t>Attività a servizio del piano - Reddito fisso (%)</t>
  </si>
  <si>
    <t>Planvermögen – Immobilien (%)</t>
  </si>
  <si>
    <t>Attività a servizio del piano - Immobiliare (%)</t>
  </si>
  <si>
    <t>Sonstiges Planvermögen (%)</t>
  </si>
  <si>
    <t>Altre attività a servizio del piano (%)</t>
  </si>
  <si>
    <t>Planvermögen – Aktien</t>
  </si>
  <si>
    <t>Attività a servizio del piano - Equity</t>
  </si>
  <si>
    <t>Planvermögen – Rentenpapiere</t>
  </si>
  <si>
    <t>Attività a servizio del piano - Reddito fisso</t>
  </si>
  <si>
    <t>Planvermögen – Immobilien</t>
  </si>
  <si>
    <t>Attività a servizio del piano - Immobiliare</t>
  </si>
  <si>
    <t>Sonstiges Planvermögen</t>
  </si>
  <si>
    <t>Altre attività a servizio del piano</t>
  </si>
  <si>
    <t>Aufschlüsselung der im Sonstigen Gesamtergebnis aktivierten Beträge in BS</t>
  </si>
  <si>
    <t>Ripartizione degli importi rilevati in altre componenti reddituali in BS</t>
  </si>
  <si>
    <t>Versicherungsmathematischer Nettoverlust/-ertrag – Gesamtergebnis</t>
  </si>
  <si>
    <t>Perdite/Utili attuariali netti – Conto econ. compl.</t>
  </si>
  <si>
    <t>Kosten/Leistungen ehemals Beschäftigter – Gesamtergebnis</t>
  </si>
  <si>
    <t>Costo/Beneficio per servizio precedente – Conto econ. compl.</t>
  </si>
  <si>
    <t>Übergangsvermögen/-verbindlichkeiten – Gesamtergebnis</t>
  </si>
  <si>
    <t>Obbligo/Attività transizione – Conto econ. compl.</t>
  </si>
  <si>
    <t>Verschiedene sonstige Anpassungen – Gesamtergebnis</t>
  </si>
  <si>
    <t>Altre rett. varie – Conto econ. compl.</t>
  </si>
  <si>
    <t>Aktivierter Nettobetrag – Gesamtergebnis</t>
  </si>
  <si>
    <t>Importo netto riconosciuto – Conto econ. compl.</t>
  </si>
  <si>
    <t>Erwartungsgemäß im nächsten Jahr als Komponenten der Periodenleistungskosten aktivierte Beträge</t>
  </si>
  <si>
    <t>Previsto essere riconosciuto come componente del costo del beneficio periodico netto nel prossimo anno</t>
  </si>
  <si>
    <t>Kosten/Leistungen ehemals Beschäftigter, die in der nächsten Periode aktiviert werden</t>
  </si>
  <si>
    <t>Costo per servizio precedente/Beneficio riconosciuto periodo succ.</t>
  </si>
  <si>
    <t>Versicherungsmathematischer Nettoverlust/-gewinn, der in der nächsten Periode aktiviert wird</t>
  </si>
  <si>
    <t>Perdita attuariale netta/Utile riconosciuto periodo succ.</t>
  </si>
  <si>
    <t>Übergang Vermögens-/Verbindlichkeitsaktivierung in der nächsten Periode</t>
  </si>
  <si>
    <t>Attività/Obbligo transizione riconosciuti periodo successivo</t>
  </si>
  <si>
    <t>Gesamtbetrag, der in der nächsten Periode aktiviert wird</t>
  </si>
  <si>
    <t>Importo totale riconosciuto periodo successivo</t>
  </si>
  <si>
    <t>누적급여채무(연금)</t>
  </si>
  <si>
    <t>계획 자산</t>
  </si>
  <si>
    <t>시작 계획 자산</t>
  </si>
  <si>
    <t>실제 계획 자산 이익률</t>
  </si>
  <si>
    <t>고용주 기여도</t>
  </si>
  <si>
    <t>참가자 기여도</t>
  </si>
  <si>
    <t>지불된 급여</t>
  </si>
  <si>
    <t>환율 조정</t>
  </si>
  <si>
    <t>인수된 계획 자산</t>
  </si>
  <si>
    <t>계획 정산/삭감</t>
  </si>
  <si>
    <t>기타 계획 조정</t>
  </si>
  <si>
    <t>총 계획 자산</t>
  </si>
  <si>
    <t>순 정기 비용의 가중평균 가정</t>
  </si>
  <si>
    <t>순 정기 비용 할인율 - 최소</t>
  </si>
  <si>
    <t>순 정기 비용 할인율 - 최대</t>
  </si>
  <si>
    <t>구상환율 인상 - 최소</t>
  </si>
  <si>
    <t>구상환율 인상 - 최대</t>
  </si>
  <si>
    <t>예상 장기 자산 이익률 - 최소</t>
  </si>
  <si>
    <t>예상 장기 자산 이익률 - 최대</t>
  </si>
  <si>
    <t>계획 자산 분석</t>
  </si>
  <si>
    <t>계획 자산 - 주식(%)</t>
  </si>
  <si>
    <t>계획 자산 - 고정 수익(%)</t>
  </si>
  <si>
    <t>계획 자산 - 부동산(%)</t>
  </si>
  <si>
    <t>기타 계획 자산(%)</t>
  </si>
  <si>
    <t>계획 자산 - 주식</t>
  </si>
  <si>
    <t>계획 자산 - 고정 수익</t>
  </si>
  <si>
    <t>계획 자산 - 부동산</t>
  </si>
  <si>
    <t>기타 계획 자산</t>
  </si>
  <si>
    <t>BS의 기타 포괄 손익에서 인식된 금액 분석</t>
  </si>
  <si>
    <t>순 보험 계리사 손실/이익 – 포괄 손익</t>
  </si>
  <si>
    <t>이전 서비스 비용/급여 – 포괄 손익</t>
  </si>
  <si>
    <t>전환 자산/채무 – 포괄 손익</t>
  </si>
  <si>
    <t>기타 조정 – 포괄 손익</t>
  </si>
  <si>
    <t>순 인식 금액 – 포괄 손익</t>
  </si>
  <si>
    <t>내년에 순 주기 급여 비용의 구성 요소로 인식될 것으로 예상됨</t>
  </si>
  <si>
    <t>다음 기간 인식된 이전 서비스 비용/급여</t>
  </si>
  <si>
    <t>다음 기간 인식된 순 보험 계리사 손실/이익</t>
  </si>
  <si>
    <t>다음 기간 인식된 전환 자산/채무</t>
  </si>
  <si>
    <t>다음 기간 인식될 총 금액</t>
  </si>
  <si>
    <t>其他离职后福利-外国</t>
  </si>
  <si>
    <t>其他離職後福利-外國</t>
  </si>
  <si>
    <t>Autres avantages postérieurs à l'emploi (APE) - étrangers</t>
  </si>
  <si>
    <t>资产管理规模</t>
  </si>
  <si>
    <t>資產管理規模</t>
  </si>
  <si>
    <t>Actifs sous gestion</t>
  </si>
  <si>
    <t>资产管理规模-权益</t>
  </si>
  <si>
    <t>資產管理規模-權益</t>
  </si>
  <si>
    <t>Actifs sous gestion - Actifs</t>
  </si>
  <si>
    <t>资产管理规模-固定</t>
  </si>
  <si>
    <t>資產管理規模-固定</t>
  </si>
  <si>
    <t>Actifs sous gestion - Revenu fixe</t>
  </si>
  <si>
    <t>资产管理规模-货币市场</t>
  </si>
  <si>
    <t>資產管理規模-貨幣市場</t>
  </si>
  <si>
    <t>Avoirs sous gestion - Marché monétaire</t>
  </si>
  <si>
    <t>资产管理规模-其他</t>
  </si>
  <si>
    <t>資產管理規模-其他</t>
  </si>
  <si>
    <t>Actifs sous gestion - Autres</t>
  </si>
  <si>
    <t>资产管理规模-总额</t>
  </si>
  <si>
    <t>資產管理規模-總額</t>
  </si>
  <si>
    <t>Total des actifs sous gestion</t>
  </si>
  <si>
    <t>资产管理规模-私募股权</t>
  </si>
  <si>
    <t>資產管理規模-私募股權</t>
  </si>
  <si>
    <t>Actifs sous gestion - Capital-investissement</t>
  </si>
  <si>
    <t>资产管理规模-房地产</t>
  </si>
  <si>
    <t>資產管理規模-房地產</t>
  </si>
  <si>
    <t>Actifs sous gestion - Immobilier</t>
  </si>
  <si>
    <t>资产管理规模-机构</t>
  </si>
  <si>
    <t>資產管理規模-機構</t>
  </si>
  <si>
    <t>Actifs sous gestion - Institutionnel</t>
  </si>
  <si>
    <t>资产管理规模-零售</t>
  </si>
  <si>
    <t>資產管理規模-零售</t>
  </si>
  <si>
    <t>Actifs sous gestion - Commerce de détail</t>
  </si>
  <si>
    <t>资产管理规模-高净额</t>
  </si>
  <si>
    <t>資產管理規模-高淨額</t>
  </si>
  <si>
    <t>Actifs sous gestion - Valeur nette élevée</t>
  </si>
  <si>
    <t>资产管理规模-其他客户</t>
  </si>
  <si>
    <t>資產管理規模-其他客戶</t>
  </si>
  <si>
    <t>Actifs sous gestion - Autres clients</t>
  </si>
  <si>
    <t>资产管理规模-国内</t>
  </si>
  <si>
    <t>資產管理規模-國內</t>
  </si>
  <si>
    <t>Actifs sous gestion - National</t>
  </si>
  <si>
    <t>资产管理规模-外国</t>
  </si>
  <si>
    <t>資產管理規模-外國</t>
  </si>
  <si>
    <t>Actifs sous gestion - étrangers</t>
  </si>
  <si>
    <t>资产管理规模-费用收入</t>
  </si>
  <si>
    <t>資產管理規模-費用收入</t>
  </si>
  <si>
    <t>Actifs sous gestion - Revenus d'honoraires</t>
  </si>
  <si>
    <t>资产管理规模-非费用收入</t>
  </si>
  <si>
    <t>資產管理規模-非費用收入</t>
  </si>
  <si>
    <t>Actifs sous gestion - Impayés</t>
  </si>
  <si>
    <t>资产管理规模-零售客户</t>
  </si>
  <si>
    <t>資產管理規模-零售客戶</t>
  </si>
  <si>
    <t>Actifs sous gestion - Clients de détail</t>
  </si>
  <si>
    <t>资产管理规模-机构客户</t>
  </si>
  <si>
    <t>資產管理規模-機構客戶</t>
  </si>
  <si>
    <t>Actifs sous gestion - Clients institutionnels</t>
  </si>
  <si>
    <t>资产管理规模-中小型企业客户</t>
  </si>
  <si>
    <t>資產管理規模-中小型企業客戶</t>
  </si>
  <si>
    <t>Actifs sous gestion - Clients des petites et moyennes entreprises</t>
  </si>
  <si>
    <t>资产管理规模-客户总数</t>
  </si>
  <si>
    <t>資產管理規模-客戶總數</t>
  </si>
  <si>
    <t>Actifs sous gestion - Total des clients</t>
  </si>
  <si>
    <t>资产管理规模-期初</t>
  </si>
  <si>
    <t>資產管理規模-期初</t>
  </si>
  <si>
    <t>Actifs sous gestion - Début de la période</t>
  </si>
  <si>
    <t>资产管理规模-流入</t>
  </si>
  <si>
    <t>資產管理規模-流入</t>
  </si>
  <si>
    <t>Actifs sous gestion - Entrées</t>
  </si>
  <si>
    <t>资产管理规模-流出</t>
  </si>
  <si>
    <t>資產管理規模-流出</t>
  </si>
  <si>
    <t>Actifs sous gestion - Sorties</t>
  </si>
  <si>
    <t>资产管理规模-净流入/（流出）</t>
  </si>
  <si>
    <t>資產管理規模-淨流入/（流出）</t>
  </si>
  <si>
    <t>Actifs sous gestion - Entrées / (sorties) nettes</t>
  </si>
  <si>
    <t>资产管理规模-现金流量和股息</t>
  </si>
  <si>
    <t>資產管理規模-現金流量和股息</t>
  </si>
  <si>
    <t>Actifs sous gestion - Flux de trésorerie et dividendes</t>
  </si>
  <si>
    <t>资产管理规模-市场升值/（折旧）</t>
  </si>
  <si>
    <t>資產管理規模-市場升值/（折舊）</t>
  </si>
  <si>
    <t xml:space="preserve">Actifs sous gestion - Appréciation du marché/(Amortissement) </t>
  </si>
  <si>
    <t>资产管理规模-收购和转让</t>
  </si>
  <si>
    <t>資產管理規模-收購和轉讓</t>
  </si>
  <si>
    <t>Actifs sous gestion - Acquisitions et transferts</t>
  </si>
  <si>
    <t>资产管理规模-其他调整</t>
  </si>
  <si>
    <t>資產管理規模-其他調整</t>
  </si>
  <si>
    <t>Actifs sous gestion - Autres ajustements</t>
  </si>
  <si>
    <t>资产管理规模-期末</t>
  </si>
  <si>
    <t>資產管理規模-期末</t>
  </si>
  <si>
    <t>Actifs sous gestion - Fin de période</t>
  </si>
  <si>
    <t>资产管理规模-平均</t>
  </si>
  <si>
    <t>資產管理規模-平均</t>
  </si>
  <si>
    <t>Actifs sous gestion - Moyenne</t>
  </si>
  <si>
    <t>资产管理规模-净变动</t>
  </si>
  <si>
    <t>資產管理規模-淨變動</t>
  </si>
  <si>
    <t>Actifs sous gestion - Variation nette</t>
  </si>
  <si>
    <t>共同基金-期初</t>
  </si>
  <si>
    <t>Fonds d'investissement - Début de la période</t>
  </si>
  <si>
    <t>共同基金-销售</t>
  </si>
  <si>
    <t>共同基金-銷售</t>
  </si>
  <si>
    <t>Fonds d'investissement - Ventes</t>
  </si>
  <si>
    <t>共同基金-赎回</t>
  </si>
  <si>
    <t>共同基金-贖回</t>
  </si>
  <si>
    <t>Fonds d'investissement - Remboursements</t>
  </si>
  <si>
    <t>共同基金-净销售额</t>
  </si>
  <si>
    <t>共同基金-淨銷售額</t>
  </si>
  <si>
    <t>Fonds d'investissement - Ventes nettes</t>
  </si>
  <si>
    <t>共同基金-市场升值/（折旧）</t>
  </si>
  <si>
    <t>共同基金-市場升值/（折舊）</t>
  </si>
  <si>
    <t>Fonds d'investissement - Appréciation du marché / (Amortissement)</t>
  </si>
  <si>
    <t>共同基金-收购及其他</t>
  </si>
  <si>
    <t>共同基金-收購及其他</t>
  </si>
  <si>
    <t>Fonds d'investissement - Acquisitions et autres</t>
  </si>
  <si>
    <t>共同基金-期末</t>
  </si>
  <si>
    <t>Fonds d'investissement - Fin de la période</t>
  </si>
  <si>
    <t>每日平均收益交易</t>
  </si>
  <si>
    <t>Revenu quotidien moyen des opérations</t>
  </si>
  <si>
    <t>交易数量</t>
  </si>
  <si>
    <t>交易數量</t>
  </si>
  <si>
    <t>Nombre d'opérations exécutées</t>
  </si>
  <si>
    <t>有机增长率</t>
  </si>
  <si>
    <t>有機增長率</t>
  </si>
  <si>
    <t>Taux de croissance organique</t>
  </si>
  <si>
    <t>新客户净资产</t>
  </si>
  <si>
    <t>新客戶淨資產</t>
  </si>
  <si>
    <t>Actifs nets des nouveaux clients</t>
  </si>
  <si>
    <t>每笔交易的平均收入</t>
  </si>
  <si>
    <t>每筆交易的平均收入</t>
  </si>
  <si>
    <t>Revenu moyen par opération</t>
  </si>
  <si>
    <t>管理资产</t>
  </si>
  <si>
    <t>管理資產</t>
  </si>
  <si>
    <t>客户资产价值</t>
  </si>
  <si>
    <t>客戶資產價值</t>
  </si>
  <si>
    <t>Valeur des actifs des clients</t>
  </si>
  <si>
    <t>资产管理增长率</t>
  </si>
  <si>
    <t>資產管理增長率</t>
  </si>
  <si>
    <t>Taux de croissance des actifs sous gestion</t>
  </si>
  <si>
    <t>资本租赁资产-累计折旧</t>
  </si>
  <si>
    <t>資本租賃資產-累計折舊</t>
  </si>
  <si>
    <t>Biens détenus en location-financement - Amortissements cumulés</t>
  </si>
  <si>
    <t>资本租赁资产-毛额</t>
  </si>
  <si>
    <t>資本租賃資產-毛額</t>
  </si>
  <si>
    <t>Actifs sous contrat de location-financement - bruts</t>
  </si>
  <si>
    <t>经营租赁资产-累计折旧</t>
  </si>
  <si>
    <t>經營租賃資產-累計折舊</t>
  </si>
  <si>
    <t>Actifs en leasing opérationnel - Amortissement cumulé</t>
  </si>
  <si>
    <t>经营租赁资产-毛额</t>
  </si>
  <si>
    <t>經營租賃資產-毛額</t>
  </si>
  <si>
    <t>Actifs en leasing opérationnel - bruts</t>
  </si>
  <si>
    <t>资本化利息数据</t>
  </si>
  <si>
    <t>資本化利息數據</t>
  </si>
  <si>
    <t>Données sur les intérêts capitalisés</t>
  </si>
  <si>
    <t>利息资本化，期初</t>
  </si>
  <si>
    <t>利息資本化，期初</t>
  </si>
  <si>
    <t>Intérêts capitalisés, début de la période</t>
  </si>
  <si>
    <t>利息资本化，已支出</t>
  </si>
  <si>
    <t>利息資本化，已支出</t>
  </si>
  <si>
    <t>Intérêts capitalisés, dépensés</t>
  </si>
  <si>
    <t>利息资本化，注销</t>
  </si>
  <si>
    <t>利息資本化，註銷</t>
  </si>
  <si>
    <t>Intérêts capitalisés, amortis</t>
  </si>
  <si>
    <t>利息资本化，其他调整</t>
  </si>
  <si>
    <t>利息資本化，其他調整</t>
  </si>
  <si>
    <t>Intérêts capitalisés, autres ajustés</t>
  </si>
  <si>
    <t>利息资本化，期末</t>
  </si>
  <si>
    <t>利息資本化，期末</t>
  </si>
  <si>
    <t>Intérêts capitalisés, fin de période</t>
  </si>
  <si>
    <t>亏损结转相关项目</t>
  </si>
  <si>
    <t>虧損結轉相關項目</t>
  </si>
  <si>
    <t>Perte d'éléments liés à la comptabilité</t>
  </si>
  <si>
    <t>净营业亏损结转，本年度</t>
  </si>
  <si>
    <t>淨營業虧損結轉，本年度</t>
  </si>
  <si>
    <t>Perte d'exploitation nette reportée (NOL C / F), année en cours</t>
  </si>
  <si>
    <t>净经营亏损结转，本年度+1</t>
  </si>
  <si>
    <t>淨經營虧損結轉，本年度+1</t>
  </si>
  <si>
    <t>Perte d'exploitation nette reportée (NOL C / F), Année en cours + 1</t>
  </si>
  <si>
    <t>净经营亏损结转，本年度+2</t>
  </si>
  <si>
    <t>淨經營虧損結轉，本年度+2</t>
  </si>
  <si>
    <t>Perte d'exploitation nette reportée (NOL C / F), Année en cours + 2</t>
  </si>
  <si>
    <t>净经营亏损结转，本年度+3</t>
  </si>
  <si>
    <t>淨經營虧損結轉，本年度+3</t>
  </si>
  <si>
    <t>Perte d'exploitation nette reportée (NOL C / F), Année en cours + 3</t>
  </si>
  <si>
    <t>净经营亏损结转，本年度+4</t>
  </si>
  <si>
    <t>淨經營虧損結轉，本年度+4</t>
  </si>
  <si>
    <t>Perte d'exploitation nette reportée (NOL C / F), Année en cours + 4</t>
  </si>
  <si>
    <t>净经营亏损结转，五年后</t>
  </si>
  <si>
    <t>淨經營虧損結轉，五年後</t>
  </si>
  <si>
    <t>Perte d'exploitation nette reportée (NOL C / F), après cinq ans</t>
  </si>
  <si>
    <t>净经营亏损结转，无过期</t>
  </si>
  <si>
    <t>淨經營虧損結轉，無過期</t>
  </si>
  <si>
    <t>Report de pertes d'exploitation nettes (NOL C / F), sans expiration</t>
  </si>
  <si>
    <t>净总经营亏损结转</t>
  </si>
  <si>
    <t>淨總經營虧損結轉</t>
  </si>
  <si>
    <t>Total des pertes d'exploitation nettes reportées (NOL C / F)</t>
  </si>
  <si>
    <t>OPEB - 外国</t>
  </si>
  <si>
    <t>Другие пособия по окончании трудовой деятельности (OPEB) - иностранные</t>
  </si>
  <si>
    <t>Otros beneficios post-empleo (OPEB) - Extranjero</t>
  </si>
  <si>
    <t>運用資産</t>
  </si>
  <si>
    <t>Активы в управлении</t>
  </si>
  <si>
    <t>Activos bajo gestión</t>
  </si>
  <si>
    <t>運用資産 - 株式</t>
  </si>
  <si>
    <t>Активы в управлении - Активы</t>
  </si>
  <si>
    <t>Activos bajo gestión - Patrimonio</t>
  </si>
  <si>
    <t>運用資産 - 固定資産</t>
  </si>
  <si>
    <t>Активы в управлении - фиксированная прибыль</t>
  </si>
  <si>
    <t>Activos bajo gestión - Renta Fija</t>
  </si>
  <si>
    <t>運用資産 - マネー・マーケット</t>
  </si>
  <si>
    <t>Активы в управлении - Денежный рынок</t>
  </si>
  <si>
    <t>Activos bajo gestión - Mercado de dinero</t>
  </si>
  <si>
    <t>運用資産 - その他</t>
  </si>
  <si>
    <t>Активы в управлении - Прочее</t>
  </si>
  <si>
    <t>Activos bajo gestión - Otros</t>
  </si>
  <si>
    <t>総運用資産</t>
  </si>
  <si>
    <t>Общие активы в управлении</t>
  </si>
  <si>
    <t>Activos totales bajo gestión</t>
  </si>
  <si>
    <t>運用資産 - プライベート・エクイティ</t>
  </si>
  <si>
    <t>Активы в управлении - Частные инвестиции</t>
  </si>
  <si>
    <t>Activos bajo gestión - Capital privado</t>
  </si>
  <si>
    <t>運用資産 - 不動産</t>
  </si>
  <si>
    <t>Активы в управлении - Недвижимость</t>
  </si>
  <si>
    <t>Activos bajo administración - Bienes raíces</t>
  </si>
  <si>
    <t>運用資産 - 機関投資家</t>
  </si>
  <si>
    <t>Активы в управлении - Институциональные</t>
  </si>
  <si>
    <t>Activos bajo gestión - Institucional</t>
  </si>
  <si>
    <t>運用資産 - 小売</t>
  </si>
  <si>
    <t>Активы в управлении - Розничная торговля</t>
  </si>
  <si>
    <t>Activos bajo gestión - Venta al por menor</t>
  </si>
  <si>
    <t>運用資産 - 富裕層</t>
  </si>
  <si>
    <t>Активы в управлении - Высокая чистая стоимость</t>
  </si>
  <si>
    <t>Activos bajo gestión - Alto Valor Neto</t>
  </si>
  <si>
    <t>運用資産 - その他のクライアント</t>
  </si>
  <si>
    <t>Активы в управлении - Другие клиенты</t>
  </si>
  <si>
    <t>Activos bajo gestión - Otros clientes</t>
  </si>
  <si>
    <t>運用資産 - 国内</t>
  </si>
  <si>
    <t>Активы в управлении - Национальные</t>
  </si>
  <si>
    <t>Activos bajo gestión - Nacionales</t>
  </si>
  <si>
    <t>運用資産 - 外国</t>
  </si>
  <si>
    <t>Активы в управлении - зарубежные</t>
  </si>
  <si>
    <t>Activos bajo gestión - Extranjero</t>
  </si>
  <si>
    <t>運用資産 - 手数料稼ぎ</t>
  </si>
  <si>
    <t>Активы в управлении - Комиссионные доходы</t>
  </si>
  <si>
    <t>Activos bajo gestión - Ganancia de honorarios</t>
  </si>
  <si>
    <t>運用資産 - 手数料稼ぎなし</t>
  </si>
  <si>
    <t>Активы в управлении - Неоплаченные</t>
  </si>
  <si>
    <t>Activos bajo gestión - No remunerados</t>
  </si>
  <si>
    <t>運用資産 - 小売顧客</t>
  </si>
  <si>
    <t>Активы в управлении - Розничные клиенты</t>
  </si>
  <si>
    <t>Activos bajo gestión - Clientes minoristas</t>
  </si>
  <si>
    <t>運用資産 - 機関顧客</t>
  </si>
  <si>
    <t>Активы в управлении - Институциональные клиенты</t>
  </si>
  <si>
    <t>Activos bajo gestión - Clientes institucionales</t>
  </si>
  <si>
    <t>運用資産 - 小・中企業顧客</t>
  </si>
  <si>
    <t>Активы в управлении - клиенты малого и среднего бизнеса</t>
  </si>
  <si>
    <t>Activos bajo gestión - Clientes de pequeñas y medianas empresas</t>
  </si>
  <si>
    <t>運用資産 - その他の顧客</t>
  </si>
  <si>
    <t>運用資産 - 総顧客</t>
  </si>
  <si>
    <t>Активы в управлении - Всего клиентов</t>
  </si>
  <si>
    <t>Activos bajo gestión - Total de clientes</t>
  </si>
  <si>
    <t>運用資産 - 開始期間</t>
  </si>
  <si>
    <t>Активы в управлении - Начало периода</t>
  </si>
  <si>
    <t>Activos bajo gestión - Inicio del período</t>
  </si>
  <si>
    <t>運用資産 - 流入額</t>
  </si>
  <si>
    <t>Активы в управлении - Потоки</t>
  </si>
  <si>
    <t>Activos bajo gestión - Entradas</t>
  </si>
  <si>
    <t>運用資産 - 流出額</t>
  </si>
  <si>
    <t>Активы в управлении - Оттоки</t>
  </si>
  <si>
    <t>Activos bajo gestión - Salidas</t>
  </si>
  <si>
    <t>運用資産 - 純流入・（流出額）</t>
  </si>
  <si>
    <t>Активы в управлении - Чистые притоки / (Оттоки)</t>
  </si>
  <si>
    <t>Activos bajo gestión - Entradas / (Salidas) netas</t>
  </si>
  <si>
    <t>運用資産 - キャッシュ・フロー・配当</t>
  </si>
  <si>
    <t>Активы в управлении - Денежные потоки и дивиденды</t>
  </si>
  <si>
    <t>Activos bajo gestión - Flujos de efectivo y dividendos</t>
  </si>
  <si>
    <t>運用資産 - 市場上昇/（低下）</t>
  </si>
  <si>
    <t>Активы в управлении - Рыночная стоимость / (износ)</t>
  </si>
  <si>
    <t xml:space="preserve">Activos bajo gestión - Apreciación/(Depreciación) del mercado </t>
  </si>
  <si>
    <t>運用資産 - 買収および譲渡</t>
  </si>
  <si>
    <t>Активы в управлении - Приобретения и передача активов</t>
  </si>
  <si>
    <t>Activos bajo gestión - Adquisiciones y transferencias</t>
  </si>
  <si>
    <t>運用資産 - その他の調整</t>
  </si>
  <si>
    <t>Активы в управлении - прочие корректировки</t>
  </si>
  <si>
    <t>Activos bajo gestión - Otros ajustes</t>
  </si>
  <si>
    <t>運用資産 - 終了期間</t>
  </si>
  <si>
    <t>Активы в управлении - конец периода</t>
  </si>
  <si>
    <t>Activos bajo gestión - Fin del período</t>
  </si>
  <si>
    <t>運用資産 - 平均</t>
  </si>
  <si>
    <t>Активы в управлении - Средний</t>
  </si>
  <si>
    <t>Activos bajo gestión - Promedio</t>
  </si>
  <si>
    <t>運用資産 - 純変化</t>
  </si>
  <si>
    <t>Активы в управлении - чистое изменение</t>
  </si>
  <si>
    <t>Activos bajo gestión - Cambio neto</t>
  </si>
  <si>
    <t>投資信託 - 開始期間</t>
  </si>
  <si>
    <t>Паевой фонд - начало периода</t>
  </si>
  <si>
    <t>Fondo de Inversión - Inicio del período</t>
  </si>
  <si>
    <t>投資信託 - 販売</t>
  </si>
  <si>
    <t>Паевой фонд - Продажи</t>
  </si>
  <si>
    <t>Fondo de inversión - Ventas</t>
  </si>
  <si>
    <t>投資信託 - 償還</t>
  </si>
  <si>
    <t>Паевой фонд - Изъятия</t>
  </si>
  <si>
    <t>Fondo de inversión - Reembolsos</t>
  </si>
  <si>
    <t>投資信託 - 売上高</t>
  </si>
  <si>
    <t>Паевой фонд - чистые продажи</t>
  </si>
  <si>
    <t>Fondo de Inversión - Ventas netas</t>
  </si>
  <si>
    <t>投資信託 - 市場上昇/（低下）</t>
  </si>
  <si>
    <t>Паевой фонд - Рыночная оценка / (амортизация)</t>
  </si>
  <si>
    <t>Fondo de Inversión - Apreciación del mercado / (Depreciación)</t>
  </si>
  <si>
    <t>投資信託 - 買収及びその他</t>
  </si>
  <si>
    <t>Паевой фонд - Приобретения и прочее</t>
  </si>
  <si>
    <t>Fondo de Inversión - Adquisiciones y otros</t>
  </si>
  <si>
    <t>終了期間</t>
  </si>
  <si>
    <t>Паевой фонд - конец периода</t>
  </si>
  <si>
    <t>Fondo de Inversión - Fin del período</t>
  </si>
  <si>
    <t>日平均収入取引</t>
  </si>
  <si>
    <t>Среднесуточный доход от операций с ценными бумагами</t>
  </si>
  <si>
    <t>Promedio diario de ingresos de operaciones</t>
  </si>
  <si>
    <t>取引執行数</t>
  </si>
  <si>
    <t>Количество совершенных сделок</t>
  </si>
  <si>
    <t>Número de operaciones ejecutadas</t>
  </si>
  <si>
    <t>有機的成長率</t>
  </si>
  <si>
    <t>Скорость органического роста</t>
  </si>
  <si>
    <t>Tasa de crecimiento orgánico</t>
  </si>
  <si>
    <t>純新顧客資産</t>
  </si>
  <si>
    <t>Чистые новые клиентские активы</t>
  </si>
  <si>
    <t>Nuevos activos netos de los clientes</t>
  </si>
  <si>
    <t>平均一件取引当たりの収入</t>
  </si>
  <si>
    <t>Средний доход на торговлю</t>
  </si>
  <si>
    <t>Ingreso promedio por operación</t>
  </si>
  <si>
    <t>管理資産</t>
  </si>
  <si>
    <t>Активы под управлением</t>
  </si>
  <si>
    <t>Activos bajo administración</t>
  </si>
  <si>
    <t>顧客資産の価値</t>
  </si>
  <si>
    <t>Стоимость активов клиента</t>
  </si>
  <si>
    <t>Valor de los activos del cliente</t>
  </si>
  <si>
    <t>運用資産の成長率</t>
  </si>
  <si>
    <t>Скорость роста управляемых активов</t>
  </si>
  <si>
    <t>Tasa de crecimiento de los activos gestionados</t>
  </si>
  <si>
    <t>キャピタル・リースによる資産 - 累計額</t>
  </si>
  <si>
    <t>Активы по капитальной аренде - накопленная амортизация</t>
  </si>
  <si>
    <t>Activos en arrendamiento financiero - Depreciación Acumulada</t>
  </si>
  <si>
    <t>キャピタル・リースによる資産 - 総額</t>
  </si>
  <si>
    <t>Активы по капитальной аренде - валовые</t>
  </si>
  <si>
    <t>Activos en arrendamiento financiero - Bruto</t>
  </si>
  <si>
    <t>オペレーティング・リースによる資産 - 累計額</t>
  </si>
  <si>
    <t>Активы по операционной аренде - накопленная амортизация</t>
  </si>
  <si>
    <t>Activos en arrendamiento operativo - Depreciación Acumulada</t>
  </si>
  <si>
    <t>オペレーティング・リースによる資産 - 総額</t>
  </si>
  <si>
    <t>Активы по операционной аренде - валовые</t>
  </si>
  <si>
    <t>Activos en arrendamiento operativo - Bruto</t>
  </si>
  <si>
    <t>資産された利息データ</t>
  </si>
  <si>
    <t>Данные по капитализированным процентам</t>
  </si>
  <si>
    <t>Datos de interés capitalizados</t>
  </si>
  <si>
    <t>資産された利息、初期</t>
  </si>
  <si>
    <t>Капитализированные проценты, начало периода</t>
  </si>
  <si>
    <t>Interés capitalizado, Al principio del período</t>
  </si>
  <si>
    <t>資産された利息、費用処理</t>
  </si>
  <si>
    <t>Капитализированные проценты, расходы</t>
  </si>
  <si>
    <t>Intereses capitalizados, gastos</t>
  </si>
  <si>
    <t>資産された利息、償却</t>
  </si>
  <si>
    <t>Капитализированные проценты, списание</t>
  </si>
  <si>
    <t>Interés capitalizado, cancelado</t>
  </si>
  <si>
    <t>資産された利息、その他の修正</t>
  </si>
  <si>
    <t>Капитализированные проценты, прочие скорректированные</t>
  </si>
  <si>
    <t>Intereses capitalizados, otros ajustes</t>
  </si>
  <si>
    <t>資産された利息、終期</t>
  </si>
  <si>
    <t>Капитализированные проценты, конец периода</t>
  </si>
  <si>
    <t>Interés capitalizado, Final del período</t>
  </si>
  <si>
    <t>欠損金繰越に関する項目</t>
  </si>
  <si>
    <t>Утраты статей бухгалтерского учета</t>
  </si>
  <si>
    <t>Pérdida de llevar adelante artículos relacionados</t>
  </si>
  <si>
    <t>純営業欠損金繰越、今年</t>
  </si>
  <si>
    <t>Чистый операционный убыток, перенесенный на будущие периоды (NOL C / F), текущий год</t>
  </si>
  <si>
    <t>Pérdidas operativas netas arrastradas (NOL C / F), año en curso</t>
  </si>
  <si>
    <t>純営業欠損金繰越、今年+1</t>
  </si>
  <si>
    <t>Чистый операционный убыток, перенесенный на будущие периоды (NOL C / F), текущий год + 1</t>
  </si>
  <si>
    <t>Pérdidas operativas netas arrastradas (NOL C / F), Año en curso + 1</t>
  </si>
  <si>
    <t>純営業欠損金繰越、今年+2</t>
  </si>
  <si>
    <t>Чистый операционный убыток, перенесенный на будущие периоды (NOL C / F), текущий год + 2</t>
  </si>
  <si>
    <t>Pérdidas operativas netas arrastradas (NOL C / F), Año en curso + 2</t>
  </si>
  <si>
    <t>純営業欠損金繰越、今年+3</t>
  </si>
  <si>
    <t>Чистый операционный убыток, перенесенный на будущие периоды (NOL C / F), текущий год + 3</t>
  </si>
  <si>
    <t>Pérdidas operativas netas arrastradas (NOL C / F), Año en curso + 3</t>
  </si>
  <si>
    <t>純営業欠損金繰越、今年+4</t>
  </si>
  <si>
    <t>Чистый операционный убыток, перенесенный на будущие периоды (NOL C / F), текущий год + 4</t>
  </si>
  <si>
    <t>Pérdidas operativas netas arrastradas (NOL C / F), Año en curso + 4</t>
  </si>
  <si>
    <t>純営業欠損金繰越、5年間後</t>
  </si>
  <si>
    <t>Отложенный чистый операционный убыток (NOL C / F), по истечении пяти лет</t>
  </si>
  <si>
    <t>Pérdidas operativas netas arrastradas (NOL C / F), después de cinco años</t>
  </si>
  <si>
    <t>純営業欠損金繰越、期限なし</t>
  </si>
  <si>
    <t>Чистый операционный убыток, перенесенный на будущие периоды (NOL C / F), истекший.</t>
  </si>
  <si>
    <t>Pérdidas operativas netas arrastradas (NOL C / F), No Expiración</t>
  </si>
  <si>
    <t>純営業欠損金繰越総額</t>
  </si>
  <si>
    <t>Итого чистые операционные убытки, перенесенные на будущие периоды (NOL C / F)</t>
  </si>
  <si>
    <t>Total Pérdidas operativas netas arrastradas (NOL C / F)</t>
  </si>
  <si>
    <t>OPEB – Ausland</t>
  </si>
  <si>
    <t>OPEB - Estero</t>
  </si>
  <si>
    <t>Verwaltetes Vermögen</t>
  </si>
  <si>
    <t>Attività gestite</t>
  </si>
  <si>
    <t>Verwaltetes Vermögen – Aktien</t>
  </si>
  <si>
    <t>Attività gestite - Equity</t>
  </si>
  <si>
    <t>Verwaltetes Vermögen – Rentenpapiere</t>
  </si>
  <si>
    <t>Attività gestite - Fisse</t>
  </si>
  <si>
    <t>Verwaltetes Vermögen – Geldmarktpapiere</t>
  </si>
  <si>
    <t>Attività gestite - Mercato monetario</t>
  </si>
  <si>
    <t>Verwaltetes Vermögen – Sonstiges</t>
  </si>
  <si>
    <t>Attività gestite - Altro</t>
  </si>
  <si>
    <t>Summe des verwalteten Vermögens</t>
  </si>
  <si>
    <t>Totale attività gestite</t>
  </si>
  <si>
    <t>Verwaltetes Vermögen – Private Equity</t>
  </si>
  <si>
    <t>Attività gestite - Private equity</t>
  </si>
  <si>
    <t>Verwaltetes Vermögen – Immobilien</t>
  </si>
  <si>
    <t>Attività gestite - Immobiliare</t>
  </si>
  <si>
    <t>Verwaltetes Vermögen – Institutionell</t>
  </si>
  <si>
    <t>Attività gestite - Istituzionale</t>
  </si>
  <si>
    <t>Verwaltetes Vermögen – Einzelhandel</t>
  </si>
  <si>
    <t>Attività gestite - Retail</t>
  </si>
  <si>
    <t>Verwaltetes Vermögen – Großvermögen</t>
  </si>
  <si>
    <t>Attività gestite - Patrimoni ingenti</t>
  </si>
  <si>
    <t>Verwaltetes Vermögen – Andere Kunden</t>
  </si>
  <si>
    <t>Attività gestite - Altri clienti</t>
  </si>
  <si>
    <t>Verwaltetes Vermögen – Inland</t>
  </si>
  <si>
    <t>Attività gestite - Nazionale</t>
  </si>
  <si>
    <t>Verwaltetes Vermögen – Ausland</t>
  </si>
  <si>
    <t>Attività gestite - Estero</t>
  </si>
  <si>
    <t>Verwaltetes Vermögen – Gebührenerlöse</t>
  </si>
  <si>
    <t>Attività gestite - Con introiti propri</t>
  </si>
  <si>
    <t>Verwaltetes Vermögen – Andere Erlöse</t>
  </si>
  <si>
    <t>Attività gestite - Senza introiti propri</t>
  </si>
  <si>
    <t>Verwaltetes Vermögen – Privatkunden</t>
  </si>
  <si>
    <t>Attività gestite - Clienti retail</t>
  </si>
  <si>
    <t>Verwaltetes Vermögen – Institutionelle Kunden</t>
  </si>
  <si>
    <t>Attività gestite - Clienti istituzionali</t>
  </si>
  <si>
    <t>Verwaltetes Vermögen – Kleine, mittlere Unternehmenskunden</t>
  </si>
  <si>
    <t>Attività gestite - Piccole e medie imprese</t>
  </si>
  <si>
    <t>Verwaltetes Vermögen – Kunden insgesamt</t>
  </si>
  <si>
    <t>Attività gestite - Totale clienti</t>
  </si>
  <si>
    <t>Verwaltetes Vermögen – Periodenbeginn</t>
  </si>
  <si>
    <t>Attività gestite - Inizio periodo</t>
  </si>
  <si>
    <t>Verwaltetes Vermögen – Zuflüsse</t>
  </si>
  <si>
    <t>Attività gestite - Afflussi</t>
  </si>
  <si>
    <t>Verwaltetes Vermögen – Abflüsse</t>
  </si>
  <si>
    <t>Attività gestite - Deflussi</t>
  </si>
  <si>
    <t>Verwaltetes Vermögen – Nettozuflüsse / (Abflüsse)</t>
  </si>
  <si>
    <t>Attività gestite - Afflussi netti/(deflussi)</t>
  </si>
  <si>
    <t>Verwaltetes Vermögen – Cashflows und Dividenden</t>
  </si>
  <si>
    <t>Attività gestite - Flussi di cassa e dividendi</t>
  </si>
  <si>
    <t>Verwaltetes Vermögen – Marktwertsteigerung/ (-rückgang)</t>
  </si>
  <si>
    <t>Attività gestite - Apprezzamento mercato/(deprezzamento)</t>
  </si>
  <si>
    <t>Verwaltetes Vermögen – Übernahmen und Transfers</t>
  </si>
  <si>
    <t>Attività gestite - Acquisizioni e trasferimenti</t>
  </si>
  <si>
    <t>Verwaltetes Vermögen – Andere Anpassungen</t>
  </si>
  <si>
    <t>Attività gestite - Altre rettifiche</t>
  </si>
  <si>
    <t>Verwaltetes Vermögen – Periodenende</t>
  </si>
  <si>
    <t>Attività gestite - Fine periodo</t>
  </si>
  <si>
    <t>Verwaltetes Vermögen – Durchschnitt</t>
  </si>
  <si>
    <t>Attività gestite - Media</t>
  </si>
  <si>
    <t>Verwaltetes Vermögen – Nettoveränderung</t>
  </si>
  <si>
    <t>Attività gestite - Variazione netta</t>
  </si>
  <si>
    <t>Investmentfonds – Periodenanfang</t>
  </si>
  <si>
    <t>Fondo comune - Inizio periodo</t>
  </si>
  <si>
    <t>Investmentfonds – Umsatz</t>
  </si>
  <si>
    <t>Fondo comune - Vendite</t>
  </si>
  <si>
    <t>Investmentfonds – Rücknahmen</t>
  </si>
  <si>
    <t>Fondo comune - Rimborsi</t>
  </si>
  <si>
    <t>Investmentfonds – Nettoumsatz</t>
  </si>
  <si>
    <t>Fondo comune - Vendite nette</t>
  </si>
  <si>
    <t>Investmentfond – Marktwertsteigerung / (Abschreibungen)</t>
  </si>
  <si>
    <t>Fondo comune - Apprezzamento mercato/(deprezzamento)</t>
  </si>
  <si>
    <t>Investmentfonds – Erwerbe und Sonstiges</t>
  </si>
  <si>
    <t>Fondo comune - Acquisizioni e altro</t>
  </si>
  <si>
    <t>Investmentfonds – Periodenende</t>
  </si>
  <si>
    <t>Fondo comune - Fine periodo</t>
  </si>
  <si>
    <t>Täglicher Durchschnittserlös aus Trades</t>
  </si>
  <si>
    <t>Rendimento medio giornaliero scambi (DART)</t>
  </si>
  <si>
    <t>Anzahl der ausgeführten Trades</t>
  </si>
  <si>
    <t>Numero di scambi eseguiti</t>
  </si>
  <si>
    <t>Rate des organischen Wachstums</t>
  </si>
  <si>
    <t>Tasso di crescita organico</t>
  </si>
  <si>
    <t>Netto-Neukundenvermögen</t>
  </si>
  <si>
    <t>Nuove attività cliente netto</t>
  </si>
  <si>
    <t>Durchschnittserlös pro Trade</t>
  </si>
  <si>
    <t>Rendimento medio per scambio</t>
  </si>
  <si>
    <t>Wert des Kundenvermögens</t>
  </si>
  <si>
    <t>Valore attività cliente</t>
  </si>
  <si>
    <t>Wachstumsrate des verwalteten Vermögens</t>
  </si>
  <si>
    <t>Tasso crescita patrimonio gestito</t>
  </si>
  <si>
    <t>Vermögenswerte unter Kapitalleasing – kumulierte Abschreibung</t>
  </si>
  <si>
    <t>Attività in leasing finanziario - Dep. accumulati</t>
  </si>
  <si>
    <t>Vermögenswerte unter Finanzierungsleasing – Brutto</t>
  </si>
  <si>
    <t>Attività in leasing finanziario - lorde</t>
  </si>
  <si>
    <t>Vermögenswerte aus Operating-Leasing – kumulierte Abschreibung</t>
  </si>
  <si>
    <t>Attività su locazioni operative - Fondo ammortamenti</t>
  </si>
  <si>
    <t>Vermögenswerte aus Operating-Leasing – Brutto</t>
  </si>
  <si>
    <t>Attività in locazione operativa - Lordo</t>
  </si>
  <si>
    <t>Daten zu aktivierten Zinsen</t>
  </si>
  <si>
    <t>Dati interesse capitalizzato</t>
  </si>
  <si>
    <t>Aktivierte Zinsen, Periodenanfang</t>
  </si>
  <si>
    <t>Interesse capitalizzato, inizio periodo</t>
  </si>
  <si>
    <t>Aktivierte Zinsen, ertragswirksam</t>
  </si>
  <si>
    <t>Interesse capitalizzato, spesato</t>
  </si>
  <si>
    <t>Aktivierte, abgeschriebene Zinsen</t>
  </si>
  <si>
    <t>Interesse capitalizzato, estinto</t>
  </si>
  <si>
    <t>Aktivierte Zinsen, andere Anpassungen</t>
  </si>
  <si>
    <t>Interesse capitalizzato, altre rett.</t>
  </si>
  <si>
    <t>Aktivierte Zinsen, Periodenende</t>
  </si>
  <si>
    <t>Interesse capitalizzato, fine periodo</t>
  </si>
  <si>
    <t>Posten in Verbindung mit Verlustvorträgen</t>
  </si>
  <si>
    <t>Voci relative al riporto delle perdite</t>
  </si>
  <si>
    <t>NOL C/F, Laufendes Jahr</t>
  </si>
  <si>
    <t>Riporto perdite operativo netto, anno corrente</t>
  </si>
  <si>
    <t>NOL C/F, Laufendes Jahr + 1</t>
  </si>
  <si>
    <t>Riporto perdite operativo netto, anno corrente + 1</t>
  </si>
  <si>
    <t>NOL C/F, Laufendes Jahr + 2</t>
  </si>
  <si>
    <t>Riporto perdite operativo netto, anno corrente + 2</t>
  </si>
  <si>
    <t>NOL C/F, Laufendes Jahr + 3</t>
  </si>
  <si>
    <t>Riporto perdite operativo netto, anno corrente + 3</t>
  </si>
  <si>
    <t>NOL C/F, Laufendes Jahr + 4</t>
  </si>
  <si>
    <t>Riporto perdite operativo netto, anno corrente + 4</t>
  </si>
  <si>
    <t>NOL C/F, nach fünf Jahren</t>
  </si>
  <si>
    <t>Riporto perdite operativo netto, dopo cinque anni</t>
  </si>
  <si>
    <t>NOL C/F, unendlich</t>
  </si>
  <si>
    <t>Riporto perdite operativo netto, senza scadenza</t>
  </si>
  <si>
    <t>Summe NOL C/F</t>
  </si>
  <si>
    <t>Totale riporto perdite operativo netto</t>
  </si>
  <si>
    <t>OPEB - 외국</t>
  </si>
  <si>
    <t>운용 자산</t>
  </si>
  <si>
    <t>운용 자산 - 주식</t>
  </si>
  <si>
    <t>운용 자산 - 고정</t>
  </si>
  <si>
    <t>운용 자산 - 금융시장</t>
  </si>
  <si>
    <t>운용 자산 - 기타</t>
  </si>
  <si>
    <t>총 운용 자산</t>
  </si>
  <si>
    <t>운용 자산 - 사모펀드</t>
  </si>
  <si>
    <t>운용 자산 - 부동산</t>
  </si>
  <si>
    <t>운용 자산 - 기관</t>
  </si>
  <si>
    <t>운용 자산 - 소매</t>
  </si>
  <si>
    <t>운용 자산 - 고액 순자산</t>
  </si>
  <si>
    <t>운용 자산 - 기타 고객</t>
  </si>
  <si>
    <t>운용 자산 - 국내</t>
  </si>
  <si>
    <t>운용 자산 - 외국</t>
  </si>
  <si>
    <t>운용 자산 - 수수료 수익</t>
  </si>
  <si>
    <t>운용 자산 - 비수수료 수익</t>
  </si>
  <si>
    <t>운용 자산 - 소매 고객</t>
  </si>
  <si>
    <t>운용 자산 - 기관 고객</t>
  </si>
  <si>
    <t>운용 자산 - 중소기업 고객</t>
  </si>
  <si>
    <t>운용 자산 - 총 고객</t>
  </si>
  <si>
    <t>운용 자산 - 기간 시작</t>
  </si>
  <si>
    <t>운용 자산 - 유입</t>
  </si>
  <si>
    <t>운용 자산 - 유출</t>
  </si>
  <si>
    <t>운용 자산 - 순 유입/(유출)</t>
  </si>
  <si>
    <t>운용 자산 - 현금 흐름 및 배당금</t>
  </si>
  <si>
    <t>운용 자산 - 시장 증가/(감가상각)</t>
  </si>
  <si>
    <t>운용 자산 - 인수 및 양도</t>
  </si>
  <si>
    <t>운용 자산 - 기타 조정</t>
  </si>
  <si>
    <t>운용 자산 - 기간 끝</t>
  </si>
  <si>
    <t>운용 자산 - 평균</t>
  </si>
  <si>
    <t>운용 자산 - 전일대비</t>
  </si>
  <si>
    <t>뮤추얼펀드 - 기간 시작</t>
  </si>
  <si>
    <t>뮤추얼펀드 - 매출</t>
  </si>
  <si>
    <t>뮤추얼펀드 - 상환</t>
  </si>
  <si>
    <t>뮤추얼펀드 - 순매출</t>
  </si>
  <si>
    <t>뮤추얼펀드 - 시장 증가/(감가상각)</t>
  </si>
  <si>
    <t>뮤추얼펀드 - 인수 및 기타</t>
  </si>
  <si>
    <t>뮤추얼펀드 - 시간 끝</t>
  </si>
  <si>
    <t>일일 평균 수익 거래</t>
  </si>
  <si>
    <t>실행 거래 수</t>
  </si>
  <si>
    <t>유기적 성장률</t>
  </si>
  <si>
    <t>순 신규고객 자산</t>
  </si>
  <si>
    <t>거래 당 평균 수익</t>
  </si>
  <si>
    <t>관리 중인 자산(AUA)</t>
  </si>
  <si>
    <t>고객 자산 가치</t>
  </si>
  <si>
    <t>자산 관리 성장률</t>
  </si>
  <si>
    <t>금융리스 자산 - 누적 감가상각</t>
  </si>
  <si>
    <t>금융리스 자산 - 총계</t>
  </si>
  <si>
    <t>운용리스 자산 - 누적 감가상각</t>
  </si>
  <si>
    <t>운용리스 자산 - 총계</t>
  </si>
  <si>
    <t>원금 가산 이자 데이터</t>
  </si>
  <si>
    <t>원금 가산 이자, 기간 시작</t>
  </si>
  <si>
    <t>원금 가산 이자, 지출</t>
  </si>
  <si>
    <t>원금 가산 이자, 상각됨</t>
  </si>
  <si>
    <t>원금 가산 이자, 기타 조정</t>
  </si>
  <si>
    <t>원금 가산 이자, 기간 끝</t>
  </si>
  <si>
    <t>순영업손실이연 관련 항목</t>
  </si>
  <si>
    <t>NOL C/F, 금년도</t>
  </si>
  <si>
    <t>NOL C/F, 금년도 + 1</t>
  </si>
  <si>
    <t>NOL C/F, 금년도 + 2</t>
  </si>
  <si>
    <t>NOL C/F, 금년도 + 3</t>
  </si>
  <si>
    <t>NOL C/F, 금년도 + 4</t>
  </si>
  <si>
    <t>NOL C/F, 5년 후</t>
  </si>
  <si>
    <t>NOL C/F, 만기 없음</t>
  </si>
  <si>
    <t>총 NOL C/F</t>
  </si>
  <si>
    <t>净营业亏损结转的最高年份</t>
  </si>
  <si>
    <t>淨營業虧損結轉的最高年份</t>
  </si>
  <si>
    <t>Maximum annuel pour le report des pertes d'exploitation nettes (NOL C / F)</t>
  </si>
  <si>
    <t>资本损失结转，本年度</t>
  </si>
  <si>
    <t>資本損失結轉，本年度</t>
  </si>
  <si>
    <t>Perte en capital C/F, année en cours</t>
  </si>
  <si>
    <t>资本损失结转，本年度+ 1</t>
  </si>
  <si>
    <t>資本損失結轉，本年度+ 1</t>
  </si>
  <si>
    <t>Perte en capital C/F, année en cours + 1</t>
  </si>
  <si>
    <t>资本损失结转，本年度+ 2</t>
  </si>
  <si>
    <t>資本損失結轉，本年度+ 2</t>
  </si>
  <si>
    <t>Perte en capital C/F, année en cours + 2</t>
  </si>
  <si>
    <t>资本损失结转，本年度+ 3</t>
  </si>
  <si>
    <t>資本損失結轉，本年度+ 3</t>
  </si>
  <si>
    <t>Perte en capital C/F, année en cours + 3</t>
  </si>
  <si>
    <t>资本损失结转，本年度+ 4</t>
  </si>
  <si>
    <t>資本損失結轉，本年度+ 4</t>
  </si>
  <si>
    <t>Perte en capital C/F, année en cours + 4</t>
  </si>
  <si>
    <t>资本损失结转，五年后</t>
  </si>
  <si>
    <t>資本損失結轉，五年後</t>
  </si>
  <si>
    <t>Perte en capital C/F, après cinq ans</t>
  </si>
  <si>
    <t>资本亏损结转，不过期</t>
  </si>
  <si>
    <t>資本虧損結轉，不過期</t>
  </si>
  <si>
    <t>Perte de capital C/F, sans échéance</t>
  </si>
  <si>
    <t>总资本亏损结转</t>
  </si>
  <si>
    <t>總資本虧損結轉</t>
  </si>
  <si>
    <t>Perte totale de capital C/F</t>
  </si>
  <si>
    <t>最高资本亏损结转年数</t>
  </si>
  <si>
    <t>最高資本虧損結轉年數</t>
  </si>
  <si>
    <t>Année Maximum de la perte en capital C/F</t>
  </si>
  <si>
    <t>税收利益结转，本年度</t>
  </si>
  <si>
    <t>稅收利益結轉，本年度</t>
  </si>
  <si>
    <t>Avantage fiscal C/F, année en cours</t>
  </si>
  <si>
    <t>税收利益结转，本年度+1</t>
  </si>
  <si>
    <t>稅收利益結轉，本年度+1</t>
  </si>
  <si>
    <t>Avantage fiscal C/F, année en cours + 1</t>
  </si>
  <si>
    <t>税收利益结转，本年度+2</t>
  </si>
  <si>
    <t>稅收利益結轉，本年度+2</t>
  </si>
  <si>
    <t>Avantage fiscal C/F, année en cours + 2</t>
  </si>
  <si>
    <t>税收利益结转，本年度+3</t>
  </si>
  <si>
    <t>稅收利益結轉，本年度+3</t>
  </si>
  <si>
    <t>Avantage fiscal C/F, année en cours + 3</t>
  </si>
  <si>
    <t>税收利益结转，本年度+4</t>
  </si>
  <si>
    <t>稅收利益結轉，本年度+4</t>
  </si>
  <si>
    <t>Avantage fiscal C/F, année en cours + 4</t>
  </si>
  <si>
    <t>税收利益结转，五年后</t>
  </si>
  <si>
    <t>稅收利益結轉，五年後</t>
  </si>
  <si>
    <t>Avantage fiscal C/F, après cinq ans</t>
  </si>
  <si>
    <t>税收优惠结转，无过期</t>
  </si>
  <si>
    <t>稅收優惠結轉，無過期</t>
  </si>
  <si>
    <t>Avantage fiscal C/F, sans date d'expiration</t>
  </si>
  <si>
    <t>总税收利益结转</t>
  </si>
  <si>
    <t>總稅收利益結轉</t>
  </si>
  <si>
    <t>Total de l'avantage fiscal C/F</t>
  </si>
  <si>
    <t>税收利益结转的最高年份</t>
  </si>
  <si>
    <t>稅收利益結轉的最高年份</t>
  </si>
  <si>
    <t>Année Maximum pour l'avantage fiscal C/F</t>
  </si>
  <si>
    <t>通过FIN 48相关项目</t>
  </si>
  <si>
    <t>通過FIN 48相關項目</t>
  </si>
  <si>
    <t>Adoption des points liés à FIN 48</t>
  </si>
  <si>
    <t>FIN 48对流动资产的交易影响</t>
  </si>
  <si>
    <t>FIN 48對流動資產的交易影響</t>
  </si>
  <si>
    <t>Impact de la transaction FIN 48 sur l'actif circulant</t>
  </si>
  <si>
    <t>FIN 48对长期资产的交易影响</t>
  </si>
  <si>
    <t>FIN 48對長期資產的交易影響</t>
  </si>
  <si>
    <t>Impact de la transaction FIN 48 sur les actifs à long terme</t>
  </si>
  <si>
    <t>FIN 48对流动负债的交易影响</t>
  </si>
  <si>
    <t>FIN 48對流動負債的交易影響</t>
  </si>
  <si>
    <t>Impact de la transaction FIN 48 sur les passifs courants</t>
  </si>
  <si>
    <t>FIN 48对非流动负债的交易影响</t>
  </si>
  <si>
    <t>FIN 48對非流動負債的交易影響</t>
  </si>
  <si>
    <t>Impact de la transaction FIN 48 sur les passifs non courants</t>
  </si>
  <si>
    <t>交易FIN 48对保留收益的影响</t>
  </si>
  <si>
    <t>交易FIN 48對保留收益的影響</t>
  </si>
  <si>
    <t>Impact de la transaction FIN 48 sur les bénéfices non distribués</t>
  </si>
  <si>
    <t>期初未确认的税收优惠</t>
  </si>
  <si>
    <t>期初未確認的稅收優惠</t>
  </si>
  <si>
    <t>Avantages fiscaux Non comptabilisé, début de la période</t>
  </si>
  <si>
    <t>根据税收状况的增加-本年度</t>
  </si>
  <si>
    <t>根據稅收狀況的增加-本年度</t>
  </si>
  <si>
    <t>Ajouts basés sur les postes fiscaux - année en cours</t>
  </si>
  <si>
    <t>基于税收状况的减少-本年度</t>
  </si>
  <si>
    <t>基於稅收狀況的減少-本年度</t>
  </si>
  <si>
    <t>Réductions basées sur les positions fiscales - année en cours</t>
  </si>
  <si>
    <t>新增税务状况-往年</t>
  </si>
  <si>
    <t>新增稅務狀況-往年</t>
  </si>
  <si>
    <t>Ajouts pour les positions fiscales - Années précédentes</t>
  </si>
  <si>
    <t>减少税务状况-往年</t>
  </si>
  <si>
    <t>減少稅務狀況-往年</t>
  </si>
  <si>
    <t>Réductions pour les postes fiscaux - Années antérieures</t>
  </si>
  <si>
    <t>純営業欠損金繰越の最大年</t>
  </si>
  <si>
    <t>Максимальный годовой перенос чистых операционных убытков (NOL C / F)</t>
  </si>
  <si>
    <t>Año Máximo para Pérdidas operativas netas arrastradas (NOL C / F)</t>
  </si>
  <si>
    <t>資本損失、今年</t>
  </si>
  <si>
    <t>Убыток капитала C/F, текущий год</t>
  </si>
  <si>
    <t>Pérdida de capital C/F, año en curso</t>
  </si>
  <si>
    <t>資本損失、今年+1</t>
  </si>
  <si>
    <t>Убыток капитала C/F, текущий год + 1</t>
  </si>
  <si>
    <t>Pérdida de capital C/F, año en curso + 1</t>
  </si>
  <si>
    <t>資本損失、今年+2</t>
  </si>
  <si>
    <t>Убыток капитала C/F, текущий год + 2</t>
  </si>
  <si>
    <t>Pérdida de capital C/F, año en curso + 2</t>
  </si>
  <si>
    <t>資本損失、今年+3</t>
  </si>
  <si>
    <t>Убыток капитала C/F, текущий год + 3</t>
  </si>
  <si>
    <t>Pérdida de capital C/F, año en curso + 3</t>
  </si>
  <si>
    <t>資本損失、今年+4</t>
  </si>
  <si>
    <t>Убыток капитала C/F, текущий год + 4</t>
  </si>
  <si>
    <t>Pérdida de capital C/F, año en curso + 4</t>
  </si>
  <si>
    <t>資本損失、5年間後</t>
  </si>
  <si>
    <t>Потеря капитала C/F, через пять лет</t>
  </si>
  <si>
    <t>Pérdida de capital C/F, después de cinco años</t>
  </si>
  <si>
    <t>資本損失、期限なし</t>
  </si>
  <si>
    <t>Убыток капитала C/F, без срока погашения</t>
  </si>
  <si>
    <t>Pérdida de capital C/F, sin vencimiento</t>
  </si>
  <si>
    <t>資本損失総額</t>
  </si>
  <si>
    <t>Общий убыток капитала C/F</t>
  </si>
  <si>
    <t>Pérdida total de capital C/F</t>
  </si>
  <si>
    <t>資本損失の最大年</t>
  </si>
  <si>
    <t>Год Максимальных потерь капитала C/F</t>
  </si>
  <si>
    <t>Año Máximo para la pérdida de capital C/F</t>
  </si>
  <si>
    <t>税制優遇、今年</t>
  </si>
  <si>
    <t>C/F налоговая льгота, текущий год</t>
  </si>
  <si>
    <t>Beneficio fiscal C/F, año en curso</t>
  </si>
  <si>
    <t>税制優遇、今年+1</t>
  </si>
  <si>
    <t>C/F налоговая льгота, текущий год + 1</t>
  </si>
  <si>
    <t>Beneficio fiscal C/F, año en curso + 1</t>
  </si>
  <si>
    <t>税制優遇、今年+2</t>
  </si>
  <si>
    <t>C/F налоговая льгота, текущий год + 2</t>
  </si>
  <si>
    <t>Beneficio fiscal C/F, año en curso + 2</t>
  </si>
  <si>
    <t>税制優遇、今年+3</t>
  </si>
  <si>
    <t>C/F налоговая льгота, текущий год + 3</t>
  </si>
  <si>
    <t>Beneficio fiscal C/F, año en curso + 3</t>
  </si>
  <si>
    <t>税制優遇、今年+4</t>
  </si>
  <si>
    <t>C/F налоговая льгота, текущий год + 4</t>
  </si>
  <si>
    <t>Beneficio fiscal C/F, año en curso + 4</t>
  </si>
  <si>
    <t>税制優遇、5年間後</t>
  </si>
  <si>
    <t>C/F налоговая льгота, через пять лет</t>
  </si>
  <si>
    <t>Beneficio fiscal C/F, después de cinco años</t>
  </si>
  <si>
    <t>税制優遇、期限なし</t>
  </si>
  <si>
    <t>C/F налоговая льгота, нет срока годности</t>
  </si>
  <si>
    <t>Beneficio fiscal C/F, sin vencimiento</t>
  </si>
  <si>
    <t>税制優遇総額</t>
  </si>
  <si>
    <t>Общая налоговая выгода C/F</t>
  </si>
  <si>
    <t>Beneficio fiscal total C/F</t>
  </si>
  <si>
    <t>税制優遇の最大年</t>
  </si>
  <si>
    <t>Год максимального размера налоговой льготы C/F</t>
  </si>
  <si>
    <t>Año Máximo para el beneficio fiscal C/F</t>
  </si>
  <si>
    <t>FIN 48関連アイテムの採用</t>
  </si>
  <si>
    <t>Утверждение пунктов, относящихся к стандарту FIN 48</t>
  </si>
  <si>
    <t>Adopción de los artículos relacionados con la FIN 48</t>
  </si>
  <si>
    <t>流動資産に与えるFIN 48 の取引影響</t>
  </si>
  <si>
    <t>Влияние операции по FIN 48 на оборотные активы</t>
  </si>
  <si>
    <t>Impacto De La Transacción de FIN 48 en los activos corrientes</t>
  </si>
  <si>
    <t>固定資産に与えるFIN 48 の取引影響</t>
  </si>
  <si>
    <t>Влияние операции по FIN 48 на долгосрочные активы</t>
  </si>
  <si>
    <t>Impacto De La Transacción de FIN 48 en los activos a largo plazo</t>
  </si>
  <si>
    <t>流動負債に与えるFIN 48 の取引影響</t>
  </si>
  <si>
    <t>Влияние операции по FIN 48 на текущие обязательства</t>
  </si>
  <si>
    <t>Impacto De La Transacción de FIN 48 en el pasivo corriente</t>
  </si>
  <si>
    <t>固定負債に与えるFIN 48 の取引影響</t>
  </si>
  <si>
    <t>Влияние операции по FIN 48 на долгосрочные обязательства</t>
  </si>
  <si>
    <t>Impacto De La Transacción de FIN 48 en el pasivo no corriente</t>
  </si>
  <si>
    <t>留保利益に与えるFIN 48 の取引影響</t>
  </si>
  <si>
    <t>Влияние операции по FIN 48 на нераспределенную прибыль</t>
  </si>
  <si>
    <t>Impacto De La Transacción de FIN 48 en las ganancias retenidas</t>
  </si>
  <si>
    <t>未認識税務ベネフィット、初期</t>
  </si>
  <si>
    <t>Неучтенные налоговые льготы, начало периода</t>
  </si>
  <si>
    <t>Beneficios fiscales No reconocidos, comienzo del período</t>
  </si>
  <si>
    <t>税務ポジションに基づく増加、今年</t>
  </si>
  <si>
    <t>Поправки по статьям налога - текущий год</t>
  </si>
  <si>
    <t>Adiciones basadas en posiciones de impuestos - Año actual</t>
  </si>
  <si>
    <t>税務ポジションに基づく削減、今年</t>
  </si>
  <si>
    <t>Снижения на основе налоговых позиций - текущий год</t>
  </si>
  <si>
    <t>Reducciones Basadas en Posiciones Fiscales - Año Actual</t>
  </si>
  <si>
    <t>税務ポジションに基づく増加、前年</t>
  </si>
  <si>
    <t>Поправки на налоговые позиции - Предыдущие годы</t>
  </si>
  <si>
    <t>Adiciones para  Posiciones Fiscales - años anteriores</t>
  </si>
  <si>
    <t>税務ポジションに基づく削減、前年</t>
  </si>
  <si>
    <t>Снижения по статьям налога - Предыдущие годы</t>
  </si>
  <si>
    <t>Reducciones para para  Posiciones Fiscales - años anteriores</t>
  </si>
  <si>
    <t>Max. Jahre für NOL C/F</t>
  </si>
  <si>
    <t>Max. anno per riporto perdite operativo netto</t>
  </si>
  <si>
    <t>Kapitalverlust C/F, laufendes Jahr</t>
  </si>
  <si>
    <t>Riporto perdite capitale, anno corrente</t>
  </si>
  <si>
    <t>Kapitalverlust C/F, laufendes Jahr + 1</t>
  </si>
  <si>
    <t>Riporto perdite capitale, anno corrente + 1</t>
  </si>
  <si>
    <t>Kapitalverlust C/F, laufendes Jahr + 2</t>
  </si>
  <si>
    <t>Riporto perdite capitale, anno corrente + 2</t>
  </si>
  <si>
    <t>Kapitalverlust C/F, laufendes Jahr + 3</t>
  </si>
  <si>
    <t>Riporto perdite capitale, anno corrente + 3</t>
  </si>
  <si>
    <t>Kapitalverlust C/F, laufendes Jahr + 4</t>
  </si>
  <si>
    <t>Riporto perdite capitale, anno corrente + 4</t>
  </si>
  <si>
    <t>Kapitalverlust C/F, nach fünf Jahren</t>
  </si>
  <si>
    <t>Riporto perdite capitale, dopo cinque anni</t>
  </si>
  <si>
    <t>Kapitalverlust C/F, unendlich</t>
  </si>
  <si>
    <t>Riporto perdite capitale, senza scadenza</t>
  </si>
  <si>
    <t>Summe Kapitalverlust C/F</t>
  </si>
  <si>
    <t>Totale riporto perdite capitale</t>
  </si>
  <si>
    <t>Max. Jahre für Kapitalverlust C/F</t>
  </si>
  <si>
    <t>Max. anno per riporto perdite capitale</t>
  </si>
  <si>
    <t>Steuergutschrift C/F, laufendes Jahr</t>
  </si>
  <si>
    <t>Riporto benefici fiscali, anno corrente</t>
  </si>
  <si>
    <t>Steuergutschrift C/F, laufendes Jahr + 1</t>
  </si>
  <si>
    <t>Riporto benefici fiscali, anno corrente + 1</t>
  </si>
  <si>
    <t>Steuergutschrift C/F, laufendes Jahr + 2</t>
  </si>
  <si>
    <t>Riporto benefici fiscali, anno corrente + 2</t>
  </si>
  <si>
    <t>Steuergutschrift C/F, laufendes Jahr + 3</t>
  </si>
  <si>
    <t>Riporto benefici fiscali, anno corrente + 3</t>
  </si>
  <si>
    <t>Steuergutschrift C/F, laufendes Jahr + 4</t>
  </si>
  <si>
    <t>Riporto benefici fiscali, anno corrente + 4</t>
  </si>
  <si>
    <t>Steuergutschrift C/F, nach fünf Jahren</t>
  </si>
  <si>
    <t>Riporto benefici fiscali, dopo cinque anni</t>
  </si>
  <si>
    <t>Steuergutschrift C/F, unendlich</t>
  </si>
  <si>
    <t>Riporto benefici fiscali, senza scadenza</t>
  </si>
  <si>
    <t>Summe Steuergutschrift C/F</t>
  </si>
  <si>
    <t>Totale riporto benefici fiscali</t>
  </si>
  <si>
    <t>Max. Jahre für Steuergutschrift C/F</t>
  </si>
  <si>
    <t>Max. anno per riporto benefici fiscali</t>
  </si>
  <si>
    <t>Übernahme der mit FIN 48 verbundenen Posten</t>
  </si>
  <si>
    <t>Adozione di voci relative a FIN 48</t>
  </si>
  <si>
    <t>Trans. Auswirkungen von FIN 48 auf das Umlaufvermögen</t>
  </si>
  <si>
    <t>Impatto trans. FIN 48 su attività correnti</t>
  </si>
  <si>
    <t>Trans. Auswirkungen von FIN 48 auf langfristige Vermögenswerte</t>
  </si>
  <si>
    <t>Impatto trans. FIN 48 su attività a lungo termine</t>
  </si>
  <si>
    <t>Trans. Auswirkungen von FIN 48 auf kurzfristige Verbindlichkeiten</t>
  </si>
  <si>
    <t>Impatto trans. FIN 48 su passività correnti</t>
  </si>
  <si>
    <t>Trans. Auswirkungen von FIN 48 auf nicht kurzfristige Verbindlichkeiten</t>
  </si>
  <si>
    <t>Impatto trans. FIN 48 su passività non correnti</t>
  </si>
  <si>
    <t>Trans. Auswirkungen von FIN 48 auf die einbehaltene Gewinne</t>
  </si>
  <si>
    <t>Impatto trans. FIN 48 su utili non distribuiti</t>
  </si>
  <si>
    <t>Nicht aktivierte Steuergutschriften, Periodenanfang</t>
  </si>
  <si>
    <t>Benefici fiscali non ric., inizio periodo</t>
  </si>
  <si>
    <t>Zugänge aufgrund von Steuerpositionen – laufendes Jahr.</t>
  </si>
  <si>
    <t>Aggiunte basate su posizioni fiscali - Anno corrente</t>
  </si>
  <si>
    <t>Abgänge aufgrund von Steuerpositionen – laufendes Jahr</t>
  </si>
  <si>
    <t>Riduzioni basate su posizioni fiscali - Anno corrente</t>
  </si>
  <si>
    <t>Zugänge für Steuerpositionen – Vorjahre</t>
  </si>
  <si>
    <t>Aggiunte per posizioni fiscali - Anni precedenti</t>
  </si>
  <si>
    <t>Abgänge für Steuerpositionen – Vorjahre</t>
  </si>
  <si>
    <t>Riduzioni per posizioni fiscali - Anni precedenti</t>
  </si>
  <si>
    <t>NOL C/F 최대 연도</t>
  </si>
  <si>
    <t>자본 손실 C/F, 금년도</t>
  </si>
  <si>
    <t>자본 손실 C/F, 금년도 + 1</t>
  </si>
  <si>
    <t>자본 손실 C/F, 금년도 + 2</t>
  </si>
  <si>
    <t>자본 손실 C/F, 금년도 + 3</t>
  </si>
  <si>
    <t>자본 손실 C/F, 금년도 + 4</t>
  </si>
  <si>
    <t>자본 손실 C/F, 5년 후</t>
  </si>
  <si>
    <t>자본 손실 C/F, 만기 없음</t>
  </si>
  <si>
    <t>총 자본 손실 C/F</t>
  </si>
  <si>
    <t>자본 손실 C/F 최대 연도</t>
  </si>
  <si>
    <t>세제혜택 C/F, 금년도</t>
  </si>
  <si>
    <t>세제혜택 C/F, 금년도 + 1</t>
  </si>
  <si>
    <t>세제혜택 C/F, 금년도 + 2</t>
  </si>
  <si>
    <t>세제혜택 C/F, 금년도 + 3</t>
  </si>
  <si>
    <t>세제혜택 C/F, 금년도 + 4</t>
  </si>
  <si>
    <t>세제혜택 C/F, 5년 후</t>
  </si>
  <si>
    <t>세제혜택 C/F, 만기 없음</t>
  </si>
  <si>
    <t>총 세제혜택 C/F</t>
  </si>
  <si>
    <t>세제혜택 C/F 최대 연도</t>
  </si>
  <si>
    <t>FIN 48 채택 관련 항목</t>
  </si>
  <si>
    <t>유동 자산에 미치는 FIN 48의 거래 영향</t>
  </si>
  <si>
    <t>장기 자산에 미치는 FIN 48의 거래 영향</t>
  </si>
  <si>
    <t>유동 부채에 미치는 FIN 48의 거래 영향</t>
  </si>
  <si>
    <t>비유동 부채에 미치는 FIN 48의 거래 영향</t>
  </si>
  <si>
    <t>사내유보에 미치는 FIN 48의 거래 영향</t>
  </si>
  <si>
    <t>인식되지 않은 세제혜택, 기간 시작</t>
  </si>
  <si>
    <t>세무입장 기준 추가사항 - 금년도</t>
  </si>
  <si>
    <t>세무입장 기준 감소사항 - 금년도</t>
  </si>
  <si>
    <t>세무입장의 추가사항 - 이전 연도</t>
  </si>
  <si>
    <t>세무입장의 감소사항 - 이전 연도</t>
  </si>
  <si>
    <t>与税务机关的和解</t>
  </si>
  <si>
    <t>與稅務機關的和解</t>
  </si>
  <si>
    <t>Règlements avec les autorités fiscales</t>
  </si>
  <si>
    <t>时效法规的失效</t>
  </si>
  <si>
    <t>時效法規的失效</t>
  </si>
  <si>
    <t>Déchéance de la prescription</t>
  </si>
  <si>
    <t>无法确认的税收优惠-其他调整</t>
  </si>
  <si>
    <t>無法確認的稅收優惠-其他調整</t>
  </si>
  <si>
    <t>Avantages fiscaux non reconnus - Autres ajustements</t>
  </si>
  <si>
    <t>期末未确认的税收优惠</t>
  </si>
  <si>
    <t>期末未確認的稅收優惠</t>
  </si>
  <si>
    <t>Avantages fiscaux non reconnus, fin de la période</t>
  </si>
  <si>
    <t>帐户代码-利息和罚款</t>
  </si>
  <si>
    <t>帳戶代碼-利息和罰款</t>
  </si>
  <si>
    <t>Code de compte - Intérêts et pénalités</t>
  </si>
  <si>
    <t>损益表中确认的利息和罚款-税前</t>
  </si>
  <si>
    <t>損益表中確認的利息和罰款-稅前</t>
  </si>
  <si>
    <t>Intérêts et pénalités comptabilisés dans les états des résultats - avant impôt</t>
  </si>
  <si>
    <t>损益表中确认的利息和罚款-税后</t>
  </si>
  <si>
    <t>損益表中確認的利息和罰款-稅後</t>
  </si>
  <si>
    <t>Intérêts et pénalités comptabilisés dans l'état des résultats - après impôt</t>
  </si>
  <si>
    <t>资产负债表上确认的利息和罚款-税前</t>
  </si>
  <si>
    <t>資產負債表上確認的利息和罰款-稅前</t>
  </si>
  <si>
    <t>Intérêts et pénalités comptabilisés au bilan - avant impôt</t>
  </si>
  <si>
    <t>资产负债表上确认的利息和罚款-税后</t>
  </si>
  <si>
    <t>資產負債表上確認的利息和罰款-稅後</t>
  </si>
  <si>
    <t>Intérêts et pénalités comptabilisés au bilan - après impôt</t>
  </si>
  <si>
    <t>报告日期后一年内未确认税收优惠的变化-最小值</t>
  </si>
  <si>
    <t>報告日期後一年內未確認稅收優惠的變化-最小值</t>
  </si>
  <si>
    <t>Modifications de l'avantage fiscal non comptabilisé dans l'année suivant la date de la déclaration - Min</t>
  </si>
  <si>
    <t>报告日期后一年内未确认税收优惠的变化-最大值</t>
  </si>
  <si>
    <t>報告日期後一年內未確認稅收優惠的變化-最大值</t>
  </si>
  <si>
    <t>Modifications de l'avantage fiscal non comptabilisé dans l'année suivant la date de la déclaration - Max</t>
  </si>
  <si>
    <t>未确认的税收优惠对有效税率的影响</t>
  </si>
  <si>
    <t>未確認的稅收優惠對有效稅率的影響</t>
  </si>
  <si>
    <t>Impact de l'avantage fiscal non comptabilisé sur le taux d'imposition effectif</t>
  </si>
  <si>
    <t>税務当局間の解決</t>
  </si>
  <si>
    <t>Расчеты с налоговыми органами</t>
  </si>
  <si>
    <t>Asentamientos con las autoridades fiscales</t>
  </si>
  <si>
    <t>出訴期限法の経過</t>
  </si>
  <si>
    <t>Ликвидация срока давности</t>
  </si>
  <si>
    <t>Lapso del Estatuto de Limitaciones</t>
  </si>
  <si>
    <t>未認識税務ベネフィット - その他の修正</t>
  </si>
  <si>
    <t>Непризнанные налоговые льготы - Прочие корректировки</t>
  </si>
  <si>
    <t>Beneficios fiscales no reconocidos - Otros ajustes</t>
  </si>
  <si>
    <t>未認識税務ベネフィット、終期</t>
  </si>
  <si>
    <t>Непризнанные налоговые льготы, конец периода</t>
  </si>
  <si>
    <t>Beneficios fiscales no reconocidos, fin del período</t>
  </si>
  <si>
    <t>勘定コード - 利息および罰金</t>
  </si>
  <si>
    <t>Код счета - Проценты и штрафы</t>
  </si>
  <si>
    <t>Código de cuenta - Intereses y multas</t>
  </si>
  <si>
    <t>損益計算書で認識された罰金および利息 - 税引前</t>
  </si>
  <si>
    <t>Проценты и штрафы, отраженные в отчете о прибылях и убытках - до налогообложения</t>
  </si>
  <si>
    <t>Intereses y multas reconocidos en el estado de resultados - antes de impuestos</t>
  </si>
  <si>
    <t>損益計算書で認識された罰金および利息 - 税引後</t>
  </si>
  <si>
    <t>Проценты и штрафы, отраженные в отчете о прибылях и убытках - за вычетом налогов</t>
  </si>
  <si>
    <t>Intereses y multas reconocidos en el estado de resultados - Después de impuestos</t>
  </si>
  <si>
    <t>貸借対照表で認識された罰金および利息 - 税引前</t>
  </si>
  <si>
    <t>Проценты и штрафы, отраженные в бухгалтерском балансе - до вычета налогов</t>
  </si>
  <si>
    <t>Intereses y multas reconocidos en la hoja de Balace - Antes de impuestos</t>
  </si>
  <si>
    <t>貸借対照表で認識された罰金および利息 - 税引後</t>
  </si>
  <si>
    <t>Проценты и штрафы, отраженные в бухгалтерском балансе - после уплаты налогов</t>
  </si>
  <si>
    <t>Intereses y multas reconocidos en la hoja de Balace - Después de impuestos</t>
  </si>
  <si>
    <t>報告日付の年以内の未認識税務ベネフィット増減 - 最小限</t>
  </si>
  <si>
    <t>Изменения в непризнанной налоговой льготе в течение года, следующего за датой возврата - Мин.</t>
  </si>
  <si>
    <t>Cambios en el beneficio fiscal no reconocido dentro del año del representante. Fecha - Min</t>
  </si>
  <si>
    <t>報告日付の年以内の未認識税務ベネフィット増減 - 最大限</t>
  </si>
  <si>
    <t>Изменения в непризнанной налоговой льготе в течение года, следующего за датой возврата - Макс.</t>
  </si>
  <si>
    <t>Cambios en el beneficio fiscal no reconocido dentro del año del representante. Fecha - Max</t>
  </si>
  <si>
    <t>実効税率に未認識税務ベネフィットの影響</t>
  </si>
  <si>
    <t>Влияние непризнанной налоговой выгоды на эффективную ставку налога</t>
  </si>
  <si>
    <t>Impacto del beneficio fiscal no reconocido en la tasa impositiva efectiva</t>
  </si>
  <si>
    <t>Vergleiche mit Steuerbehörden</t>
  </si>
  <si>
    <t>Accordi con le autorità fiscali</t>
  </si>
  <si>
    <t>Ablauf von Verjährungsfristen</t>
  </si>
  <si>
    <t>Scadenza del periodo di prescrizione</t>
  </si>
  <si>
    <t>Nicht aktivierte Steuergutschriften – Andere Anpassungen</t>
  </si>
  <si>
    <t>Benefici fiscali non ric. - Altre rett.</t>
  </si>
  <si>
    <t>Nicht aktivierte Steuergutschriften, Periodenende</t>
  </si>
  <si>
    <t>Benefici fiscali non ric., fine periodo</t>
  </si>
  <si>
    <t>Kontencode – Zinsen und Strafen</t>
  </si>
  <si>
    <t>Codice conto - Interesse e penali</t>
  </si>
  <si>
    <t>Zinsen und Strafen Aktivierung in GuV – vor Steuern</t>
  </si>
  <si>
    <t>Interesse e penali riconosciuti IS - Al lordo delle imposte</t>
  </si>
  <si>
    <t>Zinsen und Strafen Aktivierung in GuV – nach Steuern</t>
  </si>
  <si>
    <t>Interesse e penali riconosciuti IS - Al netto delle imposte</t>
  </si>
  <si>
    <t>Zinsen und Strafen Aktivierung in Bilanz – vor Steuern</t>
  </si>
  <si>
    <t>Interesse e penali riconosciuti BS - Al lordo delle imposte</t>
  </si>
  <si>
    <t>Zinsen und Strafen Aktivierung in Bilanz – nach Steuern</t>
  </si>
  <si>
    <t>Interesse e penali riconosciuti BS - Al netto delle imposte</t>
  </si>
  <si>
    <t>Veränderung der nicht aktivierten Steuergutschriften innerhalb eines Jahres nach dem Datum der Erklärung – Min</t>
  </si>
  <si>
    <t>Variazioni nei benefici fiscali non ric. entro un anno dalla data di rep. - Min</t>
  </si>
  <si>
    <t>Veränderung der nicht aktivierten Steuergutschriften innerhalb eines Jahres nach dem Datum der Erklärung – Max</t>
  </si>
  <si>
    <t>Variazioni nei benefici fiscali non ric. entro un anno dalla data di rep. - Max</t>
  </si>
  <si>
    <t>Auswirkungen von nicht aktivierten Steuergutschriften auf den effektiven Steuersatz</t>
  </si>
  <si>
    <t>Impatto dei benefici fiscali non ric. sul tasso di imposta effettivo</t>
  </si>
  <si>
    <t>세무 당국과 결산</t>
  </si>
  <si>
    <t>소멸시효 경과</t>
  </si>
  <si>
    <t>인식되지 않은 세제혜택 - 기타 조정</t>
  </si>
  <si>
    <t>인식되지 않은 세제혜택, 기간 끝</t>
  </si>
  <si>
    <t>계정부호 - 이자 및 벌과금</t>
  </si>
  <si>
    <t>IS에서 인식된 이자 및 벌과금 - 세전</t>
  </si>
  <si>
    <t>IS에서 인식된 이자 및 벌과금 - 세후</t>
  </si>
  <si>
    <t>BS에서 인식된 이자 및 벌과금 - 세전</t>
  </si>
  <si>
    <t>BS에서 인식된 이자 및 벌과금 - 세후</t>
  </si>
  <si>
    <t>대표 날짜의 연도 내 인식되지 않은 세제혜택 변경 - 최소</t>
  </si>
  <si>
    <t>대표 날짜의 연도 내 인식되지 않은 세제혜택 변경 - 최대</t>
  </si>
  <si>
    <t>유효 세율에 인식되지 않은 세제혜택이 미치는 영향</t>
  </si>
  <si>
    <t>长期有价证券</t>
  </si>
  <si>
    <t>長期有價證券</t>
  </si>
  <si>
    <t>Titres négociables à long terme</t>
  </si>
  <si>
    <t>耗材预付款</t>
  </si>
  <si>
    <t>耗材預付款</t>
  </si>
  <si>
    <t>Avances pour fournitures</t>
  </si>
  <si>
    <t>商誉和无形资产（净额）</t>
  </si>
  <si>
    <t>商譽和無形資產（淨額）</t>
  </si>
  <si>
    <t>Bonne volonté et actifs incorporels (net)</t>
  </si>
  <si>
    <t>商誉（净额）</t>
  </si>
  <si>
    <t>商譽（淨額）</t>
  </si>
  <si>
    <t>Bonne volonté (Net)</t>
  </si>
  <si>
    <t>无形资产（净额）</t>
  </si>
  <si>
    <t>無形資產（淨額）</t>
  </si>
  <si>
    <t>Actifs incorporels (Net)</t>
  </si>
  <si>
    <t>公司间流动资产</t>
  </si>
  <si>
    <t>公司間流動資產</t>
  </si>
  <si>
    <t>Actifs courants interentreprises</t>
  </si>
  <si>
    <t>公司间非流动资产</t>
  </si>
  <si>
    <t>公司間非流動資產</t>
  </si>
  <si>
    <t>Actifs non courants interentreprises</t>
  </si>
  <si>
    <t>公司间流动负债</t>
  </si>
  <si>
    <t>公司間流動負債</t>
  </si>
  <si>
    <t>Passifs courants interentreprises</t>
  </si>
  <si>
    <t>公司间非流动负债</t>
  </si>
  <si>
    <t>公司間非流動負債</t>
  </si>
  <si>
    <t>Passifs non courants interentreprises</t>
  </si>
  <si>
    <t>审核公司名称</t>
  </si>
  <si>
    <t>審核公司名稱</t>
  </si>
  <si>
    <t>Nom de l'auditeur</t>
  </si>
  <si>
    <t>审计意见</t>
  </si>
  <si>
    <t>審計意見</t>
  </si>
  <si>
    <t>Opinion du vérificateur</t>
  </si>
  <si>
    <t>养老金</t>
  </si>
  <si>
    <t>養老金</t>
  </si>
  <si>
    <t>设定受益净定期费用</t>
  </si>
  <si>
    <t>設定受益淨定期費用</t>
  </si>
  <si>
    <t>Coût périodique net des prestations définies</t>
  </si>
  <si>
    <t>设定受益服务成本</t>
  </si>
  <si>
    <t>設定受益服務成本</t>
  </si>
  <si>
    <t>Coût des services à prestations définies</t>
  </si>
  <si>
    <t>设定受益利息成本</t>
  </si>
  <si>
    <t>設定受益利息成本</t>
  </si>
  <si>
    <t>Coût des intérêts des prestations définies</t>
  </si>
  <si>
    <t>设定受益资产收益率</t>
  </si>
  <si>
    <t>設定受益資產收益率</t>
  </si>
  <si>
    <t>Rendement des actifs à prestations définies</t>
  </si>
  <si>
    <t>设定受益其他成本</t>
  </si>
  <si>
    <t>設定受益其他成本</t>
  </si>
  <si>
    <t>Prestations définies Autres coûts</t>
  </si>
  <si>
    <t>设定受益总成本</t>
  </si>
  <si>
    <t>設定受益總成本</t>
  </si>
  <si>
    <t>Coût total des prestations définies</t>
  </si>
  <si>
    <t>补充计划设定受益总费用</t>
  </si>
  <si>
    <t>補充計劃設定受益總費用</t>
  </si>
  <si>
    <t>Coût total des régimes complémentaires à prestations définies</t>
  </si>
  <si>
    <t>确定提拨费用</t>
  </si>
  <si>
    <t>確定提撥費用</t>
  </si>
  <si>
    <t>Coût des contributions définies</t>
  </si>
  <si>
    <t>养老金总支出</t>
  </si>
  <si>
    <t>養老金總支出</t>
  </si>
  <si>
    <t>Total des dépenses de pension</t>
  </si>
  <si>
    <t>長期有価証券</t>
  </si>
  <si>
    <t>Долгосрочные рыночные ценные бумаги</t>
  </si>
  <si>
    <t>Valores negociables a largo plazo</t>
  </si>
  <si>
    <t>サプライのための進歩</t>
  </si>
  <si>
    <t>Авансы за поставку</t>
  </si>
  <si>
    <t>Anticipos de suministros</t>
  </si>
  <si>
    <t>のれんおよび無形資産（純額）</t>
  </si>
  <si>
    <t>Гудвилл и нематериальные активы (нетто)</t>
  </si>
  <si>
    <t>Bienes de Uso e intangibles (neto)</t>
  </si>
  <si>
    <t>のれん（ネット）</t>
  </si>
  <si>
    <t>Гудвилл (нетто)</t>
  </si>
  <si>
    <t>Bienes de Uso (neto)</t>
  </si>
  <si>
    <t>無形資産（純額）</t>
  </si>
  <si>
    <t>Нематериальные активы (нетто)</t>
  </si>
  <si>
    <t>Intangibles (Red)</t>
  </si>
  <si>
    <t>会社間流動資産</t>
  </si>
  <si>
    <t>Внутрифирменные текущие активы</t>
  </si>
  <si>
    <t>Activos corrientes interempresariales</t>
  </si>
  <si>
    <t>会社間非流動資産</t>
  </si>
  <si>
    <t>Внутрифирменные внеоборотные активы</t>
  </si>
  <si>
    <t>Activos no corrientes interempresariales</t>
  </si>
  <si>
    <t>会社間の流動負債</t>
  </si>
  <si>
    <t>Внутрифирменные текущие обязательства</t>
  </si>
  <si>
    <t>Pasivo corriente interempresariales</t>
  </si>
  <si>
    <t>会社間非流動負債</t>
  </si>
  <si>
    <t>Внутрифирменные внеоборотные обязательства</t>
  </si>
  <si>
    <t>Pasivo no corriente interempresariales</t>
  </si>
  <si>
    <t>監査役の名前</t>
  </si>
  <si>
    <t>Имя аудитора</t>
  </si>
  <si>
    <t>Nombre del auditor</t>
  </si>
  <si>
    <t>監査意見</t>
  </si>
  <si>
    <t>Аудиторское заключение</t>
  </si>
  <si>
    <t>Opinión del auditor</t>
  </si>
  <si>
    <t>年金</t>
  </si>
  <si>
    <t>Пенсия</t>
  </si>
  <si>
    <t>Pensión</t>
  </si>
  <si>
    <t>確定給付 - 純期間費用</t>
  </si>
  <si>
    <t>Установленное пособие Чистая периодическая стоимость</t>
  </si>
  <si>
    <t>Beneficio definido Costo periódico neto</t>
  </si>
  <si>
    <t>確定給付 - サービス費用</t>
  </si>
  <si>
    <t>Установленное пособие Стоимость обслуживания</t>
  </si>
  <si>
    <t>Beneficio Definido Costo del Servicio</t>
  </si>
  <si>
    <t>確定給付 - 利息費用</t>
  </si>
  <si>
    <t xml:space="preserve">Установленное пособие Проценты </t>
  </si>
  <si>
    <t>Beneficio Definido Costo de Interés</t>
  </si>
  <si>
    <t>確定給付 - 資産収益率</t>
  </si>
  <si>
    <t>Установленное пособие Рентабельность активов</t>
  </si>
  <si>
    <t>Beneficio Definido Retorno de los activos</t>
  </si>
  <si>
    <t>確定給付 - その他の費用</t>
  </si>
  <si>
    <t>Установленное пособие Другие расходы</t>
  </si>
  <si>
    <t>Beneficio Definido Otros costos</t>
  </si>
  <si>
    <t>確定給付 - 総費用</t>
  </si>
  <si>
    <t>Установленное пособие Итого Стоимость</t>
  </si>
  <si>
    <t>Beneficio Definido Costo total</t>
  </si>
  <si>
    <t>確定給付 - 補足的プランの総費用</t>
  </si>
  <si>
    <t>Установленное пособие Итого Стоимость дополнительных планов</t>
  </si>
  <si>
    <t>Beneficio Definido Costo total de los planes de suplementos</t>
  </si>
  <si>
    <t>確定拠出 - 総費用</t>
  </si>
  <si>
    <t>Расходы по установленным взносам</t>
  </si>
  <si>
    <t>Costo de la contribución Definido</t>
  </si>
  <si>
    <t>総年金費用</t>
  </si>
  <si>
    <t>Общие пенсионные расходы</t>
  </si>
  <si>
    <t>Gasto total en pensiones</t>
  </si>
  <si>
    <t>Langfristige marktgängige Wertpapiere</t>
  </si>
  <si>
    <t>Titoli negoziabili a lungo termine</t>
  </si>
  <si>
    <t>Vorschüsse für Lieferungen</t>
  </si>
  <si>
    <t>Anticipi per forniture</t>
  </si>
  <si>
    <t>Ideeller Unternehmenswert und Immaterialvermögen (netto)</t>
  </si>
  <si>
    <t>Avviamento e attività materiali (netto)</t>
  </si>
  <si>
    <t>Ideeller Unternehmenswert (netto)</t>
  </si>
  <si>
    <t>Avviamento (netto)</t>
  </si>
  <si>
    <t>Immaterialvermögen (netto)</t>
  </si>
  <si>
    <t>Attività immateriali (netto)</t>
  </si>
  <si>
    <t>Konzerninternes Umlaufvermögen</t>
  </si>
  <si>
    <t>Attività correnti infragruppo</t>
  </si>
  <si>
    <t>Konzerninternes Anlagevermögen</t>
  </si>
  <si>
    <t>Attività non correnti infragruppo</t>
  </si>
  <si>
    <t>Konzerninterne kurzfristige Verbindlichkeiten</t>
  </si>
  <si>
    <t>Passività correnti infragruppo</t>
  </si>
  <si>
    <t>Konzerninterne nicht kurzfristige Verbindlichkeiten</t>
  </si>
  <si>
    <t>Passività non correnti infragruppo</t>
  </si>
  <si>
    <t>Name des Rechnungsprüfers</t>
  </si>
  <si>
    <t>Nome del revisore</t>
  </si>
  <si>
    <t>Gutachten des Rechnungsprüfers</t>
  </si>
  <si>
    <t>Opinione del revisore</t>
  </si>
  <si>
    <t>Pensioni</t>
  </si>
  <si>
    <t>Netto-Periodenkosten im leistungsorientierten Pensionsprogramm</t>
  </si>
  <si>
    <t>Costo periodico netto benefici definiti</t>
  </si>
  <si>
    <t>Betriebskosten im leistungsorientierten Pensionsprogramm</t>
  </si>
  <si>
    <t>Costo servizi benefici def.</t>
  </si>
  <si>
    <t>Zinsaufwand im leistungsorientierten Pensionsprogramm</t>
  </si>
  <si>
    <t>Costo interessi benefici def.</t>
  </si>
  <si>
    <t>Vermögensrendite im leistungsorientierten Pensionsprogramm</t>
  </si>
  <si>
    <t>Rendimento delle attività benefici def.</t>
  </si>
  <si>
    <t>Sonstige Kosten im leistungsorientierten Pensionsprogramm</t>
  </si>
  <si>
    <t>Altri costi benefici def.</t>
  </si>
  <si>
    <t>Gesamtkosten im leistungsorientierten Pensionsprogramm</t>
  </si>
  <si>
    <t>Costo totale benefici def.</t>
  </si>
  <si>
    <t>Leistungsorientiertes Pensionsprogramm, Gesamtkosten für Zusatzpläne</t>
  </si>
  <si>
    <t>Costo totale piani flessibili benefici def.</t>
  </si>
  <si>
    <t>Beitragsorientiertes Pensionsprogramm, Kosten</t>
  </si>
  <si>
    <t>Costo contribuzione def.</t>
  </si>
  <si>
    <t>Summe der Pensionsaufwendungen</t>
  </si>
  <si>
    <t>Totale spese pensioni</t>
  </si>
  <si>
    <t>장기 유가증권</t>
  </si>
  <si>
    <t>공급품에 대한 선불</t>
  </si>
  <si>
    <t>영업권 및 무형자산(순)</t>
  </si>
  <si>
    <t>영업권(순)</t>
  </si>
  <si>
    <t>무형자산(순)</t>
  </si>
  <si>
    <t>회사 간 유동자산</t>
  </si>
  <si>
    <t>회사 간 비유동자산</t>
  </si>
  <si>
    <t>회사 간 유동채무</t>
  </si>
  <si>
    <t>회사 간 비유동채무</t>
  </si>
  <si>
    <t>감사인 이름</t>
  </si>
  <si>
    <t>감사인 의견</t>
  </si>
  <si>
    <t>연금</t>
  </si>
  <si>
    <t>확정급여형 연금 순 정기 비용</t>
  </si>
  <si>
    <t>확정급여형 연금 서비스 비용</t>
  </si>
  <si>
    <t>확정급여형 연금 이자 비용</t>
  </si>
  <si>
    <t>확정급여형 연금 자산 이익률</t>
  </si>
  <si>
    <t>확정급여형 연금 기타 비용</t>
  </si>
  <si>
    <t>확정급여형 연금 총 비용</t>
  </si>
  <si>
    <t>확정급여형 연금 총 부가 계획 비용</t>
  </si>
  <si>
    <t>확정기여형 연금 비용</t>
  </si>
  <si>
    <t>총 연금 비용</t>
  </si>
  <si>
    <t>设定受益义务</t>
  </si>
  <si>
    <t>設定受益義務</t>
  </si>
  <si>
    <t>Obligation de prestations définies</t>
  </si>
  <si>
    <t>期初设定受益义务</t>
  </si>
  <si>
    <t>期初設定受益義務</t>
  </si>
  <si>
    <t>Obligation initiale de prestations définies</t>
  </si>
  <si>
    <t>確定給付債務</t>
  </si>
  <si>
    <t>Обязательство по выплатам с установленными выплатами</t>
  </si>
  <si>
    <t>Obligación de prestaciones definidas</t>
  </si>
  <si>
    <t>年初確定給付債務</t>
  </si>
  <si>
    <t>Начальные обязательства по выплатам с установленными выплатами</t>
  </si>
  <si>
    <t>Obligación de prestaciones Definido</t>
  </si>
  <si>
    <t>Verpflichtung im leistungsorientierten Pensionsprogramm</t>
  </si>
  <si>
    <t>Obbligazioni benefici def.</t>
  </si>
  <si>
    <t>Anfängliche Verpflichtung im leistungsorientierten Pensionsprogramm</t>
  </si>
  <si>
    <t>Obbligazioni benefici def. iniz.</t>
  </si>
  <si>
    <t>확정급여형 연금 채무</t>
  </si>
  <si>
    <t>시작 확정급여형 연금 채무</t>
  </si>
  <si>
    <t>设定受益员工提存</t>
  </si>
  <si>
    <t>設定受益員工提存</t>
  </si>
  <si>
    <t>Cotisations des employés à prestations définies</t>
  </si>
  <si>
    <t>设定受益精算收益/亏损</t>
  </si>
  <si>
    <t>設定受益精算收益/虧損</t>
  </si>
  <si>
    <t>Gains/pertes actuariels à prestations définies</t>
  </si>
  <si>
    <t>已付设定受益</t>
  </si>
  <si>
    <t>已付設定受益</t>
  </si>
  <si>
    <t>Prestations définies versées</t>
  </si>
  <si>
    <t>Ajusté en fonction du taux de change</t>
  </si>
  <si>
    <t>子公司给付义务</t>
  </si>
  <si>
    <t>子公司給付義務</t>
  </si>
  <si>
    <t>Obligation de prestation acquise</t>
  </si>
  <si>
    <t>设定受益结算/削減</t>
  </si>
  <si>
    <t>設定受益結算/縮減</t>
  </si>
  <si>
    <t>Liquidation/réduction des prestations définies</t>
  </si>
  <si>
    <t>设定受益义务的其他调整</t>
  </si>
  <si>
    <t>設定受益義務的其他調整</t>
  </si>
  <si>
    <t>Autres ajustements à l'obligation de prestations définies</t>
  </si>
  <si>
    <t>预期结付义务</t>
  </si>
  <si>
    <t>預期結付義務</t>
  </si>
  <si>
    <t>Obligation de prestations projetées</t>
  </si>
  <si>
    <t>確定給付 - 従業員拠出</t>
  </si>
  <si>
    <t>Взносы сотрудников по установленным выплатам</t>
  </si>
  <si>
    <t>Def. Aportaciones de los empleados a las prestaciones</t>
  </si>
  <si>
    <t>確定給付 - 数理計算上の損益</t>
  </si>
  <si>
    <t>Актуарная прибыль/убытки по пенсионному плану с установленными выплатами</t>
  </si>
  <si>
    <t>Beneficio Definido Ganancias/Pérdidas actuariales</t>
  </si>
  <si>
    <t>確定給付支出</t>
  </si>
  <si>
    <t>Выплаченные фиксированные пособия</t>
  </si>
  <si>
    <t>Beneficios definidos pagados</t>
  </si>
  <si>
    <t>為替換算調整</t>
  </si>
  <si>
    <t>Скорректированный обменный курс</t>
  </si>
  <si>
    <t>Ajuste de Divisas</t>
  </si>
  <si>
    <t>取得給付 - 債務</t>
  </si>
  <si>
    <t>Обязательства по приобретенным пособиям</t>
  </si>
  <si>
    <t>Obligación de beneficios adqueridos</t>
  </si>
  <si>
    <t>確定給付 - 決済・削減</t>
  </si>
  <si>
    <t>Урегулирование/расхождение пенсионного плана с установленными выплатами</t>
  </si>
  <si>
    <t>Liquidación de beneficios Definidos / Reducción de beneficios</t>
  </si>
  <si>
    <t>確定給付 - その他の修正</t>
  </si>
  <si>
    <t>Прочее скорректированное до обязательства по пенсионному плану с установленными выплатами</t>
  </si>
  <si>
    <t>Otro ajuste a la definición de Obligación de prestaciones</t>
  </si>
  <si>
    <t>予測給付債務</t>
  </si>
  <si>
    <t>Обязательство по прогнозируемым выгодам</t>
  </si>
  <si>
    <t>Obligación de prestaciones Proyectados</t>
  </si>
  <si>
    <t>Mitarbeiterbeiträge im leistungsorientierten Pensionsprogramm</t>
  </si>
  <si>
    <t>Contribuzioni dipendenti benefici def.</t>
  </si>
  <si>
    <t>Versicherungsmathematischer Gewinn/Verlust im leistungsorientierten Pensionsprogramm</t>
  </si>
  <si>
    <t>Utili/Perdite attuariali benefici def.</t>
  </si>
  <si>
    <t>Leistungen aus dem leistungsorientierten Pensionsprogramm</t>
  </si>
  <si>
    <t>Benefici def. pagati</t>
  </si>
  <si>
    <t>Wechselkursanpassung</t>
  </si>
  <si>
    <t>Rettif. tasso di cambio</t>
  </si>
  <si>
    <t>Obbligo a benefici acq.</t>
  </si>
  <si>
    <t>Abwicklung/Kürzung im leistungsorientierten Pensionsprogramm</t>
  </si>
  <si>
    <t>Riduzione/Estensione benefici def.</t>
  </si>
  <si>
    <t>Andere Anpassungen im leistungsorientierten Pensionsprogramm</t>
  </si>
  <si>
    <t>Altre rett. all'obbligo a benefici def.</t>
  </si>
  <si>
    <t>Vorhergesagte Leistungsverpflichtung</t>
  </si>
  <si>
    <t>Obbligo a benefici prog.</t>
  </si>
  <si>
    <t>확정급여형 연금 직원 기여도</t>
  </si>
  <si>
    <t>확정급여형 연금 보험 계리사 이익/손실</t>
  </si>
  <si>
    <t>지불된 확정급여형 연금</t>
  </si>
  <si>
    <t>인수급여채무</t>
  </si>
  <si>
    <t>확정급여형 연금 결산/삭감</t>
  </si>
  <si>
    <t>기타 확정급여형 연금 채무 조절</t>
  </si>
  <si>
    <t>예측급여채무</t>
  </si>
  <si>
    <t>其他离职后福利</t>
  </si>
  <si>
    <t>其他離職後福利</t>
  </si>
  <si>
    <t>Autres bénéfices postérieurs à l'emploi (OPEB)</t>
  </si>
  <si>
    <t>设定受益预期资产收益率</t>
  </si>
  <si>
    <t>設定受益預期資產收益率</t>
  </si>
  <si>
    <t>Prestations définies - Rendement attendu des actifs</t>
  </si>
  <si>
    <t>Prestations définies Coût total</t>
  </si>
  <si>
    <t>其他离职后福利费用合计</t>
  </si>
  <si>
    <t>其他離職後福利費用合計</t>
  </si>
  <si>
    <t>Total des autres dépenses liées aux bénéfices post-emploi</t>
  </si>
  <si>
    <t>预计福利义务</t>
  </si>
  <si>
    <t>預計福利義務</t>
  </si>
  <si>
    <t>累积福利义务</t>
  </si>
  <si>
    <t>累積福利義務</t>
  </si>
  <si>
    <t>Obligation de prestations accumulées</t>
  </si>
  <si>
    <t>效益敏感性分析</t>
  </si>
  <si>
    <t>Analyse de sensibilité des avantages</t>
  </si>
  <si>
    <t>增加1％-对服务和利息成本的影响</t>
  </si>
  <si>
    <t>增加1％-對服務和利息成本的影響</t>
  </si>
  <si>
    <t>Augmentation de 1% - Effet sur le coût des services et des intérêts</t>
  </si>
  <si>
    <t>增加1％-对退休后福利义务的影响</t>
  </si>
  <si>
    <t>增加1％-對退休後福利義務的影響</t>
  </si>
  <si>
    <t>Augmentation de 1% - Effet sur l'obligation de prestations de retraite (PBO)</t>
  </si>
  <si>
    <t>减少1％-对服务和利息成本的影响</t>
  </si>
  <si>
    <t>減少1％-對服務和利息成本的影響</t>
  </si>
  <si>
    <t>Diminution de 1% - Effet sur le coût des services et des intérêts</t>
  </si>
  <si>
    <t>减少1％-对退休后福利义务的影响</t>
  </si>
  <si>
    <t>減少1％-對退休後福利義務的影響</t>
  </si>
  <si>
    <t>Diminution de 1% - Effet sur l'obligation de prestations de retraite (PBO)</t>
  </si>
  <si>
    <t>其他退休后福利相关项目</t>
  </si>
  <si>
    <t>其他退休後福利相關項目</t>
  </si>
  <si>
    <t>Autres éléments liés aux avantages postérieurs à la retraite</t>
  </si>
  <si>
    <t>初始医疗费用趋势率</t>
  </si>
  <si>
    <t>初始醫療費用趨勢率</t>
  </si>
  <si>
    <t>Taux d'évolution des coûts des soins de santé, initial</t>
  </si>
  <si>
    <t>最终医疗费用趋势率</t>
  </si>
  <si>
    <t>最終醫療費用趨勢率</t>
  </si>
  <si>
    <t>Taux d'évolution des coûts des soins de santé, ultime</t>
  </si>
  <si>
    <t>养老金-国内</t>
  </si>
  <si>
    <t>養老金-國內</t>
  </si>
  <si>
    <t>Pension - domestique</t>
  </si>
  <si>
    <t>その他の退職給付</t>
  </si>
  <si>
    <t>Другие пособия по окончании трудовой деятельности (OPEB)</t>
  </si>
  <si>
    <t>Otros beneficios post-empleo (OPEB)</t>
  </si>
  <si>
    <t>確定給付 - 資産の期待収益率</t>
  </si>
  <si>
    <t>Ожидаемая рентабельность активов по пенсионному плану с установленными выплатами</t>
  </si>
  <si>
    <t>Beneficio Definido Rendimiento esperado de los activos</t>
  </si>
  <si>
    <t>確定給付 - 給付総費用</t>
  </si>
  <si>
    <t>Суммарные затраты на выплату пособий с установленными выплатами</t>
  </si>
  <si>
    <t>Beneficio Definido Beneficio Costo total</t>
  </si>
  <si>
    <t>その他の退職給付総額</t>
  </si>
  <si>
    <t>Всего Прочие расходы на выплату пособий по окончании трудовой деятельности</t>
  </si>
  <si>
    <t>Gastos totales de Otros beneficios post-empleo (OPEB)</t>
  </si>
  <si>
    <t>Обязательство по прогнозируемым выплатам</t>
  </si>
  <si>
    <t>Obligación de beneficios proyectados</t>
  </si>
  <si>
    <t>累積給付債務</t>
  </si>
  <si>
    <t>Обязательство по выплатам накопленных пособий</t>
  </si>
  <si>
    <t>Obligación de beneficios acumulados</t>
  </si>
  <si>
    <t>メリット感度分析</t>
  </si>
  <si>
    <t>Анализ чувствительности к выплатам</t>
  </si>
  <si>
    <t>Beneficios Análisis de sensibilidad</t>
  </si>
  <si>
    <t>1％の増加 - サービス及び利息費用の影響</t>
  </si>
  <si>
    <t>Увеличение на 1% - Влияние на стоимость услуг и процентов</t>
  </si>
  <si>
    <t>Aumento del 1% - Efecto en el costo del servicio y los intereses</t>
  </si>
  <si>
    <t>1％の増加 - PBOへの影響</t>
  </si>
  <si>
    <t>1% увеличение - влияние на обязательства по выплатам после выхода на пенсию (PBO)</t>
  </si>
  <si>
    <t>Incremento del 1% - Efecto en la Obligación de beneficios posteriores a la jubilación (PBO)</t>
  </si>
  <si>
    <t>1％の減少 - サービス及び利息費用の影響</t>
  </si>
  <si>
    <t>1% Снижение - Влияние на стоимость услуг и процентов</t>
  </si>
  <si>
    <t>Disminución del 1% - Efecto en el costo del servicio y los intereses</t>
  </si>
  <si>
    <t>1％の減少 - PBOへの影響</t>
  </si>
  <si>
    <t>1% Сокращение - влияние на обязательства по выплатам после выхода на пенсию (PBO)</t>
  </si>
  <si>
    <t>Disminución del 1% - Efecto en la Obligación de beneficios posteriores a la jubilación (PBO)</t>
  </si>
  <si>
    <t>その他の退職後給付関連アイテム</t>
  </si>
  <si>
    <t>Другие статьи, связанные с выплатами после выхода на пенсию</t>
  </si>
  <si>
    <t>Otros artículos relacionados con las prestaciones posteriores a la jubilación</t>
  </si>
  <si>
    <t>ヘルスケアコストトレンドレート、初期</t>
  </si>
  <si>
    <t>Тенденция изменения стоимости медицинского обслуживания, начальное значение</t>
  </si>
  <si>
    <t>Tasa de tendencia del costo de la atención médica, inicial</t>
  </si>
  <si>
    <t>ヘルスケアコストトレンドレート、究極</t>
  </si>
  <si>
    <t>Тенденция изменения стоимости медицинского обслуживания, конечная цена</t>
  </si>
  <si>
    <t>Tasa de tendencia del costo de la atención médica, última</t>
  </si>
  <si>
    <t>年金 - 国内</t>
  </si>
  <si>
    <t>Пенсионный - Национальный</t>
  </si>
  <si>
    <t>Pensión - Doméstica</t>
  </si>
  <si>
    <t>OPEB (Altri benefici post-impiego)</t>
  </si>
  <si>
    <t>Erwartete Vermögensrendite im leistungsorientierten Pensionsprogramm</t>
  </si>
  <si>
    <t>Rendimento delle attività benefici def. atteso</t>
  </si>
  <si>
    <t>Summe der OPEB-Aufwendungen</t>
  </si>
  <si>
    <t>Totale spese OPEB</t>
  </si>
  <si>
    <t>Voraussichtliche Leistungsverpflichtung</t>
  </si>
  <si>
    <t>Obbligo a benefici programmato</t>
  </si>
  <si>
    <t>Akkumulierte Leistungsverpflichtung</t>
  </si>
  <si>
    <t>Obbligo a benefici accumulato</t>
  </si>
  <si>
    <t>Sensitivitätsanalyse für Leistungen</t>
  </si>
  <si>
    <t>Analisi sensibilità benefit</t>
  </si>
  <si>
    <t>Anstieg um 1 % – Auswirkungen auf Betriebs- und Zinskosten</t>
  </si>
  <si>
    <t>Aumento 1% - Effetto su costo interessi e servizio</t>
  </si>
  <si>
    <t>Anstieg um 1% – Auswirkungen auf PBO</t>
  </si>
  <si>
    <t>Aumento 1% - Effetto su PBO</t>
  </si>
  <si>
    <t>Rückgang um 1 % – Auswirkungen auf Betriebs- und Zinskosten</t>
  </si>
  <si>
    <t>Decremento 1% - Effetto su costo interessi e servizio</t>
  </si>
  <si>
    <t>Rückgang um 1% – Auswirkungen auf PBO</t>
  </si>
  <si>
    <t>Decremento 1% - Effetto su PBO</t>
  </si>
  <si>
    <t>Andere Posten im Zusammenhang mit Pensionsleistungen</t>
  </si>
  <si>
    <t>Altre voci relative ai benefici post-impiego</t>
  </si>
  <si>
    <t>Gesundheitskostentrend, anfänglich</t>
  </si>
  <si>
    <t>Tasso tendenza costo assistenza sanitaria, iniziale</t>
  </si>
  <si>
    <t>Gesundheitskostentrend, ultimativ</t>
  </si>
  <si>
    <t>Tasso tendenza costo assistenza sanitaria, definitivo</t>
  </si>
  <si>
    <t>Rente – Inland</t>
  </si>
  <si>
    <t>Pensioni - Nazionale</t>
  </si>
  <si>
    <t>확정급여형 연금 예상 자산 이익률</t>
  </si>
  <si>
    <t>확정급여형 연금 혜택 총 비용</t>
  </si>
  <si>
    <t>총 OPEB 비용</t>
  </si>
  <si>
    <t>누적급여채무</t>
  </si>
  <si>
    <t>혜택 민감도 분석</t>
  </si>
  <si>
    <t>1% 증가 - 서비스 및 이자 비용에 미치는 영향</t>
  </si>
  <si>
    <t>1% 증가 - PBO에 미치는 영향</t>
  </si>
  <si>
    <t>1% 감소 - 서비스 및 이자 비용에 미치는 영향</t>
  </si>
  <si>
    <t>1% 감소 - PBO에 미치는 영향</t>
  </si>
  <si>
    <t>기타 은퇴 후 혜택 관련 항목</t>
  </si>
  <si>
    <t>건강 관리 비용 추세 비율, 초기</t>
  </si>
  <si>
    <t>건강 관리 비용 추세 비율, 최종</t>
  </si>
  <si>
    <t>연금 - 국내</t>
  </si>
  <si>
    <t>资产回报率(%)</t>
  </si>
  <si>
    <t>資產回報率(%)</t>
  </si>
  <si>
    <t>Rendement des actifs (%)</t>
  </si>
  <si>
    <t>资本回报率(%)</t>
  </si>
  <si>
    <t>資本回報率(%)</t>
  </si>
  <si>
    <t>Rendement du capital (%)</t>
  </si>
  <si>
    <t>股本回报率(%)</t>
  </si>
  <si>
    <t>股本回報率(%)</t>
  </si>
  <si>
    <t>Rendement des capitaux propres (%)</t>
  </si>
  <si>
    <t>普通股本回报率(%)</t>
  </si>
  <si>
    <t>普通股本回報率(%)</t>
  </si>
  <si>
    <t>Rendement des actions ordinaires (%)</t>
  </si>
  <si>
    <t>総資産利益率(%)</t>
  </si>
  <si>
    <t>Рентабельность активов (%)</t>
  </si>
  <si>
    <t>Rentabilidad económica (%)</t>
  </si>
  <si>
    <t>投下資本利益率(%)</t>
  </si>
  <si>
    <t>Рентабельность капитала (%)</t>
  </si>
  <si>
    <t>Retorno sobre capital (%)</t>
  </si>
  <si>
    <t>純資産利益率 (%)</t>
  </si>
  <si>
    <t>Рентабельность собственного капитала (%)</t>
  </si>
  <si>
    <t>Rentabilidad financiera (%)</t>
  </si>
  <si>
    <t>株主資本利益率 (%)</t>
  </si>
  <si>
    <t>Доходность на обыкновенный капитал (%)</t>
  </si>
  <si>
    <t>Retorno sobre capital ordinario (%)</t>
  </si>
  <si>
    <t>Vermögensrendite (%)</t>
  </si>
  <si>
    <t>Rendimento delle attività (%)</t>
  </si>
  <si>
    <t>Kapitalrendite (%)</t>
  </si>
  <si>
    <t>Rendimento del capitale (%)</t>
  </si>
  <si>
    <t>Eigenkapitalrendite (%)</t>
  </si>
  <si>
    <t>Rendimento equity (%)</t>
  </si>
  <si>
    <t>Grundkapitalrendite (%)</t>
  </si>
  <si>
    <t>Rendimento del common equity (%)</t>
  </si>
  <si>
    <t>자산 이익률(%)</t>
  </si>
  <si>
    <t>자본이익률(%)</t>
  </si>
  <si>
    <t>자기자본이익률(%)</t>
  </si>
  <si>
    <t>总债务 / 权益 (%)</t>
  </si>
  <si>
    <t>總債務 / 權益 (%)</t>
  </si>
  <si>
    <t>Total des dettes / capitaux propres (%)</t>
  </si>
  <si>
    <t>总债务 / 资本 (%)</t>
  </si>
  <si>
    <t>總債務 / 資本 (%)</t>
  </si>
  <si>
    <t>Dette totale / Capital (%)</t>
  </si>
  <si>
    <t>长期债务 / 权益(%)</t>
  </si>
  <si>
    <t>長期債務 / 權益(%)</t>
  </si>
  <si>
    <t>Dette à long terme/capitaux propres (%)</t>
  </si>
  <si>
    <t>长期债务 / 资本(%)</t>
  </si>
  <si>
    <t>長期債務 / 資本(%)</t>
  </si>
  <si>
    <t>Dette à long terme/capital (%)</t>
  </si>
  <si>
    <t>有利子負債 / 純資産(%)</t>
  </si>
  <si>
    <t>Общий долг / Капитал (%)</t>
  </si>
  <si>
    <t>Deuda total / patrimonio (%)</t>
  </si>
  <si>
    <t>有利子負債 / 投下資本(%)</t>
  </si>
  <si>
    <t>Deuda total / capital (%)</t>
  </si>
  <si>
    <t>長期有利子負債(リース債務除く) / 純資産(%)</t>
  </si>
  <si>
    <t>Долгосрочный долг/капитал (%)</t>
  </si>
  <si>
    <t>Deuda a largo plazo / Patrimonio</t>
  </si>
  <si>
    <t>長期有利子負債(リース債務除く) / 投下資本(%)</t>
  </si>
  <si>
    <t>Deuda a largo plazo / Capital</t>
  </si>
  <si>
    <t>Gesamtverschuldung/Eigenkapital (%)</t>
  </si>
  <si>
    <t>Totale debito/Equity (%)</t>
  </si>
  <si>
    <t>Gesamtverschuldung/Kapital (%)</t>
  </si>
  <si>
    <t>Totale debito/capitale (%)</t>
  </si>
  <si>
    <t>Langfristige Schulden/Eigenkapital (%)</t>
  </si>
  <si>
    <t>Debito/Equity a lungo termine (%)</t>
  </si>
  <si>
    <t>Langfristige Schulden/Kapital (%)</t>
  </si>
  <si>
    <t>Debito/capitale a lungo termine (%)</t>
  </si>
  <si>
    <t>총 부채/자기자본(%)</t>
  </si>
  <si>
    <t>총 부채/자본(%)</t>
  </si>
  <si>
    <t>LT 부채/자기자본(%)</t>
  </si>
  <si>
    <t>LT 부채/자본(%)</t>
  </si>
  <si>
    <t>税息折旧及摊销前利润 (%)</t>
  </si>
  <si>
    <t>稅息折舊及攤銷前利潤 (%)</t>
  </si>
  <si>
    <t>息稅前利潤 (%)</t>
  </si>
  <si>
    <t>EBITDA(%)</t>
  </si>
  <si>
    <t>EBIT(%)</t>
  </si>
  <si>
    <t>目标公司</t>
  </si>
  <si>
    <t>目標公司</t>
  </si>
  <si>
    <t>Entreprise cible</t>
  </si>
  <si>
    <t>日期</t>
  </si>
  <si>
    <t>交易数据</t>
  </si>
  <si>
    <t>交易數據</t>
  </si>
  <si>
    <t>Données commerciales</t>
  </si>
  <si>
    <t>対象者</t>
  </si>
  <si>
    <t>Целевая компания</t>
  </si>
  <si>
    <t>Empresa objetivo</t>
  </si>
  <si>
    <t>日付</t>
  </si>
  <si>
    <t>Даты</t>
  </si>
  <si>
    <t>fechas</t>
  </si>
  <si>
    <t>取引データ</t>
  </si>
  <si>
    <t>Торговые данные</t>
  </si>
  <si>
    <t>Datos comerciales</t>
  </si>
  <si>
    <t>Zielunternehmen</t>
  </si>
  <si>
    <t>Società di destinazione</t>
  </si>
  <si>
    <t>Datumsangaben</t>
  </si>
  <si>
    <t>Handelsdaten</t>
  </si>
  <si>
    <t>Dati di trading</t>
  </si>
  <si>
    <t>대상 기업</t>
  </si>
  <si>
    <t>날짜</t>
  </si>
  <si>
    <t>거래 데이터</t>
  </si>
  <si>
    <t>百分比</t>
  </si>
  <si>
    <t>% de</t>
  </si>
  <si>
    <t>52 周最高股价</t>
  </si>
  <si>
    <t>52 週最高股價</t>
  </si>
  <si>
    <t>52W Haut</t>
  </si>
  <si>
    <t>52 周最低股价</t>
  </si>
  <si>
    <t>52 週最低股價</t>
  </si>
  <si>
    <t>52W Faible</t>
  </si>
  <si>
    <t>企业价值计算</t>
  </si>
  <si>
    <t>企業價值計算</t>
  </si>
  <si>
    <t>Calcul de la valeur d'entreprise</t>
  </si>
  <si>
    <t>已发行股票</t>
  </si>
  <si>
    <t>已發行股票</t>
  </si>
  <si>
    <t>Partage</t>
  </si>
  <si>
    <t>の％</t>
  </si>
  <si>
    <t>%</t>
  </si>
  <si>
    <t>52週高値</t>
  </si>
  <si>
    <t>52 неделя максимум</t>
  </si>
  <si>
    <t>52 semanas alto</t>
  </si>
  <si>
    <t>52週安値</t>
  </si>
  <si>
    <t>52 Недельный минимум</t>
  </si>
  <si>
    <t>52 semanas bajas</t>
  </si>
  <si>
    <t>EVの計算</t>
  </si>
  <si>
    <t>Расчет стоимости компании</t>
  </si>
  <si>
    <t>Cálculo de valor empresarial</t>
  </si>
  <si>
    <t>発行済み株式数</t>
  </si>
  <si>
    <t>Количество акций в обращении</t>
  </si>
  <si>
    <t>Acciones en circulación</t>
  </si>
  <si>
    <t>% von</t>
  </si>
  <si>
    <t>% di</t>
  </si>
  <si>
    <t>52W Hoch</t>
  </si>
  <si>
    <t>52-settimane massimo</t>
  </si>
  <si>
    <t>52W Niedrig</t>
  </si>
  <si>
    <t>52-settimane minimo</t>
  </si>
  <si>
    <t>EV-Berechnung</t>
  </si>
  <si>
    <t>Calcolo EV</t>
  </si>
  <si>
    <t>Umlaufende Aktien</t>
  </si>
  <si>
    <t>Azioni in circolaz.</t>
  </si>
  <si>
    <t>% 기준:</t>
  </si>
  <si>
    <t>52W 높음</t>
  </si>
  <si>
    <t>52W 낮음</t>
  </si>
  <si>
    <t>EV 계산</t>
  </si>
  <si>
    <t>유통주식</t>
  </si>
  <si>
    <t>Dette nette/</t>
  </si>
  <si>
    <t>(债务+优先股)/</t>
  </si>
  <si>
    <t>(債務+優先股)/</t>
  </si>
  <si>
    <t>(Dette+Pref)/</t>
  </si>
  <si>
    <t>税息折旧及摊销前利润/</t>
  </si>
  <si>
    <t>稅息折舊及攤銷前利潤/</t>
  </si>
  <si>
    <t>利息</t>
  </si>
  <si>
    <t>Intérêt</t>
  </si>
  <si>
    <t>(税息折旧及摊销前利润 - 资本支出)/</t>
  </si>
  <si>
    <t>(稅息折舊及攤銷前利潤 - 資本支出)/</t>
  </si>
  <si>
    <t>总权益 (%)</t>
  </si>
  <si>
    <t>總權益 (%)</t>
  </si>
  <si>
    <t>Total des fonds propres (%)</t>
  </si>
  <si>
    <t>总资本 (%)</t>
  </si>
  <si>
    <t>總資本 (%)</t>
  </si>
  <si>
    <t>杠杆和覆盖</t>
  </si>
  <si>
    <t>槓桿和覆蓋</t>
  </si>
  <si>
    <t>Effet de levier et couverture</t>
  </si>
  <si>
    <t>过去十二个月盈利能力(%)</t>
  </si>
  <si>
    <t>過去十二個月盈利能力(%)</t>
  </si>
  <si>
    <t>Rentabilité des douze derniers mois (%)</t>
  </si>
  <si>
    <t>股权回报率</t>
  </si>
  <si>
    <t>股權回報率</t>
  </si>
  <si>
    <t>资产回报率</t>
  </si>
  <si>
    <t>資產回報率</t>
  </si>
  <si>
    <t>投资资本回报率</t>
  </si>
  <si>
    <t>投資資本回報率</t>
  </si>
  <si>
    <t>比率</t>
  </si>
  <si>
    <t>速动</t>
  </si>
  <si>
    <t>速動</t>
  </si>
  <si>
    <t>Rapide</t>
  </si>
  <si>
    <t>平均</t>
  </si>
  <si>
    <t>Moyenne.</t>
  </si>
  <si>
    <t>销售周转天数</t>
  </si>
  <si>
    <t>銷售周轉天數</t>
  </si>
  <si>
    <t>Jours de vente en attente</t>
  </si>
  <si>
    <t>存货周转天数</t>
  </si>
  <si>
    <t>存貨周轉天數</t>
  </si>
  <si>
    <t>Jours d'inventaire en attente</t>
  </si>
  <si>
    <t>应付帳款周转天数</t>
  </si>
  <si>
    <t>應付帳款周轉天數</t>
  </si>
  <si>
    <t>Jours de retard de paiement</t>
  </si>
  <si>
    <t>现金循环周期</t>
  </si>
  <si>
    <t>現金循環週期</t>
  </si>
  <si>
    <t>Cycle de conversion des espèces</t>
  </si>
  <si>
    <t>純有利子負債 /</t>
  </si>
  <si>
    <t>Чистый долг/</t>
  </si>
  <si>
    <t>Deuda neta /</t>
  </si>
  <si>
    <t>（負債+優先株）/</t>
  </si>
  <si>
    <t>(Долг + привилегированный капитал)/</t>
  </si>
  <si>
    <t>(Deuda + Preferida) /</t>
  </si>
  <si>
    <t>EBITDA /</t>
  </si>
  <si>
    <t>支払利息</t>
  </si>
  <si>
    <t>Процент</t>
  </si>
  <si>
    <t>Interés</t>
  </si>
  <si>
    <t>EBITDA-設備投資 /</t>
  </si>
  <si>
    <t>(EBITDA-Gastos de capital) /</t>
  </si>
  <si>
    <t>純資産（％）</t>
  </si>
  <si>
    <t>Итого Собственный капитал (%)</t>
  </si>
  <si>
    <t>Equidad total (%)</t>
  </si>
  <si>
    <t>総資本（％）</t>
  </si>
  <si>
    <t>Общий капитал (%)</t>
  </si>
  <si>
    <t>Capital total (%)</t>
  </si>
  <si>
    <t>レバレッジ・カバレッジ</t>
  </si>
  <si>
    <t>Рычаг и покрытие</t>
  </si>
  <si>
    <t>Apalancamiento y cobertura</t>
  </si>
  <si>
    <t>LTM収益性（％）</t>
  </si>
  <si>
    <t>Рентабельность LTM (%)</t>
  </si>
  <si>
    <t>Últimos Doce Meses Rentabilidad (%)</t>
  </si>
  <si>
    <t>自己資本利益率</t>
  </si>
  <si>
    <t xml:space="preserve">Rentabilidad financiera </t>
  </si>
  <si>
    <t>純資産利益率</t>
  </si>
  <si>
    <t xml:space="preserve">Rentabilidad económica </t>
  </si>
  <si>
    <t>投下資本利益率</t>
  </si>
  <si>
    <t>Rendimiento del Capital Invertido</t>
  </si>
  <si>
    <t>Соотношение</t>
  </si>
  <si>
    <t>Proporción</t>
  </si>
  <si>
    <t>当座</t>
  </si>
  <si>
    <t>Быстрое</t>
  </si>
  <si>
    <t>Rápido</t>
  </si>
  <si>
    <t>В среднем.</t>
  </si>
  <si>
    <t>Media</t>
  </si>
  <si>
    <t>売掛金回転日数</t>
  </si>
  <si>
    <t>Количество дней неоплаченных продаж</t>
  </si>
  <si>
    <t>Días de ventas pendientes</t>
  </si>
  <si>
    <t>在庫回転日数</t>
  </si>
  <si>
    <t>количество дней в обращении</t>
  </si>
  <si>
    <t>Inventario de días pendientes</t>
  </si>
  <si>
    <t>仕入債務回転日数</t>
  </si>
  <si>
    <t>Количество дней к оплате</t>
  </si>
  <si>
    <t>Días por pagar pendientes</t>
  </si>
  <si>
    <t>キャッシュ・コンバージョン・サイクル</t>
  </si>
  <si>
    <t>Цикл конверсии наличных</t>
  </si>
  <si>
    <t>Ciclo de conversión de efectivo</t>
  </si>
  <si>
    <t>Nettoverschuldung</t>
  </si>
  <si>
    <t>Debito netto/</t>
  </si>
  <si>
    <t>(Schulden+Präf.)/</t>
  </si>
  <si>
    <t>(Debito+Privileg.)/</t>
  </si>
  <si>
    <t>Zinsen</t>
  </si>
  <si>
    <t>Interesse</t>
  </si>
  <si>
    <t>Eigenkapitalsumme (%)</t>
  </si>
  <si>
    <t>Totale equity (%)</t>
  </si>
  <si>
    <t>Gesamtkap. (%)</t>
  </si>
  <si>
    <t>Totale Cap. (%)</t>
  </si>
  <si>
    <t>Hebelwirkung und Finanzierung</t>
  </si>
  <si>
    <t>Indebitamento e copertura</t>
  </si>
  <si>
    <t>Rentabilität in den letzten 12 Monaten (%)</t>
  </si>
  <si>
    <t>Redditività LTM (%)</t>
  </si>
  <si>
    <t>Verhältnis</t>
  </si>
  <si>
    <t>Rapporto</t>
  </si>
  <si>
    <t>Schnell</t>
  </si>
  <si>
    <t>Rapido</t>
  </si>
  <si>
    <t>Durchschnitt</t>
  </si>
  <si>
    <t>Ist-Zahlungsfrist (Forderungen)</t>
  </si>
  <si>
    <t>Giorni vendite in arretrato</t>
  </si>
  <si>
    <t>Bestandsumschlagsgeschwindigkeit</t>
  </si>
  <si>
    <t>Giorni inv. in arretrato</t>
  </si>
  <si>
    <t>Ist-Zahlungsfrist (Verbindlichkeiten)</t>
  </si>
  <si>
    <t>Giorni debiti insoluti</t>
  </si>
  <si>
    <t>Geldumschlagsdauer</t>
  </si>
  <si>
    <t>Ciclo conv. contanti</t>
  </si>
  <si>
    <t>순 부채/</t>
  </si>
  <si>
    <t>(부채+우선)/</t>
  </si>
  <si>
    <t>이자</t>
  </si>
  <si>
    <t>총 자기자본(%)</t>
  </si>
  <si>
    <t>총 자본(%)</t>
  </si>
  <si>
    <t>레버리지 및 커버리지</t>
  </si>
  <si>
    <t>LTM 수익성(%)</t>
  </si>
  <si>
    <t>비율</t>
  </si>
  <si>
    <t>신속</t>
  </si>
  <si>
    <t>평균</t>
  </si>
  <si>
    <t>판매 기간</t>
  </si>
  <si>
    <t>재고 처리 기간</t>
  </si>
  <si>
    <t>외상매입금 지출 기간</t>
  </si>
  <si>
    <t>현금 전환 주기</t>
  </si>
  <si>
    <t>杠杆和估值倍数</t>
  </si>
  <si>
    <t>槓桿和估值倍數</t>
  </si>
  <si>
    <t>Effet de levier et multiplications des échanges</t>
  </si>
  <si>
    <t>(税息折旧及摊销前利润 - 资本支出)</t>
  </si>
  <si>
    <t>(稅息折舊及攤銷前利潤 - 資本支出)</t>
  </si>
  <si>
    <t>/ 利息</t>
  </si>
  <si>
    <t>/Intérêt</t>
  </si>
  <si>
    <t>レバレッジ・取引倍数</t>
  </si>
  <si>
    <t>Рычаги и Торговые Мультипликаторы</t>
  </si>
  <si>
    <t>Apalancamiento y múltiplos comerciales</t>
  </si>
  <si>
    <t>（EBITDA - 設備投資）</t>
  </si>
  <si>
    <t>(EBITDA-Gastos de capital)</t>
  </si>
  <si>
    <t>/支払利息</t>
  </si>
  <si>
    <t>/процент</t>
  </si>
  <si>
    <t>/ Interés</t>
  </si>
  <si>
    <t>Total patrimoño (%)</t>
  </si>
  <si>
    <t>Total Capital (%)</t>
  </si>
  <si>
    <t>Fremdfinanzierung und Handelsfaktoren</t>
  </si>
  <si>
    <t>Leverage e multipli di mercato</t>
  </si>
  <si>
    <t>/Zinsen</t>
  </si>
  <si>
    <t>Tot. equity (%)</t>
  </si>
  <si>
    <t>레버리지 및 거래 배수</t>
  </si>
  <si>
    <t>/이자</t>
  </si>
  <si>
    <t>经营统计</t>
  </si>
  <si>
    <t>經營統計</t>
  </si>
  <si>
    <t>Statistiques d'exploitation</t>
  </si>
  <si>
    <t>3年历史复合年均增长率</t>
  </si>
  <si>
    <t>3年曆史複合年均增長率</t>
  </si>
  <si>
    <t>TCAC historique sur 3 ans (%)</t>
  </si>
  <si>
    <t>过去十二个月利润 (%)</t>
  </si>
  <si>
    <t>過去十二個月利潤 (%)</t>
  </si>
  <si>
    <t>Marges des douze derniers mois (%)</t>
  </si>
  <si>
    <t>流动性比率</t>
  </si>
  <si>
    <t>流動性比率</t>
  </si>
  <si>
    <t>Ratios de liquidité</t>
  </si>
  <si>
    <t>过去十二个月活动</t>
  </si>
  <si>
    <t>過去十二個月活動</t>
  </si>
  <si>
    <t>Activité des douze derniers mois</t>
  </si>
  <si>
    <t>営業状態</t>
  </si>
  <si>
    <t>Операционная статистика</t>
  </si>
  <si>
    <t>Estadísticas Operativas</t>
  </si>
  <si>
    <t>3年間の過去年平均成長率</t>
  </si>
  <si>
    <t>3-летний исторический CAGR (%)</t>
  </si>
  <si>
    <t>TCAC Histórico De 3 Años (%)</t>
  </si>
  <si>
    <t>LTMマージン（％）</t>
  </si>
  <si>
    <t>Маржа за последние 12 месяцев (%)</t>
  </si>
  <si>
    <t>Últimos Doce Meses Márgenes (%)</t>
  </si>
  <si>
    <t>Коэффициенты ликвидности</t>
  </si>
  <si>
    <t>Relaciones De Liquidez</t>
  </si>
  <si>
    <t>LTM活動</t>
  </si>
  <si>
    <t>Деятельность за последние двенадцать месяцев</t>
  </si>
  <si>
    <t>Actividad de Los Últimos Doce Meses</t>
  </si>
  <si>
    <t>Betriebsstatistik</t>
  </si>
  <si>
    <t>Statistiche operative</t>
  </si>
  <si>
    <t>Durchschnittliche Wachstumsrate der letzten 3 Jahre (%)</t>
  </si>
  <si>
    <t>CAGR storico a 3 anni (%)</t>
  </si>
  <si>
    <t>Marge in den letzten 12 Monaten (%)</t>
  </si>
  <si>
    <t>Margini LTM (%)</t>
  </si>
  <si>
    <t>Liquiditätskennzahlen</t>
  </si>
  <si>
    <t>Rapporti di liquidità</t>
  </si>
  <si>
    <t>Aktivität in den letzten 12 Monaten</t>
  </si>
  <si>
    <t>Attività LTM</t>
  </si>
  <si>
    <t>운용 통계</t>
  </si>
  <si>
    <t>3년 내역 CAGR(%)</t>
  </si>
  <si>
    <t>LTM 마진(%)</t>
  </si>
  <si>
    <t>유동성 비율</t>
  </si>
  <si>
    <t>LTM 활동</t>
  </si>
  <si>
    <t>Jours de paiement en retard</t>
  </si>
  <si>
    <t>会计年度</t>
  </si>
  <si>
    <t>會計年度</t>
  </si>
  <si>
    <t>Exercice financier</t>
  </si>
  <si>
    <t>финансовый год</t>
  </si>
  <si>
    <t>Año fiscal</t>
  </si>
  <si>
    <t>Geschäftsjahr</t>
  </si>
  <si>
    <t>会计年度-2</t>
  </si>
  <si>
    <t>會計年度-2</t>
  </si>
  <si>
    <t>会计年度-1</t>
  </si>
  <si>
    <t>會計年度-1</t>
  </si>
  <si>
    <t>5年复合年均增长率</t>
  </si>
  <si>
    <t>5年復合年均增長率</t>
  </si>
  <si>
    <t>TCAM de 5 ans</t>
  </si>
  <si>
    <t>3年复合年均增长率</t>
  </si>
  <si>
    <t>3年復合年均增長率</t>
  </si>
  <si>
    <t>TCAM de 3 ans</t>
  </si>
  <si>
    <t>2-й финансовый год</t>
  </si>
  <si>
    <t>Año fiscal-2</t>
  </si>
  <si>
    <t>1-й финансовый год</t>
  </si>
  <si>
    <t>Año fiscal-1</t>
  </si>
  <si>
    <t>5年間の年平均成長率</t>
  </si>
  <si>
    <t>5-летний CAGR</t>
  </si>
  <si>
    <t>TCAC de 5 años</t>
  </si>
  <si>
    <t>3年間の年平均成長率</t>
  </si>
  <si>
    <t>3-летний CAGR</t>
  </si>
  <si>
    <t>TCAC de 3 años</t>
  </si>
  <si>
    <t>Geschäftsjahr-2</t>
  </si>
  <si>
    <t>Geschäftsjahr-1</t>
  </si>
  <si>
    <t>Durchnittliche Wachstumsrate der letzten 5 Jahre</t>
  </si>
  <si>
    <t>CAGR 5 anni</t>
  </si>
  <si>
    <t>Durchnittliche Wachstumsrate der letzten 3 Jahre</t>
  </si>
  <si>
    <t>CAGR 3 anni</t>
  </si>
  <si>
    <t>5년 CAGR</t>
  </si>
  <si>
    <t>3년 CAGR</t>
  </si>
  <si>
    <t>会计年度结束</t>
  </si>
  <si>
    <t>會計年度結束</t>
  </si>
  <si>
    <t>Fin de l'exercice financier</t>
  </si>
  <si>
    <t>交易货币</t>
  </si>
  <si>
    <t>交易貨幣</t>
  </si>
  <si>
    <t>Monnaie d'échange</t>
  </si>
  <si>
    <t>会計年度末</t>
  </si>
  <si>
    <t>окончание финансового года</t>
  </si>
  <si>
    <t>Fin del año fiscal</t>
  </si>
  <si>
    <t>取引通貨</t>
  </si>
  <si>
    <t>Торговая валюта</t>
  </si>
  <si>
    <t>Moneda comercial</t>
  </si>
  <si>
    <t>Ertrag im Geschäftsjahr</t>
  </si>
  <si>
    <t>Handelswährung</t>
  </si>
  <si>
    <t>Valuta di trading</t>
  </si>
  <si>
    <t>거래 통화</t>
  </si>
  <si>
    <t>其他资产/负债</t>
  </si>
  <si>
    <t>其他資產/負債</t>
  </si>
  <si>
    <t>Autres actifs/passifs</t>
  </si>
  <si>
    <t>资产负债表上已确认的负债调整</t>
  </si>
  <si>
    <t>資產負債表上已確認的負債調整</t>
  </si>
  <si>
    <t>Ajustement du passif comptabilisé au bilan</t>
  </si>
  <si>
    <t>未确认的先前计划服务成本</t>
  </si>
  <si>
    <t>未確認的先前計劃服務成本</t>
  </si>
  <si>
    <t>Coût du service du régime précédent non reconnu</t>
  </si>
  <si>
    <t>其他调整（净收益资产/负债）</t>
  </si>
  <si>
    <t>其他調整（淨收益資產/負債）</t>
  </si>
  <si>
    <t>Autres ajustements (Bénéfice net sur l'actif/passif)</t>
  </si>
  <si>
    <t>资产负债表上确认的净资产/负债</t>
  </si>
  <si>
    <t>資產負債表上確認的淨資產/負債</t>
  </si>
  <si>
    <t>Actif/passif net comptabilisé au bilan</t>
  </si>
  <si>
    <t>其他养老金相关项目</t>
  </si>
  <si>
    <t>其他養老金相關項目</t>
  </si>
  <si>
    <t>Autres articles relatifs à la pension</t>
  </si>
  <si>
    <t>无资金和归属的养老金负债</t>
  </si>
  <si>
    <t>無資金和歸屬的養老金負債</t>
  </si>
  <si>
    <t xml:space="preserve">Engagements de retraite non capitalisés et acquis </t>
  </si>
  <si>
    <t>预计雇主提存-下年</t>
  </si>
  <si>
    <t>預計雇主提存-下年</t>
  </si>
  <si>
    <t>Estimation des contributions - Année prochaine</t>
  </si>
  <si>
    <t>季度雇主提存</t>
  </si>
  <si>
    <t>Contribution trimestrielle de l'employeur</t>
  </si>
  <si>
    <t>预计每季度额外提存</t>
  </si>
  <si>
    <t>預計每季度額外提存</t>
  </si>
  <si>
    <t>Des contributions supplémentaires attendues sur une base trimestrielle</t>
  </si>
  <si>
    <t>无资金准备的额外最低负债</t>
  </si>
  <si>
    <t>無資金準備的額外最低負債</t>
  </si>
  <si>
    <t>Passif minimum non financé supplémentaire</t>
  </si>
  <si>
    <t>福利信息日期</t>
  </si>
  <si>
    <t>Date d'information sur les prestations</t>
  </si>
  <si>
    <t>その他の資産/負債</t>
  </si>
  <si>
    <t>Прочие активы/пассивы</t>
  </si>
  <si>
    <t>Otros activos/pasivos</t>
  </si>
  <si>
    <t>貸借対照表で認識された債務で修正されている</t>
  </si>
  <si>
    <t>Скорректировано для обязательств, признанных в балансе.</t>
  </si>
  <si>
    <t>Ajuste de la responsabilidad reconocida en el balance</t>
  </si>
  <si>
    <t>未認識過去勤務費用</t>
  </si>
  <si>
    <t>Непризнанная стоимость услуги по предыдущему плану</t>
  </si>
  <si>
    <t>No reconocido. Costo del servicio del plan previo</t>
  </si>
  <si>
    <t>その他の集積 (退職給付に係る資産・債務)</t>
  </si>
  <si>
    <t>Прочие корректировки (Чистая прибыль по активам/пассивам)</t>
  </si>
  <si>
    <t>Otros ajustes (Beneficio neto activo/pasivos)</t>
  </si>
  <si>
    <t>貸借対照表上で認識された純資産/負債</t>
  </si>
  <si>
    <t>Чистые активы/обязательства, признанные в балансе</t>
  </si>
  <si>
    <t>Activo/pasivo neto reconocido en el balance</t>
  </si>
  <si>
    <t>その他の年金関連アイテム</t>
  </si>
  <si>
    <t>Другие статьи пенсионного обеспечения</t>
  </si>
  <si>
    <t>Otros artículos relacionados con la pensión</t>
  </si>
  <si>
    <t>未積立・受給権付与済み年金債務</t>
  </si>
  <si>
    <t xml:space="preserve">Нефинансируемые и гарантированные пенсионные обязательства </t>
  </si>
  <si>
    <t xml:space="preserve">Pasivos de Pensiones no financiados y adquiridos </t>
  </si>
  <si>
    <t>予測拠出額 - 来年</t>
  </si>
  <si>
    <t>Сметные взносы - в следующем году</t>
  </si>
  <si>
    <t>Contribuciones Estimadas - Próximo año</t>
  </si>
  <si>
    <t>四半期ごとの雇用者の貢献</t>
  </si>
  <si>
    <t>Ежеквартальный взнос работодателя</t>
  </si>
  <si>
    <t>Contribución trimestral del empleador</t>
  </si>
  <si>
    <t>四半期ごとの追加拠出期待</t>
  </si>
  <si>
    <t>Дополнительные взносы ожидаемые ежеквартально</t>
  </si>
  <si>
    <t>Se esperan contribuciones adicionales trimestrales</t>
  </si>
  <si>
    <t>未積立追加最小限の債務</t>
  </si>
  <si>
    <t>Дополнительный минимум необеспеченных обязательств</t>
  </si>
  <si>
    <t>Pasivos mínimos adicionales no financiados</t>
  </si>
  <si>
    <t>給付インフォの日付</t>
  </si>
  <si>
    <t>Дата предоставления информации о льготах</t>
  </si>
  <si>
    <t>Fecha de información de beneficios</t>
  </si>
  <si>
    <t>Sonstiges Vermögen/Verbindlichkeiten</t>
  </si>
  <si>
    <t>Altre attività/Passività</t>
  </si>
  <si>
    <t>Anpassung um die in der Bilanz ausgewiesenen Verbindlichkeiten</t>
  </si>
  <si>
    <t>Rett. per passività riconosciuta in bilancio</t>
  </si>
  <si>
    <t>Nicht aktivierte Leistungskosten des Plans aus Vorjahren</t>
  </si>
  <si>
    <t>Costo servizio piano precedente non ric.</t>
  </si>
  <si>
    <t>Sonstige Anpassungen (Netto-Leistungsguthaben/-verpflichtungen)</t>
  </si>
  <si>
    <t>Altre rett. (Attività benefici nette/Pass.)</t>
  </si>
  <si>
    <t>In der Bilanz ausgewiesenes Nettovermögen/-verbindlichkeiten</t>
  </si>
  <si>
    <t>Passività/Attività nette riconosciute in bilancio</t>
  </si>
  <si>
    <t>Sonstige Posten mit Pensionsbezug</t>
  </si>
  <si>
    <t>Altre voci relative alle pensioni</t>
  </si>
  <si>
    <t>Nicht gedeckte und unverfallbare Pensionsverbindlichkeiten</t>
  </si>
  <si>
    <t>Pass. pensioni non finanziate e diritti acquisiti</t>
  </si>
  <si>
    <t>Geschätzte Beiträge – Nächstes Jahr</t>
  </si>
  <si>
    <t>Contributi stimati - Anno successivo</t>
  </si>
  <si>
    <t>Vierteljährlicher Arbeitgeberbeitrag</t>
  </si>
  <si>
    <t>Contributi datore di lavoro trimestrali</t>
  </si>
  <si>
    <t>Erwartete vierteljährliche Zusatzbeiträge</t>
  </si>
  <si>
    <t>Contributi aggiuntivi trimestrali attesi</t>
  </si>
  <si>
    <t>Nicht gedeckte zusätzliche Mindestverbindlichkeit</t>
  </si>
  <si>
    <t>Pass. minima aggiuntiva non finanziata</t>
  </si>
  <si>
    <t>Datum der Leistungsinformation</t>
  </si>
  <si>
    <t>Data informazioni benefici</t>
  </si>
  <si>
    <t>기타 자산/부채</t>
  </si>
  <si>
    <t>대차대조표에서 인식된 부채 조정</t>
  </si>
  <si>
    <t>인식되지 않은 이전 계획 서비스 비용</t>
  </si>
  <si>
    <t>기타 조정(순 급여 자산/채무)</t>
  </si>
  <si>
    <t>대차대조표에서 인식된 순 자산/부채</t>
  </si>
  <si>
    <t>기타 연금 관련 항목</t>
  </si>
  <si>
    <t>미적립식 및 귀속확정 연금 부채</t>
  </si>
  <si>
    <t>예상 기여도 - 내년</t>
  </si>
  <si>
    <t>분기별 고용주 기여도</t>
  </si>
  <si>
    <t>예상된 분기별 추가 기여도</t>
  </si>
  <si>
    <t>미적립식 추가 최소 부채</t>
  </si>
  <si>
    <t>급여 정보 날짜</t>
  </si>
  <si>
    <t>负债的公允价值</t>
  </si>
  <si>
    <t>負債的公允價值</t>
  </si>
  <si>
    <t>Juste valeur des passifs</t>
  </si>
  <si>
    <t>收益中包含公允价值变动</t>
  </si>
  <si>
    <t>收益中包含公允價值變動</t>
  </si>
  <si>
    <t>Variation de la juste valeur incluse dans les bénéfices</t>
  </si>
  <si>
    <t>負債の公正価値</t>
  </si>
  <si>
    <t>Справедливая стоимость обязательств</t>
  </si>
  <si>
    <t>Valor razonable de los pasivos</t>
  </si>
  <si>
    <t>利益に含まれる公正価値の増減額</t>
  </si>
  <si>
    <t>Изменение справедливой стоимости, включенное в прибыль</t>
  </si>
  <si>
    <t>Cambio del valor razonable incluido en las ganancias</t>
  </si>
  <si>
    <t>Marktwert von Verbindlichkeiten</t>
  </si>
  <si>
    <t>Fair Value passività</t>
  </si>
  <si>
    <t>Marktwertveränderung, in Erlösen enthalten</t>
  </si>
  <si>
    <t>Variazione Fair Value compresa in Utili</t>
  </si>
  <si>
    <t>부채 공정가치</t>
  </si>
  <si>
    <t>수익에 포함된 공정가치 변동</t>
  </si>
  <si>
    <t>兼职员工</t>
  </si>
  <si>
    <t>兼職員工</t>
  </si>
  <si>
    <t>Employés à temps partiel</t>
  </si>
  <si>
    <t>员工总数</t>
  </si>
  <si>
    <t>員工總數</t>
  </si>
  <si>
    <t>Total des employés</t>
  </si>
  <si>
    <t>工会合同下的员工</t>
  </si>
  <si>
    <t>工會合同下的員工</t>
  </si>
  <si>
    <t>Employés sous contrat syndical</t>
  </si>
  <si>
    <t>员工平均数</t>
  </si>
  <si>
    <t>員工平均數</t>
  </si>
  <si>
    <t>Employés moyens</t>
  </si>
  <si>
    <t>临时/季节性员工</t>
  </si>
  <si>
    <t>臨時/季節性員工</t>
  </si>
  <si>
    <t>Employés temporaires/saisonniers</t>
  </si>
  <si>
    <t>ADR持有者数量</t>
  </si>
  <si>
    <t>ADR持有者數量</t>
  </si>
  <si>
    <t>Nombre de détenteurs d'ADR</t>
  </si>
  <si>
    <t>财务部长期债务，总计</t>
  </si>
  <si>
    <t>財務部長期債務，總計</t>
  </si>
  <si>
    <t>Division des finances : Dette à long terme, total</t>
  </si>
  <si>
    <t>财务部短期债务，总计</t>
  </si>
  <si>
    <t>財務部短期債務，總計</t>
  </si>
  <si>
    <t>Division des finances : Dette à court terme, total</t>
  </si>
  <si>
    <t>财务部债务，总计</t>
  </si>
  <si>
    <t>財務部債務，總計</t>
  </si>
  <si>
    <t>Division des finances : Dette Total</t>
  </si>
  <si>
    <t>财务部现金及等价物</t>
  </si>
  <si>
    <t>財務部現金及等價物</t>
  </si>
  <si>
    <t>Division des finances : Trésorerie et équivalents</t>
  </si>
  <si>
    <t>财务部短期投资</t>
  </si>
  <si>
    <t>財務部短期投資</t>
  </si>
  <si>
    <t>Division des finances : Placements à court terme</t>
  </si>
  <si>
    <t>无资金准备的项目收益责任的债务等值</t>
  </si>
  <si>
    <t>無資金準備的項目收益責任的債務等值</t>
  </si>
  <si>
    <t>Équivalent de la dette de l'obligation de prestations projetées non financées</t>
  </si>
  <si>
    <t>债务等效经营租赁</t>
  </si>
  <si>
    <t>債務等效經營租賃</t>
  </si>
  <si>
    <t>Leasing opérationnel équivalent à la dette</t>
  </si>
  <si>
    <t>借贷成本</t>
  </si>
  <si>
    <t>借貸成本</t>
  </si>
  <si>
    <t>Coût de l'emprunt</t>
  </si>
  <si>
    <t>非正規(パートタイム)の従業員数</t>
  </si>
  <si>
    <t>Работники, занятые неполный рабочий день</t>
  </si>
  <si>
    <t>Empleados a tiempo parcial</t>
  </si>
  <si>
    <t>総従業員数</t>
  </si>
  <si>
    <t>Общее число сотрудников</t>
  </si>
  <si>
    <t>Total de empleados</t>
  </si>
  <si>
    <t>労働組合に加入している従業員数</t>
  </si>
  <si>
    <t>Работники по профсоюзным договорам</t>
  </si>
  <si>
    <t>Empleados con contratos sindicales</t>
  </si>
  <si>
    <t>期中平均従業員数</t>
  </si>
  <si>
    <t>Сотрудники в среднем</t>
  </si>
  <si>
    <t>Empleados promedio</t>
  </si>
  <si>
    <t>一時雇用の従業員数</t>
  </si>
  <si>
    <t>Временные/сезонные сотрудники</t>
  </si>
  <si>
    <t>Empleados temporales/de temporada</t>
  </si>
  <si>
    <t>米国預託証券の保有者数</t>
  </si>
  <si>
    <t>Количество держателей АДР</t>
  </si>
  <si>
    <t>Número de titulares de ADR</t>
  </si>
  <si>
    <t>金融部門に帰属する長期有利子負債</t>
  </si>
  <si>
    <t>Финансовый отдел: Долгосрочный долг, Всего</t>
  </si>
  <si>
    <t>División de Finanzas. Deuda a Largo Plazo, Total</t>
  </si>
  <si>
    <t>金融部門に帰属する短期有利子負債</t>
  </si>
  <si>
    <t>Финансовый отдел: Краткосрочный долг, Всего</t>
  </si>
  <si>
    <t>División de Finanzas. Deuda a corto plazo, total</t>
  </si>
  <si>
    <t>金融部門に帰属する有利子負債</t>
  </si>
  <si>
    <t>Финансовый отдел: Долг, Всего</t>
  </si>
  <si>
    <t>División de Finanzas, Deuda Total</t>
  </si>
  <si>
    <t>金融部門に帰属する現金及び現金同等物</t>
  </si>
  <si>
    <t>Финансовый отдел: Денежные средства и их эквиваленты</t>
  </si>
  <si>
    <t>División de Finanzas Efectivo y Equivalentes</t>
  </si>
  <si>
    <t>金融部門に帰属する短期投資</t>
  </si>
  <si>
    <t>Финансовый отдел: Краткосрочные инвестиции</t>
  </si>
  <si>
    <t>División de Finanzas Inversiones a Corto Plazo</t>
  </si>
  <si>
    <t>未認識の退職給付債務の相当額</t>
  </si>
  <si>
    <t>Долговой эквивалент не обеспеченного финансированием обязательства по прогнозируемым выгодам</t>
  </si>
  <si>
    <t>Equivalente de deuda del proyecto no financiado. Obligación de beneficios</t>
  </si>
  <si>
    <t>賃貸借取引のリース債務期末相当額</t>
  </si>
  <si>
    <t>Долговой эквивалент операционной аренды</t>
  </si>
  <si>
    <t>Arrendamientos de operaciones equivalentes de deuda</t>
  </si>
  <si>
    <t>借入金から発生した支払利息</t>
  </si>
  <si>
    <t>Стоимость заимствования</t>
  </si>
  <si>
    <t>Costo de los préstamos</t>
  </si>
  <si>
    <t>Teilzeitbeschäftigte</t>
  </si>
  <si>
    <t>Dipendenti part time</t>
  </si>
  <si>
    <t>Gesamtzahl der Beschäftigten</t>
  </si>
  <si>
    <t>Totale dipendenti</t>
  </si>
  <si>
    <t>Beschäftigte, Gewerkschaftsmitglieder</t>
  </si>
  <si>
    <t>Dipendenti sotto contratto sindacale</t>
  </si>
  <si>
    <t>Durchschnittliche Beschäftigtenzahl</t>
  </si>
  <si>
    <t>Media dipendenti</t>
  </si>
  <si>
    <t>Zeitmitarbeiter/Saisonkräfte</t>
  </si>
  <si>
    <t>Dipendenti temporanei/stagionali</t>
  </si>
  <si>
    <t>Anzahl der ADR-Inhaber</t>
  </si>
  <si>
    <t>Numero di titolari ADR</t>
  </si>
  <si>
    <t>Finanzabteilung, langfristige Verschuldung, Summe</t>
  </si>
  <si>
    <t>Debito a lungo termine divisione finanza, totale</t>
  </si>
  <si>
    <t>Finanzabteilung, kurzfristige Verschuldung, Summe</t>
  </si>
  <si>
    <t>Debito a breve termine divisione finanza, totale</t>
  </si>
  <si>
    <t>Finanzabteilung, Verschuldung, Summe</t>
  </si>
  <si>
    <t>Debito divisione finanza, totale</t>
  </si>
  <si>
    <t>Finanzabteilung, Barmittel und Barmitteläquivalente</t>
  </si>
  <si>
    <t>Disponibilità liquide e mezzi equivalenti divisione finanza</t>
  </si>
  <si>
    <t>Finanzabteilung, kurzfristige Finanzanlagen</t>
  </si>
  <si>
    <t>Investimenti a breve termine divisione finanza</t>
  </si>
  <si>
    <t>Verschuldungsäquivalent ungedeckter voraussichtlicher Leistungsverpflichtung</t>
  </si>
  <si>
    <t>Debito equiv. a PBO non finanziato</t>
  </si>
  <si>
    <t>Verschuldungsäquivalent, Operating-Leasing</t>
  </si>
  <si>
    <t>Debito equivalente locazioni operative</t>
  </si>
  <si>
    <t>Kosten der Darlehensaufnahme</t>
  </si>
  <si>
    <t>Costo del finanziamento</t>
  </si>
  <si>
    <t>시간제 직원</t>
  </si>
  <si>
    <t>총 직원</t>
  </si>
  <si>
    <t>조합계약 하 직원</t>
  </si>
  <si>
    <t>평균 직원</t>
  </si>
  <si>
    <t>임시/계절직 직원</t>
  </si>
  <si>
    <t>ADR 주주 수</t>
  </si>
  <si>
    <t>금융분과 장기부채, 총계</t>
  </si>
  <si>
    <t>금융분과 단기부채, 총계</t>
  </si>
  <si>
    <t>금융분과 부채, 총계</t>
  </si>
  <si>
    <t>금융분과 현금 및 등가물</t>
  </si>
  <si>
    <t>금융분과 단기 투자</t>
  </si>
  <si>
    <t xml:space="preserve">일시 차입 예측급여채무의 부채 등가물 </t>
  </si>
  <si>
    <t>부채 등가물 운용리스</t>
  </si>
  <si>
    <t>차입 비용</t>
  </si>
  <si>
    <t>保修负债</t>
  </si>
  <si>
    <t>保修負債</t>
  </si>
  <si>
    <t>Obligations de garantie</t>
  </si>
  <si>
    <t>短期借贷衍生品</t>
  </si>
  <si>
    <t>短期借貸衍生品</t>
  </si>
  <si>
    <t>Dérivés d'emprunt à court terme</t>
  </si>
  <si>
    <t>长期债务衍生工具的当前部分</t>
  </si>
  <si>
    <t>長期債務衍生工具的當前部分</t>
  </si>
  <si>
    <t>Port. actuel des produits dérivés de la dette à long terme</t>
  </si>
  <si>
    <t>长期债务衍生品</t>
  </si>
  <si>
    <t>長期債務衍生品</t>
  </si>
  <si>
    <t>Dérivés de la dette à long terme</t>
  </si>
  <si>
    <t>流动衍生负债</t>
  </si>
  <si>
    <t>流動衍生負債</t>
  </si>
  <si>
    <t>Passifs dérivés courants</t>
  </si>
  <si>
    <t>非流动衍生负债</t>
  </si>
  <si>
    <t>非流動衍生負債</t>
  </si>
  <si>
    <t>Passifs dérivés non courants</t>
  </si>
  <si>
    <t>衍生交易资产证券</t>
  </si>
  <si>
    <t>衍生交易資產證券</t>
  </si>
  <si>
    <t>Titres dérivés d'actifs de négociation</t>
  </si>
  <si>
    <t>流动衍生资产</t>
  </si>
  <si>
    <t>流動衍生資產</t>
  </si>
  <si>
    <t>Actifs dérivés courants</t>
  </si>
  <si>
    <t>长期衍生资产</t>
  </si>
  <si>
    <t>長期衍生資產</t>
  </si>
  <si>
    <t>Actifs dérivés à long terme</t>
  </si>
  <si>
    <t>无形资产总额</t>
  </si>
  <si>
    <t>無形資產總額</t>
  </si>
  <si>
    <t>Immobilisations incorporelles brutes</t>
  </si>
  <si>
    <t>无形资产累计摊销</t>
  </si>
  <si>
    <t>無形資產累計攤銷</t>
  </si>
  <si>
    <t>Amortissement cumulé des actifs incorporels</t>
  </si>
  <si>
    <t>总商誉</t>
  </si>
  <si>
    <t>總商譽</t>
  </si>
  <si>
    <t>Fonds de commerce brut</t>
  </si>
  <si>
    <t>商誉的累计摊销</t>
  </si>
  <si>
    <t>商譽的累計攤銷</t>
  </si>
  <si>
    <t>Amortissement cumulé du goodwill</t>
  </si>
  <si>
    <t>保証債務</t>
  </si>
  <si>
    <t>Гарантийные обязательства</t>
  </si>
  <si>
    <t>Responsabilidades de la garantía</t>
  </si>
  <si>
    <t>短期デリバティブ有利子負債</t>
  </si>
  <si>
    <t>Краткосрочные производные финансовые инструменты по займам</t>
  </si>
  <si>
    <t>Derivados de préstamos a corto plazo</t>
  </si>
  <si>
    <t>一年以内償還予定のデリバティブ有利子負債</t>
  </si>
  <si>
    <t>Текущая часть долгосрочных долговых деривативов</t>
  </si>
  <si>
    <t>Porción Corriente - Derivados de deuda de largo plazo</t>
  </si>
  <si>
    <t>長期デリバティブ有利子負債</t>
  </si>
  <si>
    <t>Долгосрочные долговые деривативы</t>
  </si>
  <si>
    <t>Derivados de la deuda a largo plazo</t>
  </si>
  <si>
    <t>短期デリバティブ負債</t>
  </si>
  <si>
    <t>Текущие производные обязательства</t>
  </si>
  <si>
    <t>Pasivos Derivados Corrientes</t>
  </si>
  <si>
    <t>長期デリバティブ負債</t>
  </si>
  <si>
    <t>Долгосрочные производные обязательства</t>
  </si>
  <si>
    <t>Pasivos derivados No Corrientes</t>
  </si>
  <si>
    <t>短期デリバティブ・トレーディング資産</t>
  </si>
  <si>
    <t>Деривативные торговые активы</t>
  </si>
  <si>
    <t>Valores de activos negociables derivados</t>
  </si>
  <si>
    <t>短期デリバティブ資産</t>
  </si>
  <si>
    <t>Текущие производные активы</t>
  </si>
  <si>
    <t>Activos Derivados Corrientes</t>
  </si>
  <si>
    <t>長期デリバティブ資産</t>
  </si>
  <si>
    <t>Долгосрочные производные активы</t>
  </si>
  <si>
    <t>Activos Derivados a largo plazo</t>
  </si>
  <si>
    <t>無形固定資産(総額)</t>
  </si>
  <si>
    <t>Валовые нематериальные активы</t>
  </si>
  <si>
    <t>Activos Intangibles brutos</t>
  </si>
  <si>
    <t>無形固定資産の償却累計額</t>
  </si>
  <si>
    <t>Накопленная амортизация нематериальных активов</t>
  </si>
  <si>
    <t>Amortización acumulada de activos intangibles</t>
  </si>
  <si>
    <t>のれん(総額)</t>
  </si>
  <si>
    <t>Валовая репутация</t>
  </si>
  <si>
    <t xml:space="preserve">Bienes de Uso- Brutos </t>
  </si>
  <si>
    <t>のれんの償却累計額</t>
  </si>
  <si>
    <t>Накопленная амортизация гудвила</t>
  </si>
  <si>
    <t>Amortización acumulada de Bienes de Uso</t>
  </si>
  <si>
    <t>Garantieverpflichtungen</t>
  </si>
  <si>
    <t>Passivo di garanzia</t>
  </si>
  <si>
    <t>Kurzfristige Darlehensaufnahme, Derivate</t>
  </si>
  <si>
    <t>Derivati di prestiti a breve termine</t>
  </si>
  <si>
    <t>Kurzfristiger Anteil langfristiger Schuldderivate</t>
  </si>
  <si>
    <t>Derivati port. corr. di titoli di debito a lungo term.</t>
  </si>
  <si>
    <t>Langfristige Schuldderivate</t>
  </si>
  <si>
    <t>Derivati di debiti a lungo termine</t>
  </si>
  <si>
    <t>Kurzfristige derivative Verbindlichkeiten</t>
  </si>
  <si>
    <t>Passività derivate correnti</t>
  </si>
  <si>
    <t>Langfristige derivative Verbindlichkeiten</t>
  </si>
  <si>
    <t>Passività derivate non correnti</t>
  </si>
  <si>
    <t>Derivativer Handel mit besicherten Wertpapieren</t>
  </si>
  <si>
    <t>Titoli di negoziazione derivati</t>
  </si>
  <si>
    <t>Kurzfristige derivative Vermögenswerte</t>
  </si>
  <si>
    <t>Attività derivate correnti</t>
  </si>
  <si>
    <t>Langfristige derivative Vermögenswerte</t>
  </si>
  <si>
    <t>Attività derivate a lungo termine</t>
  </si>
  <si>
    <t>Immaterialvermögen, brutto</t>
  </si>
  <si>
    <t>Attività immateriali lorde</t>
  </si>
  <si>
    <t>Kumulierte Abschreibung immaterieller Vermögenswerte</t>
  </si>
  <si>
    <t>Ammortamenti accumulati attività immateriali</t>
  </si>
  <si>
    <t>Ideeller Unternehmenswert, brutto</t>
  </si>
  <si>
    <t>Avviamento lordo</t>
  </si>
  <si>
    <t>Kumulierte Abschreibung auf ideellen Unternehmenswert</t>
  </si>
  <si>
    <t>Ammortamenti accumulati avviamento</t>
  </si>
  <si>
    <t>보증충당부채</t>
  </si>
  <si>
    <t>단기 차입 파생상품</t>
  </si>
  <si>
    <t>유동성 LT 부채 파생상품</t>
  </si>
  <si>
    <t>장기 부채 파생상품</t>
  </si>
  <si>
    <t>유동성 파생상품 채무</t>
  </si>
  <si>
    <t>비유동성 파생상품 채무</t>
  </si>
  <si>
    <t>파생 거래 자산 증권</t>
  </si>
  <si>
    <t>유동성 파생 자산</t>
  </si>
  <si>
    <t>장기 파생 자산</t>
  </si>
  <si>
    <t>총 무형자산</t>
  </si>
  <si>
    <t>무형자산의 누적 상각비</t>
  </si>
  <si>
    <t>총 영업권</t>
  </si>
  <si>
    <t>영업권 누적 상각비</t>
  </si>
  <si>
    <t>限制性现金（非流动）</t>
  </si>
  <si>
    <t>限制性現金（非流動）</t>
  </si>
  <si>
    <t>Encaissement restreint (non courant)</t>
  </si>
  <si>
    <t>限制性现金总额</t>
  </si>
  <si>
    <t>限制性現金總額</t>
  </si>
  <si>
    <t>Total de l'encaisse restreinte</t>
  </si>
  <si>
    <t>总债务（不包括财务部门债务）</t>
  </si>
  <si>
    <t>總債務（不包括財務部門債務）</t>
  </si>
  <si>
    <t>Dette totale (à l'exclusion de la Division des finances : Dette)</t>
  </si>
  <si>
    <t>订单积压</t>
  </si>
  <si>
    <t>訂單積壓</t>
  </si>
  <si>
    <t>Commande en attente</t>
  </si>
  <si>
    <t>長期制限付預金</t>
  </si>
  <si>
    <t>Денежные средства с ограничениями (внеоборотные)</t>
  </si>
  <si>
    <t>Efectivo restringido (no corriente)</t>
  </si>
  <si>
    <t>制限付預金合計</t>
  </si>
  <si>
    <t>Общая сумма ограниченных денежных средств</t>
  </si>
  <si>
    <t>Total de efectivo restringido</t>
  </si>
  <si>
    <t>有利子負債(金融部門に帰属する金額除く)</t>
  </si>
  <si>
    <t>Общий долг (без учета финансового отдела: долг)</t>
  </si>
  <si>
    <t>Deuda total (Excluyendo la deuda de la división financiera)</t>
  </si>
  <si>
    <t>受注残高</t>
  </si>
  <si>
    <t>Задержки с заказами</t>
  </si>
  <si>
    <t>Pedidos atrasados</t>
  </si>
  <si>
    <t>Gebundene Barmittel (nicht kurzfristig)</t>
  </si>
  <si>
    <t>Liquidità vincolata (non correnti)</t>
  </si>
  <si>
    <t>Gebundene Barmittel, Summe</t>
  </si>
  <si>
    <t>Totale liquidità vincolata</t>
  </si>
  <si>
    <t>Schuldensumme (ohne sonstige Finanzschulden)</t>
  </si>
  <si>
    <t>Debito totale (escl. debito div. fin.)</t>
  </si>
  <si>
    <t>Auftragsbestand</t>
  </si>
  <si>
    <t>Commesse ancora inevase</t>
  </si>
  <si>
    <t>특정 현금(비유동성)</t>
  </si>
  <si>
    <t>총 특정 현금</t>
  </si>
  <si>
    <t>총 부채(금융분과 부채 제외)</t>
  </si>
  <si>
    <t>수주잔액</t>
  </si>
  <si>
    <t>应收帐款-未发单</t>
  </si>
  <si>
    <t>應收帳款-未發單</t>
  </si>
  <si>
    <t>Comptes à recevoir - Non facturés</t>
  </si>
  <si>
    <t>盘点方法</t>
  </si>
  <si>
    <t>盤點方法</t>
  </si>
  <si>
    <t>Méthode d'inventaire</t>
  </si>
  <si>
    <t>后进先出储备</t>
  </si>
  <si>
    <t>先進先出儲備</t>
  </si>
  <si>
    <t>Réserve LIFO</t>
  </si>
  <si>
    <t>未請求の売上債権残高</t>
  </si>
  <si>
    <t>Дебиторская задолженность - Невыставленные счета</t>
  </si>
  <si>
    <t>Cuentas por cobrar - No facturadas</t>
  </si>
  <si>
    <t>期末棚卸資産の計算方法</t>
  </si>
  <si>
    <t>Метод инвентаризации</t>
  </si>
  <si>
    <t>Método de inventario</t>
  </si>
  <si>
    <t>後入差出法により計算した期末棚卸資産残高</t>
  </si>
  <si>
    <t>Резерв LIFO</t>
  </si>
  <si>
    <t xml:space="preserve">Reserva Ultima Entrada, Primera Salida </t>
  </si>
  <si>
    <t>LL-Forderungen – nicht fakturiert</t>
  </si>
  <si>
    <t>Crediti commerciali - Non fatturati</t>
  </si>
  <si>
    <t>Bestandmethode</t>
  </si>
  <si>
    <t>Metodo inventario</t>
  </si>
  <si>
    <t>LIFO-Reserve</t>
  </si>
  <si>
    <t>Riserva LIFO</t>
  </si>
  <si>
    <t>외상매출금 - 비청구</t>
  </si>
  <si>
    <t>재고 방법</t>
  </si>
  <si>
    <t>LIFO 유보금</t>
  </si>
  <si>
    <t>营运资金</t>
  </si>
  <si>
    <t>營運資金</t>
  </si>
  <si>
    <t>Fonds de roulement</t>
  </si>
  <si>
    <t>净营运资金</t>
  </si>
  <si>
    <t>淨營運資金</t>
  </si>
  <si>
    <t>Fonds de roulement net</t>
  </si>
  <si>
    <t>運転資本</t>
  </si>
  <si>
    <t>Оборотный капитал</t>
  </si>
  <si>
    <t>Capital de trabajo</t>
  </si>
  <si>
    <t>純運転資本</t>
  </si>
  <si>
    <t>Чистый оборотный капитал</t>
  </si>
  <si>
    <t>Capital de trabajo neto</t>
  </si>
  <si>
    <t>Betriebskapital</t>
  </si>
  <si>
    <t>Capitale circolante</t>
  </si>
  <si>
    <t>Nettobetriebskapital</t>
  </si>
  <si>
    <t>Capitale circolante netto</t>
  </si>
  <si>
    <t>운영자본</t>
  </si>
  <si>
    <t>순운영자본</t>
  </si>
  <si>
    <t>少数权益，总计</t>
  </si>
  <si>
    <t>少數權益，總計</t>
  </si>
  <si>
    <t>Intérêts minoritaires, total</t>
  </si>
  <si>
    <t>少数株主持分</t>
  </si>
  <si>
    <t>Процент миноритариев, всего</t>
  </si>
  <si>
    <t>Interés minoritario, total</t>
  </si>
  <si>
    <t>Minderheitsbeteiligungen, Summe</t>
  </si>
  <si>
    <t>Partecipazione minoritaria, totale</t>
  </si>
  <si>
    <t>소수주주 지분, 총계</t>
  </si>
  <si>
    <t>优先股，可赎回</t>
  </si>
  <si>
    <t>優先股，可贖回</t>
  </si>
  <si>
    <t>Actions privilégiées, remboursables</t>
  </si>
  <si>
    <t>优先股，不可赎回</t>
  </si>
  <si>
    <t>優先股，不可贖回</t>
  </si>
  <si>
    <t>Actions privilégiées, non remboursables</t>
  </si>
  <si>
    <t>优先股，可转换</t>
  </si>
  <si>
    <t>優先股，可轉換</t>
  </si>
  <si>
    <t>actions privilégiées, convertibles</t>
  </si>
  <si>
    <t>優先株,償還可能</t>
  </si>
  <si>
    <t>привилегированные акции, выкупаемые</t>
  </si>
  <si>
    <t>Acciones preferidas, Canjeables</t>
  </si>
  <si>
    <t>優先株,償還可能なし</t>
  </si>
  <si>
    <t>привилегированные акции, не подлежащие выкупу.</t>
  </si>
  <si>
    <t>Acciones preferidas, No Canjeables</t>
  </si>
  <si>
    <t>優先株,転換可能</t>
  </si>
  <si>
    <t>привилегированные акции, конвертируемые</t>
  </si>
  <si>
    <t>Acciones preferidas, Convertibles</t>
  </si>
  <si>
    <t>Vorzugsaktien, rückkaufbar</t>
  </si>
  <si>
    <t>Azioni privileg., riscattabili</t>
  </si>
  <si>
    <t>Vorzugsaktien, nicht rückkaufbar</t>
  </si>
  <si>
    <t>Azioni privileg., non riscattabili</t>
  </si>
  <si>
    <t>Vorzugsaktien, wandelbar</t>
  </si>
  <si>
    <t>Azioni privileg. convertibili</t>
  </si>
  <si>
    <t>상환우선주</t>
  </si>
  <si>
    <t>비상환우선주</t>
  </si>
  <si>
    <t>전환우선주</t>
  </si>
  <si>
    <t>财务部贷款和租赁，短期</t>
  </si>
  <si>
    <t>財務部貸款和租賃，短期</t>
  </si>
  <si>
    <t>Division des finances : Prêts et crédits-bails à court terme</t>
  </si>
  <si>
    <t>财务部其他流动资产</t>
  </si>
  <si>
    <t>財務部其他流動資產</t>
  </si>
  <si>
    <t>Division des finances : Autres actifs courants</t>
  </si>
  <si>
    <t>財務部短期ローン・リース</t>
  </si>
  <si>
    <t>Финансовый отдел: Кредиты и аренда, краткосрочные</t>
  </si>
  <si>
    <t xml:space="preserve">División de Finanzas, Préstamos y Arrendamientos, Corto plazo </t>
  </si>
  <si>
    <t>財務部短期その他の流動資産</t>
  </si>
  <si>
    <t>Финансовый отдел: Прочие текущие активы</t>
  </si>
  <si>
    <t>División de Finanzas, Otros Activos Corrientes</t>
  </si>
  <si>
    <t>Finanzabteilung, Darlehen und Mietverträge, kurzfristig</t>
  </si>
  <si>
    <t>Crediti e locazioni divisione finanza, breve termine</t>
  </si>
  <si>
    <t>Finanzabteilung, kurzfristiges Vermögen</t>
  </si>
  <si>
    <t>Altre attività corr. divisione finanza</t>
  </si>
  <si>
    <t>금융분과 대출 및 리스, ST</t>
  </si>
  <si>
    <t>금융분과 기타 유동자산</t>
  </si>
  <si>
    <t>财务部贷款和租赁，长期</t>
  </si>
  <si>
    <t>財務部貸款和租賃，長期</t>
  </si>
  <si>
    <t>Division des finances : Prêts et crédits-bails à long terme</t>
  </si>
  <si>
    <t>财务部其他长期资产</t>
  </si>
  <si>
    <t>財務部其他長期資產</t>
  </si>
  <si>
    <t>Division des finances : Autres actifs à long terme</t>
  </si>
  <si>
    <t>长期应收帐款</t>
  </si>
  <si>
    <t>長期應收帳款</t>
  </si>
  <si>
    <t>Comptes à recevoir à long terme</t>
  </si>
  <si>
    <t>长期应收贷款</t>
  </si>
  <si>
    <t>長期應收貸款</t>
  </si>
  <si>
    <t>Prêts à long terme</t>
  </si>
  <si>
    <t>財務部長期ローン・リース</t>
  </si>
  <si>
    <t>Финансовый отдел: Кредиты и аренда, долгосрочные</t>
  </si>
  <si>
    <t>División de Finanzas, Préstamos y Arrendamientos, Largo Plazo</t>
  </si>
  <si>
    <t>財務部長期その他の流動資産</t>
  </si>
  <si>
    <t>Финансовый отдел: Прочие долгосрочные активы</t>
  </si>
  <si>
    <t>División de Finanzas Otros activos de la LT</t>
  </si>
  <si>
    <t>長期間売掛金</t>
  </si>
  <si>
    <t>Дебиторская задолженность на долгосрочную перспективу</t>
  </si>
  <si>
    <t>Cuentas por cobrar a largo plazo</t>
  </si>
  <si>
    <t>長期間貸付金</t>
  </si>
  <si>
    <t>Дебиторская задолженность по кредитам на длительный срок</t>
  </si>
  <si>
    <t>Préstamos por cobrar a largo plazo</t>
  </si>
  <si>
    <t>Finanzabteilung, Darlehen und Mietverträge, langfristig</t>
  </si>
  <si>
    <t>Crediti e locazioni divisione finanza, lungo termine</t>
  </si>
  <si>
    <t>Finanzabteilung, langfristiges Vermögen</t>
  </si>
  <si>
    <t>Altre attività lungo termine divisione finanza</t>
  </si>
  <si>
    <t>Langfristige LL-Forderungen</t>
  </si>
  <si>
    <t>Crediti a lungo termine</t>
  </si>
  <si>
    <t>Langfristige Darlehensforderungen</t>
  </si>
  <si>
    <t>금융분과 대출 및 리스, LT</t>
  </si>
  <si>
    <t>금융분과 기타 LT 자산</t>
  </si>
  <si>
    <t>장기 외상매출금</t>
  </si>
  <si>
    <t>장기 대여금</t>
  </si>
  <si>
    <t>当前租赁部分</t>
  </si>
  <si>
    <t>當前租賃部分</t>
  </si>
  <si>
    <t>Portion actuelle des contrats de location</t>
  </si>
  <si>
    <t>财务部流动债务</t>
  </si>
  <si>
    <t>財務部流動債務</t>
  </si>
  <si>
    <t>Division des finances : Courant de la dette</t>
  </si>
  <si>
    <t>财务部其他流动负债</t>
  </si>
  <si>
    <t>財務部其他流動負債</t>
  </si>
  <si>
    <t>Division des finances : Autres passifs à court terme</t>
  </si>
  <si>
    <t>1年以内返済予定のレース</t>
  </si>
  <si>
    <t>Текущая часть договоров аренды</t>
  </si>
  <si>
    <t>Porción actual de los contratos de arrendamiento</t>
  </si>
  <si>
    <t>財務部有利子負債(短期)</t>
  </si>
  <si>
    <t>Финансовый отдел: Текущий долг</t>
  </si>
  <si>
    <t>Deuda actual de la División de Finanzas</t>
  </si>
  <si>
    <t>財務部その他の有利子負債(短期)</t>
  </si>
  <si>
    <t>Финансовый отдел: Прочие текущие обязательства</t>
  </si>
  <si>
    <t>División de Finanzas Otros pasivos corrientes</t>
  </si>
  <si>
    <t>Kurzfristiger Anteil von Leasingvereinbarungen</t>
  </si>
  <si>
    <t>Porzione di locazioni corrente</t>
  </si>
  <si>
    <t>Finanzabteilung, kurzfristige Anleihen</t>
  </si>
  <si>
    <t>Debito corrente div. finanza</t>
  </si>
  <si>
    <t>Finanzabteilung, kurzfristige Verbindlichkeiten</t>
  </si>
  <si>
    <t>Altre passività corr. divisione finanza</t>
  </si>
  <si>
    <t>유동성 리스</t>
  </si>
  <si>
    <t>금융분과 유동성 부채</t>
  </si>
  <si>
    <t>금융분과 기타 유동성 부채</t>
  </si>
  <si>
    <t>递延所得税负债，当前</t>
  </si>
  <si>
    <t>遞延所得稅負債，當前</t>
  </si>
  <si>
    <t>Obligation fiscale définie, actuelle</t>
  </si>
  <si>
    <t>一年以内償還予定繰延税金負債</t>
  </si>
  <si>
    <t>Установленные налоговые обязательства, текущие</t>
  </si>
  <si>
    <t>Pasivo por impuestos diferidos, corriente</t>
  </si>
  <si>
    <t>Latente Steuerverbindlichkeiten, kurzfristig</t>
  </si>
  <si>
    <t>Passiv. fiscali differite, corr.</t>
  </si>
  <si>
    <t>당기 이연 법인세</t>
  </si>
  <si>
    <t>财务部非流动债务</t>
  </si>
  <si>
    <t>財務部非流動債務</t>
  </si>
  <si>
    <t>Division des finances : Dette non courante</t>
  </si>
  <si>
    <t>财务部其他非流动负债</t>
  </si>
  <si>
    <t>財務部其他非流動負債</t>
  </si>
  <si>
    <t>Division des finances : Autres passifs non courants</t>
  </si>
  <si>
    <t>非流动预收收入</t>
  </si>
  <si>
    <t>非流動預收收入</t>
  </si>
  <si>
    <t>Revenus non acquis, non courants</t>
  </si>
  <si>
    <t>財務部有利子負債(長期)</t>
  </si>
  <si>
    <t>Финансовый отдел: Долг долгосрочный</t>
  </si>
  <si>
    <t>Deuda de la División Financiera No Corriente</t>
  </si>
  <si>
    <t>財務部その他の有利子負債(長期)</t>
  </si>
  <si>
    <t>Финансовый отдел: Прочие долгосрочные обязательства</t>
  </si>
  <si>
    <t xml:space="preserve">División Finanzas, Otros Pasivo No Corrientes </t>
  </si>
  <si>
    <t>前受収益(長期)</t>
  </si>
  <si>
    <t>Незаработанная выручка, долгосрочная</t>
  </si>
  <si>
    <t>Ingresos no devengados, no corrientes</t>
  </si>
  <si>
    <t>Finanzabteilung, nicht kurzfristige Anleihen</t>
  </si>
  <si>
    <t>Debito non corr. div. finanza</t>
  </si>
  <si>
    <t>Finanzabteilung, nicht kurzfristige Verbindlichkeiten</t>
  </si>
  <si>
    <t>Altre passività non corr. divisione finanza</t>
  </si>
  <si>
    <t>Prämienbestandteile für zukünftige Perioden, nicht kurzfristig</t>
  </si>
  <si>
    <t>Ricavi non acquisti, non correnti</t>
  </si>
  <si>
    <t>금융분과 비유동성 부채</t>
  </si>
  <si>
    <t>금융분과 기타 비유동성 부채</t>
  </si>
  <si>
    <t>비당기 선수수익</t>
  </si>
  <si>
    <t>每股项目</t>
  </si>
  <si>
    <t>每股項目</t>
  </si>
  <si>
    <t>Éléments par action</t>
  </si>
  <si>
    <t>1株あたりの項目</t>
  </si>
  <si>
    <t>Позиции на акцию</t>
  </si>
  <si>
    <t>Artículos por acción</t>
  </si>
  <si>
    <t>Aktienbezogene Positionen</t>
  </si>
  <si>
    <t>Voci per azione</t>
  </si>
  <si>
    <t>주당 항목</t>
  </si>
  <si>
    <t>期间日期</t>
  </si>
  <si>
    <t>期間日期</t>
  </si>
  <si>
    <t>Date de la période</t>
  </si>
  <si>
    <t>部分现金流量的折旧和摊销说明</t>
  </si>
  <si>
    <t>部分現金流量的折舊和攤銷說明</t>
  </si>
  <si>
    <t>Notes sur l'amortissement et la dépréciation des flux de trésorerie partiels</t>
  </si>
  <si>
    <t>部分现金流量的商誉票据摊销</t>
  </si>
  <si>
    <t>部分現金流量的商譽票據攤銷</t>
  </si>
  <si>
    <t>Amortissement des billets de trésorerie pour les flux de trésorerie partiels</t>
  </si>
  <si>
    <t>折旧（来自注释）</t>
  </si>
  <si>
    <t>折舊（來自註釋）</t>
  </si>
  <si>
    <t>Dépréciation (des Notes)</t>
  </si>
  <si>
    <t>使用权资产折旧</t>
  </si>
  <si>
    <t>使用權資產折舊</t>
  </si>
  <si>
    <t>Amortissement sur les actifs du droit d'utilisation</t>
  </si>
  <si>
    <t>折旧及摊销-现金流量，不包括经营租赁</t>
  </si>
  <si>
    <t>折舊及攤銷-現金流量，不包括經營租賃</t>
  </si>
  <si>
    <t>Amortissement et dépréciation - Flux de trésorerie, à l'exclusion des contrats de leasing opérationnel</t>
  </si>
  <si>
    <t>折旧及摊销，总计，不包括经营租赁</t>
  </si>
  <si>
    <t>折舊及攤銷，總計，不包括經營租賃</t>
  </si>
  <si>
    <t>Dépréciation et Amort. total, à l'exclusion des contrats de leasing opérationnel</t>
  </si>
  <si>
    <t>债务发行成本的摊销</t>
  </si>
  <si>
    <t>債務發行成本的攤銷</t>
  </si>
  <si>
    <t>Amortissement des frais d'émission de la dette</t>
  </si>
  <si>
    <t>软件资产摊销</t>
  </si>
  <si>
    <t>軟件資產攤銷</t>
  </si>
  <si>
    <t>Amortissement des actifs logiciels</t>
  </si>
  <si>
    <t>租赁资产的销售收益</t>
  </si>
  <si>
    <t>租賃資產的銷售收益</t>
  </si>
  <si>
    <t>Produit de la vente de biens locatifs</t>
  </si>
  <si>
    <t>決算期末日</t>
  </si>
  <si>
    <t>Дата периода</t>
  </si>
  <si>
    <t>Período</t>
  </si>
  <si>
    <t>減価償却費及びのれんの償却額(注記)</t>
  </si>
  <si>
    <t>Износ и амортизация Векселя для частичного денежного потока</t>
  </si>
  <si>
    <t>Notas de depreciación y amortización para el Flujo de fondos parcial</t>
  </si>
  <si>
    <t>のれんの償却額(注記)</t>
  </si>
  <si>
    <t>Амортизация гудвилл - для частичного денежного потока</t>
  </si>
  <si>
    <t>Amortización de las notas de bienes de uso para el flujo de fondos  parcial</t>
  </si>
  <si>
    <t>減価償却費(注記)</t>
  </si>
  <si>
    <t>Амортизация (из примечаний)</t>
  </si>
  <si>
    <t>Depreciación (de las notas)</t>
  </si>
  <si>
    <t>使用権資産の減価償却費</t>
  </si>
  <si>
    <t>Амортизация на право использования активов</t>
  </si>
  <si>
    <t>Depreciación de los bienes con derecho de uso</t>
  </si>
  <si>
    <t>減価償却費 - キャッシュフロー(オペレーティングリース除く)</t>
  </si>
  <si>
    <t>Износ и амортизация - Денежный поток, исключая операционную аренду</t>
  </si>
  <si>
    <t>Depreciación y Amortización - Flujo de fondos, Excluyendo Arrendamientos Operativos</t>
  </si>
  <si>
    <t>総減価償却費(オペレーティングリース除く)</t>
  </si>
  <si>
    <t>Износ и амортизация, Итого, исключая операционную аренду</t>
  </si>
  <si>
    <t>Depreciación y amortización, total, excluyendo los arrendamientos operativos</t>
  </si>
  <si>
    <t>債券発行費用償却額</t>
  </si>
  <si>
    <t>Амортизация затрат на выпуск долговых обязательств</t>
  </si>
  <si>
    <t>Amortización de los costos de emisión de deuda</t>
  </si>
  <si>
    <t>ソフトウェア償却額</t>
  </si>
  <si>
    <t>Амортизация активов программного обеспечения</t>
  </si>
  <si>
    <t>Amortización de los activos de software</t>
  </si>
  <si>
    <t>リース資産の売却収入</t>
  </si>
  <si>
    <t>Поступления от продажи арендованного имущества</t>
  </si>
  <si>
    <t>El producto de la venta de los activos de alquiler</t>
  </si>
  <si>
    <t>Periodendatum</t>
  </si>
  <si>
    <t>Data periodo</t>
  </si>
  <si>
    <t>Abschreibungen auf materielles und immaterielles Vermögen – Wechsel für Teil-CF</t>
  </si>
  <si>
    <t>Titoli di ammortamento e accantonamento per CF parziale</t>
  </si>
  <si>
    <t>Abschreibung auf ideellen Unternehmenswert – Anmerkungen für Teil-CF</t>
  </si>
  <si>
    <t>Accantonamento titoli avviamento per CF parziale</t>
  </si>
  <si>
    <t>Abschreibungen (aus Wechseln)</t>
  </si>
  <si>
    <t>Ammortamento (da Titoli)</t>
  </si>
  <si>
    <t>Abschreibung von Vermögen aus Nutzungsrechten</t>
  </si>
  <si>
    <t>Ammortamento diritto utilizzo attività</t>
  </si>
  <si>
    <t>Abschreibungen auf materielles und immaterielles Vermögen – CF, ohne Operating-Leasing</t>
  </si>
  <si>
    <t>Ammortamenti e accantonamenti - CF, escl. locazioni operative</t>
  </si>
  <si>
    <t>Abschreibungen auf materielles und immaterielles Vermögen – Summe, ohne Operating-Leasing</t>
  </si>
  <si>
    <t>Ammortamenti e accantonamenti, totale escl. locazioni operative</t>
  </si>
  <si>
    <t>Abschreibung der Kosten für die Ausgabe von Anleihen</t>
  </si>
  <si>
    <t>Accantonamenti costi emissione debito</t>
  </si>
  <si>
    <t>Abschreibung von Softwarevermögen</t>
  </si>
  <si>
    <t>Accantonamenti attività software</t>
  </si>
  <si>
    <t>Verkaufserlöse aus Mietvermögen</t>
  </si>
  <si>
    <t>Proventi vendite da attività di noleggio</t>
  </si>
  <si>
    <t>기간 날짜</t>
  </si>
  <si>
    <t>부분 CF에 대한 어음 감가상각 및 상각비</t>
  </si>
  <si>
    <t>부분 CF에 대한 영업권 어음 상각비</t>
  </si>
  <si>
    <t>감가상각(어음에서)</t>
  </si>
  <si>
    <t>사용권 자산 감가상각</t>
  </si>
  <si>
    <t>감가상각 및 상각비 - CF, 운영리스 제외</t>
  </si>
  <si>
    <t>감가상각 및 상각비, 총계, 운영리스 제외</t>
  </si>
  <si>
    <t>부채 발행 비용의 상각비</t>
  </si>
  <si>
    <t>소프트웨어 자산 상각비</t>
  </si>
  <si>
    <t>임대 자산을 통한 매출액</t>
  </si>
  <si>
    <t>交易资产证券变更</t>
  </si>
  <si>
    <t>交易資產證券變更</t>
  </si>
  <si>
    <t>Variation des titres d'actifs négociables</t>
  </si>
  <si>
    <t>应收账款变更</t>
  </si>
  <si>
    <t>應收賬款變更</t>
  </si>
  <si>
    <t>Variation du compte à recevoir</t>
  </si>
  <si>
    <t>有価証券の増減</t>
  </si>
  <si>
    <t>Изменение в ценных бумагах, используемых для торговли активами</t>
  </si>
  <si>
    <t xml:space="preserve">Cambio en los valores de los activos </t>
  </si>
  <si>
    <t>売上債権の増減</t>
  </si>
  <si>
    <t>Изменение дебиторской задолженности</t>
  </si>
  <si>
    <t>Cambio en Cuentas por cobrar</t>
  </si>
  <si>
    <t>Veränderung bei handelbaren Wertpapieranlagen</t>
  </si>
  <si>
    <t>Variazione in titoli di negoziazione</t>
  </si>
  <si>
    <t>Veränderung der Forderungen aus LL</t>
  </si>
  <si>
    <t>Variazione crediti</t>
  </si>
  <si>
    <t>거래 자산 증권 변동</t>
  </si>
  <si>
    <t>외상매출금 변동</t>
  </si>
  <si>
    <t>应付帐款变更</t>
  </si>
  <si>
    <t>應付帳款變更</t>
  </si>
  <si>
    <t>Variation du compte à payer</t>
  </si>
  <si>
    <t>预收收入变更</t>
  </si>
  <si>
    <t>預收收入變更</t>
  </si>
  <si>
    <t>Variation des revenus non réalisés</t>
  </si>
  <si>
    <t>所得税的变更</t>
  </si>
  <si>
    <t>所得稅的變更</t>
  </si>
  <si>
    <t>Variation de l'impôt sur le revenu</t>
  </si>
  <si>
    <t>递延税项变更</t>
  </si>
  <si>
    <t>遞延稅項變更</t>
  </si>
  <si>
    <t>Variation des impôts différés</t>
  </si>
  <si>
    <t>其他净经营资产变更</t>
  </si>
  <si>
    <t>其他淨經營資產變更</t>
  </si>
  <si>
    <t>Variation des autres actifs nets d'exploitation</t>
  </si>
  <si>
    <t>仕入債務の増減</t>
  </si>
  <si>
    <t>Изменение кредиторской задолженности</t>
  </si>
  <si>
    <t>Cambio en Cuentas a pagar</t>
  </si>
  <si>
    <t>前受収益の増減</t>
  </si>
  <si>
    <t>Изменение незаработанных доходов</t>
  </si>
  <si>
    <t>Cambio en los ingresos no devengados</t>
  </si>
  <si>
    <t>未払法人税等、及び未払費用の増減</t>
  </si>
  <si>
    <t>Изменение подоходного налога</t>
  </si>
  <si>
    <t>Cambio en Impuestos a las ganancias</t>
  </si>
  <si>
    <t>繰延税金資産</t>
  </si>
  <si>
    <t>Изменение в отложенных налогах</t>
  </si>
  <si>
    <t>Cambio en Impuestos Diferidos</t>
  </si>
  <si>
    <t>その他純営業資産の増減</t>
  </si>
  <si>
    <t>Изменение прочих чистых операционных активов</t>
  </si>
  <si>
    <t>Variación de otros activos operativos netos</t>
  </si>
  <si>
    <t>Veränderung der Verbindlichkeiten aus LL</t>
  </si>
  <si>
    <t>Variazione debiti</t>
  </si>
  <si>
    <t>Veränderung der Prämienbestandteile für zukünftige Perioden</t>
  </si>
  <si>
    <t>Variazione ricavi non acquisiti</t>
  </si>
  <si>
    <t>Veränderung der angefallenen Steuern</t>
  </si>
  <si>
    <t>Variazione imposte sul redd.</t>
  </si>
  <si>
    <t>Veränderung der latenten Steuern</t>
  </si>
  <si>
    <t>Variazione imposte differite</t>
  </si>
  <si>
    <t>Veränderung des sonstigen Nettobetriebsvermögens</t>
  </si>
  <si>
    <t>Variazione altre attività operative nette</t>
  </si>
  <si>
    <t>외상매입금 변동</t>
  </si>
  <si>
    <t>선수수익 변동</t>
  </si>
  <si>
    <t>소득세 변경</t>
  </si>
  <si>
    <t>이연법인세 변경</t>
  </si>
  <si>
    <t>기타 순 운영 자산 변동</t>
  </si>
  <si>
    <t>代码</t>
  </si>
  <si>
    <t>代碼</t>
  </si>
  <si>
    <t>Ticker [code mnémonique]:</t>
  </si>
  <si>
    <t>ティッカー</t>
  </si>
  <si>
    <t xml:space="preserve">Тикер </t>
  </si>
  <si>
    <t>Clave de pizarra</t>
  </si>
  <si>
    <t>종목코드</t>
  </si>
  <si>
    <t>最新年度由:</t>
  </si>
  <si>
    <t>Le plus récent sur le :</t>
  </si>
  <si>
    <t>Zuletzt bei:</t>
  </si>
  <si>
    <t>I più recenti su:</t>
  </si>
  <si>
    <t>直近財務の位置</t>
  </si>
  <si>
    <t>Последние данные на:</t>
  </si>
  <si>
    <t>Más reciente en el:</t>
  </si>
  <si>
    <t>가장 최근:</t>
  </si>
  <si>
    <t>Datum</t>
  </si>
  <si>
    <t>Data</t>
  </si>
  <si>
    <t>基準日</t>
  </si>
  <si>
    <t>Дата</t>
  </si>
  <si>
    <t>Fecha</t>
  </si>
  <si>
    <t xml:space="preserve">기준일 </t>
  </si>
  <si>
    <t>货币</t>
  </si>
  <si>
    <t>貨幣</t>
  </si>
  <si>
    <t>Devise</t>
  </si>
  <si>
    <t>Währung</t>
  </si>
  <si>
    <t>Valuta</t>
  </si>
  <si>
    <t>通貨</t>
  </si>
  <si>
    <t>Валюта</t>
  </si>
  <si>
    <t>Moneda</t>
  </si>
  <si>
    <t>통화</t>
  </si>
  <si>
    <t>汇率兑换</t>
  </si>
  <si>
    <t>匯率兌換</t>
  </si>
  <si>
    <t>Umwandlung</t>
  </si>
  <si>
    <t>Conversione</t>
  </si>
  <si>
    <t>換算レート</t>
  </si>
  <si>
    <t xml:space="preserve">Конвертация </t>
  </si>
  <si>
    <t>Conversión</t>
  </si>
  <si>
    <t>적용환율</t>
  </si>
  <si>
    <t>损益表</t>
  </si>
  <si>
    <t>損益表</t>
  </si>
  <si>
    <t>Compte de résultat</t>
  </si>
  <si>
    <t>Gewinn- und Verlustrechnung</t>
  </si>
  <si>
    <t>Conto economico</t>
  </si>
  <si>
    <t>損益計算書</t>
  </si>
  <si>
    <t xml:space="preserve">Отчет о прибылях и убытках </t>
  </si>
  <si>
    <t>Estado de Resultados</t>
  </si>
  <si>
    <t>손익계산서</t>
  </si>
  <si>
    <t>历史数据</t>
  </si>
  <si>
    <t>歷史數據</t>
  </si>
  <si>
    <t>Historique</t>
  </si>
  <si>
    <t>Historisch</t>
  </si>
  <si>
    <t>Storico</t>
  </si>
  <si>
    <t>ヒストリカル</t>
  </si>
  <si>
    <t>Историческ.</t>
  </si>
  <si>
    <t>Histórico</t>
  </si>
  <si>
    <t>역사적 환율</t>
  </si>
  <si>
    <t>百万</t>
  </si>
  <si>
    <t>百萬</t>
  </si>
  <si>
    <t>en millions</t>
  </si>
  <si>
    <t>in Millionen</t>
  </si>
  <si>
    <t>in milioni</t>
  </si>
  <si>
    <t>В миллионах</t>
  </si>
  <si>
    <t>en millones</t>
  </si>
  <si>
    <t>단위: 백만</t>
  </si>
  <si>
    <t>收入</t>
  </si>
  <si>
    <t>Revenus</t>
  </si>
  <si>
    <t>Einnahmen</t>
  </si>
  <si>
    <t>Ricavi</t>
  </si>
  <si>
    <t>売上高</t>
  </si>
  <si>
    <t>Доходы</t>
  </si>
  <si>
    <t>Ingresos</t>
  </si>
  <si>
    <t>수입</t>
  </si>
  <si>
    <t>其他收入</t>
  </si>
  <si>
    <t>Autres revenus</t>
  </si>
  <si>
    <t>Sonstige Einnahmen</t>
  </si>
  <si>
    <t>Altri ricavi</t>
  </si>
  <si>
    <t>その他売上高</t>
  </si>
  <si>
    <t>Прочие доходы</t>
  </si>
  <si>
    <t>Otros ingresos</t>
  </si>
  <si>
    <t>기타 수입</t>
  </si>
  <si>
    <t>总收入</t>
  </si>
  <si>
    <t>總收入</t>
  </si>
  <si>
    <t>Total revenu</t>
  </si>
  <si>
    <t>Gesamtumsätze</t>
  </si>
  <si>
    <t>Ricavi totali</t>
  </si>
  <si>
    <t>総売上高</t>
  </si>
  <si>
    <t>Общая выручка</t>
  </si>
  <si>
    <t>Ingresos totales</t>
  </si>
  <si>
    <t xml:space="preserve">매출 총액 </t>
  </si>
  <si>
    <t>销货成本</t>
  </si>
  <si>
    <t>銷貨成本</t>
  </si>
  <si>
    <t>Coût des marchandises vendues</t>
  </si>
  <si>
    <t>Verkaufskosten</t>
  </si>
  <si>
    <t>Costo del venduto</t>
  </si>
  <si>
    <t>売上原価</t>
  </si>
  <si>
    <t>Стоимость проданных товаров</t>
  </si>
  <si>
    <t>Costo de las mercancías vendidas</t>
  </si>
  <si>
    <t>상품 판매 비용</t>
  </si>
  <si>
    <t>毛利</t>
  </si>
  <si>
    <t>Bénéfice brut</t>
  </si>
  <si>
    <t>Bruttogewinn</t>
  </si>
  <si>
    <t>Utile lordo</t>
  </si>
  <si>
    <t>売上総利益</t>
  </si>
  <si>
    <t>Валовая прибыль</t>
  </si>
  <si>
    <t>Ganancia bruta</t>
  </si>
  <si>
    <t>매출총이익</t>
  </si>
  <si>
    <t>销售及一般行政费用</t>
  </si>
  <si>
    <t>銷售及一般行政費用</t>
  </si>
  <si>
    <t>Vente Frais généraux et administratifs</t>
  </si>
  <si>
    <t>Vertriebs-, Verwaltungs- und allgemeine Kosten</t>
  </si>
  <si>
    <t>Vendita generale e spese di amministrazione</t>
  </si>
  <si>
    <t>販売費及び一般管理費</t>
  </si>
  <si>
    <t xml:space="preserve">Коммерческие, общие и административные расходы </t>
  </si>
  <si>
    <t>Gastos generales de ventas y administrativos</t>
  </si>
  <si>
    <t xml:space="preserve">판매비와 관리비 </t>
  </si>
  <si>
    <t>折旧及摊销</t>
  </si>
  <si>
    <t>折舊及攤銷</t>
  </si>
  <si>
    <t>Amortissements et dépréciations</t>
  </si>
  <si>
    <t>Abschreibungen</t>
  </si>
  <si>
    <t>Ammortamenti e accantonamenti</t>
  </si>
  <si>
    <t>減価償却費</t>
  </si>
  <si>
    <t>Износ и амортизация</t>
  </si>
  <si>
    <t>Depreciación y amortización</t>
  </si>
  <si>
    <t>감가상각 및 상환</t>
  </si>
  <si>
    <t>DDM</t>
  </si>
  <si>
    <t>Letzte 12 Monate</t>
  </si>
  <si>
    <t>Последние 12 месяцев</t>
  </si>
  <si>
    <t>Ultimos doce meses</t>
  </si>
  <si>
    <t>최근 12개월 (LTM)</t>
  </si>
  <si>
    <t>财务年度</t>
  </si>
  <si>
    <t>財務年度</t>
  </si>
  <si>
    <t>Anno fiscale</t>
  </si>
  <si>
    <t>会計年度</t>
  </si>
  <si>
    <t>Отчетный год</t>
  </si>
  <si>
    <t>Ejercicio fiscal</t>
  </si>
  <si>
    <t xml:space="preserve">회계연도 </t>
  </si>
  <si>
    <t>年初至今</t>
  </si>
  <si>
    <t>Année à ce jour</t>
  </si>
  <si>
    <t>Im bisherigen Jahresverlauf</t>
  </si>
  <si>
    <t>Dall’inizio dell’anno</t>
  </si>
  <si>
    <t>利回り: 貸出金総額 (%)</t>
  </si>
  <si>
    <t>С начала года на дату</t>
  </si>
  <si>
    <t>Año a la fecha</t>
  </si>
  <si>
    <t>연초부터 현재까지</t>
  </si>
  <si>
    <t>日历年度</t>
  </si>
  <si>
    <t>日曆年度</t>
  </si>
  <si>
    <t>Année civile</t>
  </si>
  <si>
    <t>Kalenderjahr</t>
  </si>
  <si>
    <t>Anno civile</t>
  </si>
  <si>
    <t>暦年</t>
  </si>
  <si>
    <t>Календарный год</t>
  </si>
  <si>
    <t>Año natural</t>
  </si>
  <si>
    <t xml:space="preserve">달력연도 </t>
  </si>
  <si>
    <t>右边开始</t>
  </si>
  <si>
    <t>右邊開始</t>
  </si>
  <si>
    <t>A droite</t>
  </si>
  <si>
    <t>Rechts</t>
  </si>
  <si>
    <t>Destra</t>
  </si>
  <si>
    <t>右</t>
  </si>
  <si>
    <t>Направо</t>
  </si>
  <si>
    <t>Derecho</t>
  </si>
  <si>
    <t>오른쪽</t>
  </si>
  <si>
    <t>左边开始</t>
  </si>
  <si>
    <t>左邊開始</t>
  </si>
  <si>
    <t>A gauche</t>
  </si>
  <si>
    <t>Links</t>
  </si>
  <si>
    <t>Sinistra</t>
  </si>
  <si>
    <t>左</t>
  </si>
  <si>
    <t>Налево</t>
  </si>
  <si>
    <t>Izquierda</t>
  </si>
  <si>
    <t>왼쪽</t>
  </si>
  <si>
    <t>当前数据</t>
  </si>
  <si>
    <t>當前數據</t>
  </si>
  <si>
    <t>Actuelle</t>
  </si>
  <si>
    <t>Aktuell</t>
  </si>
  <si>
    <t>Attuale</t>
  </si>
  <si>
    <t>カレント</t>
  </si>
  <si>
    <t>Текущ.</t>
  </si>
  <si>
    <t>Actual</t>
  </si>
  <si>
    <t>현재 환율</t>
  </si>
  <si>
    <t>现金流量表</t>
  </si>
  <si>
    <t>現金流量表</t>
  </si>
  <si>
    <t>Tableau des flux de trésorerie</t>
  </si>
  <si>
    <t>Geldflussrechnung</t>
  </si>
  <si>
    <t>Rendiconto finanziario</t>
  </si>
  <si>
    <t>キャッシュフロー(C/F)計算書</t>
  </si>
  <si>
    <t>Отчет о движении денежных средства</t>
  </si>
  <si>
    <t>Estado do flujos de efectivo</t>
  </si>
  <si>
    <t>현금흐름표</t>
  </si>
  <si>
    <t>资产负债表</t>
  </si>
  <si>
    <t>資産負債表</t>
  </si>
  <si>
    <t>Bilan</t>
  </si>
  <si>
    <t>Bilanz</t>
  </si>
  <si>
    <t>Situazione patrimoniale</t>
  </si>
  <si>
    <t>貸借対照表</t>
  </si>
  <si>
    <t>Бухгалтерский баланс</t>
  </si>
  <si>
    <t>hoja de balance</t>
  </si>
  <si>
    <t>재무상태표</t>
  </si>
  <si>
    <t>财务部收入</t>
  </si>
  <si>
    <t>財務部收入</t>
  </si>
  <si>
    <t>Revenus de la division financière</t>
  </si>
  <si>
    <t>保险部收入</t>
  </si>
  <si>
    <t>保險部收入</t>
  </si>
  <si>
    <t>Revenus de la division assurance</t>
  </si>
  <si>
    <t>金融部門に帰属する売上高</t>
  </si>
  <si>
    <t>Финансовый отдел -- Выручка</t>
  </si>
  <si>
    <t>Ingresos de la División de Finanzas</t>
  </si>
  <si>
    <t>保険部門に帰属する売上高</t>
  </si>
  <si>
    <t>Страховой отдел -- Выручка</t>
  </si>
  <si>
    <t>Ingresos de la División de Seguros</t>
  </si>
  <si>
    <t>Finanzen, div. Erlöse</t>
  </si>
  <si>
    <t>Ricavi divisione finanza</t>
  </si>
  <si>
    <t>Versicherung, div. Erlöse</t>
  </si>
  <si>
    <t>Ricavi divisione assicurativa</t>
  </si>
  <si>
    <t>금융분과 수입</t>
  </si>
  <si>
    <t>보험분과 수입</t>
  </si>
  <si>
    <t>利息及投资收益（收入）</t>
  </si>
  <si>
    <t>利息及投資收益（收入）</t>
  </si>
  <si>
    <t>Intérêts et revenus d'investissement ( produits)</t>
  </si>
  <si>
    <t>営業内- 受取利息配当金</t>
  </si>
  <si>
    <t>Процентный и инвестиционный доход (Выручка)</t>
  </si>
  <si>
    <t xml:space="preserve"> Ingresos de Intereses e inversiones</t>
  </si>
  <si>
    <t>Zins- und Investmenterträge (Erlös)</t>
  </si>
  <si>
    <t>Interessi attivi e reddito da investim. (riv.)</t>
  </si>
  <si>
    <t>이자 및 투자 수익(수입)</t>
  </si>
  <si>
    <t>财务部营业费用</t>
  </si>
  <si>
    <t>財務部營業費用</t>
  </si>
  <si>
    <t>Dépenses d'exploitation de la division financière</t>
  </si>
  <si>
    <t>保险部营业费用</t>
  </si>
  <si>
    <t>保險部營業費用</t>
  </si>
  <si>
    <t>Dépenses d'exploitation de la division assurance</t>
  </si>
  <si>
    <t>利息费用-财务部</t>
  </si>
  <si>
    <t>利息費用-財務部</t>
  </si>
  <si>
    <t>Frais d'intérêt - Division financière</t>
  </si>
  <si>
    <t>金融部門に帰属する営業費用</t>
  </si>
  <si>
    <t>Финансовый отдел -- Операционные расходы</t>
  </si>
  <si>
    <t>Gastos Operativos de la División de Finanzas</t>
  </si>
  <si>
    <t>保険部門に帰属する営業費用</t>
  </si>
  <si>
    <t>Страховой отдел -- Операционные расходы</t>
  </si>
  <si>
    <t>Gastos Operativos de la División de Seguros</t>
  </si>
  <si>
    <t>金融部門に帰属する支払利息</t>
  </si>
  <si>
    <t>Процентные расходы - Финансовый отдел</t>
  </si>
  <si>
    <t>Gastos por intereses - División de Finanzas</t>
  </si>
  <si>
    <t>Finanzen, div. Betriebsaufwendungen</t>
  </si>
  <si>
    <t>Spese operative divisione finanza</t>
  </si>
  <si>
    <t>Versicherung, div. Betriebsaufwendungen</t>
  </si>
  <si>
    <t>Spese operative divisione assicurativa</t>
  </si>
  <si>
    <t>Zinsaufwand – Finanzabteilung</t>
  </si>
  <si>
    <t>Interessi passivi - Divisione finanza</t>
  </si>
  <si>
    <t>금융분과 운영비</t>
  </si>
  <si>
    <t>보험분과 운영비</t>
  </si>
  <si>
    <t>이자 비용 - 금융분과</t>
  </si>
  <si>
    <t>Coûts d'exploration et de forage</t>
  </si>
  <si>
    <t>备抵坏账</t>
  </si>
  <si>
    <t>備抵壞賬</t>
  </si>
  <si>
    <t>Provision pour créances douteuses</t>
  </si>
  <si>
    <t>Затраты на разведку / бурение</t>
  </si>
  <si>
    <t>Costos de exploración y perforación</t>
  </si>
  <si>
    <t>貸倒引当金繰入額</t>
  </si>
  <si>
    <t>Резерв по безнадежным долгам</t>
  </si>
  <si>
    <t>Provisión para deudas incobrables</t>
  </si>
  <si>
    <t>Explorations-/Bohrkosten</t>
  </si>
  <si>
    <t>Costi di esplorazione/trivellazione</t>
  </si>
  <si>
    <t>Rückstellung für uneinbringliche Forderungen</t>
  </si>
  <si>
    <t>Accantonamento per debiti insoluti</t>
  </si>
  <si>
    <t>대손충당금</t>
  </si>
  <si>
    <t>开市前费用</t>
  </si>
  <si>
    <t>開市前費用</t>
  </si>
  <si>
    <t>Coûts de préouverture</t>
  </si>
  <si>
    <t>創立準備費</t>
  </si>
  <si>
    <t>Предварительные расходы</t>
  </si>
  <si>
    <t>Costos de preapertura</t>
  </si>
  <si>
    <t>Vorlaufkosten der Eröffnung</t>
  </si>
  <si>
    <t>Costi pre-apertura</t>
  </si>
  <si>
    <t>개업비</t>
  </si>
  <si>
    <t>商誉和无形资产的摊销</t>
  </si>
  <si>
    <t>商譽和無形資產的攤銷</t>
  </si>
  <si>
    <t>Amort. de fonds de commerce et d'actifs incorporels</t>
  </si>
  <si>
    <t>石油，天然气和矿产属性的损害</t>
  </si>
  <si>
    <t>石油，天然氣和礦產屬性的損害</t>
  </si>
  <si>
    <t>Dépréciation des biens pétroliers, gaziers et minéraux</t>
  </si>
  <si>
    <t>のれん償却費及び無形固定資産償却費</t>
  </si>
  <si>
    <t>Амортизация гудвилла и нематериальных активов</t>
  </si>
  <si>
    <t>Amortización de Bienes de uso e Intangibles</t>
  </si>
  <si>
    <t>石油/ガス/鉱業権に掛かる減損費用</t>
  </si>
  <si>
    <t>Обесценение нефтяных, газовых и минеральных активов</t>
  </si>
  <si>
    <t>Deterioro de la Propiedad de Petróleo, Gas y Minerales.</t>
  </si>
  <si>
    <t>Abschreibung auf ideellen Unternehmenswert und Immaterialvermögen</t>
  </si>
  <si>
    <t>Ammort. avviamento e beni immateriali</t>
  </si>
  <si>
    <t>Wertminderung von Öl-, Gas- und Mineralieneigentum</t>
  </si>
  <si>
    <t>Rettif. di valore di proprietà del settore petrolio, gas e minerario</t>
  </si>
  <si>
    <t>영업권 및 무형 자산 상각</t>
  </si>
  <si>
    <t>오일, 가스 및 광물권 손실</t>
  </si>
  <si>
    <t>外汇兑换损益</t>
  </si>
  <si>
    <t>外匯兌換損益</t>
  </si>
  <si>
    <t>Bénéfices (pertes) de change</t>
  </si>
  <si>
    <t>為替差損益</t>
  </si>
  <si>
    <t>Прибыль (Убыток) от операций обмена иностранной валюты</t>
  </si>
  <si>
    <t>Ganancias (pérdidas) de cambio de divisas</t>
  </si>
  <si>
    <t>Gewinn (Verlust) aus Währungsumrechnung</t>
  </si>
  <si>
    <t>Utili/(perdita) su cambio</t>
  </si>
  <si>
    <t>환율 이익(손실)</t>
  </si>
  <si>
    <t>重组费用</t>
  </si>
  <si>
    <t>重組費用</t>
  </si>
  <si>
    <t>Frais de restructuration</t>
  </si>
  <si>
    <t>合并及相关重组费用</t>
  </si>
  <si>
    <t>合併及相關重組費用</t>
  </si>
  <si>
    <t>Frais de fusion et de restructuration connexes</t>
  </si>
  <si>
    <t>構造改革費用</t>
  </si>
  <si>
    <t>Расходы по реструктуризации</t>
  </si>
  <si>
    <t>Cargos de reestructuración</t>
  </si>
  <si>
    <t>組織再編費用</t>
  </si>
  <si>
    <t>Расходы по слиянию и связанные расходы по реструктуризации</t>
  </si>
  <si>
    <t>Fusión y Cargos de reestructuración relacionada</t>
  </si>
  <si>
    <t>Sanierungskosten</t>
  </si>
  <si>
    <t>Costi di ristrutturazione</t>
  </si>
  <si>
    <t>Fusions- und damit verbundene Sanierungskosten</t>
  </si>
  <si>
    <t>Costi di fusione e relative ristrutturazioni</t>
  </si>
  <si>
    <t>구조조정 비용</t>
  </si>
  <si>
    <t>합병 및 관련 구조조정 비용</t>
  </si>
  <si>
    <t>商誉减损</t>
  </si>
  <si>
    <t>商譽減損</t>
  </si>
  <si>
    <t>Dépréciation du fonds de commerce</t>
  </si>
  <si>
    <t xml:space="preserve">处分投资损益 </t>
  </si>
  <si>
    <t>處分投資損益</t>
  </si>
  <si>
    <t>Bénéfice (perte) sur la vente de l'investissement</t>
  </si>
  <si>
    <t>出售资产损益</t>
  </si>
  <si>
    <t>出售資產損益</t>
  </si>
  <si>
    <t>Bénéfice (perte) sur la vente d'actifs</t>
  </si>
  <si>
    <t>Обесценение гудвилла</t>
  </si>
  <si>
    <t>Deterioro de Bienes de Uso</t>
  </si>
  <si>
    <t>有価証券運用損益</t>
  </si>
  <si>
    <t xml:space="preserve">Прибыль (Убыток) от продажи инвестиций </t>
  </si>
  <si>
    <t>Ganancia (pérdida) en la venta de inversiones</t>
  </si>
  <si>
    <t>固定資産の売却による収入（損失）</t>
  </si>
  <si>
    <t>Прибыль (Убыток) от продажи активов</t>
  </si>
  <si>
    <t>Ganancia (pérdida) en la venta de activos</t>
  </si>
  <si>
    <t>Minderung des ideellen Unternehmenswerts</t>
  </si>
  <si>
    <t>Rettif. di valore dell'avviamento</t>
  </si>
  <si>
    <t>Gewinn (Verlust) aus dem Verkauf von Investments</t>
  </si>
  <si>
    <t>Utile (perdita) su vendita di investim.</t>
  </si>
  <si>
    <t>Gewinn (Verlust) aus dem Verkauf von Vermögenswerten</t>
  </si>
  <si>
    <t>Utile (perdita) su vendita di attività</t>
  </si>
  <si>
    <t>영업권 손실</t>
  </si>
  <si>
    <t>투자 매각의 이익(손실)</t>
  </si>
  <si>
    <t>자산 매각의 이익(손실)</t>
  </si>
  <si>
    <t>进行中的研发费用</t>
  </si>
  <si>
    <t>進行中的研發費用</t>
  </si>
  <si>
    <t>Dépenses de R &amp; D en cours</t>
  </si>
  <si>
    <t>保险结算</t>
  </si>
  <si>
    <t>保險結算</t>
  </si>
  <si>
    <t>Règlements d'assurance</t>
  </si>
  <si>
    <t>法律和解</t>
  </si>
  <si>
    <t>Règlements juridiques</t>
  </si>
  <si>
    <t>営業外- 研究開発費</t>
  </si>
  <si>
    <t>Расходы по незавершенным научно-исследовательским и опытно-конструкторским работам (НИОКР)</t>
  </si>
  <si>
    <t>Investigación y Desarrollo en proceso</t>
  </si>
  <si>
    <t>保険差損益</t>
  </si>
  <si>
    <t xml:space="preserve">Страховые урегулирования </t>
  </si>
  <si>
    <t>Liquidaciones de seguros</t>
  </si>
  <si>
    <t>法務費用</t>
  </si>
  <si>
    <t xml:space="preserve">Мировые соглашения </t>
  </si>
  <si>
    <t>Liquidaciones legales</t>
  </si>
  <si>
    <t>Laufender F&amp;E-Aufwand</t>
  </si>
  <si>
    <t>Spese per ricerca e sviluppo in corso</t>
  </si>
  <si>
    <t>Versicherungsabrechnungen</t>
  </si>
  <si>
    <t>Indennizzi assicurativi</t>
  </si>
  <si>
    <t>Vergleiche</t>
  </si>
  <si>
    <t>Indennizzi legali</t>
  </si>
  <si>
    <t>진행 중인 연구개발비</t>
  </si>
  <si>
    <t>보험 결산</t>
  </si>
  <si>
    <t>법적 결산</t>
  </si>
  <si>
    <t>存货变更</t>
  </si>
  <si>
    <t>存貨變更</t>
  </si>
  <si>
    <t>Variation des stocks</t>
  </si>
  <si>
    <t>棚卸資産の増減</t>
  </si>
  <si>
    <t>Изменение в запасах</t>
  </si>
  <si>
    <t>Cambio en los inventarios</t>
  </si>
  <si>
    <t>Bestandsveränderungen</t>
  </si>
  <si>
    <t>Variazione scorte</t>
  </si>
  <si>
    <t>재고 변동</t>
  </si>
  <si>
    <t>出售房产， 厂房及设备</t>
  </si>
  <si>
    <t>出售房產， 廠房及設備</t>
  </si>
  <si>
    <t>Vente de biens, d'installations et d'équipements</t>
  </si>
  <si>
    <t>现金收购</t>
  </si>
  <si>
    <t>現金收購</t>
  </si>
  <si>
    <t>Acquisitions en espèces</t>
  </si>
  <si>
    <t>资产剥离</t>
  </si>
  <si>
    <t>資產剝離</t>
  </si>
  <si>
    <t>Désinvestissements</t>
  </si>
  <si>
    <t>有形固定資産の売却による収入</t>
  </si>
  <si>
    <t>Продажа основных средств</t>
  </si>
  <si>
    <t>Venta de propiedad, planta y equipo</t>
  </si>
  <si>
    <t>貸付金(借入金)に伴う純増減</t>
  </si>
  <si>
    <t>Приобретение наличными</t>
  </si>
  <si>
    <t>Adquisiciones en efectivo</t>
  </si>
  <si>
    <t>構造改革に掛かる収入(支出)</t>
  </si>
  <si>
    <t>Продажа активов</t>
  </si>
  <si>
    <t>Desinversiones</t>
  </si>
  <si>
    <t>Verkauf von Immobilien, Anlagen und Ausrüstungen</t>
  </si>
  <si>
    <t>Vendita di immobili, impianti e macchinari</t>
  </si>
  <si>
    <t>Bar-Akquisitionen</t>
  </si>
  <si>
    <t>Acquisizioni in contanti</t>
  </si>
  <si>
    <t>Veräußerungen</t>
  </si>
  <si>
    <t>Disinvestimenti</t>
  </si>
  <si>
    <t>유형자산 매도</t>
  </si>
  <si>
    <t>현금 인수</t>
  </si>
  <si>
    <t>투자 철수</t>
  </si>
  <si>
    <t>出售/（购买）房地产</t>
  </si>
  <si>
    <t>出售/（購買）房地產</t>
  </si>
  <si>
    <t>Vente (achat) de biens immobiliers</t>
  </si>
  <si>
    <t>出售/（购买）无形资产</t>
  </si>
  <si>
    <t>出售/（購買）無形資產</t>
  </si>
  <si>
    <t>Vente (achat) d'actifs incorporels</t>
  </si>
  <si>
    <t>有价和股权证券投资</t>
  </si>
  <si>
    <t>有價和股權證券投資</t>
  </si>
  <si>
    <t>Investissements en titres négociables et en actions</t>
  </si>
  <si>
    <t>发放/出售的贷款净（增加）减少</t>
  </si>
  <si>
    <t>發放/出售的貸款淨（增加）減少</t>
  </si>
  <si>
    <t>Diminution (augmentation) nette des prêts accordés/vendus</t>
  </si>
  <si>
    <t>其他投资活动</t>
  </si>
  <si>
    <t>其他投資活動</t>
  </si>
  <si>
    <t>Autres activités d'investissement</t>
  </si>
  <si>
    <t>不動産の売却/取得による収入（支出）</t>
  </si>
  <si>
    <t>Продажа (Покупка) объектов недвижимости</t>
  </si>
  <si>
    <t>Venta (compra) de propiedades inmobiliarias</t>
  </si>
  <si>
    <t>無形固定資産の売却/取得による収入（支出）</t>
  </si>
  <si>
    <t>Продажа (Покупка) нематериальных активов</t>
  </si>
  <si>
    <t>Venta (compra) de activos intangibles</t>
  </si>
  <si>
    <t>有価証券の売却/取得による収入(支出)</t>
  </si>
  <si>
    <t>Инвестиции в рыночные и акционерные ценные бумаги</t>
  </si>
  <si>
    <t>Inversión en valores de marketing y capital</t>
  </si>
  <si>
    <t>売却予定の営業貸付金の増減</t>
  </si>
  <si>
    <t>Чистое (Увеличение) Уменьшение выданных/проданных кредитов</t>
  </si>
  <si>
    <t>Aumento/Descenso Neto en Préstamos Originados/Vendidos</t>
  </si>
  <si>
    <t>その他投資活動によるキャッシュフロー</t>
  </si>
  <si>
    <t>Прочая инвестиционная деятельность</t>
  </si>
  <si>
    <t>Otras actividades de inversión</t>
  </si>
  <si>
    <t>Verkauf (Kauf) von Immobilien</t>
  </si>
  <si>
    <t>Vendita (acquisto) di proprietà immobiliari</t>
  </si>
  <si>
    <t>Verkauf (Kauf) von immateriellen Vermögenswerten</t>
  </si>
  <si>
    <t>Vendita (acquisto) di attività immateriali</t>
  </si>
  <si>
    <t>Investments in marktgängige Wertpapiere u. Aktienpapiere</t>
  </si>
  <si>
    <t>Investim. in titoli azionari e commerciab.</t>
  </si>
  <si>
    <t>Netto (Inc.) Abschreibung auf originierte/veräußerte Darlehen</t>
  </si>
  <si>
    <t>Decr (incr.) netto crediti originati/venduti</t>
  </si>
  <si>
    <t>Andere Investitionstätigkeiten</t>
  </si>
  <si>
    <t>Altre attività d'investimento</t>
  </si>
  <si>
    <t>부동산 자산 매도(매입)</t>
  </si>
  <si>
    <t>무형자산 매도(매입)</t>
  </si>
  <si>
    <t>시장성 유가증권 및 지분 증권 투자</t>
  </si>
  <si>
    <t>생성/매도된 순 대출 (증가) 감소</t>
  </si>
  <si>
    <t>기타 투자 활동</t>
  </si>
  <si>
    <t>短期债务发行</t>
  </si>
  <si>
    <t>短期債務發行</t>
  </si>
  <si>
    <t>Dette à court terme émise</t>
  </si>
  <si>
    <t>长期债务发行</t>
  </si>
  <si>
    <t>長期債務發行</t>
  </si>
  <si>
    <t>Dette à long terme émise</t>
  </si>
  <si>
    <t>短期借入金の借入による収入</t>
  </si>
  <si>
    <t>Краткосрочные долговые обязательства, выпущенные</t>
  </si>
  <si>
    <t>Emisión de deuda a corto plazo</t>
  </si>
  <si>
    <t>長期借入金の借入による収入</t>
  </si>
  <si>
    <t>Долгосрочные долговые обязательства, выпущенные</t>
  </si>
  <si>
    <t>Emisión de deuda a largo plazo</t>
  </si>
  <si>
    <t>Ausgegebene kurzfristige Anleihen</t>
  </si>
  <si>
    <t>Debito a breve termine emesso</t>
  </si>
  <si>
    <t>Ausgegebene langfristige Anleihen</t>
  </si>
  <si>
    <t>Debito a lungo termine emesso</t>
  </si>
  <si>
    <t>발행 단기부채</t>
  </si>
  <si>
    <t>발행 장기부채</t>
  </si>
  <si>
    <t>短期债务偿还</t>
  </si>
  <si>
    <t>短期債務償還</t>
  </si>
  <si>
    <t>Remboursement de la dette à court terme</t>
  </si>
  <si>
    <t>长期债务偿还</t>
  </si>
  <si>
    <t>長期債務償還</t>
  </si>
  <si>
    <t>Remboursement de la dette à long terme</t>
  </si>
  <si>
    <t>短期借入金の返済による支出</t>
  </si>
  <si>
    <t>Краткосрочные долговые обязательства, погашенные</t>
  </si>
  <si>
    <t>Deuda a corto plazo Pagada</t>
  </si>
  <si>
    <t>長期借入金の返済による支出</t>
  </si>
  <si>
    <t>Долгосрочные долговые обязательства, погашенные</t>
  </si>
  <si>
    <t>Deuda a largo plazo Pagada</t>
  </si>
  <si>
    <t>Zurückgezahlte kurzfristige Anleihen</t>
  </si>
  <si>
    <t>Debito rimborsato a breve termine</t>
  </si>
  <si>
    <t>Zurückgezahlte langfristige Anleihen</t>
  </si>
  <si>
    <t>Debito a lungo termine rimborsato</t>
  </si>
  <si>
    <t>상환 단기부채</t>
  </si>
  <si>
    <t>상환 장기부채</t>
  </si>
  <si>
    <t>普通股息支付</t>
  </si>
  <si>
    <t>Dividendes communs versés</t>
  </si>
  <si>
    <t>优先股息支付</t>
  </si>
  <si>
    <t>優先股息支付</t>
  </si>
  <si>
    <t>Dividendes privilégiés versés</t>
  </si>
  <si>
    <t>普通股和/或优先股股息支付</t>
  </si>
  <si>
    <t>普通股和/或優先股股息支付</t>
  </si>
  <si>
    <t>Dividendes versés sur les actions ordinaires et/ou privilégiées</t>
  </si>
  <si>
    <t>普通株式にかかる配当金による支出</t>
  </si>
  <si>
    <t>Выплаченные дивиденды по обыкновенным акциям</t>
  </si>
  <si>
    <t>Dividendos comunes pagados</t>
  </si>
  <si>
    <t>優先株式にかかる配当金による支出</t>
  </si>
  <si>
    <t>Выплаченные дивиденды по привилегированным акциям</t>
  </si>
  <si>
    <t>Dividendos preferidos pagados</t>
  </si>
  <si>
    <t>支払われる普通株および/または優先株の配当</t>
  </si>
  <si>
    <t>Выплаченные дивиденды по обыкновенным и/или привилегированным акциям</t>
  </si>
  <si>
    <t>Dividendos de acciones ordinarias y/o preferidas pagadas</t>
  </si>
  <si>
    <t>Auf Stammmaktien gezahlte Dividenden</t>
  </si>
  <si>
    <t>Dividendi ordinari pagati</t>
  </si>
  <si>
    <t>Gezahlte Vorzugsdividenden</t>
  </si>
  <si>
    <t>Dividendi preferiti pagati</t>
  </si>
  <si>
    <t>Gezahlte Stamm- bzw. Vorzugsdividenden</t>
  </si>
  <si>
    <t>Dividendi ordinari e/o privilegiati pagati</t>
  </si>
  <si>
    <t>지급 보통 배당금</t>
  </si>
  <si>
    <t>지급 선호 배당금</t>
  </si>
  <si>
    <t>지급 보통주 및/또는 우선주 배당금</t>
  </si>
  <si>
    <t>已付特别股息</t>
  </si>
  <si>
    <t>已付特別股息</t>
  </si>
  <si>
    <t>Dividende spécial payé</t>
  </si>
  <si>
    <t>其他筹资活动</t>
  </si>
  <si>
    <t>其他籌資活動</t>
  </si>
  <si>
    <t>Autres activités de financement</t>
  </si>
  <si>
    <t>特別配当金による支出</t>
  </si>
  <si>
    <t>Специальный дивиденд, выплаченный</t>
  </si>
  <si>
    <t>Dividendo especial pagado</t>
  </si>
  <si>
    <t>その他財務活動によるキャッシュフロー</t>
  </si>
  <si>
    <t>Прочая финансовая деятельность</t>
  </si>
  <si>
    <t>Otras actividades de financiación</t>
  </si>
  <si>
    <t>Gezahlte Sonderdividenden</t>
  </si>
  <si>
    <t>Dividendi straordinari pagati</t>
  </si>
  <si>
    <t>Andere Finanzierungsaktivitäten</t>
  </si>
  <si>
    <t>Altre attività di finanziamento</t>
  </si>
  <si>
    <t>지급 특별 배당금</t>
  </si>
  <si>
    <t>기타 재무 활동</t>
  </si>
  <si>
    <t>杂项现金流量调整</t>
  </si>
  <si>
    <t>雜項現金流量調整</t>
  </si>
  <si>
    <t>Ajustements divers des flux de trésorerie</t>
  </si>
  <si>
    <t>現金及び現金同等物に係る換算差額</t>
  </si>
  <si>
    <t>Корректировки ставок обменного курса</t>
  </si>
  <si>
    <t>Ajustes de los tipos de cambio</t>
  </si>
  <si>
    <t>その他のキャッシュフロー調整</t>
  </si>
  <si>
    <t>Прочие корректировки денежных потоков</t>
  </si>
  <si>
    <t>Miscelaneos Ajustes del flujo de efectivo</t>
  </si>
  <si>
    <t>Sonstige Cashflow-Anpassungen</t>
  </si>
  <si>
    <t>Varie rettifiche flussi di cassa</t>
  </si>
  <si>
    <t>기타 현금흐름 조정</t>
  </si>
  <si>
    <t>现金及约当现金</t>
  </si>
  <si>
    <t>現金及約當現金</t>
  </si>
  <si>
    <t>Trésorerie et équivalents de trésorerie</t>
  </si>
  <si>
    <t>Bargelt und Zahlungsmitteläquivalente</t>
  </si>
  <si>
    <t>Disponibilità liquide e mezzi equivalenti</t>
  </si>
  <si>
    <t>現金同等物</t>
  </si>
  <si>
    <t>Денежные средства и их эквиваленты</t>
  </si>
  <si>
    <t>Efectivo y equivalentes al efectivo</t>
  </si>
  <si>
    <t>현금 및 현금성자산</t>
  </si>
  <si>
    <t>应收账款总额 </t>
  </si>
  <si>
    <t>應收賬款總額 </t>
  </si>
  <si>
    <t>Total Créances</t>
  </si>
  <si>
    <t>Forderungen insgesamt</t>
  </si>
  <si>
    <t>Totale crediti</t>
  </si>
  <si>
    <t>未収金合計</t>
  </si>
  <si>
    <t>Всего дебиторской задолженности</t>
  </si>
  <si>
    <t>Total de cuentas por cobrar</t>
  </si>
  <si>
    <t>미수금합계</t>
  </si>
  <si>
    <t>其他流动资产</t>
  </si>
  <si>
    <t>其他流動資産</t>
  </si>
  <si>
    <t>Autres actifs courants</t>
  </si>
  <si>
    <t>Sonstige kurzfristige Vermögenswerte</t>
  </si>
  <si>
    <t>Altre attività correnti</t>
  </si>
  <si>
    <t>その他の流動資産</t>
  </si>
  <si>
    <t>Другие текущие активы</t>
  </si>
  <si>
    <t>Otros activos corrientes</t>
  </si>
  <si>
    <t>기타 유동자산</t>
  </si>
  <si>
    <t>流动资产总额</t>
  </si>
  <si>
    <t>流動資産總額</t>
  </si>
  <si>
    <t>TOTAL DE L’ACTIF COURANT</t>
  </si>
  <si>
    <t>Kurzfristige Vermögenswerte insgesamt</t>
  </si>
  <si>
    <t>Totale attività correnti</t>
  </si>
  <si>
    <t>流動資産合計</t>
  </si>
  <si>
    <t>Всего текущих активов</t>
  </si>
  <si>
    <t>Total de activos corrientes</t>
  </si>
  <si>
    <t>총 유동자산</t>
  </si>
  <si>
    <t xml:space="preserve"> 房产, 厂房及设备净值</t>
  </si>
  <si>
    <t xml:space="preserve"> 房産, 廠房及設備淨值</t>
  </si>
  <si>
    <t>Immobilisations corporelles nettes</t>
  </si>
  <si>
    <t>Netto Sachanlagen</t>
  </si>
  <si>
    <t>Immobili, impianti e attrezzature netti</t>
  </si>
  <si>
    <t>純有形固定資産</t>
  </si>
  <si>
    <t>Чистые основные средства</t>
  </si>
  <si>
    <t>Propiedad, Planta y Equipo, neto</t>
  </si>
  <si>
    <t>순 고정자산</t>
  </si>
  <si>
    <t>Total de l'actif</t>
  </si>
  <si>
    <t>Gesamte Vermögenswerte</t>
  </si>
  <si>
    <t>Totale attività</t>
  </si>
  <si>
    <t>資産合計</t>
  </si>
  <si>
    <t>Всего активов</t>
  </si>
  <si>
    <t>Total de activos</t>
  </si>
  <si>
    <t>총 자산</t>
  </si>
  <si>
    <t>应付账款</t>
  </si>
  <si>
    <t>應付賬款</t>
  </si>
  <si>
    <t>Comptes fournisseurs</t>
  </si>
  <si>
    <t>Abbrechnungsverbindlichkeiten</t>
  </si>
  <si>
    <t>Conti debitori</t>
  </si>
  <si>
    <t>仕入債務</t>
  </si>
  <si>
    <t>Кредиторская задолженность</t>
  </si>
  <si>
    <t>Cuentas por pagar</t>
  </si>
  <si>
    <t xml:space="preserve">미지급금 </t>
  </si>
  <si>
    <t>长期债务(当期)</t>
  </si>
  <si>
    <t>長期債務(當期)</t>
  </si>
  <si>
    <t>Tranche à court terme de la dette à long terme</t>
  </si>
  <si>
    <t>Derzeitiger Teil der langfristigen Schulden</t>
  </si>
  <si>
    <t>Parte corrente del debito a lungo termine</t>
  </si>
  <si>
    <t>一年内償還予定の長期有利子負債</t>
  </si>
  <si>
    <t>Текущая часть долгосрочной задолженности</t>
  </si>
  <si>
    <t>Porción corriente de la deuda a largo plazo</t>
  </si>
  <si>
    <t>유동 장기부채</t>
  </si>
  <si>
    <t>其他流动负债</t>
  </si>
  <si>
    <t>其他流動負債</t>
  </si>
  <si>
    <t>Autres passifs à court terme</t>
  </si>
  <si>
    <t>Sonstige kurzfristige Verbindlichkeiten</t>
  </si>
  <si>
    <t>Altre passività correnti</t>
  </si>
  <si>
    <t>その他の流動負債</t>
  </si>
  <si>
    <t>Прочие текущие обязательства</t>
  </si>
  <si>
    <t>Otros pasivos corrientes</t>
  </si>
  <si>
    <t>기타 유동 부채</t>
  </si>
  <si>
    <t> 流动负债总额 </t>
  </si>
  <si>
    <t> 流動負債總額 </t>
  </si>
  <si>
    <t>Total des passifs à court terme</t>
  </si>
  <si>
    <t>Kurzfristige Verbindlichkeiten insgesamt</t>
  </si>
  <si>
    <t>Totale passività correnti</t>
  </si>
  <si>
    <t>流動負債合計</t>
  </si>
  <si>
    <t>Всего текущих обязательств</t>
  </si>
  <si>
    <t>Total pasivos corrientes</t>
  </si>
  <si>
    <t>총 유동 부채</t>
  </si>
  <si>
    <t>长期债务</t>
  </si>
  <si>
    <t>長期債務</t>
  </si>
  <si>
    <t>Dette à long terme</t>
  </si>
  <si>
    <t>Langfristige Schulden</t>
  </si>
  <si>
    <t>Debito a lungo termine</t>
  </si>
  <si>
    <t>長期有利子負債</t>
  </si>
  <si>
    <t>Долгосрочные обязательств</t>
  </si>
  <si>
    <t>Deuda a largo plazo</t>
  </si>
  <si>
    <t>长期租赁</t>
  </si>
  <si>
    <t>長期租賃</t>
  </si>
  <si>
    <t>Baux à long terme</t>
  </si>
  <si>
    <t>Langfristige Mietverträge</t>
  </si>
  <si>
    <t>Locazioni a lungo termine</t>
  </si>
  <si>
    <t>長期リース</t>
  </si>
  <si>
    <t>Долгосрочный лизинг</t>
  </si>
  <si>
    <t>Arrendamientos a largo plazo</t>
  </si>
  <si>
    <t>장기 리스</t>
  </si>
  <si>
    <t>其他非流动负债</t>
  </si>
  <si>
    <t>其他非流動負債</t>
  </si>
  <si>
    <t>AUTRES PASSIFS NON COURANTS</t>
  </si>
  <si>
    <t>Andere langfristige Verbindlichkeiten</t>
  </si>
  <si>
    <t>Altre passività non correnti</t>
  </si>
  <si>
    <t>その他固定負債</t>
  </si>
  <si>
    <t>Прочие внеоборотные обязательства</t>
  </si>
  <si>
    <t>Otros pasivos no corrientes</t>
  </si>
  <si>
    <t>기타 비유동부채</t>
  </si>
  <si>
    <t> 总负债 </t>
  </si>
  <si>
    <t> 總負債 </t>
  </si>
  <si>
    <t>Total Du Passif Avoir</t>
  </si>
  <si>
    <t>Verbindlichkeiten insgesamt</t>
  </si>
  <si>
    <t>Totale passività</t>
  </si>
  <si>
    <t>負債合計</t>
  </si>
  <si>
    <t>Всего обязательств</t>
  </si>
  <si>
    <t>Total de pasivos</t>
  </si>
  <si>
    <t>총 부채</t>
  </si>
  <si>
    <t>所得税费用</t>
  </si>
  <si>
    <t>所得稅費用</t>
  </si>
  <si>
    <t>Charge d'impôts sur les bénéfices</t>
  </si>
  <si>
    <t>Ertragsteueraufwand</t>
  </si>
  <si>
    <t>Imposte sul reddito</t>
  </si>
  <si>
    <t>税金費用（法人税等調整額含む）</t>
  </si>
  <si>
    <t>Расходы по подоходному налогу</t>
  </si>
  <si>
    <t>Gasto por impuesto a las ganancias</t>
  </si>
  <si>
    <t>법인세비용</t>
  </si>
  <si>
    <t>持续经营收入</t>
  </si>
  <si>
    <t>持續經營收入</t>
  </si>
  <si>
    <t>Bénéfice provenant des activités poursuivies</t>
  </si>
  <si>
    <t>Ergebnis aus fortgeführten Aktivitäten</t>
  </si>
  <si>
    <t>Risultato delle attività in funzionamento</t>
  </si>
  <si>
    <t>継続事業に掛かる当期純利益</t>
  </si>
  <si>
    <t>ПРИБЫЛЬ от продолжающейся деятельности</t>
  </si>
  <si>
    <t>Ingresos de operaciones continuadas</t>
  </si>
  <si>
    <t xml:space="preserve">계속사업이익 </t>
  </si>
  <si>
    <t xml:space="preserve">税前收益(包括非经常性项目) </t>
  </si>
  <si>
    <t xml:space="preserve">稅前收益(包括非經常性項目) </t>
  </si>
  <si>
    <t>EBT y compris élément exceptionnel</t>
  </si>
  <si>
    <t>EBT inklusive Ungewöhnliche Posten</t>
  </si>
  <si>
    <t>EBT (al lordo delle voci non ricorrenti)</t>
  </si>
  <si>
    <t>税引前当期純利益（特別損益調整後）</t>
  </si>
  <si>
    <t>EBT до вычета чрезвычайных статей</t>
  </si>
  <si>
    <t>Ganancias antes de impuestos, incluyendo partidas no recurrentes</t>
  </si>
  <si>
    <t>비정상적 항목을 포함한 EBT</t>
  </si>
  <si>
    <t>其他非经常性项目</t>
  </si>
  <si>
    <t>其他非經常性項目</t>
  </si>
  <si>
    <t>Autres éléments inhabituels</t>
  </si>
  <si>
    <t>Sonstige ungewöhnliche Posten</t>
  </si>
  <si>
    <t>Altre componenti non usuali</t>
  </si>
  <si>
    <t>その他営業外費用/特別損失</t>
  </si>
  <si>
    <t>Другие неординарные статьиДоля миноритариев в прибыли</t>
  </si>
  <si>
    <t>Otros artículos no habituales</t>
  </si>
  <si>
    <t>기타 특이 항목</t>
  </si>
  <si>
    <t>非经常项目和会计政策变更</t>
  </si>
  <si>
    <t>非經常項目和會計政策變化</t>
  </si>
  <si>
    <t>Postes extraordinaires et changement de comptabilité</t>
  </si>
  <si>
    <t>Außerordentliche Posten &amp; Buchführungsänderung</t>
  </si>
  <si>
    <t>Variazione componenti straordin. e conti</t>
  </si>
  <si>
    <t>その他異常損益項目</t>
  </si>
  <si>
    <t>Прочие расходы, включая налоги</t>
  </si>
  <si>
    <t>Artículos Extraordinarios y Modificaciones Contables</t>
  </si>
  <si>
    <t>특별 항목 및 계정 변경</t>
  </si>
  <si>
    <t>优先股股利及其他调整</t>
  </si>
  <si>
    <t>優先股股利及其他調整</t>
  </si>
  <si>
    <t>Dividendes préférentiels et autres ajustements</t>
  </si>
  <si>
    <t>Vorzugsdividenden und sonstige Bereinigungen</t>
  </si>
  <si>
    <t>Dividendi privil. e altre rettif.</t>
  </si>
  <si>
    <t>優先株式に対して支払う配当金額</t>
  </si>
  <si>
    <t xml:space="preserve">ОТЧЁТ О ДОХОДАХ </t>
  </si>
  <si>
    <t>Dividendos preferentes y otros ajustes</t>
  </si>
  <si>
    <t>우선 배당금 및 기타 조정</t>
  </si>
  <si>
    <t>普通股本净收入(包括非经常性项目)  </t>
  </si>
  <si>
    <t>普通股本淨收入(包括非經常性項目)  </t>
  </si>
  <si>
    <t>Bénéfice net pour les actions ordinaires y compris éléments supplémentaires</t>
  </si>
  <si>
    <t>Stammaktionären zur Verfügung stehendes Jahresergebnis Inklusive Sonderposten</t>
  </si>
  <si>
    <t>NI a ordinarie (al lordo delle voci non ricorrenti)</t>
  </si>
  <si>
    <t>当期純利益 (非継続事業からの損益等の異常項目を含む)</t>
  </si>
  <si>
    <t>Чистый доход к обыкновенным акциям, до вычета чрезвычайных статей</t>
  </si>
  <si>
    <t>Ingresos netos disponibles para los accionistas comunes incluyendo partidas extraordinarias</t>
  </si>
  <si>
    <t xml:space="preserve">보통주 귀속 당기순이익 (특별손익 포함) </t>
  </si>
  <si>
    <t>普通股本净收入(不包括非经常性项目) </t>
  </si>
  <si>
    <t>普通股本淨收入(不包括非經常性項目) </t>
  </si>
  <si>
    <t>Bénéfice net pour les actions ordinaires hors éléments supplémentaires</t>
  </si>
  <si>
    <t>Stammaktionären zur Verfügung stehendes Jahresergebnis ohne Sonderposten</t>
  </si>
  <si>
    <t>NI a ordinarie (al netto delle voci non ricorrenti)</t>
  </si>
  <si>
    <t>当期純利益 (非継続事業からの損益等の異常項目を除く)</t>
  </si>
  <si>
    <t>Чистый доход к обыкновенным акциям, за вычетом чрезвычайных статей</t>
  </si>
  <si>
    <t>Ingresos netos disponibles para los accionistas comunes excluyendo partidas extraordinarias</t>
  </si>
  <si>
    <t>보통주 귀속 당기순이익 (특별손익 제외)</t>
  </si>
  <si>
    <t>补充项目</t>
  </si>
  <si>
    <t>補充項目</t>
  </si>
  <si>
    <t>Points supplémentaires</t>
  </si>
  <si>
    <t>Zusätzliche Abrechnungsposten</t>
  </si>
  <si>
    <t>Componenti integrative</t>
  </si>
  <si>
    <t>注記項目</t>
  </si>
  <si>
    <t>Дополнительные статьи</t>
  </si>
  <si>
    <t>Artículos suplementarios</t>
  </si>
  <si>
    <t>보충 항목</t>
  </si>
  <si>
    <t>资产</t>
  </si>
  <si>
    <t>資產</t>
  </si>
  <si>
    <t>Actifs</t>
  </si>
  <si>
    <t>Aktiva</t>
  </si>
  <si>
    <t>Attività</t>
  </si>
  <si>
    <t>資産</t>
  </si>
  <si>
    <t>Активы</t>
  </si>
  <si>
    <t>Activos</t>
  </si>
  <si>
    <t>자산</t>
  </si>
  <si>
    <t>短期投资</t>
  </si>
  <si>
    <t>短期投資</t>
  </si>
  <si>
    <t>Investissements à court terme</t>
  </si>
  <si>
    <t>Kurzfristige Investitionen</t>
  </si>
  <si>
    <t>Investimenti a breve termine</t>
  </si>
  <si>
    <t>有価証券</t>
  </si>
  <si>
    <t>Краткосрочные инвестиции</t>
  </si>
  <si>
    <t>Inversiones a corto plazo</t>
  </si>
  <si>
    <t>단기 투자</t>
  </si>
  <si>
    <t>总现金及短期投资</t>
  </si>
  <si>
    <t>總現金及短期投資</t>
  </si>
  <si>
    <t>Total Cash &amp; ST Investissements</t>
  </si>
  <si>
    <t>Bargeld &amp; ST-Investitionen insgesamt</t>
  </si>
  <si>
    <t>Totale cassa ed investimenti a breve termine</t>
  </si>
  <si>
    <t>現金及び短期投資</t>
  </si>
  <si>
    <t>Всего Денежных средств и краткосрочных вложений</t>
  </si>
  <si>
    <t>Total efectivo e inversiones a corto plazo</t>
  </si>
  <si>
    <t>총 현금 및 단기 금융상품</t>
  </si>
  <si>
    <t>应收账款</t>
  </si>
  <si>
    <t>應收賬款</t>
  </si>
  <si>
    <t>Comptes d'encaissement créditeurs</t>
  </si>
  <si>
    <t>Forderungen</t>
  </si>
  <si>
    <t>Crediti verso clienti</t>
  </si>
  <si>
    <t>売掛金</t>
  </si>
  <si>
    <t>Дебиторская задолженность</t>
  </si>
  <si>
    <t>Cuentas por cobrar</t>
  </si>
  <si>
    <t>매출채권</t>
  </si>
  <si>
    <t>其他应收账款</t>
  </si>
  <si>
    <t>其他應收款</t>
  </si>
  <si>
    <t>Autres créances</t>
  </si>
  <si>
    <t>Sonstige Forderungen</t>
  </si>
  <si>
    <t>Altri crediti</t>
  </si>
  <si>
    <t>その他手形</t>
  </si>
  <si>
    <t>Прочая дебиторская задолженность</t>
  </si>
  <si>
    <t>Otras cuentas por cobrar</t>
  </si>
  <si>
    <t>기타 미수금</t>
  </si>
  <si>
    <t>应收票据</t>
  </si>
  <si>
    <t>應收票據</t>
  </si>
  <si>
    <t>Effets à recevoir</t>
  </si>
  <si>
    <t>Wechselforderungen</t>
  </si>
  <si>
    <t>Titoli da ricevere</t>
  </si>
  <si>
    <t>受取手形</t>
  </si>
  <si>
    <t>Дебиторские векселя</t>
  </si>
  <si>
    <t>Notas por cobrar</t>
  </si>
  <si>
    <t>수취어음</t>
  </si>
  <si>
    <t>存货</t>
  </si>
  <si>
    <t>存貨</t>
  </si>
  <si>
    <t>État des stocks</t>
  </si>
  <si>
    <t>Lagerbestand</t>
  </si>
  <si>
    <t>Inventario</t>
  </si>
  <si>
    <t>棚卸資産</t>
  </si>
  <si>
    <t>Запасы</t>
  </si>
  <si>
    <t>재고자산</t>
  </si>
  <si>
    <t>预付费用</t>
  </si>
  <si>
    <t>預付費用</t>
  </si>
  <si>
    <t>Frais payés d'avance</t>
  </si>
  <si>
    <t>Rechnungsabgrenzungsposten</t>
  </si>
  <si>
    <t>Risconti attivi</t>
  </si>
  <si>
    <t>前払費用</t>
  </si>
  <si>
    <t>Предоплаченные расходы</t>
  </si>
  <si>
    <t>Gastos prepagados</t>
  </si>
  <si>
    <t>선불 비용</t>
  </si>
  <si>
    <t>房地产, 厂房及设备总值</t>
  </si>
  <si>
    <t>總地產,工廠及設備</t>
  </si>
  <si>
    <t>Immobilisations corporelles brutes</t>
  </si>
  <si>
    <t>Anlagevermögen</t>
  </si>
  <si>
    <t>Immobili, impianti e macchinari, lordi</t>
  </si>
  <si>
    <t>有形固定資産（総額）</t>
  </si>
  <si>
    <t>Валовые основные средства</t>
  </si>
  <si>
    <t>Propiedad, planta y equipo brutos</t>
  </si>
  <si>
    <t>총 부동산, 플랜트 및 장비</t>
  </si>
  <si>
    <t>累积折旧</t>
  </si>
  <si>
    <t>累積折舊</t>
  </si>
  <si>
    <t>Amortissement cumulé</t>
  </si>
  <si>
    <t>Aufgelaufene Abschreibungen</t>
  </si>
  <si>
    <t>Fondo ammortamenti</t>
  </si>
  <si>
    <t>減価償却費累計額</t>
  </si>
  <si>
    <t>Накопленная амортизация</t>
  </si>
  <si>
    <t>Depreciación acumulada</t>
  </si>
  <si>
    <t>감가상각누계</t>
  </si>
  <si>
    <t>长期投资</t>
  </si>
  <si>
    <t>長期投資</t>
  </si>
  <si>
    <t>Investissement à long terme</t>
  </si>
  <si>
    <t>Langfristige Beteiligungen</t>
  </si>
  <si>
    <t>Investimenti a lungo termine</t>
  </si>
  <si>
    <t xml:space="preserve">Долгосрочные вложения </t>
  </si>
  <si>
    <t>Inversiones a largo plazo</t>
  </si>
  <si>
    <t xml:space="preserve">장기 금융상품 </t>
  </si>
  <si>
    <t>商誉</t>
  </si>
  <si>
    <t>商譽</t>
  </si>
  <si>
    <t>Fonds de commerce</t>
  </si>
  <si>
    <t>Avviamento</t>
  </si>
  <si>
    <t>のれん</t>
  </si>
  <si>
    <t xml:space="preserve">Гудвилл </t>
  </si>
  <si>
    <t>Fondo de Comercio</t>
  </si>
  <si>
    <t>영업권</t>
  </si>
  <si>
    <t>其他无形资产</t>
  </si>
  <si>
    <t>其他無形資產</t>
  </si>
  <si>
    <t>Autres actifs incorporels</t>
  </si>
  <si>
    <t>Sonstige Immaterielle Anlagewerte</t>
  </si>
  <si>
    <t>Altre attività immateriali</t>
  </si>
  <si>
    <t>その他無形固定資産</t>
  </si>
  <si>
    <t>Другие нематериальные активы</t>
  </si>
  <si>
    <t>Otros intangibles</t>
  </si>
  <si>
    <t>기타 무형자산</t>
  </si>
  <si>
    <t>长期递延所得税资产</t>
  </si>
  <si>
    <t>長期遞延所得稅資產</t>
  </si>
  <si>
    <t>Actifs d'impôt différé, à long terme</t>
  </si>
  <si>
    <t>Latente Steuerforderungen, langfristig</t>
  </si>
  <si>
    <t>Imposte differite attive, lungo termine</t>
  </si>
  <si>
    <t>繰延税金資産（長期）</t>
  </si>
  <si>
    <t>Отложенные налоговые активы, долгосрочные</t>
  </si>
  <si>
    <t>Activos de impuestos diferidos, a largo plazo</t>
  </si>
  <si>
    <t>이연세금 자산, LT</t>
  </si>
  <si>
    <t>长期递延费用</t>
  </si>
  <si>
    <t>長期遞延費用</t>
  </si>
  <si>
    <t>Charges différées, à long terme</t>
  </si>
  <si>
    <t>Abgrenzungsposten, langfristig</t>
  </si>
  <si>
    <t>Costi differiti, lungo termine</t>
  </si>
  <si>
    <t>繰延資産</t>
  </si>
  <si>
    <t>Отложенные платежи, долгосрочные</t>
  </si>
  <si>
    <t>Cargos diferidos, a largo plazo</t>
  </si>
  <si>
    <t>거치비용, LT</t>
  </si>
  <si>
    <t>其他长期资产</t>
  </si>
  <si>
    <t>其他長期資産</t>
  </si>
  <si>
    <t>Autres actifs à long terme</t>
  </si>
  <si>
    <t>Sonstige Langfristige Beteiligungen</t>
  </si>
  <si>
    <t>Altre attività a lungo termine</t>
  </si>
  <si>
    <t>その他固定資産</t>
  </si>
  <si>
    <t>Прочие долгосрочные активы</t>
  </si>
  <si>
    <t>Otros activos a largo plazo</t>
  </si>
  <si>
    <t>기타장기자산</t>
  </si>
  <si>
    <t>负债</t>
  </si>
  <si>
    <t>負債</t>
  </si>
  <si>
    <t>Passifs</t>
  </si>
  <si>
    <t>Passiva</t>
  </si>
  <si>
    <t>Passività</t>
  </si>
  <si>
    <t>Обязательства</t>
  </si>
  <si>
    <t>Pasivos</t>
  </si>
  <si>
    <t>부채</t>
  </si>
  <si>
    <t>应计费用</t>
  </si>
  <si>
    <t>應計費用</t>
  </si>
  <si>
    <t>Frais courus</t>
  </si>
  <si>
    <t>Angefallene Kosten</t>
  </si>
  <si>
    <t>Ratei passivi</t>
  </si>
  <si>
    <t>未払費用</t>
  </si>
  <si>
    <t>Начисленные расходы</t>
  </si>
  <si>
    <t>Gastos acumulados</t>
  </si>
  <si>
    <t>누적 비용</t>
  </si>
  <si>
    <t>短期借贷</t>
  </si>
  <si>
    <t>短期借貸</t>
  </si>
  <si>
    <t>Emprunts à court terme</t>
  </si>
  <si>
    <t>Kurzfristige Darlehen</t>
  </si>
  <si>
    <t>Finanziamenti a breve termine</t>
  </si>
  <si>
    <t>短期借入金</t>
  </si>
  <si>
    <t>Краткосрочные кредиты</t>
  </si>
  <si>
    <t>Préstamos a corto plazo</t>
  </si>
  <si>
    <t>단기차입금</t>
  </si>
  <si>
    <t>应付所得税(当期)</t>
  </si>
  <si>
    <t>應付所得稅(當期)</t>
  </si>
  <si>
    <t>Impôts courants sur le revenu à payer</t>
  </si>
  <si>
    <t>Kurzfristige Ertragssteuerverbindlichkeiten</t>
  </si>
  <si>
    <t>Imposte sul reddito corr. dovute</t>
  </si>
  <si>
    <t>短期未払法人税・住民税・事業税等</t>
  </si>
  <si>
    <t>Текущий подоходный налог подлежащий уплате</t>
  </si>
  <si>
    <t>Impuestos actuales sobre la renta a pagar</t>
  </si>
  <si>
    <t>LT 채무/리스의 미지급소득세</t>
  </si>
  <si>
    <t>预收收入(当期)</t>
  </si>
  <si>
    <t>預收收入(當期)</t>
  </si>
  <si>
    <t>Recettes non acquises, courant</t>
  </si>
  <si>
    <t>Nicht geleisteter Umsatz, kurzfristig</t>
  </si>
  <si>
    <t>Ricavi non acquisti, correnti</t>
  </si>
  <si>
    <t>短期前受収益</t>
  </si>
  <si>
    <t>Незаработанный доход, текущий</t>
  </si>
  <si>
    <t>Ingresos no devengados, actuales</t>
  </si>
  <si>
    <t>선수수익, 현재</t>
  </si>
  <si>
    <t>退休金及其他退休后利益</t>
  </si>
  <si>
    <t>退休金及其他退休後利益</t>
  </si>
  <si>
    <t>Pensions et autres bénéfices post-retraite</t>
  </si>
  <si>
    <t>Pensionen und sonstige Ruhestandsvereinbarungen</t>
  </si>
  <si>
    <t>Benefici pensionistici e altri benefici post-pensionamento</t>
  </si>
  <si>
    <t>退職給付引当金</t>
  </si>
  <si>
    <t>Пенсионные и другие послепенсионные пособия</t>
  </si>
  <si>
    <t>Pensión y otras prestaciones posteriores a la jubilación</t>
  </si>
  <si>
    <t>연금 및 기타 퇴직후 혜택</t>
  </si>
  <si>
    <t>非短期递延所得税负债</t>
  </si>
  <si>
    <t>非短期遞延所得稅負債</t>
  </si>
  <si>
    <t>Obligation fiscale différée, non courante.</t>
  </si>
  <si>
    <t>Latente Steuerverpflichtung, langfristig</t>
  </si>
  <si>
    <t>Passiv. fiscali differite, non corr.</t>
  </si>
  <si>
    <t>繰延税金負債（長期）</t>
  </si>
  <si>
    <t>Обязательства по отсроченному налогообложению, долгосрочные.</t>
  </si>
  <si>
    <t>Responsabilidad fiscal diferida, no corriente.</t>
  </si>
  <si>
    <t>이연세금 책임, 비유동</t>
  </si>
  <si>
    <t>普通股</t>
  </si>
  <si>
    <t>Actions ordinaires</t>
  </si>
  <si>
    <t>Stammaktien</t>
  </si>
  <si>
    <t>Azioni ordinarie</t>
  </si>
  <si>
    <t>普通株</t>
  </si>
  <si>
    <t>Обыкновенные акции</t>
  </si>
  <si>
    <t>Acciones Comunes</t>
  </si>
  <si>
    <t>보통주</t>
  </si>
  <si>
    <t>额外实收资本</t>
  </si>
  <si>
    <t>額外實收資本</t>
  </si>
  <si>
    <t>Capital supplémentaire versé</t>
  </si>
  <si>
    <t>Zusätzlich eingezahltes Kapital</t>
  </si>
  <si>
    <t>Capitale versato aggiuntivo</t>
  </si>
  <si>
    <t>資本剰余金</t>
  </si>
  <si>
    <t>Дополнительный оплачиваемый капитал</t>
  </si>
  <si>
    <t>Capital adicional pagado</t>
  </si>
  <si>
    <t>추가 납입자본</t>
  </si>
  <si>
    <t>保留盈利</t>
  </si>
  <si>
    <t>Bénéfices non distribués</t>
  </si>
  <si>
    <t>Einbehaltene Gewinne</t>
  </si>
  <si>
    <t>Utili non distribuiti</t>
  </si>
  <si>
    <t>自己留保</t>
  </si>
  <si>
    <t>Нераспределенная прибыль</t>
  </si>
  <si>
    <t>Ganancias retenidas</t>
  </si>
  <si>
    <t>유보 이익</t>
  </si>
  <si>
    <t>综合收益和其他</t>
  </si>
  <si>
    <t>綜合收益和其他</t>
  </si>
  <si>
    <t>Résultat global et autres</t>
  </si>
  <si>
    <t>Konzerngesamtergebnis und Sonstige</t>
  </si>
  <si>
    <t>Altre componenti reddituali</t>
  </si>
  <si>
    <t>その他株主資本</t>
  </si>
  <si>
    <t>Полный доход и прочие</t>
  </si>
  <si>
    <t>Ingresos comprensivos y otros</t>
  </si>
  <si>
    <t>종합 Inc. 및 기타</t>
  </si>
  <si>
    <t> 普通股总数</t>
  </si>
  <si>
    <t> 普通股總數</t>
  </si>
  <si>
    <t>Total des capitaux propres ordinaires</t>
  </si>
  <si>
    <t>Eigenkapital insgesamt</t>
  </si>
  <si>
    <t>Totale capitale primario</t>
  </si>
  <si>
    <t>株主資本</t>
  </si>
  <si>
    <t>Всего обыкновенных акций</t>
  </si>
  <si>
    <t>Total de acciones comunes</t>
  </si>
  <si>
    <t>총 보통주</t>
  </si>
  <si>
    <t>总权益</t>
  </si>
  <si>
    <t>總權益</t>
  </si>
  <si>
    <t>Total des capitaux propres</t>
  </si>
  <si>
    <t>Gesamtes Eigenmittel</t>
  </si>
  <si>
    <t>Totale patrimonio</t>
  </si>
  <si>
    <t>純資産</t>
  </si>
  <si>
    <t>Всего собственного капитала</t>
  </si>
  <si>
    <t>Total de patrimonio</t>
  </si>
  <si>
    <t>자본총계</t>
  </si>
  <si>
    <t>总负债和总权益 </t>
  </si>
  <si>
    <t>總負債和總權益 </t>
  </si>
  <si>
    <t>TOTAL DU PASSIF ET DE L'AVOIR</t>
  </si>
  <si>
    <t>Gesamtverbindlichkeiten und Eigenkapital</t>
  </si>
  <si>
    <t>Totale passività e equity</t>
  </si>
  <si>
    <t>総負債及び資本合計</t>
  </si>
  <si>
    <t>Всего обязательств и собственного капитала</t>
  </si>
  <si>
    <t>Total de pasivos y patrimonio</t>
  </si>
  <si>
    <t>총 부채 및 자본</t>
  </si>
  <si>
    <t>原材料存货</t>
  </si>
  <si>
    <t>原材料存貨</t>
  </si>
  <si>
    <t>Inventaire des matières premières</t>
  </si>
  <si>
    <t>Rohstoffbestand</t>
  </si>
  <si>
    <t>Scorte materie prime</t>
  </si>
  <si>
    <t>原材料</t>
  </si>
  <si>
    <t xml:space="preserve">Инвентаризация сырья </t>
  </si>
  <si>
    <t>Inventario de materias primas</t>
  </si>
  <si>
    <t>원자재 재고자산</t>
  </si>
  <si>
    <t>在产品存货</t>
  </si>
  <si>
    <t>在製品存貨</t>
  </si>
  <si>
    <t>Inventaire des travaux en cours</t>
  </si>
  <si>
    <t>Umlaufbestand</t>
  </si>
  <si>
    <t>Scorte prodotti in corso di lavorazione</t>
  </si>
  <si>
    <t>仕掛品</t>
  </si>
  <si>
    <t>Инвентаризация незавершенного производства</t>
  </si>
  <si>
    <t>Inventario de trabajos en curso</t>
  </si>
  <si>
    <t>재공품 재고자산</t>
  </si>
  <si>
    <t>制成品存货</t>
  </si>
  <si>
    <t>製成品存貨</t>
  </si>
  <si>
    <t>Inventaire des produits finis</t>
  </si>
  <si>
    <t>Fertigwarenlager</t>
  </si>
  <si>
    <t>Scorte prodotti finiti</t>
  </si>
  <si>
    <t>製品・商品</t>
  </si>
  <si>
    <t>Инвентаризация готовой продукции</t>
  </si>
  <si>
    <t>Inventario de productos terminados</t>
  </si>
  <si>
    <t>완제품 재고자산</t>
  </si>
  <si>
    <t>其他存货户口</t>
  </si>
  <si>
    <t>其他存貨戶口</t>
  </si>
  <si>
    <t>Autres comptes d'inventaire</t>
  </si>
  <si>
    <t>Sonstige Bestandskonten</t>
  </si>
  <si>
    <t>Altri conti di inventario</t>
  </si>
  <si>
    <t>その他棚卸資産</t>
  </si>
  <si>
    <t>Прочие инвентарные счета</t>
  </si>
  <si>
    <t>Otras cuentas de inventario</t>
  </si>
  <si>
    <t>기타 재고 계정</t>
  </si>
  <si>
    <t>土地</t>
  </si>
  <si>
    <t>Terrain</t>
  </si>
  <si>
    <t>Terreni</t>
  </si>
  <si>
    <t>Земля</t>
  </si>
  <si>
    <t>Tierra</t>
  </si>
  <si>
    <t>토지</t>
  </si>
  <si>
    <t>建筑物</t>
  </si>
  <si>
    <t>建築物</t>
  </si>
  <si>
    <t>Bâtiments</t>
  </si>
  <si>
    <t>Gebäude</t>
  </si>
  <si>
    <t>Fabbricati</t>
  </si>
  <si>
    <t>建物</t>
  </si>
  <si>
    <t>Здания</t>
  </si>
  <si>
    <t>Edificios</t>
  </si>
  <si>
    <t>건물</t>
  </si>
  <si>
    <t>机器</t>
  </si>
  <si>
    <t>機器</t>
  </si>
  <si>
    <t>Machines</t>
  </si>
  <si>
    <t>Ausrüstung</t>
  </si>
  <si>
    <t>Macchinari</t>
  </si>
  <si>
    <t>機械</t>
  </si>
  <si>
    <t>Оборудование</t>
  </si>
  <si>
    <t>Maquinaria</t>
  </si>
  <si>
    <t>기계</t>
  </si>
  <si>
    <t>全职员工人数</t>
  </si>
  <si>
    <t>全職員工人數</t>
  </si>
  <si>
    <t>Employés à plein temps</t>
  </si>
  <si>
    <t>Vollzeitbeschäftigte</t>
  </si>
  <si>
    <t>Dipendenti a tempo pieno</t>
  </si>
  <si>
    <t>正規の従業員数</t>
  </si>
  <si>
    <t>Постоянные сотрудники</t>
  </si>
  <si>
    <t>Empleados a tiempo completo</t>
  </si>
  <si>
    <t>정규직 종업원</t>
  </si>
  <si>
    <t>KENNZAHLEN</t>
  </si>
  <si>
    <t>COEFFICIENTI</t>
  </si>
  <si>
    <t>財務レシオ</t>
  </si>
  <si>
    <t>КОЭФФИЦИЕНТЫ</t>
  </si>
  <si>
    <t>利润分析</t>
  </si>
  <si>
    <t>利潤分析</t>
  </si>
  <si>
    <t>Analyse de marge</t>
  </si>
  <si>
    <t>Margenanalyse</t>
  </si>
  <si>
    <t>Analisi del margine</t>
  </si>
  <si>
    <t>マージン分析</t>
  </si>
  <si>
    <t>Анализ маржи</t>
  </si>
  <si>
    <t>Análisis de margen</t>
  </si>
  <si>
    <t>마진 분석</t>
  </si>
  <si>
    <t>毛利率 (%)</t>
  </si>
  <si>
    <t>Marge brute (%)</t>
  </si>
  <si>
    <t>Brutto-Marge (%)</t>
  </si>
  <si>
    <t>Margine lordo (%)</t>
  </si>
  <si>
    <t>売上総利益率 (%)</t>
  </si>
  <si>
    <t>Валовая маржа (%)</t>
  </si>
  <si>
    <t>Margen bruto (%)</t>
  </si>
  <si>
    <t>매출총이익(%)</t>
  </si>
  <si>
    <t>净收益率 (%)</t>
  </si>
  <si>
    <t>淨收益率 (%)</t>
  </si>
  <si>
    <t>Marge de bénéfice net (%)</t>
  </si>
  <si>
    <t>Marge auf das Nettoergebnis (%)</t>
  </si>
  <si>
    <t>Margine risultato netto (%)</t>
  </si>
  <si>
    <t>純利益率 (%)</t>
  </si>
  <si>
    <t>Маржа чистой прибыли (%)</t>
  </si>
  <si>
    <t>Margen de beneficios netos (%)</t>
  </si>
  <si>
    <t>순 소득 마진(%)</t>
  </si>
  <si>
    <t>资产周转率</t>
  </si>
  <si>
    <t>資產周轉率</t>
  </si>
  <si>
    <t>Rotation des actifs</t>
  </si>
  <si>
    <t>Kapitalumschlag</t>
  </si>
  <si>
    <t>Indice di rotazione dell'attivo</t>
  </si>
  <si>
    <t>資産回転率</t>
  </si>
  <si>
    <t xml:space="preserve">Оборот активов </t>
  </si>
  <si>
    <t>Rotación de activos</t>
  </si>
  <si>
    <t>자산회전율</t>
  </si>
  <si>
    <t>总资产周转率</t>
  </si>
  <si>
    <t>總資産周轉率</t>
  </si>
  <si>
    <t>Chiffre d'affaires total</t>
  </si>
  <si>
    <t>Umsatz von Gesamtvermögen</t>
  </si>
  <si>
    <t>Fatturato totale delle attività</t>
  </si>
  <si>
    <t>総資産回転率</t>
  </si>
  <si>
    <t>Всего оборот активов</t>
  </si>
  <si>
    <t>Rotación total de activos</t>
  </si>
  <si>
    <t>총자산회전율</t>
  </si>
  <si>
    <t>固定资产周转率</t>
  </si>
  <si>
    <t>固定資産周轉率</t>
  </si>
  <si>
    <t>Chiffre d'affaires des immobilisations</t>
  </si>
  <si>
    <t>Umsatz von Anlagevermögen</t>
  </si>
  <si>
    <t>Fatturato delle immobilizzazioni</t>
  </si>
  <si>
    <t>固定資産回転率</t>
  </si>
  <si>
    <t>Оборот основных активов</t>
  </si>
  <si>
    <t>Rotación de activos fijos</t>
  </si>
  <si>
    <t>고정자산회전율</t>
  </si>
  <si>
    <t>存货周转率</t>
  </si>
  <si>
    <t>存貨周轉率</t>
  </si>
  <si>
    <t>Chiffre d'affaires des stocks</t>
  </si>
  <si>
    <t>Umsatz von Vorratsbestand</t>
  </si>
  <si>
    <t>Fatturato di inventario</t>
  </si>
  <si>
    <t>棚卸資産回転率</t>
  </si>
  <si>
    <t>Оборачиваемость запасов</t>
  </si>
  <si>
    <t>Rotación del inventario</t>
  </si>
  <si>
    <t>재고자산회전율</t>
  </si>
  <si>
    <t>短期流动性</t>
  </si>
  <si>
    <t>短期流動性</t>
  </si>
  <si>
    <t>Liquidité à court terme</t>
  </si>
  <si>
    <t>Kurzfristige Liquidität</t>
  </si>
  <si>
    <t>Disponibilità finanziarie a breve termine</t>
  </si>
  <si>
    <t>Краткосрочная ликвидность</t>
  </si>
  <si>
    <t>Liquidez a corto plazo</t>
  </si>
  <si>
    <t>단기 유동성 지표</t>
  </si>
  <si>
    <t>流动比率</t>
  </si>
  <si>
    <t>流動比率</t>
  </si>
  <si>
    <t>Ratio actuel</t>
  </si>
  <si>
    <t>Aktuelles Kennzahl</t>
  </si>
  <si>
    <t>Rapporto attuale</t>
  </si>
  <si>
    <t>Коэффициент текущей ликвидности</t>
  </si>
  <si>
    <t>Ratio corriente</t>
  </si>
  <si>
    <t>유동비율</t>
  </si>
  <si>
    <t>速动比率</t>
  </si>
  <si>
    <t>速動比率</t>
  </si>
  <si>
    <t>Ratio de liquidité</t>
  </si>
  <si>
    <t>Liquiditätskennzahl</t>
  </si>
  <si>
    <t>Rapporto rapido</t>
  </si>
  <si>
    <t>当座比率</t>
  </si>
  <si>
    <t>Коэффициент быстрой ликвидности</t>
  </si>
  <si>
    <t>Prueba ácida</t>
  </si>
  <si>
    <t>당좌 비율</t>
  </si>
  <si>
    <t>长期偿付能力</t>
  </si>
  <si>
    <t>長期償付能力</t>
  </si>
  <si>
    <t>Solvabilité à long terme</t>
  </si>
  <si>
    <t>Langfristige Zahlungsfähigkeit</t>
  </si>
  <si>
    <t>Solvenza a lungo termine</t>
  </si>
  <si>
    <t>長期ソルベンシー</t>
  </si>
  <si>
    <t>Долгосрочная платежеспособность</t>
  </si>
  <si>
    <t>Solvencia a largo plazo</t>
  </si>
  <si>
    <t>장기 유동성  지표</t>
  </si>
  <si>
    <t>平均销售周转天数</t>
  </si>
  <si>
    <t>平均銷售周轉天數</t>
  </si>
  <si>
    <t>Délai moyen de recouvrement des créances</t>
  </si>
  <si>
    <t>Durchschnittliche Anzahl der ausstehenden Verkaufstage</t>
  </si>
  <si>
    <t>Giorni medi di vendite in essere</t>
  </si>
  <si>
    <t>売上債権　回転日数</t>
  </si>
  <si>
    <t>Среднее количество дней оборачиваемости продаж.</t>
  </si>
  <si>
    <t>Período medio de cobro en días</t>
  </si>
  <si>
    <t>평균 매출채권회수기간</t>
  </si>
  <si>
    <t>平均存货周转天数</t>
  </si>
  <si>
    <t>平均存貨周轉天數</t>
  </si>
  <si>
    <t>Nombre moyen de jours d'inventaire en suspens</t>
  </si>
  <si>
    <t>Durchschnittliche Anzahl der ausstehenden Lagerbestände</t>
  </si>
  <si>
    <t>Giorni medi di inventario in essere</t>
  </si>
  <si>
    <t>棚卸資産　回転日数</t>
  </si>
  <si>
    <t xml:space="preserve">Среднее количество дней оборачиваемости товарных запасов </t>
  </si>
  <si>
    <t>Periodo medio de rotación del inventario en días</t>
  </si>
  <si>
    <t xml:space="preserve">평균 재고자산 회전기간 </t>
  </si>
  <si>
    <t>平均应付账款周转天数</t>
  </si>
  <si>
    <t>平均應付賬款周轉天數</t>
  </si>
  <si>
    <t>Nombre moyen de jours de retard de paiement</t>
  </si>
  <si>
    <t>Durchschnittliche Tage ausstehender Verbindlichkeiten</t>
  </si>
  <si>
    <t>Media giorni debiti in essere</t>
  </si>
  <si>
    <t>平均買掛金回転日数</t>
  </si>
  <si>
    <t>Среднее количество дней к оплате</t>
  </si>
  <si>
    <t>Promedio de días de pago pendientes</t>
  </si>
  <si>
    <t>평균 매입 채무 회전일</t>
  </si>
  <si>
    <t>平均现金循环周期</t>
  </si>
  <si>
    <t>平均現金循環周期</t>
  </si>
  <si>
    <t>Cycle moyen de conversion des espèces</t>
  </si>
  <si>
    <t>Durchschnittlicher Barumwandlungszyklus</t>
  </si>
  <si>
    <t>Ciclo medio di conversione di cassa</t>
  </si>
  <si>
    <t>Средний цикл конверсии наличных денежных средств</t>
  </si>
  <si>
    <t>Ciclo de conversión del efectivo promedio</t>
  </si>
  <si>
    <t xml:space="preserve">평균 현금전환주기 </t>
  </si>
  <si>
    <t>同比增长</t>
  </si>
  <si>
    <t>同比增長</t>
  </si>
  <si>
    <t>Croissance par rapport à l'année précédente</t>
  </si>
  <si>
    <t>Wachstum gegenüber dem Vorjahr</t>
  </si>
  <si>
    <t>Crescita rispetto all'anno precedente</t>
  </si>
  <si>
    <t>成長率(前年同期比較)</t>
  </si>
  <si>
    <t>Рост за предыдущий год</t>
  </si>
  <si>
    <t>Crecimiento con respecto al año anterior</t>
  </si>
  <si>
    <t xml:space="preserve">전년도 대비 성장률 </t>
  </si>
  <si>
    <t>总收入 (%)</t>
  </si>
  <si>
    <t>總收入 (%)</t>
  </si>
  <si>
    <t>Revenus totaux (%)</t>
  </si>
  <si>
    <t>Gesamtumsatz (%)</t>
  </si>
  <si>
    <t>Totale ricavi (%)</t>
  </si>
  <si>
    <t>売上高 (%)</t>
  </si>
  <si>
    <t>Общая выручка (%)</t>
  </si>
  <si>
    <t>Ingresos totales (%)</t>
  </si>
  <si>
    <t>총수입(%)</t>
  </si>
  <si>
    <t>毛利 (%)</t>
  </si>
  <si>
    <t>Rohgewinn (%)</t>
  </si>
  <si>
    <t>Utile lordo (%)</t>
  </si>
  <si>
    <t>売上総利益 (%)</t>
  </si>
  <si>
    <t>Валовая прибыль (%)</t>
  </si>
  <si>
    <t>Ganancia bruta (%)</t>
  </si>
  <si>
    <t>净收入 (%)</t>
  </si>
  <si>
    <t>淨收入 (%)</t>
  </si>
  <si>
    <t>Revenu net (%)</t>
  </si>
  <si>
    <t>Nettoergebnis (%)</t>
  </si>
  <si>
    <t>Risultato netto (%)</t>
  </si>
  <si>
    <t>当期純利益 (%)</t>
  </si>
  <si>
    <t>Чистая прибыль (%)</t>
  </si>
  <si>
    <t>Ingresos netos (%)</t>
  </si>
  <si>
    <t>순 소득(%)</t>
  </si>
  <si>
    <t>复合年均增长率 CAGR (3年)</t>
  </si>
  <si>
    <t>複合年均增長率 CAGR (3年)</t>
  </si>
  <si>
    <t>TCAM (3 ANS)</t>
  </si>
  <si>
    <t>CAGR (3 JAHRE)</t>
  </si>
  <si>
    <t>Tasso crescita annuale composto (3 ESER.)</t>
  </si>
  <si>
    <t>平均年間成長率 (3年)</t>
  </si>
  <si>
    <t>среднегодовой темп роста (3 ГОДА)</t>
  </si>
  <si>
    <t>Tasa de crecimiento compuesto (3 AÑOS)</t>
  </si>
  <si>
    <t>연평균 성장률(CAGR)(3년)</t>
  </si>
  <si>
    <t>资料来源: S&amp;P Capital IQ</t>
  </si>
  <si>
    <t>資料來源: S&amp;P Capital IQ</t>
  </si>
  <si>
    <t>Source : S&amp;P Capital IQ</t>
  </si>
  <si>
    <t>Quelle: S&amp;P Capital IQ</t>
  </si>
  <si>
    <t>Fonte: S&amp;P Capital IQ</t>
  </si>
  <si>
    <t>出所：S&amp;P Capital IQ</t>
  </si>
  <si>
    <t>Источник: S&amp;P Capital IQ</t>
  </si>
  <si>
    <t>Fuente: S&amp;P Capital IQ</t>
  </si>
  <si>
    <t>출처: S&amp;P Capital IQ</t>
  </si>
  <si>
    <t>版权所有 © 2019 S&amp;P Global Market Intelligence LLC（及其附属公司，如适用） - 保留所有权利。本模型和/或其中的任何数据均是依据 S&amp;P Global Market Intelligence LLC 就本模型应用的订阅服务签订的书面协议而提供。</t>
  </si>
  <si>
    <t>著作權 © 2019 S&amp;P Global Market Intelligence LLC（當可適用時，包括其關係企業） – 保留所有權利。  此模型及 / 或其內所含任何資料之提供，係依據 S&amp;P Global Market Intelligence LLC 針對此模型所應用訂閱服務而簽訂之書面協議為之。</t>
  </si>
  <si>
    <t>Droit d'auteur © 2019 S&amp;P Global Market Intelligence LLC (et ses filiales, le cas échéant) - Tous droits réservés.  Ce modèle et / ou toutes les données qu'il contient sont fournis sous réserve de l'accord écrit de S&amp;P Global Market Intelligence LLC régissant le service d'abonnement auquel ce modèle est appliqué.</t>
  </si>
  <si>
    <t>Urheberrecht © 2019 S&amp;P Global Market Intelligence LLC (und seine verbundenen Unternehmen, falls zutreffend) - Alle Rechte vorbehalten. Dieses Modell und/oder alle darin enthaltenen Daten werden vorbehaltlich der schriftlichen Vereinbarung von S&amp;P Global Market Intelligence LLC über den Abonnementdienst, auf den dieses Modell angewendet wird, bereitgestellt.</t>
  </si>
  <si>
    <t>Diritto d’autore © 2019 S&amp;P Global Market Intelligence LLC (e le sue affiliate a seconda dei casi) - Tutti i diritti riservati.  Questo modello e/o qualsiasi dato in esso contenuto sono forniti previo accordo scritto di S&amp;P Global Market Intelligence LLC che disciplina il servizio di abbonamento a cui questo modello è applicato.</t>
  </si>
  <si>
    <t>著作権 © 2019 S&amp;P Global Market Intelligence LLC (および該当する場合はその関連会社) – 無断複写・転載を禁じます。   このモデルおよび/またはそのデータは、このモデルが適用されるサブスクリプションサービスを管理するS&amp;P Global Market Intelligence LLCの書面による合意に従って提供されます。</t>
  </si>
  <si>
    <t>Авторские права © 2019 S&amp;P Global Market Intelligence LLC (и его ассоциированные общества, если применимо) - Все права защищены. Эта модель и/или любые данные в ней предоставляются с письменного соглашения S&amp;P Global Market Intelligence LLC, управляющего службой подписки, к которой прилагается эта модель.</t>
  </si>
  <si>
    <t>Derechos de autor © 2019 S&amp;P Global Market Intelligence LLC (y sus afiliados, según corresponda): todos los derechos reservados.  Este modelo y/o cualquier dato que contenga están sujetos al acuerdo por escrito de S&amp;P Global Market Intelligence LLC que rige el servicio de suscripción al que se aplica este modelo.</t>
  </si>
  <si>
    <t>해당 데이터의 모든 저작권은  2019 S&amp;P Global Market Intelligence LLC (및 계열사) 가 소유하고 있습니다. 해당 모형 및 모형에 사용된 데이터는  S&amp;P Global Market Intelligence LLC와 맺은 서면 계약에 따라 제공됩니다.</t>
  </si>
  <si>
    <t>估值</t>
  </si>
  <si>
    <t>ÉVALUATION</t>
  </si>
  <si>
    <t>BEWERTUNG</t>
  </si>
  <si>
    <t>VALUTAZIONE</t>
  </si>
  <si>
    <t>バリュエーション</t>
  </si>
  <si>
    <t xml:space="preserve">ОЦЕНКА </t>
  </si>
  <si>
    <t>VALUACIÓN</t>
  </si>
  <si>
    <t>밸류에이션</t>
  </si>
  <si>
    <t>単位: 百万, 一株当たり指標除く</t>
  </si>
  <si>
    <t>市值</t>
  </si>
  <si>
    <t>Cap. Marché</t>
  </si>
  <si>
    <t>Marktkapitalisierung</t>
  </si>
  <si>
    <t>Capitalizzazione di mercato</t>
  </si>
  <si>
    <t>時価総額</t>
  </si>
  <si>
    <t>Рыночная капитализация</t>
  </si>
  <si>
    <t>Capitalización de Mercado</t>
  </si>
  <si>
    <t>시가총액</t>
  </si>
  <si>
    <t>总企业价值</t>
  </si>
  <si>
    <t>總企業價值</t>
  </si>
  <si>
    <t>Valeur d'entreprise</t>
  </si>
  <si>
    <t>Gesamtunternehmenswert</t>
  </si>
  <si>
    <t>Valore aziendale totale</t>
  </si>
  <si>
    <t>企業価値</t>
  </si>
  <si>
    <t>Общая стоимость предприятия</t>
  </si>
  <si>
    <t>Valor total de la Empresa</t>
  </si>
  <si>
    <t>기업가치 (TEV)</t>
  </si>
  <si>
    <t>总企业价值/税息折旧及摊销前利润</t>
  </si>
  <si>
    <t>總企業價值/稅息折舊及攤銷前利潤</t>
  </si>
  <si>
    <t>Valeur de l'entreprise/EBITDA</t>
  </si>
  <si>
    <t>Gesamtunternehmenswert / EBITDA</t>
  </si>
  <si>
    <t>Valore aziendale totale / EBITDA</t>
  </si>
  <si>
    <t>企業価値/EBITDA（倍）</t>
  </si>
  <si>
    <t>Общая стоимость предприятия / EBITDA</t>
  </si>
  <si>
    <t>Valor total de la empresa / EBITDA</t>
  </si>
  <si>
    <t>市盈率</t>
  </si>
  <si>
    <t>Ratio Cours/Bénéfice</t>
  </si>
  <si>
    <t>Kurs-/Gewinn-Verhältnis</t>
  </si>
  <si>
    <t>Prezzo / Utile</t>
  </si>
  <si>
    <t>PER（倍）</t>
  </si>
  <si>
    <t>Цена / прибыль (P/E)</t>
  </si>
  <si>
    <t>Ratio precio/ganancias</t>
  </si>
  <si>
    <t xml:space="preserve">PER </t>
  </si>
  <si>
    <t>税息折旧及摊销前利润</t>
  </si>
  <si>
    <t>稅息折舊及攤銷前利潤</t>
  </si>
  <si>
    <t>息稅前利潤</t>
  </si>
  <si>
    <t>研究与开发费用</t>
  </si>
  <si>
    <t>研究與開發費用</t>
  </si>
  <si>
    <t>Dépenses de R &amp; D</t>
  </si>
  <si>
    <t>F&amp;E-Aufwendungen</t>
  </si>
  <si>
    <t>Spese ricerca e sviluppo</t>
  </si>
  <si>
    <t>研究開発費</t>
  </si>
  <si>
    <t>Расходы по Научно-исследовательским и опытно-конструкторским работам  (НИОКР)</t>
  </si>
  <si>
    <t>Gastos de investigación y desarrollo</t>
  </si>
  <si>
    <t>연구개발비</t>
  </si>
  <si>
    <t>其他经营费用/(收入)</t>
  </si>
  <si>
    <t>其他經營費用/(收入)</t>
  </si>
  <si>
    <t>Autres dépenses/(revenus) d'exploitation</t>
  </si>
  <si>
    <t>Sonstige Betriebskosten/(Gewinn)</t>
  </si>
  <si>
    <t>Altri oneri/(proventi) operativi</t>
  </si>
  <si>
    <t>その他販売費及び一般管理費</t>
  </si>
  <si>
    <t>Прочие операционные расходы/(доходы)</t>
  </si>
  <si>
    <t>Otros gastos/(ingresos) operativos</t>
  </si>
  <si>
    <t>기타 영업 이익/(소득)</t>
  </si>
  <si>
    <t>其他经营费用 - 总计</t>
  </si>
  <si>
    <t>其他經營費用 - 總計</t>
  </si>
  <si>
    <t>Autres dépenses opérationnelles, total</t>
  </si>
  <si>
    <t>Sonstige betriebliche Aufwendungen, Summe</t>
  </si>
  <si>
    <t>Altre spese operative, totale</t>
  </si>
  <si>
    <t>Прочие операционные расходы, всего</t>
  </si>
  <si>
    <t>Otros gastos operativos, total</t>
  </si>
  <si>
    <t>기타 운영 지출, 총계</t>
  </si>
  <si>
    <t>营业收入</t>
  </si>
  <si>
    <t xml:space="preserve">營業收入 </t>
  </si>
  <si>
    <t>Bénéfice d'exploitation</t>
  </si>
  <si>
    <t>Operatives Ergebnis</t>
  </si>
  <si>
    <t>Proventi operativi</t>
  </si>
  <si>
    <t xml:space="preserve">営業収益 </t>
  </si>
  <si>
    <t>Операционный доход</t>
  </si>
  <si>
    <t>Ingresos Operativos</t>
  </si>
  <si>
    <t xml:space="preserve">영업이익 </t>
  </si>
  <si>
    <t>利息费用</t>
  </si>
  <si>
    <t>利息費用</t>
  </si>
  <si>
    <t>Charge d'intérêts</t>
  </si>
  <si>
    <t>Zinsaufwand</t>
  </si>
  <si>
    <t>Interessi passivi</t>
  </si>
  <si>
    <t>Процентные расходы</t>
  </si>
  <si>
    <t>Gastos por intereses</t>
  </si>
  <si>
    <t>이자비용</t>
  </si>
  <si>
    <t>利息及投资收入</t>
  </si>
  <si>
    <t>利息及投資收入</t>
  </si>
  <si>
    <t>Intérêts et revenus d'investissement</t>
  </si>
  <si>
    <t>Zins- und Kapitalerträge</t>
  </si>
  <si>
    <t>Interessi attivi e reddito da investim.</t>
  </si>
  <si>
    <t>受取利息配当金</t>
  </si>
  <si>
    <t>Проценты и инвестиционный доход</t>
  </si>
  <si>
    <t>Intereses e ingresos por inversiones</t>
  </si>
  <si>
    <t>이자 및 투자 수익</t>
  </si>
  <si>
    <t>净利息费用</t>
  </si>
  <si>
    <t>淨利息費用</t>
  </si>
  <si>
    <t>Frais d'intérêts nets</t>
  </si>
  <si>
    <t>Nettozinsaufwendungen</t>
  </si>
  <si>
    <t>Interessi passivi netti</t>
  </si>
  <si>
    <t>純支払利息</t>
  </si>
  <si>
    <t>Чистые процентные расходы</t>
  </si>
  <si>
    <t>Gastos de intereses netos</t>
  </si>
  <si>
    <t>순이자비용</t>
  </si>
  <si>
    <t>附属企业损益</t>
  </si>
  <si>
    <t>附屬企業損益</t>
  </si>
  <si>
    <t>Revenus / (Pertes) des affiliés</t>
  </si>
  <si>
    <t>Gewinn/(Verlust) aus verbundenen Unternehmen</t>
  </si>
  <si>
    <t>Utile/ (perdita) da affiliate</t>
  </si>
  <si>
    <t>持分法による投資利益</t>
  </si>
  <si>
    <t>Доходы / (Убытки) от филиалов</t>
  </si>
  <si>
    <t>Ingresos / ( Pérdidas) de los afiliados</t>
  </si>
  <si>
    <t>계열사 소득 / (손실)</t>
  </si>
  <si>
    <t>其他非经营收入/(费用)</t>
  </si>
  <si>
    <t>其他非經營收入/(費用)</t>
  </si>
  <si>
    <t>Autres revenus (dépenses) hors exploitation</t>
  </si>
  <si>
    <t>Sonstige nicht betriebliche Erträge (Kosten)</t>
  </si>
  <si>
    <t>Altri proventi (oneri) non operativi</t>
  </si>
  <si>
    <t>その他営業外収益(費用)</t>
  </si>
  <si>
    <t>Прочие неоперационные доходы (расходы)</t>
  </si>
  <si>
    <t>Otros ingresos (gastos) no operacionales</t>
  </si>
  <si>
    <t>기타 비영업 이익(경비)</t>
  </si>
  <si>
    <t xml:space="preserve">税前收益(扣除非经常性项目) </t>
  </si>
  <si>
    <t xml:space="preserve">稅前收益(扣除非經常性項目) </t>
  </si>
  <si>
    <t>EBT Hors élément exceptionnel</t>
  </si>
  <si>
    <t>EBT Exklusive Sonderposten</t>
  </si>
  <si>
    <t>EBT (al netto delle voci non ricorrenti)</t>
  </si>
  <si>
    <t>税引前当期純利益（特別損益調整前）</t>
  </si>
  <si>
    <t>EBT за вычетом чрезвычайных статей</t>
  </si>
  <si>
    <t>Ganancias antes de impuestos, excluyendo partidas no recurrentes</t>
  </si>
  <si>
    <t>비정상적 항목을 제외한 EBT</t>
  </si>
  <si>
    <t xml:space="preserve">净收入 </t>
  </si>
  <si>
    <t xml:space="preserve">淨收入 </t>
  </si>
  <si>
    <t>Revenu net</t>
  </si>
  <si>
    <t>Nettogewinn</t>
  </si>
  <si>
    <t>Proventi netti</t>
  </si>
  <si>
    <t>Чистый доход</t>
  </si>
  <si>
    <t>Ingreso Neto</t>
  </si>
  <si>
    <t>당기 순이익 (손실)</t>
  </si>
  <si>
    <t>(Gain) perte résultant de la vente d'un actif</t>
  </si>
  <si>
    <t>(Gain) perte sur la vente de l'investissement.</t>
  </si>
  <si>
    <t>资产减值和重组费用</t>
  </si>
  <si>
    <t>資產減值和重組費用</t>
  </si>
  <si>
    <t>Dépréciation d'actifs et coûts de restructuration</t>
  </si>
  <si>
    <t>发放/出售贷款的净（增加）减少</t>
  </si>
  <si>
    <t>發放/出售貸款的淨（增加）減少</t>
  </si>
  <si>
    <t>Réduction (augmentation) nette des prêts accordés/vendus</t>
  </si>
  <si>
    <t>信贷损失准备金</t>
  </si>
  <si>
    <t>信貸損失準備金</t>
  </si>
  <si>
    <t>Provision pour pertes de crédit</t>
  </si>
  <si>
    <t>股权投资（收益）损失</t>
  </si>
  <si>
    <t>股權投資（收益）損失</t>
  </si>
  <si>
    <t>(Revenu) perte sur les investissements en capital</t>
  </si>
  <si>
    <t>(Прибыль) Убыток от продажи активов</t>
  </si>
  <si>
    <t>(Ganancia) Pérdida por la venta de activos</t>
  </si>
  <si>
    <t xml:space="preserve">(Прибыль) Убыток от продажи инвестиций </t>
  </si>
  <si>
    <t>(Ganancia) Pérdida en la venta de inversiones</t>
  </si>
  <si>
    <t>減損損失及び構造改革費用</t>
  </si>
  <si>
    <t>Расходы по уценке активов и реструктуризации</t>
  </si>
  <si>
    <t>Amortización de activos y costos de reestructuración</t>
  </si>
  <si>
    <t>売却予定の営業貸付金の減少（増加）</t>
  </si>
  <si>
    <t>Чистое (Увеличение) / Уменьшение займов выданных /проданных</t>
  </si>
  <si>
    <t>Disminución (aumento) neto de los préstamos originados/vendidos</t>
  </si>
  <si>
    <t>貸倒損失及び貸倒引当金の繰り入れ(金融業界のみ使用)</t>
  </si>
  <si>
    <t>Резерв на кредитные убытки</t>
  </si>
  <si>
    <t>Provisión para pérdidas de crédito</t>
  </si>
  <si>
    <t>(Доход) Убыток от вложений в акционерный капитал</t>
  </si>
  <si>
    <t>(Ingresos) Pérdida en inversiones de capital</t>
  </si>
  <si>
    <t>(Gewinn) Verlust aus dem Verkauf von Vermögenswerten</t>
  </si>
  <si>
    <t>(Utile) Perdita su vendita di attività</t>
  </si>
  <si>
    <t>(Gewinn) Verlust aus dem Verkauf von Investments</t>
  </si>
  <si>
    <t>(Utile) Perdita su vendita di investim.</t>
  </si>
  <si>
    <t>Abschreibung von Vermögenswerten und Sanierungskosten</t>
  </si>
  <si>
    <t>Svalutazione di attività e costi di ristrutturazione</t>
  </si>
  <si>
    <t>Saldo der (Zunahme)/Abnahme der ursprünglichen/veräußerten Darlehen</t>
  </si>
  <si>
    <t>(Aumento)/Decremento netto dei crediti originati/venduti</t>
  </si>
  <si>
    <t>Rückstellung für Kreditverluste</t>
  </si>
  <si>
    <t>Fondo per perdite su crediti</t>
  </si>
  <si>
    <t>(Ertrag) Verlust aus Aktieninvestitionen</t>
  </si>
  <si>
    <t>(Utile) Perdita su investimenti azionari</t>
  </si>
  <si>
    <t>자산 매각을 통한 (이익) 손실</t>
  </si>
  <si>
    <t>투자 매각의 (이익) 손실</t>
  </si>
  <si>
    <t>자산 상계약 및 구조조정 비용</t>
  </si>
  <si>
    <t>신용 손실 충당금</t>
  </si>
  <si>
    <t>주식투자의 (수익) 손실</t>
  </si>
  <si>
    <t>股票期权的税收利益</t>
  </si>
  <si>
    <t>股票期權的稅收利益</t>
  </si>
  <si>
    <t>Avantage fiscal lié aux options d'achat d'actions</t>
  </si>
  <si>
    <t>计提和冲销坏账</t>
  </si>
  <si>
    <t>計提和沖銷壞賬</t>
  </si>
  <si>
    <t>Provision et annulation des créances douteuses</t>
  </si>
  <si>
    <t>株式報酬費用に掛かる税控除</t>
  </si>
  <si>
    <t>Налоговая льгота от опционов на приобретение акций</t>
  </si>
  <si>
    <t>Beneficio fiscal de las opciones de compra de acciones</t>
  </si>
  <si>
    <t>貸倒損失及び貸倒引当金の繰り入れ</t>
  </si>
  <si>
    <t>Резервирование и списание безнадежных долгов</t>
  </si>
  <si>
    <t>Provisión y cancelación de deudas incobrables</t>
  </si>
  <si>
    <t>Steuervergünstigung durch Aktienoptionen</t>
  </si>
  <si>
    <t>Benefici fiscali da opzioni su azioni</t>
  </si>
  <si>
    <t>Rückstellung &amp; Abschreibung von uneinbringlichen Forderungen</t>
  </si>
  <si>
    <t>Accantonamenti e cancellazioni di debiti insoluti</t>
  </si>
  <si>
    <t>스톡옵션을 통한 세제혜택</t>
  </si>
  <si>
    <t>대손충당금 및 대손상각</t>
  </si>
  <si>
    <t>终止经营项目净现金收入</t>
  </si>
  <si>
    <t>終止經營項目淨現金收入</t>
  </si>
  <si>
    <t>Liquidités nettes provenant des activités abandonnées</t>
  </si>
  <si>
    <t>其他经营活动</t>
  </si>
  <si>
    <t>其他經營活動</t>
  </si>
  <si>
    <t>Autres activités opérationnelles</t>
  </si>
  <si>
    <t>非継続事業に掛かる純現金収入</t>
  </si>
  <si>
    <t>Чистая сумма денежных средств от прекращенной деятельности</t>
  </si>
  <si>
    <t>Efectivo neto de operaciones discontinuadas</t>
  </si>
  <si>
    <t>その他営業活動によるキャッシュフロー</t>
  </si>
  <si>
    <t>Прочая операционная деятельность</t>
  </si>
  <si>
    <t>Otras actividades operativas</t>
  </si>
  <si>
    <t>Nettobarerlöse aus aufgegebenen Geschäftsbetrieben</t>
  </si>
  <si>
    <t>Liquidità netta da attività cessate</t>
  </si>
  <si>
    <t>Sonstige betriebliche Aktivitäten</t>
  </si>
  <si>
    <t>Altre attività operative</t>
  </si>
  <si>
    <t>중단 영업의 순현금</t>
  </si>
  <si>
    <t>기타 운영 활동</t>
  </si>
  <si>
    <t>基于股票补偿</t>
  </si>
  <si>
    <t>基於股票補償</t>
  </si>
  <si>
    <t>Rémunération à base d'actions</t>
  </si>
  <si>
    <t>株式報酬費用</t>
  </si>
  <si>
    <t>Вознаграждение сотрудников компании акциями или опционами на приобретение акций</t>
  </si>
  <si>
    <t>Compensación basada en acciones</t>
  </si>
  <si>
    <t>Aktienbasierte Vergütung</t>
  </si>
  <si>
    <t>Retribuzione basata su azioni</t>
  </si>
  <si>
    <t>배당금수익</t>
  </si>
  <si>
    <t>终止业务收益</t>
  </si>
  <si>
    <t>終止業務收益</t>
  </si>
  <si>
    <t>Résultat des activités abandonnées</t>
  </si>
  <si>
    <t>非継続事業からの損益（税効果控除後）</t>
  </si>
  <si>
    <t xml:space="preserve">Прибыль от прекращенной деятельности </t>
  </si>
  <si>
    <t>Ganancias de operaciones discontinuadas</t>
  </si>
  <si>
    <t>Gewinn aus aufgegebenen Geschäftsbereichen</t>
  </si>
  <si>
    <t>Utili da attività operative cessate</t>
  </si>
  <si>
    <t>중단 영업 이익</t>
  </si>
  <si>
    <t>公司净收入</t>
  </si>
  <si>
    <t>公司淨收入</t>
  </si>
  <si>
    <t>Bénéfice net de l'entreprise</t>
  </si>
  <si>
    <t>少数株主利益控除前　当期純利益</t>
  </si>
  <si>
    <t>Чистый доход компании</t>
  </si>
  <si>
    <t>Ingresos netos de la empresa</t>
  </si>
  <si>
    <t>Nettogewinn für das Unternehmen</t>
  </si>
  <si>
    <t>Risultato netto della Società</t>
  </si>
  <si>
    <t>회사의 순이익</t>
  </si>
  <si>
    <t>少数股东权益利润</t>
  </si>
  <si>
    <t>少數股東權益利潤</t>
  </si>
  <si>
    <t>Intérêts minoritaires dans les revenus</t>
  </si>
  <si>
    <t>Minderheitsanteile in Gewinnen</t>
  </si>
  <si>
    <t>Partecip. di minor. negli utili</t>
  </si>
  <si>
    <t>少数株主利益</t>
  </si>
  <si>
    <t>Чрезвычайные статьи и изменения в бухгалтерском учете</t>
  </si>
  <si>
    <t>Interés minoritario en las ganancias</t>
  </si>
  <si>
    <t>소득 소수주주 지분</t>
  </si>
  <si>
    <t>基本每股盈利</t>
  </si>
  <si>
    <t>résultat de base par action</t>
  </si>
  <si>
    <t>EPS, unverwässert</t>
  </si>
  <si>
    <t>EPS di base</t>
  </si>
  <si>
    <t>一株当たり当期純利益</t>
  </si>
  <si>
    <t>Базовая Прибыль на одну акцию (EPS)</t>
  </si>
  <si>
    <t>Ganancias por acción básicas</t>
  </si>
  <si>
    <t>기본주당이익</t>
  </si>
  <si>
    <t>基本每股盈利(不包括非经常性项目)</t>
  </si>
  <si>
    <t>基本每股盈利(不包括非經常性項目)</t>
  </si>
  <si>
    <t>Résultat de base par action hors éléments supplémentaires</t>
  </si>
  <si>
    <t>EPS, unverwässert ohne Sonderposten</t>
  </si>
  <si>
    <t>EPS di base (al netto delle voci non ricorrenti)</t>
  </si>
  <si>
    <t>一株当たり当期純利益 (非継続事業からの損益等の異常項目を除く)</t>
  </si>
  <si>
    <t>Базовая Прибыль на одну акцию (EPS) за вычетом чрезвычайных статей</t>
  </si>
  <si>
    <t>Ganancias por acción básicas, excluyendo partidas extraordinarias</t>
  </si>
  <si>
    <t>기본주당이익 (특별손익 제외)</t>
  </si>
  <si>
    <t>摊薄每股盈利(不包括非经常性项目)</t>
  </si>
  <si>
    <t>攤薄每股盈利(不包括非經常性項目)</t>
  </si>
  <si>
    <t>bénéfices dilués par action hors éléments supplémentaires</t>
  </si>
  <si>
    <t>Verwässertes EPS ohne Extraposten</t>
  </si>
  <si>
    <t>EPS diluito (al netto delle voci non ricorrenti)</t>
  </si>
  <si>
    <t>潜在株式調整後　一株当たり当期純利益 (非継続事業からの損益等の異常項目を除く)</t>
  </si>
  <si>
    <t>Разводненная прибыль на одну акцию за вычетом чрезвычайных статей</t>
  </si>
  <si>
    <t>Ganancias por acción diluidas, excluyendo partidas extraordinarias</t>
  </si>
  <si>
    <t>희석주당이익(특별손익 제외)</t>
  </si>
  <si>
    <t>摊薄每股盈利</t>
  </si>
  <si>
    <t>攤薄每股盈利</t>
  </si>
  <si>
    <t>RPA dilué</t>
  </si>
  <si>
    <t>Verwässerte EPS</t>
  </si>
  <si>
    <t>Utile diluito per azione</t>
  </si>
  <si>
    <t>潜在株式調整後　一株当たり当期純利益</t>
  </si>
  <si>
    <t xml:space="preserve">Разводненная прибыль на одну акцию (EPS) </t>
  </si>
  <si>
    <t>Ganancia por acción diluida</t>
  </si>
  <si>
    <t>희석주당이익 (손실)</t>
  </si>
  <si>
    <t>利息、税项、折旧、摊销及重组租金成本前利润</t>
  </si>
  <si>
    <t>利息、稅項、折舊、攤銷及重組租金成本前利潤</t>
  </si>
  <si>
    <t>利息收入</t>
  </si>
  <si>
    <t xml:space="preserve">利息收入 </t>
  </si>
  <si>
    <t>Revenu d'intérêts</t>
  </si>
  <si>
    <t>Zinsergebnis</t>
  </si>
  <si>
    <t>Interessi attivi</t>
  </si>
  <si>
    <t xml:space="preserve">資金運用収益 </t>
  </si>
  <si>
    <t>Процентный доход</t>
  </si>
  <si>
    <t>Ingresos por Intereses</t>
  </si>
  <si>
    <t xml:space="preserve">이자 수익 </t>
  </si>
  <si>
    <t>有效税率 (%)</t>
  </si>
  <si>
    <t>有效稅率 (%)</t>
  </si>
  <si>
    <t>Taux d'imposition effectif (%)</t>
  </si>
  <si>
    <t>Effektivsteuersatz (%)</t>
  </si>
  <si>
    <t>Aliquota fiscale effettiva (%)</t>
  </si>
  <si>
    <t>実効税率 (%)</t>
  </si>
  <si>
    <t>Эффективная налоговая ставка (%)</t>
  </si>
  <si>
    <t>Tasa Efectiva de Impuestos (%)</t>
  </si>
  <si>
    <t>실효세율(%)</t>
  </si>
  <si>
    <t>广告费用</t>
  </si>
  <si>
    <t>廣告費用</t>
  </si>
  <si>
    <t>Frais de publicité</t>
  </si>
  <si>
    <t>Werbekosten</t>
  </si>
  <si>
    <t>Spese di pubblicità</t>
  </si>
  <si>
    <t>広告宣伝費</t>
  </si>
  <si>
    <t>Расходы на рекламу</t>
  </si>
  <si>
    <t>Gastos de publicidad</t>
  </si>
  <si>
    <t>광고비</t>
  </si>
  <si>
    <t>一般及行政费用</t>
  </si>
  <si>
    <t>一般及行政費用</t>
  </si>
  <si>
    <t>Frais généraux et administratifs</t>
  </si>
  <si>
    <t>Gemeinkosten</t>
  </si>
  <si>
    <t>Spese generali e amministrative</t>
  </si>
  <si>
    <t>一般管理費</t>
  </si>
  <si>
    <t>Общие и административные расходы</t>
  </si>
  <si>
    <t>Gastos generales y administrativos</t>
  </si>
  <si>
    <t>일반 관리비</t>
  </si>
  <si>
    <t xml:space="preserve">折旧及摊销(总和) </t>
  </si>
  <si>
    <t xml:space="preserve">折舊及攤銷(總和) </t>
  </si>
  <si>
    <t>Amortissements et dépréciations, Total</t>
  </si>
  <si>
    <t>Abschreibung, insgesamt</t>
  </si>
  <si>
    <t>Ammortamento e svalutazione, Totale</t>
  </si>
  <si>
    <t>Износ и амортизация, всего</t>
  </si>
  <si>
    <t>Total Depreciación y Amortización</t>
  </si>
  <si>
    <t>총 감가상각 및 상각비</t>
  </si>
  <si>
    <t>其他摊销</t>
  </si>
  <si>
    <t>其他攤銷</t>
  </si>
  <si>
    <t>Autres amortissements</t>
  </si>
  <si>
    <t>その他償却費</t>
  </si>
  <si>
    <t>Другая амортизация</t>
  </si>
  <si>
    <t>Otras amortizaciones</t>
  </si>
  <si>
    <t>Sonstige Abschreibungen</t>
  </si>
  <si>
    <t>Altri accantonamenti</t>
  </si>
  <si>
    <t>기타 상각비</t>
  </si>
  <si>
    <t>经营活动产生的现金流量</t>
  </si>
  <si>
    <t>經營活動產生的現金流量</t>
  </si>
  <si>
    <t>Flux de trésorerie liés à l'exploitation</t>
  </si>
  <si>
    <t>Geldfluss aus Betriebstätigkeit</t>
  </si>
  <si>
    <t>Flusso finanziario dell’attività operative</t>
  </si>
  <si>
    <t>営業活動によるキャッシュフロー</t>
  </si>
  <si>
    <t>Денежные средства от операционной деятельности</t>
  </si>
  <si>
    <t>Efectivo generado de las operaciones</t>
  </si>
  <si>
    <t xml:space="preserve">영업활동 현금흐름 </t>
  </si>
  <si>
    <t>资本支出</t>
  </si>
  <si>
    <t>資本支出</t>
  </si>
  <si>
    <t>Dépense d'immobilisations</t>
  </si>
  <si>
    <t>Investitionen in Sachanlagen</t>
  </si>
  <si>
    <t>Spese in conto capitale</t>
  </si>
  <si>
    <t>有形固定資産の取得による支出</t>
  </si>
  <si>
    <t>Капитальные затраты</t>
  </si>
  <si>
    <t>Gastos de capital</t>
  </si>
  <si>
    <t>자본지출</t>
  </si>
  <si>
    <t>投资活动产生的现金流量</t>
  </si>
  <si>
    <t>投資活動產生的現金流量</t>
  </si>
  <si>
    <t>Flux de trésorerie des activités d’investissement</t>
  </si>
  <si>
    <t>Geldfluss aus Investitionstätigkeit</t>
  </si>
  <si>
    <t>Flusso finanziario dell'attività di investimento</t>
  </si>
  <si>
    <t>投資活動によるキャッシュフロー</t>
  </si>
  <si>
    <t>Денежные средства от инвестиционной деятельности</t>
  </si>
  <si>
    <t>Efectivo generado de las inversiones</t>
  </si>
  <si>
    <t>투자활동 현금흐름</t>
  </si>
  <si>
    <t>已发行债务</t>
  </si>
  <si>
    <t>已發行債務</t>
  </si>
  <si>
    <t>Total de la dette émise</t>
  </si>
  <si>
    <t>Ausgegebene Schuldtitel insgesamt</t>
  </si>
  <si>
    <t>Totale debiti emessi</t>
  </si>
  <si>
    <t>有利子負債の借入による収入</t>
  </si>
  <si>
    <t>Всего выпущенных долговых обязательств</t>
  </si>
  <si>
    <t>Total de la deuda emitida</t>
  </si>
  <si>
    <t>총 발행 부채</t>
  </si>
  <si>
    <t>巳偿还债务</t>
  </si>
  <si>
    <t>巳償還債務</t>
  </si>
  <si>
    <t>Total de la dette remboursé</t>
  </si>
  <si>
    <t>Zurückgezahlten Schulden insgesamt</t>
  </si>
  <si>
    <t>Totale debiti estinti</t>
  </si>
  <si>
    <t>有利子負債の返済による支出</t>
  </si>
  <si>
    <t>Всего погашенных долговых обязательств</t>
  </si>
  <si>
    <t>Total de la deuda cancelada</t>
  </si>
  <si>
    <t>총 상환 부채</t>
  </si>
  <si>
    <t>普通股发行</t>
  </si>
  <si>
    <t>普通股發行</t>
  </si>
  <si>
    <t>Émission d'actions ordinaires</t>
  </si>
  <si>
    <t>Ausgabe von Stammaktien</t>
  </si>
  <si>
    <t>Emissione di azioni ordinarie</t>
  </si>
  <si>
    <t>普通株式の発行による収入</t>
  </si>
  <si>
    <t>Выпуск обыкновенных акций</t>
  </si>
  <si>
    <t>Emisión de Acciones Comunes</t>
  </si>
  <si>
    <t>보통주 발행</t>
  </si>
  <si>
    <t>普通股回购</t>
  </si>
  <si>
    <t>普通股回購</t>
  </si>
  <si>
    <t>Rachat d'actions ordinaires</t>
  </si>
  <si>
    <t>Rückkauf von Stammaktien</t>
  </si>
  <si>
    <t>Riacquisto di azioni ordinarie</t>
  </si>
  <si>
    <t>普通株式の買戻による支出</t>
  </si>
  <si>
    <t>Выкуп обыкновенных акций</t>
  </si>
  <si>
    <t>Recompra de acciones comunes</t>
  </si>
  <si>
    <t>보통주 재매입</t>
  </si>
  <si>
    <t>优先股发行</t>
  </si>
  <si>
    <t>優先股發行</t>
  </si>
  <si>
    <t>Emission de Preférénce Stock</t>
  </si>
  <si>
    <t>Ausgabe von Vorzugsaktien</t>
  </si>
  <si>
    <t>Emissione di azioni privilegiate</t>
  </si>
  <si>
    <t>優先株式の発行による収入</t>
  </si>
  <si>
    <t>Выпуск привилегированных акций</t>
  </si>
  <si>
    <t>Emisión de acciones preferentes</t>
  </si>
  <si>
    <t>우선주 발행</t>
  </si>
  <si>
    <t>优先股回购</t>
  </si>
  <si>
    <t>優先股回購</t>
  </si>
  <si>
    <t>Rachat des actions de préférence</t>
  </si>
  <si>
    <t>Rückkauf von Vorzugsaktien</t>
  </si>
  <si>
    <t>Riacquisto di azioni privilegiate</t>
  </si>
  <si>
    <t>優先株式の買戻による支出</t>
  </si>
  <si>
    <t>Выкуп привилегированных акций</t>
  </si>
  <si>
    <t>Recompra de acciones preferentes</t>
  </si>
  <si>
    <t>우선주 재매입</t>
  </si>
  <si>
    <t>总股息</t>
  </si>
  <si>
    <t>總股息</t>
  </si>
  <si>
    <t>Total dividendes versés</t>
  </si>
  <si>
    <t>Gezahlte dividenden insgesamt</t>
  </si>
  <si>
    <t>Totale dividendi pagati</t>
  </si>
  <si>
    <t>配当金による支出</t>
  </si>
  <si>
    <t>Всего выплачено дивидендов</t>
  </si>
  <si>
    <t>Dividendos totales pagados</t>
  </si>
  <si>
    <t xml:space="preserve">배당금의 지급 </t>
  </si>
  <si>
    <t>筹资活动产生的现金流量</t>
  </si>
  <si>
    <t>籌資活動產生的現金流量</t>
  </si>
  <si>
    <t>Flux de trésorerie des activités de financement</t>
  </si>
  <si>
    <t>Geldfluss aus Finanzierungstätigkeit</t>
  </si>
  <si>
    <t>Flusso finanziario dell’attività finanziaria</t>
  </si>
  <si>
    <t>財務活動によるキャッシュフロー</t>
  </si>
  <si>
    <t>Денежные средства от финансовой деятельности</t>
  </si>
  <si>
    <t>Efectivo generado en la financiación</t>
  </si>
  <si>
    <t>재무활동 현금흐름</t>
  </si>
  <si>
    <t>净现金变化</t>
  </si>
  <si>
    <t>淨現金變化</t>
  </si>
  <si>
    <t>Variation nette de la trésorerie</t>
  </si>
  <si>
    <t>Nettoveränderung in Bargeld</t>
  </si>
  <si>
    <t>Variazione netta di cassa</t>
  </si>
  <si>
    <t>現金の増減</t>
  </si>
  <si>
    <t>Чистое изменение денежных средств</t>
  </si>
  <si>
    <t>Cambio neto en el efectivo</t>
  </si>
  <si>
    <t>현금의 증감</t>
  </si>
  <si>
    <t>已支付现金利息</t>
  </si>
  <si>
    <t>已支付現金利息</t>
  </si>
  <si>
    <t>Intérêts en espèces versés</t>
  </si>
  <si>
    <t>Gezahlte Zinsen in Bargeld</t>
  </si>
  <si>
    <t>Interessi monetari pagati</t>
  </si>
  <si>
    <t>支払現金利息</t>
  </si>
  <si>
    <t>Проценты выплаченные наличными денежными средствами</t>
  </si>
  <si>
    <t>Intereses pagados en efectivo</t>
  </si>
  <si>
    <t xml:space="preserve">이자비용 현금지급액 </t>
  </si>
  <si>
    <t>已支付现金税项</t>
  </si>
  <si>
    <t>已支付現金稅項</t>
  </si>
  <si>
    <t>Impôts en espèces payés</t>
  </si>
  <si>
    <t>Gezahlte Steuern in Bargeld</t>
  </si>
  <si>
    <t>Imposte di cassa pagate</t>
  </si>
  <si>
    <t>支払現金税金</t>
  </si>
  <si>
    <t>Налоги оплаченные наличными денежными средствами</t>
  </si>
  <si>
    <t xml:space="preserve">Impuestos pagados en efectivo </t>
  </si>
  <si>
    <t xml:space="preserve">법인세 현금 납부액 </t>
  </si>
  <si>
    <t>非杠杆自由现金流</t>
  </si>
  <si>
    <t>非槓桿自由現金流</t>
  </si>
  <si>
    <t>Flux de trésorerie disponible sans désendettement</t>
  </si>
  <si>
    <t>Verfügbarer Geldfluss ohne Schulden</t>
  </si>
  <si>
    <t>Flusso di cassa libero unlevered</t>
  </si>
  <si>
    <t>アンレバードフリーキャッシュフロー</t>
  </si>
  <si>
    <t>Свободный денежный поток без учета финансовых обязательств</t>
  </si>
  <si>
    <t>Flujo de efectivo libre excluyendo pago de intereses</t>
  </si>
  <si>
    <t>기업잉여현금흐름 (Unlevered)</t>
  </si>
  <si>
    <t>交易资产证券</t>
  </si>
  <si>
    <t>交易資產證券</t>
  </si>
  <si>
    <t>Titres d'actifs négociables</t>
  </si>
  <si>
    <t>売買目的有価証券</t>
  </si>
  <si>
    <t>Спекулятивные ценные бумаги</t>
  </si>
  <si>
    <t>Negociación de valores de activos</t>
  </si>
  <si>
    <t>Handel mit Wertpapieren</t>
  </si>
  <si>
    <t>Titoli di negoziazione</t>
  </si>
  <si>
    <t>거래 자산 증권</t>
  </si>
  <si>
    <t>待售贷款</t>
  </si>
  <si>
    <t>待售貸款</t>
  </si>
  <si>
    <t>Prêts à la vente</t>
  </si>
  <si>
    <t>递延所得税资产</t>
  </si>
  <si>
    <t>遞延所得稅資產</t>
  </si>
  <si>
    <t>Actifs d'impôt différé courant</t>
  </si>
  <si>
    <t>限定用途的现金</t>
  </si>
  <si>
    <t>限定用途的現金</t>
  </si>
  <si>
    <t>Argent liquide restreint</t>
  </si>
  <si>
    <t>売却予定の営業貸付金</t>
  </si>
  <si>
    <t>Займы, предназначенные для продажи</t>
  </si>
  <si>
    <t>Préstamos retenidos para la venta</t>
  </si>
  <si>
    <t>繰延税金資産（短期）</t>
  </si>
  <si>
    <t xml:space="preserve">Текущие активы по отложенному налогу </t>
  </si>
  <si>
    <t>Activos de impuestos diferidos actuales</t>
  </si>
  <si>
    <t>拘束預金</t>
  </si>
  <si>
    <t>Денежные средства, ограниченные в использовании</t>
  </si>
  <si>
    <t>Efectivo restringido</t>
  </si>
  <si>
    <t>Zum Verkauf gehaltene Darlehen</t>
  </si>
  <si>
    <t>Crediti detenuti a scopo di vendita</t>
  </si>
  <si>
    <t>Latente Steuerforderungen, kurzfristig</t>
  </si>
  <si>
    <t>Imposte differite attive, correnti</t>
  </si>
  <si>
    <t>Gebundene Barmittel</t>
  </si>
  <si>
    <t>Liquidità vincolata</t>
  </si>
  <si>
    <t>매도 대상 보유 대출</t>
  </si>
  <si>
    <t>유동 이연법인세자산</t>
  </si>
  <si>
    <t>특정 현금</t>
  </si>
  <si>
    <t>权益</t>
  </si>
  <si>
    <t>權益</t>
  </si>
  <si>
    <t>Capital</t>
  </si>
  <si>
    <t>Eigenkapital</t>
  </si>
  <si>
    <t>Capitale</t>
  </si>
  <si>
    <t>자본</t>
  </si>
  <si>
    <t>其他优先股</t>
  </si>
  <si>
    <t>其他優先股</t>
  </si>
  <si>
    <t>Actions privilégiées, autres</t>
  </si>
  <si>
    <t>Pref. lager, andere</t>
  </si>
  <si>
    <t>Azioni privileg., altro</t>
  </si>
  <si>
    <t>優先株式- その他</t>
  </si>
  <si>
    <t>Привилегированные акции, другое</t>
  </si>
  <si>
    <t>Acciones preferentes, otros</t>
  </si>
  <si>
    <t>우선주, 기타</t>
  </si>
  <si>
    <t>库存股</t>
  </si>
  <si>
    <t>庫存股</t>
  </si>
  <si>
    <t>Actions du Trésor</t>
  </si>
  <si>
    <t>自己株式</t>
  </si>
  <si>
    <t>Собственные выкупленные акции (доли)</t>
  </si>
  <si>
    <t>Acciones del Tesoro</t>
  </si>
  <si>
    <t>Eigene Aktien</t>
  </si>
  <si>
    <t>Azioni proprie</t>
  </si>
  <si>
    <t>자사주</t>
  </si>
  <si>
    <t>少数权益</t>
  </si>
  <si>
    <t>少數權益</t>
  </si>
  <si>
    <t>Intérêt minoritaire</t>
  </si>
  <si>
    <t>Minderheitsanteile</t>
  </si>
  <si>
    <t>Partecipazione minoritaria</t>
  </si>
  <si>
    <t>Доля меньшинства</t>
  </si>
  <si>
    <t>Participación del interés minoritario</t>
  </si>
  <si>
    <t>비지배지분</t>
  </si>
  <si>
    <t>总租赁</t>
  </si>
  <si>
    <t>總租賃</t>
  </si>
  <si>
    <t>Total des baux</t>
  </si>
  <si>
    <t>Summe der Mietverträge</t>
  </si>
  <si>
    <t>リース総額</t>
  </si>
  <si>
    <t>Всего аренда</t>
  </si>
  <si>
    <t>Total de arrendamientos</t>
  </si>
  <si>
    <t>총 리스</t>
  </si>
  <si>
    <t>总无形资产</t>
  </si>
  <si>
    <t>總無形資產</t>
  </si>
  <si>
    <t>Total des actifs incorporels</t>
  </si>
  <si>
    <t>無形固定資産</t>
  </si>
  <si>
    <t>Всего нематериальных активов</t>
  </si>
  <si>
    <t>Intangibles totales</t>
  </si>
  <si>
    <t>Immaterialvermögen, Summe</t>
  </si>
  <si>
    <t>Totale attività immateriali</t>
  </si>
  <si>
    <t>总债务</t>
  </si>
  <si>
    <t>總債務</t>
  </si>
  <si>
    <t>Dette totale</t>
  </si>
  <si>
    <t>Gesamtverschuldung</t>
  </si>
  <si>
    <t>Indebitamento totale</t>
  </si>
  <si>
    <t>有利子負債合計</t>
  </si>
  <si>
    <t>Общая задолженность</t>
  </si>
  <si>
    <t>Deuda total</t>
  </si>
  <si>
    <t>并购目标净债务</t>
  </si>
  <si>
    <t>併購目標淨債務</t>
  </si>
  <si>
    <t>Dette nette</t>
  </si>
  <si>
    <t>Debito netto</t>
  </si>
  <si>
    <t>純有利子負債</t>
  </si>
  <si>
    <t>Чистая Задолженность</t>
  </si>
  <si>
    <t>Deuda Neta</t>
  </si>
  <si>
    <t>순부채</t>
  </si>
  <si>
    <t>总资本化</t>
  </si>
  <si>
    <t>總資本化</t>
  </si>
  <si>
    <t>Capitalisation totale</t>
  </si>
  <si>
    <t>Gesamtkapitalisierung</t>
  </si>
  <si>
    <t>Capitalizzazione totale</t>
  </si>
  <si>
    <t>総資本化</t>
  </si>
  <si>
    <t>Общая капитализация</t>
  </si>
  <si>
    <t>Capitalización Total</t>
  </si>
  <si>
    <t>총 자본금</t>
  </si>
  <si>
    <t>累计备抵坏账</t>
  </si>
  <si>
    <t>累計備抵壞帳</t>
  </si>
  <si>
    <t>Provision cumulée pour comptes douteux</t>
  </si>
  <si>
    <t>Aufgelaufene Einzelwertberichtigung auf zweifelhafte Forderungen</t>
  </si>
  <si>
    <t>Fondo accumulato per svalutazione crediti</t>
  </si>
  <si>
    <t>不良債権に対する貸倒引当金総額</t>
  </si>
  <si>
    <t>Накопленная резервная сумма для сомнительных счетов</t>
  </si>
  <si>
    <t>Reserva acumulada para cuentas dudosas</t>
  </si>
  <si>
    <t>대손 충당금 누계액</t>
  </si>
  <si>
    <t>权益法下的投资</t>
  </si>
  <si>
    <t>權益法下的投資</t>
  </si>
  <si>
    <t>Investissements dans la méthode de mise en équivalence</t>
  </si>
  <si>
    <t>Finanzanlagen nach der Equity-Methode</t>
  </si>
  <si>
    <t>Investimenti con metodo del patrimonio netto</t>
  </si>
  <si>
    <t>関係会社株式</t>
  </si>
  <si>
    <t>Инвестиции по методу долевого участия</t>
  </si>
  <si>
    <t>Inversiones con método de equidad</t>
  </si>
  <si>
    <t>지분법 투자금</t>
  </si>
  <si>
    <t>或有负债</t>
  </si>
  <si>
    <t>或有負債</t>
  </si>
  <si>
    <t>Passifs éventuels</t>
  </si>
  <si>
    <t>Eventualverbindlichkeiten</t>
  </si>
  <si>
    <t>Sopravvenienze passive</t>
  </si>
  <si>
    <t>偶発債務</t>
  </si>
  <si>
    <t>Потенциальные обязательства</t>
  </si>
  <si>
    <t>Pasivos contingentes</t>
  </si>
  <si>
    <t>우발 채무</t>
  </si>
  <si>
    <t>利润表(续)</t>
  </si>
  <si>
    <t>损益表 (續)</t>
  </si>
  <si>
    <t xml:space="preserve">COMPTE DE RÉSULTAT </t>
  </si>
  <si>
    <t>GEWINN-UND-VELUST-RECHNUNG (Fortsetzung)</t>
  </si>
  <si>
    <t>CONTO ECONOMICO (segue)</t>
  </si>
  <si>
    <t>損益計算書(注記)</t>
  </si>
  <si>
    <t xml:space="preserve">DECLARACIÓN DE INGRESOS </t>
  </si>
  <si>
    <t>손익 계산서(계속)</t>
  </si>
  <si>
    <t>Année civile + 1</t>
  </si>
  <si>
    <t>KJ+1</t>
  </si>
  <si>
    <t>AC+1</t>
  </si>
  <si>
    <t>CY + 1</t>
  </si>
  <si>
    <t>Календарный год + 1</t>
  </si>
  <si>
    <t>Año natural + 1</t>
  </si>
  <si>
    <t>Année civile + 2</t>
  </si>
  <si>
    <t>KJ+2</t>
  </si>
  <si>
    <t>AC+2</t>
  </si>
  <si>
    <t>CY + 2</t>
  </si>
  <si>
    <t>Календарный год + 2</t>
  </si>
  <si>
    <t>Año natural + 2</t>
  </si>
  <si>
    <t>Chiffre d'Affaires</t>
  </si>
  <si>
    <t>Выручка</t>
  </si>
  <si>
    <t>수익</t>
  </si>
  <si>
    <t>总企业价值/总收入</t>
  </si>
  <si>
    <t>總企業價值/總收入</t>
  </si>
  <si>
    <t>Valeur de l'entreprise / Revenu</t>
  </si>
  <si>
    <t>Unternehmenswert/Umsatz</t>
  </si>
  <si>
    <t>Valore aziendale totale/Ricavi</t>
  </si>
  <si>
    <t>企業価値/売上高</t>
  </si>
  <si>
    <t>Общая стоимость предприятия (TEV)/ Выручка</t>
  </si>
  <si>
    <t>Valor de la empresa total / Ingresos</t>
  </si>
  <si>
    <t>기업가치 / 매출총액</t>
  </si>
  <si>
    <t>固定资产</t>
  </si>
  <si>
    <t xml:space="preserve">固定資產 </t>
  </si>
  <si>
    <t>Immobilisations</t>
  </si>
  <si>
    <t>Sachanlagen</t>
  </si>
  <si>
    <t>Immobilizzazioni</t>
  </si>
  <si>
    <t xml:space="preserve">固定資産 </t>
  </si>
  <si>
    <t>Основные активы</t>
  </si>
  <si>
    <t>Activos Fijos</t>
  </si>
  <si>
    <t xml:space="preserve">고정 자산 </t>
  </si>
  <si>
    <t>最多</t>
  </si>
  <si>
    <t>最大</t>
  </si>
  <si>
    <t>Макс</t>
  </si>
  <si>
    <t>최대</t>
  </si>
  <si>
    <t>中位数</t>
  </si>
  <si>
    <t>中位數</t>
  </si>
  <si>
    <t>Médiane</t>
  </si>
  <si>
    <t>Mediana</t>
  </si>
  <si>
    <t>中央値</t>
  </si>
  <si>
    <t>Медиан</t>
  </si>
  <si>
    <t>중앙값</t>
  </si>
  <si>
    <t>交易数据和规模</t>
  </si>
  <si>
    <t>交易數據和規模</t>
  </si>
  <si>
    <t>Données et taille des échanges</t>
  </si>
  <si>
    <t>现有价格占52周的百分比（％）</t>
  </si>
  <si>
    <t>現有價格佔52週的百分比（％）</t>
  </si>
  <si>
    <t>Actuel en % de 52 semaines (%)</t>
  </si>
  <si>
    <t>取引データ・規模</t>
  </si>
  <si>
    <t>Торговые данные и размер</t>
  </si>
  <si>
    <t>Datos comerciales y tamaño</t>
  </si>
  <si>
    <t>現在値(%)の52週間価値の割合(%)</t>
  </si>
  <si>
    <t>Текущий как % 52-недельного (%)</t>
  </si>
  <si>
    <t>Actual como% de 52 semanas (%)</t>
  </si>
  <si>
    <t>Handelsdaten und Größe</t>
  </si>
  <si>
    <t>Dimensione e dati trading</t>
  </si>
  <si>
    <t>Kurzfristigkeit als % von 52-Wochen (%)</t>
  </si>
  <si>
    <t>Corrente come % di 52-settimane (%)</t>
  </si>
  <si>
    <t>거래 데이터 및 크기</t>
  </si>
  <si>
    <t>52주 % 기준 현재(%)</t>
  </si>
  <si>
    <t>应收帳款</t>
  </si>
  <si>
    <t>應收帳款</t>
  </si>
  <si>
    <t>Comptes à recevoir</t>
  </si>
  <si>
    <t>Задолженность на счетах</t>
  </si>
  <si>
    <t>LL-Forderungen</t>
  </si>
  <si>
    <t>已发行</t>
  </si>
  <si>
    <t>已發行</t>
  </si>
  <si>
    <t>En cours</t>
  </si>
  <si>
    <t>市</t>
  </si>
  <si>
    <t>Marché</t>
  </si>
  <si>
    <t>值</t>
  </si>
  <si>
    <t>Capitalisation</t>
  </si>
  <si>
    <t>企业</t>
  </si>
  <si>
    <t>企業</t>
  </si>
  <si>
    <t>Entreprise</t>
  </si>
  <si>
    <t>発行済みの</t>
  </si>
  <si>
    <t>В обращении</t>
  </si>
  <si>
    <t>En cicrulacion</t>
  </si>
  <si>
    <t>時価</t>
  </si>
  <si>
    <t>Рынок</t>
  </si>
  <si>
    <t>Mercado</t>
  </si>
  <si>
    <t>総額</t>
  </si>
  <si>
    <t>Капитализация</t>
  </si>
  <si>
    <t>Capitalización</t>
  </si>
  <si>
    <t>Предприятие</t>
  </si>
  <si>
    <t>Empresa</t>
  </si>
  <si>
    <t>Umlaufend</t>
  </si>
  <si>
    <t>In circ.</t>
  </si>
  <si>
    <t>Markt</t>
  </si>
  <si>
    <t>Mercato</t>
  </si>
  <si>
    <t>Kap.</t>
  </si>
  <si>
    <t>Capitalizz.</t>
  </si>
  <si>
    <t>Unternehmen</t>
  </si>
  <si>
    <t>유출</t>
  </si>
  <si>
    <t>시장</t>
  </si>
  <si>
    <t>기업</t>
  </si>
  <si>
    <t>价值型</t>
  </si>
  <si>
    <t>價值型</t>
  </si>
  <si>
    <t>Valeur</t>
  </si>
  <si>
    <t>Wert</t>
  </si>
  <si>
    <t>Valore</t>
  </si>
  <si>
    <t>バリュー</t>
  </si>
  <si>
    <t>Стоимостное инвестирование</t>
  </si>
  <si>
    <t>Valor</t>
  </si>
  <si>
    <t>가치</t>
  </si>
  <si>
    <t>高</t>
  </si>
  <si>
    <t>Haute</t>
  </si>
  <si>
    <t>Hoch</t>
  </si>
  <si>
    <t>Alto</t>
  </si>
  <si>
    <t>Высокий</t>
  </si>
  <si>
    <t>높음</t>
  </si>
  <si>
    <t>股份</t>
  </si>
  <si>
    <t>Actions</t>
  </si>
  <si>
    <t>Aktien</t>
  </si>
  <si>
    <t>Azioni</t>
  </si>
  <si>
    <t>Акции</t>
  </si>
  <si>
    <t>Acciones</t>
  </si>
  <si>
    <t xml:space="preserve">주식 수 </t>
  </si>
  <si>
    <t>最低</t>
  </si>
  <si>
    <t>Minimum</t>
  </si>
  <si>
    <t>Moyenne</t>
  </si>
  <si>
    <t>最小値</t>
  </si>
  <si>
    <t>Минимальный</t>
  </si>
  <si>
    <t xml:space="preserve">Mínimo </t>
  </si>
  <si>
    <t>平均値</t>
  </si>
  <si>
    <t>Среднее значение</t>
  </si>
  <si>
    <t xml:space="preserve">Media </t>
  </si>
  <si>
    <t>Mittel</t>
  </si>
  <si>
    <t>Medio</t>
  </si>
  <si>
    <t>최소</t>
  </si>
  <si>
    <t>可比公司分析</t>
  </si>
  <si>
    <t>ANALYSE COMPARABLE DE L'ENTREPRISE</t>
  </si>
  <si>
    <t>VERGLEICHBARE UNTERNEHMENSANALYSE</t>
  </si>
  <si>
    <t>ANALISI AZIENDALE COMPARABILE</t>
  </si>
  <si>
    <t>類似企業分析</t>
  </si>
  <si>
    <t>СРАВНИТЕЛЬНЫЙ АНАЛИЗ КОМПАНИИ</t>
  </si>
  <si>
    <t>ANALISIS COMPARABLE DE EMPRESA</t>
  </si>
  <si>
    <t>비교기업 (Peer Comps) 분석</t>
  </si>
  <si>
    <t>Total de la dette/</t>
  </si>
  <si>
    <t xml:space="preserve">有利子負債 / </t>
  </si>
  <si>
    <t>Общий долг/</t>
  </si>
  <si>
    <t>Deuda total /</t>
  </si>
  <si>
    <t>Summe der Schulden/</t>
  </si>
  <si>
    <t>Totale debito/</t>
  </si>
  <si>
    <t>총 부채/</t>
  </si>
  <si>
    <t>过去十二个月息税折旧摊销前利润</t>
  </si>
  <si>
    <t>過去十二個月息稅折舊攤銷前利潤</t>
  </si>
  <si>
    <t>EBITDA de 12 Derniers Mois</t>
  </si>
  <si>
    <t>Letzte zwölf Monate - Ergebnis vor Zinsen, Steuern und Abschreibungen</t>
  </si>
  <si>
    <t>EBITDA За Последние 12 Месяцев</t>
  </si>
  <si>
    <t>EBITDA de los Últimos 12 Meses</t>
  </si>
  <si>
    <t>毛利率</t>
  </si>
  <si>
    <t>Marge brute</t>
  </si>
  <si>
    <t>Bruttomarge</t>
  </si>
  <si>
    <t>Margine lordo</t>
  </si>
  <si>
    <t>Валовая маржа</t>
  </si>
  <si>
    <t>Margen bruto</t>
  </si>
  <si>
    <t>매출총이익률 (%)</t>
  </si>
  <si>
    <t>EBITDA利润率</t>
  </si>
  <si>
    <t>EBITDA利潤率</t>
  </si>
  <si>
    <t>EBITDA Marge</t>
  </si>
  <si>
    <t>EBITDA-Marge</t>
  </si>
  <si>
    <t>Margine EBITDA</t>
  </si>
  <si>
    <t>EBITDA利益率 (%)</t>
  </si>
  <si>
    <t>Маржа по EBITDA</t>
  </si>
  <si>
    <t xml:space="preserve">Margen de EBITDA </t>
  </si>
  <si>
    <t>EBITDA이익률 (%)</t>
  </si>
  <si>
    <t>净收入率</t>
  </si>
  <si>
    <t>淨收入率</t>
  </si>
  <si>
    <t>Marge de revenu net</t>
  </si>
  <si>
    <t>Nettogewinnmarge</t>
  </si>
  <si>
    <t>Margine di reddito netto</t>
  </si>
  <si>
    <t>Маржа чистой прибыли</t>
  </si>
  <si>
    <t>Margen de ingreso neto</t>
  </si>
  <si>
    <t>당기순이익률 (%)</t>
  </si>
  <si>
    <t>利润分析(%)</t>
  </si>
  <si>
    <t>利潤分析(%)</t>
  </si>
  <si>
    <t>Analyse des marges (%)</t>
  </si>
  <si>
    <t>マージン分析（％）</t>
  </si>
  <si>
    <t>Анализ маржи (%)</t>
  </si>
  <si>
    <t>Análisis de margen (%)</t>
  </si>
  <si>
    <t>Margenanalyse (%)</t>
  </si>
  <si>
    <t>Analisi del margine (%)</t>
  </si>
  <si>
    <t>마진 분석(%)</t>
  </si>
  <si>
    <t>过去十二个月增长率(%)</t>
  </si>
  <si>
    <t>過去十二個月增長率(%)</t>
  </si>
  <si>
    <t>Taux de croissance des douze derniers mois (%)</t>
  </si>
  <si>
    <t>LTMの成長率（％）</t>
  </si>
  <si>
    <t>Темпы роста за последние 12 месяцев (%)</t>
  </si>
  <si>
    <t>Tasas de crecimiento de los últimos doce meses (%)</t>
  </si>
  <si>
    <t>Wachstumsrate in den letzten 12 Monaten (%)</t>
  </si>
  <si>
    <t>Tassi crescita LTM</t>
  </si>
  <si>
    <t>LTM 성장률(%)</t>
  </si>
  <si>
    <t>每股盈利</t>
  </si>
  <si>
    <t>Résultat net par action (RPA)</t>
  </si>
  <si>
    <t>Utile per azione</t>
  </si>
  <si>
    <t>１株当たり利益</t>
  </si>
  <si>
    <t xml:space="preserve">Прибыль на одну акцию (EPS) </t>
  </si>
  <si>
    <t>Ganancia por acción</t>
  </si>
  <si>
    <t>주당 이익 (손실)</t>
  </si>
  <si>
    <t>股价/</t>
  </si>
  <si>
    <t>股價/</t>
  </si>
  <si>
    <t>Prix /</t>
  </si>
  <si>
    <t>账面价值</t>
  </si>
  <si>
    <t>賬面價值</t>
  </si>
  <si>
    <t>Valeur comptable</t>
  </si>
  <si>
    <t>価格/</t>
  </si>
  <si>
    <t>Цена /</t>
  </si>
  <si>
    <t>Precio /</t>
  </si>
  <si>
    <t>有形固定資産</t>
  </si>
  <si>
    <t>балансовая стоимость</t>
  </si>
  <si>
    <t>Valor en libros</t>
  </si>
  <si>
    <t>Valor contable tangible</t>
  </si>
  <si>
    <t>Preis /</t>
  </si>
  <si>
    <t>BV des Materialvermögens</t>
  </si>
  <si>
    <t>BV tangibile</t>
  </si>
  <si>
    <t>가격 /</t>
  </si>
  <si>
    <t>유형 BV</t>
  </si>
  <si>
    <t>估值倍数</t>
  </si>
  <si>
    <t>估值倍數</t>
  </si>
  <si>
    <t>Multiples d'échanges</t>
  </si>
  <si>
    <t>取引倍数</t>
  </si>
  <si>
    <t>Торговые мультипликаторы</t>
  </si>
  <si>
    <t>Múltiplos de Negociación</t>
  </si>
  <si>
    <t>Kursvielfache</t>
  </si>
  <si>
    <t>Multipli di mercato</t>
  </si>
  <si>
    <t>거래 배수</t>
  </si>
  <si>
    <t>现金</t>
  </si>
  <si>
    <t>現金</t>
  </si>
  <si>
    <t>优先股</t>
  </si>
  <si>
    <t>優先股</t>
  </si>
  <si>
    <t>stock préféré</t>
  </si>
  <si>
    <t>Intérêts minoritaires</t>
  </si>
  <si>
    <t>Денежные средства</t>
  </si>
  <si>
    <t>Efectivo</t>
  </si>
  <si>
    <t>優先株式</t>
  </si>
  <si>
    <t>Привилегированные акции</t>
  </si>
  <si>
    <t>Acción preferente</t>
  </si>
  <si>
    <t>Интересы меньшинства</t>
  </si>
  <si>
    <t>Interés minoritario</t>
  </si>
  <si>
    <t>Barmittel</t>
  </si>
  <si>
    <t>Contanti</t>
  </si>
  <si>
    <t>Vorzugsaktien</t>
  </si>
  <si>
    <t>Azioni privileg.</t>
  </si>
  <si>
    <t>Minderheitsbeteiligung</t>
  </si>
  <si>
    <t>Partecipazione min.</t>
  </si>
  <si>
    <t>현금</t>
  </si>
  <si>
    <t>우선주</t>
  </si>
  <si>
    <t>소수주주 지분</t>
  </si>
  <si>
    <t>Total chiffre d'affaires</t>
  </si>
  <si>
    <t>Gesamtumsatz</t>
  </si>
  <si>
    <t xml:space="preserve">Общая выручка </t>
  </si>
  <si>
    <t>Total de ingresos</t>
  </si>
  <si>
    <t>총 매출</t>
  </si>
  <si>
    <t>Valeur de l'entreprise / Total des revenus</t>
  </si>
  <si>
    <t>Unternehmenswert/Gesamtumsatz</t>
  </si>
  <si>
    <t>Valore aziendale totale/Ricavi totali</t>
  </si>
  <si>
    <t xml:space="preserve">Общая стоимость предприятия (TEV) /Общая выручка </t>
  </si>
  <si>
    <t>Valor de la empresa total/ Ingresos totales</t>
  </si>
  <si>
    <t>TEV/총 수익</t>
  </si>
  <si>
    <t>财务数据</t>
  </si>
  <si>
    <t>財務數據</t>
  </si>
  <si>
    <t>DONNÉES FINANCIÈRES</t>
  </si>
  <si>
    <t>FINANZDATEN</t>
  </si>
  <si>
    <t>DATI FINANZIARI</t>
  </si>
  <si>
    <t>財務データ</t>
  </si>
  <si>
    <t>ФИНАНСОВЫЕ ДАННЫЕ</t>
  </si>
  <si>
    <t>DATOS FINANCIEROS</t>
  </si>
  <si>
    <t>재무 데이터</t>
  </si>
  <si>
    <t>股价</t>
  </si>
  <si>
    <t>股價</t>
  </si>
  <si>
    <t>Cours de l'action</t>
  </si>
  <si>
    <t>Aktienkurs</t>
  </si>
  <si>
    <t>Prezzo delle azioni</t>
  </si>
  <si>
    <t>株価</t>
  </si>
  <si>
    <t>Цена акций</t>
  </si>
  <si>
    <t>Precio de la acción</t>
  </si>
  <si>
    <t>주가</t>
  </si>
  <si>
    <t>52 周</t>
  </si>
  <si>
    <t>52 週</t>
  </si>
  <si>
    <t>52 semaines</t>
  </si>
  <si>
    <t>52週</t>
  </si>
  <si>
    <t>52-недельный</t>
  </si>
  <si>
    <t>52 semanas</t>
  </si>
  <si>
    <t>52-Wochen</t>
  </si>
  <si>
    <t>52-settimane</t>
  </si>
  <si>
    <t>52주</t>
  </si>
  <si>
    <t>公司名称</t>
  </si>
  <si>
    <t>公司名稱</t>
  </si>
  <si>
    <t>Dénomination</t>
  </si>
  <si>
    <t>Nome</t>
  </si>
  <si>
    <t>企業名</t>
  </si>
  <si>
    <t>Наименование</t>
  </si>
  <si>
    <t>Nombre</t>
  </si>
  <si>
    <t>회사명</t>
  </si>
  <si>
    <t>复合年均增长率 (五年)</t>
  </si>
  <si>
    <t>複合年均增長率 (五年)</t>
  </si>
  <si>
    <t>CAGR [taux de croissance annuel composé] (5 ans)</t>
  </si>
  <si>
    <t>Durchschnittliche jährliche Wachstumsrate (5 Jahre)</t>
  </si>
  <si>
    <t>CAGR (5 anni)</t>
  </si>
  <si>
    <t>平均年間成長率 (5年)</t>
  </si>
  <si>
    <t>Совокупный среднегодовой темп роста (CAGR) (5 лет)</t>
  </si>
  <si>
    <t>Tasa de crecimiento anual compuesto (5 años)</t>
  </si>
  <si>
    <t>CAGR (5년)</t>
  </si>
  <si>
    <t>摊薄每股盈利(不包括非经常性项目) %</t>
  </si>
  <si>
    <t>攤薄每股盈利(不包括非經常性項目) %</t>
  </si>
  <si>
    <t>BPA dilué avant Extra (%)</t>
  </si>
  <si>
    <t>潜在株式調整後一株当たり利益 (%)</t>
  </si>
  <si>
    <t>Разбавленный EPS перед дополнительными элементами (%)</t>
  </si>
  <si>
    <t>BPA diluido antes de Extra (%)</t>
  </si>
  <si>
    <t>Verwässerter EPS vor Extra (%)</t>
  </si>
  <si>
    <t>EPS diluito al lordo dell'Extra (%)</t>
  </si>
  <si>
    <t>추가항목 이전 희석 EPS(%)</t>
  </si>
  <si>
    <t>总负债  / 总资产 (%)</t>
  </si>
  <si>
    <t>總負債  / 總資產 (%)</t>
  </si>
  <si>
    <t>Passif total / Actif total (%)</t>
  </si>
  <si>
    <t>Gesamtschulden/Gesamtvermögen (%)</t>
  </si>
  <si>
    <t>Totale passività/ Totale attività (%)</t>
  </si>
  <si>
    <t>総負債 / 総資産(%)</t>
  </si>
  <si>
    <t>Итого Обязательства / Итого Активы (%)</t>
  </si>
  <si>
    <t>Total de Pasivos / Total de Activos (%)</t>
  </si>
  <si>
    <t>총 부채 / 총 자산(%)</t>
  </si>
  <si>
    <t>息稅前利潤/利息费用</t>
  </si>
  <si>
    <t>息稅前利潤/利息費用</t>
  </si>
  <si>
    <t>EBIT / Frais d'intérêt</t>
  </si>
  <si>
    <t>EBIT/支払利息</t>
  </si>
  <si>
    <t>EBIT / Процентные расходы</t>
  </si>
  <si>
    <t>EBIT / Gastos por intereses</t>
  </si>
  <si>
    <t>EBIT/Zinsaufwand</t>
  </si>
  <si>
    <t>EBIT/Interesse passivo</t>
  </si>
  <si>
    <t>EBIT/이자비용</t>
  </si>
  <si>
    <t>总收入/员工</t>
  </si>
  <si>
    <t>總收入/員工</t>
  </si>
  <si>
    <t>Total des recettes/ Employé</t>
  </si>
  <si>
    <t>Score Altman Z</t>
  </si>
  <si>
    <t>総収入/従業員</t>
  </si>
  <si>
    <t>Общий доход/работник</t>
  </si>
  <si>
    <t>Ingresos totales / empleado</t>
  </si>
  <si>
    <t xml:space="preserve"> アルトマンのZ値</t>
  </si>
  <si>
    <t>Альтман Z Оценка</t>
  </si>
  <si>
    <t>Puntuación Altman Z</t>
  </si>
  <si>
    <t>Summe der Erlöse/Mitarbeiter</t>
  </si>
  <si>
    <t>Totale ricavi/dipendente</t>
  </si>
  <si>
    <t>Z-Score nach Altman</t>
  </si>
  <si>
    <t>Altman punteggio zeta</t>
  </si>
  <si>
    <t>총 수익/직원</t>
  </si>
  <si>
    <t>알트만 Z 스코어</t>
  </si>
  <si>
    <t>税息折旧及摊销前利润 /利息费用</t>
  </si>
  <si>
    <t>稅息折舊及攤銷前利潤 /利息費用</t>
  </si>
  <si>
    <t>EBITDA / charge d’intérêt</t>
  </si>
  <si>
    <t>EBITDA/Zinsaufwand</t>
  </si>
  <si>
    <t>EBITDA/Interessi passivi</t>
  </si>
  <si>
    <t>EBITDA/支払利息</t>
  </si>
  <si>
    <t>EBITDA / процентные расходы</t>
  </si>
  <si>
    <t>EBITDA / Gastos por Intereses</t>
  </si>
  <si>
    <t>EBITDA/이자비용</t>
  </si>
  <si>
    <t>(税息折旧及摊销前利润-资本支出)/利息费用</t>
  </si>
  <si>
    <t>(稅息折舊及攤銷前利潤-資本支出)/利息費用</t>
  </si>
  <si>
    <t>(EBITDA-CAPEX) / charge d’intérêt</t>
  </si>
  <si>
    <t>(EBITDA-CAPEX)/Zinsaufwand</t>
  </si>
  <si>
    <t>(EBITDA-CAPEX)/Interessi passivi</t>
  </si>
  <si>
    <t>(EBITDA-設備投資)/支払利息</t>
  </si>
  <si>
    <t>(EBITDA-CAPEX) / Процентные расходы</t>
  </si>
  <si>
    <t>(EBITDA-Gastos de capital) / Gastos por intereses</t>
  </si>
  <si>
    <t>(EBITDA-CAPEX)/이자비용</t>
  </si>
  <si>
    <t>总债务/税息折旧及摊销前利润</t>
  </si>
  <si>
    <t>總債務/稅息折舊及攤銷前利潤</t>
  </si>
  <si>
    <t>Dette totale / EBITDA</t>
  </si>
  <si>
    <t>Gesamtverschuldung/EBITDA</t>
  </si>
  <si>
    <t>Indebitamento totale/EBITDA</t>
  </si>
  <si>
    <t>有利子負債/EBITDA</t>
  </si>
  <si>
    <t>Общая задолженность / EBITDA</t>
  </si>
  <si>
    <t>Deuda Total / EBITDA</t>
  </si>
  <si>
    <t>총부채/EBITDA</t>
  </si>
  <si>
    <t>净债务 / 税息折旧及摊销前利润</t>
  </si>
  <si>
    <t>淨債務 / 稅息折舊及攤銷前利潤</t>
  </si>
  <si>
    <t>Dette nette / EBITDA</t>
  </si>
  <si>
    <t>Nettoverschuldung/EBITDA</t>
  </si>
  <si>
    <t>Indebitamento netto/EBITDA</t>
  </si>
  <si>
    <t>純有利子負債 / EBITDA</t>
  </si>
  <si>
    <t>Чистая задолженность / EBITDA</t>
  </si>
  <si>
    <t>Deuda Neta / EBITDA</t>
  </si>
  <si>
    <t>순부채 / EBITDA</t>
  </si>
  <si>
    <t>总债务 / （息税折旧摊销前利润 - 资本支出）</t>
  </si>
  <si>
    <t xml:space="preserve">總債務 / （息稅折舊攤銷前利潤 - 資本支出） </t>
  </si>
  <si>
    <t>Dette totale / (EBITDA-Dépenses en immobilisations)</t>
  </si>
  <si>
    <t>Gesamtverschuldung/(EBITDA-CAPEX)</t>
  </si>
  <si>
    <t>Debito totale/(EBITDA-CAPEX)</t>
  </si>
  <si>
    <t>総負債 / (EBITDA-設備投資)</t>
  </si>
  <si>
    <t>Общая задолженность / (EBITDA-CAPEX)</t>
  </si>
  <si>
    <t>Deuda total / (EBITDA-Gastos de capital)</t>
  </si>
  <si>
    <t>총부채/(EBITDA-CAPEX)</t>
  </si>
  <si>
    <t>净债务 / （息税折旧摊销前利润 - 资本支出）</t>
  </si>
  <si>
    <t xml:space="preserve">淨債務 /（息稅折舊攤銷前利潤 - 資本支出） </t>
  </si>
  <si>
    <t>Dette net / (EBITDA-Dépenses en immobilisations)</t>
  </si>
  <si>
    <t>Nettoverschuldung/(EBITDA-CAPEX)</t>
  </si>
  <si>
    <t>Debito netto/(EBITDA-CAPEX)</t>
  </si>
  <si>
    <t>純負債 / (EBITDA-設備投資)</t>
  </si>
  <si>
    <t>Чистый долг / (EBITDA-CAPEX)</t>
  </si>
  <si>
    <t>Deuda neta / (EBITDA-Gastos de capital)</t>
  </si>
  <si>
    <t>순부채/(EBITDA-CAPEX)</t>
  </si>
  <si>
    <t>经营现金流量与流动负债比率</t>
  </si>
  <si>
    <t>經營現金流量與流動負債比率</t>
  </si>
  <si>
    <t>Flux de trésorerie provenant des opérations au passif courant</t>
  </si>
  <si>
    <t>営業活動によるキャッシュ/流動負債</t>
  </si>
  <si>
    <t>Денежные средства от операционной деятельности к кредитным обязательствам</t>
  </si>
  <si>
    <t>Efectivo de operaciones a pasivos corrientes</t>
  </si>
  <si>
    <t>Betriebliche Barerlöse zu kurzfristigen Verbindlichkeiten</t>
  </si>
  <si>
    <t>Contante da attività a passività correnti</t>
  </si>
  <si>
    <t>운용에서 유동 부채로의 현금</t>
  </si>
  <si>
    <t>应收账款周转率</t>
  </si>
  <si>
    <t>應收賬款周轉率</t>
  </si>
  <si>
    <t>Chiffre d'affaires des comptes débiteurs</t>
  </si>
  <si>
    <t>Umsatz von Forderungen</t>
  </si>
  <si>
    <t>Fatturato di crediti verso clienti</t>
  </si>
  <si>
    <t>売上債権回転率</t>
  </si>
  <si>
    <t>Оборачиваемость дебиторской задолженности</t>
  </si>
  <si>
    <t>Rotación de cuentas por cobrar</t>
  </si>
  <si>
    <t>매출채권회전율</t>
  </si>
  <si>
    <t>资本支出占收入的百分比</t>
  </si>
  <si>
    <t>資本支出佔收入的百分比</t>
  </si>
  <si>
    <t>Investissements en % des revenus</t>
  </si>
  <si>
    <t>設備投資率</t>
  </si>
  <si>
    <t>Капитальные затраты как % от выручки</t>
  </si>
  <si>
    <t>Gastos de capital como% de ingresos</t>
  </si>
  <si>
    <t>Anlageinvestitionen in % der Erlöse</t>
  </si>
  <si>
    <t>Capex come % ricavi</t>
  </si>
  <si>
    <t>수익 기준 자본 지출 비율(%)</t>
  </si>
  <si>
    <t>税息折旧及摊销前利润率 (%)</t>
  </si>
  <si>
    <t>稅息折舊及攤銷前利潤率 (%)</t>
  </si>
  <si>
    <t>Marge EBITDA (%)</t>
  </si>
  <si>
    <t>息稅前利潤率 (%)</t>
  </si>
  <si>
    <t>Marge EBIT (%)</t>
  </si>
  <si>
    <t>EBITDA Маржа (%)</t>
  </si>
  <si>
    <t>EBITDA de Margen (%)</t>
  </si>
  <si>
    <t>EBIT利益率 (%)</t>
  </si>
  <si>
    <t>Маржа EBIT (%)</t>
  </si>
  <si>
    <t>Margen EBIT (%)</t>
  </si>
  <si>
    <t>EBITDA-Marge (%)</t>
  </si>
  <si>
    <t>Margine EBITDA (%)</t>
  </si>
  <si>
    <t>EBIT-Marge (%)</t>
  </si>
  <si>
    <t>Margine EBIT (%)</t>
  </si>
  <si>
    <t>EBITDA 마진(%)</t>
  </si>
  <si>
    <t>EBIT 마진(%)</t>
  </si>
  <si>
    <t>Valeur totale de l'entreprise / Revenu total</t>
  </si>
  <si>
    <t>TEV /総収入</t>
  </si>
  <si>
    <t>Итоговая стоимость бизнеса / Итоговая выручка</t>
  </si>
  <si>
    <t>Valor de Empresa Total / Ingresos totales</t>
  </si>
  <si>
    <t>TEV / Gesamterlös</t>
  </si>
  <si>
    <t>TEV/Totale ricavi</t>
  </si>
  <si>
    <t>TEV / 총 수입</t>
  </si>
  <si>
    <t>股价/有形账面价值</t>
  </si>
  <si>
    <t>股價/有形賬面價值</t>
  </si>
  <si>
    <t>Prix/valeur comptable tangible</t>
  </si>
  <si>
    <t>株価 / 有形純資産額</t>
  </si>
  <si>
    <t>Цена / материальная балансовая стоимость</t>
  </si>
  <si>
    <t>Precio / valor contable tangible</t>
  </si>
  <si>
    <t>P/BV des Materialvermögens</t>
  </si>
  <si>
    <t>P/BV tangibile</t>
  </si>
  <si>
    <t>P/유형 BV</t>
  </si>
  <si>
    <t>总企业价值/息稅前利潤</t>
  </si>
  <si>
    <t>總企業價值/息稅前利潤</t>
  </si>
  <si>
    <t>Valeur de l'entreprise/EBIT</t>
  </si>
  <si>
    <t>Gesamtunternehmenswert / EBIT</t>
  </si>
  <si>
    <t>Valore aziendale totale / EBIT</t>
  </si>
  <si>
    <t>企業価値/EBIT（倍）</t>
  </si>
  <si>
    <t>Общая стоимость предприятия / EBIT</t>
  </si>
  <si>
    <t>Valor total de la empresa / EBIT</t>
  </si>
  <si>
    <t>市净率</t>
  </si>
  <si>
    <t>市淨率</t>
  </si>
  <si>
    <t>Cours/Valeur comptable</t>
  </si>
  <si>
    <t>Preis / Buchwert</t>
  </si>
  <si>
    <t>Prezzo / Valore di bilancio</t>
  </si>
  <si>
    <t>PBR（倍）</t>
  </si>
  <si>
    <t>Цена / балансовая стоимость (P/BV)</t>
  </si>
  <si>
    <t>Precio / Valor en libros</t>
  </si>
  <si>
    <t>PBR</t>
  </si>
  <si>
    <t>盈利能力</t>
  </si>
  <si>
    <t>獲利能力</t>
  </si>
  <si>
    <t>Rentabilité</t>
  </si>
  <si>
    <t>Rentabilität</t>
  </si>
  <si>
    <t>Redditività</t>
  </si>
  <si>
    <t>利益率</t>
  </si>
  <si>
    <t>Рентабельность</t>
  </si>
  <si>
    <t>Rentabilidad</t>
  </si>
  <si>
    <t>수익성</t>
  </si>
  <si>
    <t>确定福利总成本，包括补充计划</t>
  </si>
  <si>
    <t>確定福利總成本，包括補充計劃</t>
  </si>
  <si>
    <t>Coût total des régimes à prestations définies, y compris les régimes complémentaires</t>
  </si>
  <si>
    <t>確定給付 - 給付総費用(補足的なプラン含む)</t>
  </si>
  <si>
    <t>Общая стоимость планов с установленными выплатами, включая дополнительные планы</t>
  </si>
  <si>
    <t>Beneficio Definido Costo total incluyendo planes suplementarios</t>
  </si>
  <si>
    <t>Leistungsorientiertes Pensionsprogramm, Gesamtkosten inkl. Zusatzplänen</t>
  </si>
  <si>
    <t>Costo totale benefici def. incl. piani flessibili</t>
  </si>
  <si>
    <t>확정급여형 연금 부가 계획 포함 총 비용</t>
  </si>
  <si>
    <t>养老金资产的预期收益</t>
  </si>
  <si>
    <t>養老金資產的預期收益</t>
  </si>
  <si>
    <t>Dépenses sur les actifs de pension</t>
  </si>
  <si>
    <t>假定补偿增长率</t>
  </si>
  <si>
    <t>假定補償增長率</t>
  </si>
  <si>
    <t>Taux de croissance de la rémunération présumée</t>
  </si>
  <si>
    <t>年金資産の期待収益率</t>
  </si>
  <si>
    <t>Расходы на пенсионные активы</t>
  </si>
  <si>
    <t>Gastos Sobre los activos de la pensión</t>
  </si>
  <si>
    <t>想定成長率</t>
  </si>
  <si>
    <t>Предполагаемая норма возмещения</t>
  </si>
  <si>
    <t>Supuesto Tasa de crecimiento integral</t>
  </si>
  <si>
    <t>Erwartete Rendite auf Pensionsvermögen</t>
  </si>
  <si>
    <t>Attività rit. pensione attese</t>
  </si>
  <si>
    <t>Angenommene Leistungszuwachsrate</t>
  </si>
  <si>
    <t>Tasso crescita società supposto</t>
  </si>
  <si>
    <t>연금 자산의 예상 보유</t>
  </si>
  <si>
    <t>가정된 회사 성장률</t>
  </si>
  <si>
    <t>债务折现率</t>
  </si>
  <si>
    <t>債務折現率</t>
  </si>
  <si>
    <t>Taux d'actualisation sur les obligations</t>
  </si>
  <si>
    <t>債務の割引率</t>
  </si>
  <si>
    <t>Ставка дисконта по обязательствам</t>
  </si>
  <si>
    <t>Tasa de descuento en las obligaciones</t>
  </si>
  <si>
    <t>Abzinsungssatz für Verpflichtungen</t>
  </si>
  <si>
    <t>Tasso di sconto sulle obbligazioni</t>
  </si>
  <si>
    <t>채무 할인율</t>
  </si>
  <si>
    <t>其他离职后福利-国内</t>
  </si>
  <si>
    <t>其他離職後福利-國內</t>
  </si>
  <si>
    <t>Autres avantages postérieurs à l'emploi (OPEB) - national</t>
  </si>
  <si>
    <t>OPEB - 国内</t>
  </si>
  <si>
    <t>Другие пособия по окончании трудовой деятельности (OPEB) - национальные</t>
  </si>
  <si>
    <t>Otros beneficios post-empleo (OPEB) - Doméstico</t>
  </si>
  <si>
    <t>OPEB – Inland</t>
  </si>
  <si>
    <t>OPEB - Nazionale</t>
  </si>
  <si>
    <t>OPEB - 국내</t>
  </si>
  <si>
    <t>养老金-外国</t>
  </si>
  <si>
    <t>養老金-外國</t>
  </si>
  <si>
    <t>Pension - Étranger</t>
  </si>
  <si>
    <t>年金 - 外国</t>
  </si>
  <si>
    <t>Пенсионный - Иностранный</t>
  </si>
  <si>
    <t>Pensión - Extranjero</t>
  </si>
  <si>
    <t>Pension – Ausland</t>
  </si>
  <si>
    <t>Pensioni - Estero</t>
  </si>
  <si>
    <t>연금 - 외국</t>
  </si>
  <si>
    <t>低</t>
  </si>
  <si>
    <t>Faible</t>
  </si>
  <si>
    <t>Niedrig</t>
  </si>
  <si>
    <t>Basso</t>
  </si>
  <si>
    <t>Низкий</t>
  </si>
  <si>
    <t>Bajo</t>
  </si>
  <si>
    <t>낮음</t>
  </si>
  <si>
    <t>在</t>
  </si>
  <si>
    <t>dans</t>
  </si>
  <si>
    <t>im</t>
  </si>
  <si>
    <t>nella</t>
  </si>
  <si>
    <t>に</t>
  </si>
  <si>
    <t>в</t>
  </si>
  <si>
    <t>En</t>
  </si>
  <si>
    <t>...에서</t>
  </si>
  <si>
    <t>EBITDA, Excl. Operating Leases/Interest Expense</t>
  </si>
  <si>
    <t>(EBITDA, Excl. Operating Leases-CAPEX)/Interest Exp.</t>
  </si>
  <si>
    <t>Total Debt / EBITDA, Excl. Operating Leases</t>
  </si>
  <si>
    <t>Net Debt/EBITDA, Excl. Operating Leases</t>
  </si>
  <si>
    <t>Total Debt/(EBITDA, Excl. Operating Leases - CAPEX)</t>
  </si>
  <si>
    <t>Net Debt/(EBITDA, Excl. Operating Leases - CAPEX)</t>
  </si>
  <si>
    <t>(税息折旧及摊销前利润,不包括经营租赁- 资本支出)/利息费用</t>
  </si>
  <si>
    <t>(稅息折舊及攤銷前利潤,不包括經營租賃 - 資本支出)/利息費用</t>
  </si>
  <si>
    <t>(EBITDA, à l'exclusion du leasing opérationnel- CAPEX)/Charge d'intérêts</t>
  </si>
  <si>
    <t>(EBITDA, ohne Operating-Leasing – ANLAGEINVESTITIONEN)/Zinsaufwand</t>
  </si>
  <si>
    <t>(EBITDA, escl. locazioni operative- CAPEX)/Interessi passivi</t>
  </si>
  <si>
    <t>(EBITDA,次の値を除 オペレーティング・リース- 設備投資)/支払利息</t>
  </si>
  <si>
    <t>(EBITDA, исключая операционную аренду- CAPEX)/Процентные расходы</t>
  </si>
  <si>
    <t>(EBITDA, excluyendo arrendamientos operativos- CAPEX)/Gastos por intereses</t>
  </si>
  <si>
    <t>(EBITDA, 운용리스 제외- CAPEX)/이자비용</t>
  </si>
  <si>
    <t>税息折旧及摊销前利润,不包括经营租赁/利息费用</t>
  </si>
  <si>
    <t>稅息折舊及攤銷前利潤,不包括經營租賃/利息費用</t>
  </si>
  <si>
    <t>EBITDA, à l'exclusion du leasing opérationnel/Charge d'intérêts</t>
  </si>
  <si>
    <t>EBITDA, ohne Operating-Leasing/Zinsaufwand</t>
  </si>
  <si>
    <t>EBITDA, escl. locazioni operative/Interessi passivi</t>
  </si>
  <si>
    <t>EBITDA,次の値を除 オペレーティング・リース/支払利息</t>
  </si>
  <si>
    <t>EBITDA, исключая операционную аренду/Процентные расходы</t>
  </si>
  <si>
    <t>EBITDA, excluyendo arrendamientos operativos/Gastos por intereses</t>
  </si>
  <si>
    <t>EBITDA, 운용리스 제외/이자비용</t>
  </si>
  <si>
    <t>净债务 /(税息折旧及摊销前利润,不包括经营租赁- 资本支出)</t>
  </si>
  <si>
    <t>淨債務 /(稅息折舊及攤銷前利潤,不包括經營租賃 - 資本支出)</t>
  </si>
  <si>
    <t>Dette nette /(EBITDA, à l'exclusion du leasing opérationnel- CAPEX)</t>
  </si>
  <si>
    <t>Nettoverschuldung/(EBITDA, ohne Operating-Leasing– ANLAGEINVESTITIONEN)</t>
  </si>
  <si>
    <t>Indebitamento netto/(EBITDA, escl. locazioni operative- CAPEX)</t>
  </si>
  <si>
    <t xml:space="preserve"> 純有利子負債 /(EBITDA,次の値を除 オペレーティング・リース- 設備投資)</t>
  </si>
  <si>
    <t>Чистая задолженность /(EBITDA, исключая операционную аренду- CAPEX)</t>
  </si>
  <si>
    <t>Deuda Neta /(EBITDA, excluyendo arrendamientos operativos- CAPEX)</t>
  </si>
  <si>
    <t>순 채무/(EBITDA, 운용리스 제외- CAPEX)</t>
  </si>
  <si>
    <t>净债务 /税息折旧及摊销前利润,不包括经营租赁</t>
  </si>
  <si>
    <t>淨債務 /稅息折舊及攤銷前利潤,不包括經營租賃</t>
  </si>
  <si>
    <t>Dette nette /EBITDA, à l'exclusion du leasing opérationnel</t>
  </si>
  <si>
    <t>Nettoverschuldung/EBITDA, ohne Operating-Leasing</t>
  </si>
  <si>
    <t>Indebitamento netto/EBITDA, escl. locazioni operative</t>
  </si>
  <si>
    <t xml:space="preserve"> 純有利子負債 /EBITDA,次の値を除 オペレーティング・リース</t>
  </si>
  <si>
    <t>Чистая задолженность /EBITDA, исключая операционную аренду</t>
  </si>
  <si>
    <t>Deuda Neta /EBITDA, excluyendo arrendamientos operativos</t>
  </si>
  <si>
    <t>순 채무/EBITDA, 운용리스 제외</t>
  </si>
  <si>
    <t>总债务/税息折旧及摊销前利润,不包括经营租赁</t>
  </si>
  <si>
    <t>總債務/稅息折舊及攤銷前利潤,不包括經營租賃</t>
  </si>
  <si>
    <t>Dette totale/EBITDA, à l'exclusion du leasing opérationnel</t>
  </si>
  <si>
    <t>Gesamtverschuldung/EBITDA, ohne Operating-Leasing</t>
  </si>
  <si>
    <t>Indebitamento totale/EBITDA, escl. locazioni operative</t>
  </si>
  <si>
    <t>有利子負債合計/EBITDA,次の値を除 オペレーティング・リース</t>
  </si>
  <si>
    <t>Общая задолженность/EBITDA, исключая операционную аренду</t>
  </si>
  <si>
    <t>Deuda total/EBITDA, excluyendo arrendamientos operativos</t>
  </si>
  <si>
    <t>총 부채/EBITDA, 운용리스 제외</t>
  </si>
  <si>
    <t>总债务/(税息折旧及摊销前利润,不包括经营租赁- 资本支出)</t>
  </si>
  <si>
    <t>總債務/(稅息折舊及攤銷前利潤,不包括經營租賃 - 資本支出)</t>
  </si>
  <si>
    <t>Dette totale/(EBITDA, à l'exclusion du leasing opérationnel- CAPEX)</t>
  </si>
  <si>
    <t>Gesamtverschuldung/(EBITDA, ohne Operating-Leasing– ANLAGEINVESTITIONEN)</t>
  </si>
  <si>
    <t>Indebitamento totale/(EBITDA, escl. locazioni operative- CAPEX)</t>
  </si>
  <si>
    <t>有利子負債合計/(EBITDA,次の値を除 オペレーティング・リース- 設備投資)</t>
  </si>
  <si>
    <t>Общая задолженность/(EBITDA, исключая операционную аренду- CAPEX)</t>
  </si>
  <si>
    <t>Deuda total/(EBITDA, excluyendo arrendamientos operativos- CAPEX)</t>
  </si>
  <si>
    <t>총 부채/(EBITDA, 운용리스 제외- CAPEX)</t>
  </si>
  <si>
    <t>Def. Benefits Paid</t>
  </si>
  <si>
    <t>Rate of Comp. Increase - Max</t>
  </si>
  <si>
    <t>Discount Rate on Obligations</t>
  </si>
  <si>
    <t>52-Week</t>
  </si>
  <si>
    <t>High</t>
  </si>
  <si>
    <t xml:space="preserve"> 总资产</t>
  </si>
  <si>
    <t xml:space="preserve"> 總資産</t>
  </si>
  <si>
    <t>Natural Resources, at Cost</t>
  </si>
  <si>
    <t>Number Of ADR Holders</t>
  </si>
  <si>
    <t>Debt Equiv. of Unfunded Proj. Benefit Obligation</t>
  </si>
  <si>
    <t>Debt Equivalent Oper. Leases</t>
  </si>
  <si>
    <t>Total Restricted Cash</t>
  </si>
  <si>
    <t>Intercompany Current Assets</t>
  </si>
  <si>
    <t>Assets Under Management - Equity</t>
  </si>
  <si>
    <t>Assets Under Management - Fixed</t>
  </si>
  <si>
    <t>Assets Under Management - Money Market</t>
  </si>
  <si>
    <t>Assets Under Management - Other</t>
  </si>
  <si>
    <t>Trans. Impact of FIN 48 on Current Assets</t>
  </si>
  <si>
    <t>Trans. Impact of FIN 48 on Long Term Assets</t>
  </si>
  <si>
    <t>Trans. Impact of FIN 48 on Current Liabilities</t>
  </si>
  <si>
    <t>Trans. Impact of FIN 48 on Non-Current Liabilities</t>
  </si>
  <si>
    <t>Trans. Impact of FIN 48 on Retained Earnings</t>
  </si>
  <si>
    <t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t>
  </si>
  <si>
    <t>In</t>
  </si>
  <si>
    <t>以百万计算，每股数据除外</t>
  </si>
  <si>
    <t>以百萬計算，每股數據除外</t>
  </si>
  <si>
    <t>en millions, sauf données par action</t>
  </si>
  <si>
    <t>in Millionen, außer Angaben pro Aktie</t>
  </si>
  <si>
    <t>in milioni, eccetto per dati di azione</t>
  </si>
  <si>
    <t>В миллионах, кроме данных в расчете на одну акцию</t>
  </si>
  <si>
    <t>expresados en millones, excepto la información por acción</t>
  </si>
  <si>
    <t xml:space="preserve">단위 : 백만, 주당 데이터 제외 </t>
  </si>
  <si>
    <t>Cash Dividend and Interest Received</t>
  </si>
  <si>
    <t>Levered Free Cash Flow</t>
  </si>
  <si>
    <t>Unlevered Free Cash Flow</t>
  </si>
  <si>
    <t>Total Liabilities</t>
  </si>
  <si>
    <t>Total Pref. Equity</t>
  </si>
  <si>
    <t>优先股总数</t>
  </si>
  <si>
    <t>優先股總數</t>
  </si>
  <si>
    <t>Total Préférence Quote-part dans les capitaux propres (20%)</t>
  </si>
  <si>
    <t>Vorzugskapital insgesamt</t>
  </si>
  <si>
    <t>Totale capitale proprio privilegiato</t>
  </si>
  <si>
    <t>優先株式合計</t>
  </si>
  <si>
    <t>Всего привилегированных акций</t>
  </si>
  <si>
    <t>Total participación preferente</t>
  </si>
  <si>
    <t>총 우선주</t>
  </si>
  <si>
    <t>Total Non-Current Debt</t>
  </si>
  <si>
    <t>Prezzo/</t>
  </si>
  <si>
    <t>总债务/</t>
  </si>
  <si>
    <t>總債務/</t>
  </si>
  <si>
    <t>净债务/</t>
  </si>
  <si>
    <t>淨債務/</t>
  </si>
  <si>
    <t>Nettoverschuldung/</t>
  </si>
  <si>
    <t>/Interesse</t>
  </si>
  <si>
    <t>Exercice financier-2</t>
  </si>
  <si>
    <t>Exercice financier-1</t>
  </si>
  <si>
    <t>Собственный капитал</t>
  </si>
  <si>
    <t>BAABTAVMT0NBTAFI/////wFQojAAACtDSVEuTllTRTpJQk0uSVFfQVNTRVRfVFVSTlMuMjAwMC4wNi8wMy8yMDI2AQAAAN62AQACAAAACDAuNDY3MjgxAQgAAAAFAAAAATEBAAAACy0xOTA0ODYwNjU3AwAAAAMxNjACAAAABDQxNzcEAAAAATAHAAAACDMvNi8yMDI2CAAAAAoxMi8zMS8yMDI1CQAAAAEw634CvM173ggUycc4znveCDFDSVEuTllTRTpJQk0uSVFfRklYRURfQVNTRVRfVFVSTlMuMjAwMC4wNi8wMy8yMDI2AQAAAN62AQACAAAACDcuNTIxODU3AQgAAAAFAAAAATEBAAAACy0xOTA0ODYwNjU3AwAAAAMxNjACAAAABDQwNjYEAAAAATAHAAAACDMvNi8yMDI2CAAAAAoxMi8zMS8yMDI1CQAAAAEw634CvM173gj4xsk4znveCChDSVEuTllTRTpJQk0uSVFfQVJfVFVSTlMuMjAwMC4wNi8wMy8yMDI2AQAAAN62AQACAAAACDguNDM5MDEyAQgAAAAFAAAAATEBAAAACy0xOTA0ODYwNjU3AwAAAAMxNjACAAAABDQwMDEEAAAAATAHAAAACDMvNi8yMDI2CAAAAAoxMi8zMS8yMDI1CQAAAAEw634CvM173giCUMo4znveCC9DSVEuTllTRTpJQk0uSVFfSU5WRU5UT1JZX1RVUk5TLjIwMDAuMDYvMDMvMjAyNgEAAADetgEAAgAAAAkyMi4xODg5MTkBCAAAAAUAAAABMQEAAAALLTE5MDQ4NjA2NTcDAAAAAzE2MAIAAAAENDA4MgQAAAABMAcAAAAIMy82LzIwMjYIAAAACjEyLzMxLzIwMjUJAAAAATDrfgK8zXve</t>
  </si>
  <si>
    <t>CCsVyjjOe94ILUNJUS5OWVNFOklCTS5JUV9DVVJSRU5UX1JBVElPLjIwMDAuMDYvMDMvMjAyNgEAAADetgEAAgAAAAgwLjk1NTY2MgEIAAAABQAAAAExAQAAAAstMTkwNDg2MDY1NwMAAAADMTYwAgAAAAQ0MDMwBAAAAAEwBwAAAAgzLzYvMjAyNggAAAAKMTIvMzEvMjAyNQkAAAABMD9XArzNe94IglDKOM573ggrQ0lRLk5ZU0U6SUJNLklRX1FVSUNLX1JBVElPLjIwMDAuMDYvMDMvMjAyNgEAAADetgEAAgAAAAgwLjgxMjQzMgEIAAAABQAAAAExAQAAAAstMTkwNDg2MDY1NwMAAAADMTYwAgAAAAQ0MTIxBAAAAAEwBwAAAAgzLzYvMjAyNggAAAAKMTIvMzEvMjAyNQkAAAABMD9XArzNe94IglDKOM573ggwQ0lRLk5ZU0U6SUJNLklRX0NGT19DVVJSRU5UX0xJQUIuMjAwMC4wNi8wMy8yMDI2AQAAAN62AQACAAAACDAuMzQxMjc0AQgAAAAFAAAAATEBAAAACy0xOTA0ODYwNjU3AwAAAAMxNjACAAAABDQxODUEAAAAATAHAAAACDMvNi8yMDI2CAAAAAoxMi8zMS8yMDI1CQAAAAEwP1cCvM173gicUck4znveCC5DSVEuTllTRTpJQk0uSVFfREFZU19TQUxFU19PVVQuMjAwMC4wNi8wMy8yMDI2AQAAAN62AQACAAAACTQzLjI1MTQwNQEIAAAABQAAAAExAQAAAAstMTkwNDg2MDY1NwMAAAADMTYwAgAAAAQ0MDQyBAAAAAEwBwAAAAgzLzYvMjAyNggAAAAKMTIvMzEvMjAyNQkAAAABMOt+ArzNe94I+MbJOM573ggy</t>
  </si>
  <si>
    <t>Q0lRLk5ZU0U6SUJNLklRX0RBWVNfSU5WRU5UT1JZX09VVC4yMDAwLjA2LzAzLzIwMjYBAAAA3rYBAAIAAAAJMTYuNDQ5NDU1AQgAAAAFAAAAATEBAAAACy0xOTA0ODYwNjU3AwAAAAMxNjACAAAABDQwMzUEAAAAATAHAAAACDMvNi8yMDI2CAAAAAoxMi8zMS8yMDI1CQAAAAEw634CvM173gj2n8k4znveCDBDSVEuTllTRTpJQk0uSVFfREFZU19QQVlBQkxFX09VVC4yMDAwLjA2LzAzLzIwMjYBAAAA3rYBAAIAAAAJNTcuNzU5NDI1AQgAAAAFAAAAATEBAAAACy0xOTA0ODYwNjU3AwAAAAMxNjACAAAABDQxODMEAAAAATAHAAAACDMvNi8yMDI2CAAAAAoxMi8zMS8yMDI1CQAAAAEw634CvM173ghAjcg4znveCC9DSVEuTllTRTpJQk0uSVFfQ0FTSF9DT05WRVJTSU9OLjIwMDAuMDYvMDMvMjAyNgEAAADetgEAAgAAAAgxLjk0MTQzNQEIAAAABQAAAAExAQAAAAstMTkwNDg2MDY1NwMAAAADMTYwAgAAAAQ0MTg0BAAAAAEwBwAAAAgzLzYvMjAyNggAAAAKMTIvMzEvMjAyNQkAAAABMOt+ArzNe94IFO7JOM573ggxQ0lRLk5ZU0U6SUJNLklRX1RPVEFMX0RFQlRfRVFVSVRZLjIwMDAuMDYvMDMvMjAyNgEAAADetgEAAgAAAAgxOTcuMzI3NQEIAAAABQAAAAExAQAAAAstMTkwNDg2MDY1NwMAAAADMTYwAgAAAAQ0MDM0BAAAAAEwBwAAAAgzLzYvMjAyNggAAAAKMTIvMzEvMjAyNQkAAAABMD9XArzNe94IglDKOM57</t>
  </si>
  <si>
    <t>3ggyQ0lRLk5ZU0U6SUJNLklRX1RPVEFMX0RFQlRfQ0FQSVRBTC4yMDAwLjA2LzAzLzIwMjYBAAAA3rYBAAIAAAAGNjYuMzY3AQgAAAAFAAAAATEBAAAACy0xOTA0ODYwNjU3AwAAAAMxNjACAAAABDQxODYEAAAAATAHAAAACDMvNi8yMDI2CAAAAAoxMi8zMS8yMDI1CQAAAAEwP1cCvM173gjneMk4znveCC5DSVEuTllTRTpJQk0uSVFfTFRfREVCVF9FUVVJVFkuMjAwMC4wNi8wMy8yMDI2AQAAAN62AQACAAAACDE3NS4yNjM0AQgAAAAFAAAAATEBAAAACy0xOTA0ODYwNjU3AwAAAAMxNjACAAAABDQwODUEAAAAATAHAAAACDMvNi8yMDI2CAAAAAoxMi8zMS8yMDI1CQAAAAEwP1cCvM173gizPck4znveCC9DSVEuTllTRTpJQk0uSVFfTFRfREVCVF9DQVBJVEFMLjIwMDAuMDYvMDMvMjAyNgEAAADetgEAAgAAAAc1OC45NDYyAQgAAAAFAAAAATEBAAAACy0xOTA0ODYwNjU3AwAAAAMxNjACAAAABDQxODcEAAAAATAHAAAACDMvNi8yMDI2CAAAAAoxMi8zMS8yMDI1CQAAAAEwP1cCvM173gj4xsk4znveCDdDSVEuTllTRTpJQk0uSVFfVE9UQUxfTElBQl9UT1RBTF9BU1NFVFMuMjAwMC4wNi8wMy8yMDI2AQAAAN62AQACAAAABzc4LjQ0MjgBCAAAAAUAAAABMQEAAAALLTE5MDQ4NjA2NTcDAAAAAzE2MAIAAAAENDE4OAQAAAABMAcAAAAIMy82LzIwMjYIAAAACjEyLzMxLzIwMjUJAAAAATA/VwK8zXveCOd4yTjO</t>
  </si>
  <si>
    <t>e94IKENJUS5OWVNFOklCTS5JUV9FQklUX0lOVC4yMDAwLjA2LzAzLzIwMjYBAAAA3rYBAAIAAAAHNi40OTUwOQEIAAAABQAAAAExAQAAAAstMTkwNDg2MDY1NwMAAAADMTYwAgAAAAQ0MTg5BAAAAAEwBwAAAAgzLzYvMjAyNggAAAAKMTIvMzEvMjAyNQkAAAABMD9XArzNe94IKxXKOM573ggqQ0lRLk5ZU0U6SUJNLklRX0VCSVREQV9JTlQuMjAwMC4wNi8wMy8yMDI2AQAAAN62AQACAAAACDkuMDA1Njg0AQgAAAAFAAAAATEBAAAACy0xOTA0ODYwNjU3AwAAAAMxNjACAAAABDQxOTAEAAAAATAHAAAACDMvNi8yMDI2CAAAAAoxMi8zMS8yMDI1CQAAAAEw634CvM173giCUMo4znveCDtDSVEuTllTRTpJQk0uSVFfRUJJVERBX0VYQ0xfT1BFUl9MRUFTRVNfSU5ULjIwMDAuMDYvMDMvMjAyNgEAAADetgEAAgAAAAg4LjMyOTcxNQEIAAAABQAAAAExAQAAAAstMTkwNDg2MDY1NwMAAAADMTYwAgAAAAU0OTE3MwQAAAABMAcAAAAIMy82LzIwMjYIAAAACjEyLzMxLzIwMjUJAAAAATA/VwK8zXveCIJQyjjOe94IMENJUS5OWVNFOklCTS5JUV9FQklUREFfQ0FQRVhfSU5ULjIwMDAuMDYvMDMvMjAyNgEAAADetgEAAgAAAAc4LjQ0MTg2AQgAAAAFAAAAATEBAAAACy0xOTA0ODYwNjU3AwAAAAMxNjACAAAABDQxOTEEAAAAATAHAAAACDMvNi8yMDI2CAAAAAoxMi8zMS8yMDI1CQAAAAEw634CvM173gicUck4znveCEFD</t>
  </si>
  <si>
    <t>SVEuTllTRTpJQk0uSVFfRUJJVERBX0VYQ0xfT1BFUl9MRUFTRVNfQ0FQRVhfSU5ULjIwMDAuMDYvMDMvMjAyNgEAAADetgEAAgAAAAg3Ljc2NTg5MQEIAAAABQAAAAExAQAAAAstMTkwNDg2MDY1NwMAAAADMTYwAgAAAAU0OTE3NAQAAAABMAcAAAAIMy82LzIwMjYIAAAACjEyLzMxLzIwMjUJAAAAATA/VwK8zXveCIJQyjjOe94IMUNJUS5OWVNFOklCTS5JUV9UT1RBTF9ERUJUX0VCSVREQS4yMDAwLjA2LzAzLzIwMjYBAAAA3rYBAAIAAAAIMy43MDc1MDYBCAAAAAUAAAABMQEAAAALLTE5MDQ4NjA2NTcDAAAAAzE2MAIAAAAENDE5MgQAAAABMAcAAAAIMy82LzIwMjYIAAAACjEyLzMxLzIwMjUJAAAAATDrfgK8zXveCPafyTjOe94IQkNJUS5OWVNFOklCTS5JUV9UT1RBTF9ERUJUX0VCSVREQV9FWENMX09QRVJfTEVBU0VTLjIwMDAuMDYvMDMvMjAyNgEAAADetgEAAgAAAAg0LjAwODM3NQEIAAAABQAAAAExAQAAAAstMTkwNDg2MDY1NwMAAAADMTYwAgAAAAU0ODk5NAQAAAABMAcAAAAIMy82LzIwMjYIAAAACjEyLzMxLzIwMjUJAAAAATDrfgK8zXveCLUWyTjOe94IL0NJUS5OWVNFOklCTS5JUV9ORVRfREVCVF9FQklUREEuMjAwMC4wNi8wMy8yMDI2AQAAAN62AQACAAAACDIuODgwMTc5AQgAAAAFAAAAATEBAAAACy0xOTA0ODYwNjU3AwAAAAMxNjACAAAABDQxOTMEAAAAATAHAAAACDMvNi8yMDI2CAAA</t>
  </si>
  <si>
    <t>AAoxMi8zMS8yMDI1CQAAAAEw634CvM173ggU7sk4znveCEBDSVEuTllTRTpJQk0uSVFfTkVUX0RFQlRfRUJJVERBX0VYQ0xfT1BFUl9MRUFTRVMuMjAwMC4wNi8wMy8yMDI2AQAAAN62AQACAAAACDMuMTEzOTA5AQgAAAAFAAAAATEBAAAACy0xOTA0ODYwNjU3AwAAAAMxNjACAAAABTQ5MTc1BAAAAAEwBwAAAAgzLzYvMjAyNggAAAAKMTIvMzEvMjAyNQkAAAABMOt+ArzNe94IglDKOM573gg3Q0lRLk5ZU0U6SUJNLklRX1RPVEFMX0RFQlRfRUJJVERBX0NBUEVYLjIwMDAuMDYvMDMvMjAyNgEAAADetgEAAgAAAAgzLjk1NTEyNwEIAAAABQAAAAExAQAAAAstMTkwNDg2MDY1NwMAAAADMTYwAgAAAAUyMzMxMwQAAAABMAcAAAAIMy82LzIwMjYIAAAACjEyLzMxLzIwMjUJAAAAATDrfgK8zXveCBTJxzjOe94ISENJUS5OWVNFOklCTS5JUV9UT1RBTF9ERUJUX0VCSVREQV9FWENMX09QRVJfTEVBU0VTX0NBUEVYLjIwMDAuMDYvMDMvMjAyNgEAAADetgEAAgAAAAg0LjI5OTM5NAEIAAAABQAAAAExAQAAAAstMTkwNDg2MDY1NwMAAAADMTYwAgAAAAU0OTE4MwQAAAABMAcAAAAIMy82LzIwMjYIAAAACjEyLzMxLzIwMjUJAAAAATDrfgK8zXveCLM9yTjOe94INUNJUS5OWVNFOklCTS5JUV9ORVRfREVCVF9FQklUREFfQ0FQRVguMjAwMC4wNi8wMy8yMDI2AQAAAN62AQACAAAACDMuMDcyNTQzAQgAAAAFAAAAATEB</t>
  </si>
  <si>
    <t>AAAACy0xOTA0ODYwNjU3AwAAAAMxNjACAAAABTIzMzE0BAAAAAEwBwAAAAgzLzYvMjAyNggAAAAKMTIvMzEvMjAyNQkAAAABMOt+ArzNe94I+MbJOM573ghGQ0lRLk5ZU0U6SUJNLklRX05FVF9ERUJUX0VCSVREQV9FWENMX09QRVJfTEVBU0VTX0NBUEVYLjIwMDAuMDYvMDMvMjAyNgEAAADetgEAAgAAAAgzLjMzOTk4OAEIAAAABQAAAAExAQAAAAstMTkwNDg2MDY1NwMAAAADMTYwAgAAAAU0OTE4MgQAAAABMAcAAAAIMy82LzIwMjYIAAAACjEyLzMxLzIwMjUJAAAAATDrfgK8zXveCOd4yTjOe94IOkNJUS5OWVNFOklCTS5JUV9UT1RBTF9SRVZfRU1QTE9ZRUUuMjAwMC4wNi8wMy8yMDI2Li4uVVNELkgBAAAA3rYBAAIAAAAHMjU1LjUyNAEIAAAABQAAAAExAQAAAAstMTkwNDg2MDY1NwMAAAADMTYwAgAAAAQ0MTIzBAAAAAEwBwAAAAgzLzYvMjAyNggAAAAKMTIvMzEvMjAyNQkAAAABMOt+ArzNe94IKxXKOM573ggnQ0lRLk5ZU0U6SUJNLklRX1pfU0NPUkUuMjAwMC4wNi8wMy8yMDI2AQAAAN62AQACAAAACDMuMzg2MzAyAQgAAAAFAAAAATEBAAAACy0xOTA0ODYwNjU3AwAAAAMxNjACAAAABjEwMDEyMwQAAAABMAcAAAAIMy82LzIwMjYIAAAACjEyLzMxLzIwMjUJAAAAATDrfgK8zXveCPjGyTjOe94IOENJUS5OWVNFOklCTS5JUV9UT1RBTF9SRVZfMVlSX0FOTl9HUk9XVEguMjAwMC4wNi8wMy8yMDI2</t>
  </si>
  <si>
    <t>AQAAAN62AQACAAAABjcuNjIwMwEIAAAABQAAAAExAQAAAAstMTkwNDg2MDY1NwMAAAADMTYwAgAAAAQ0MTk0BAAAAAEwBwAAAAgzLzYvMjAyNggAAAAKMTIvMzEvMjAyNQkAAAABMOt+ArzNe94IglDKOM573ggxQ0lRLk5ZU0U6SUJNLklRX0dQXzFZUl9BTk5fR1JPV1RILjIwMDAuMDYvMDMvMjAyNgEAAADetgEAAgAAAAYxMC41MzEBCAAAAAUAAAABMQEAAAALLTE5MDQ4NjA2NTcDAAAAAzE2MAIAAAAENDE5NQQAAAABMAcAAAAIMy82LzIwMjYIAAAACjEyLzMxLzIwMjUJAAAAATDrfgK8zXveCJxRyTjOe94INUNJUS5OWVNFOklCTS5JUV9FQklUREFfMVlSX0FOTl9HUk9XVEguMjAwMC4wNi8wMy8yMDI2AQAAAN62AQACAAAABzI1LjA4MTQBCAAAAAUAAAABMQEAAAALLTE5MDQ4NjA2NTcDAAAAAzE2MAIAAAAENDE5NgQAAAABMAcAAAAIMy82LzIwMjYIAAAACjEyLzMxLzIwMjUJAAAAATDrfgK8zXveCJB3yjjOe94IM0NJUS5OWVNFOklCTS5JUV9FQklUXzFZUl9BTk5fR1JPV1RILjIwMDAuMDYvMDMvMjAyNgEAAADetgEAAgAAAAcyOC40MDIxAQgAAAAFAAAAATEBAAAACy0xOTA0ODYwNjU3AwAAAAMxNjACAAAABDQxOTcEAAAAATAHAAAACDMvNi8yMDI2CAAAAAoxMi8zMS8yMDI1CQAAAAEw634CvM173gj2n8k4znveCDFDSVEuTllTRTpJQk0uSVFfTklfMVlSX0FOTl9HUk9XVEguMjAwMC4wNi8wMy8y</t>
  </si>
  <si>
    <t>MDI2AQAAAN62AQACAAAABzc1Ljg3NTgBCAAAAAUAAAABMQEAAAALLTE5MDQ4NjA2NTcDAAAAAzE2MAIAAAAENDE5OQQAAAABMAcAAAAIMy82LzIwMjYIAAAACjEyLzMxLzIwMjUJAAAAATDrfgK8zXveCJxRyTjOe94IMkNJUS5OWVNFOklCTS5JUV9FUFNfMVlSX0FOTl9HUk9XVEguMjAwMC4wNi8wMy8yMDI2AQAAAN62AQACAAAABzczLjUyMDIBCAAAAAUAAAABMQEAAAALLTE5MDQ4NjA2NTcDAAAAAzE2MAIAAAAENDIwMAQAAAABMAcAAAAIMy82LzIwMjYIAAAACjEyLzMxLzIwMjUJAAAAATDrfgK8zXveCBTuyTjOe94INkNJUS5OWVNFOklCTS5JUV9UT1RBTF9SRVZfM1lSX0FOTl9DQUdSLjIwMDAuMDYvMDMvMjAyNgEAAADetgEAAgAAAAYzLjcxNzYBCAAAAAUAAAABMQEAAAALLTE5MDQ4NjA2NTcDAAAAAzE2MAIAAAAENDIyMAQAAAABMAcAAAAIMy82LzIwMjYIAAAACjEyLzMxLzIwMjUJAAAAATDrfgK8zXveCIJQyjjOe94IL0NJUS5OWVNFOklCTS5JUV9HUF8zWVJfQU5OX0NBR1IuMjAwMC4wNi8wMy8yMDI2AQAAAN62AQACAAAABjYuMzI5NAEIAAAABQAAAAExAQAAAAstMTkwNDg2MDY1NwMAAAADMTYwAgAAAAQ0MjIxBAAAAAEwBwAAAAgzLzYvMjAyNggAAAAKMTIvMzEvMjAyNQkAAAABMOt+ArzNe94IKxXKOM573ggzQ0lRLk5ZU0U6SUJNLklRX0VCSVREQV8zWVJfQU5OX0NBR1IuMjAwMC4wNi8w</t>
  </si>
  <si>
    <t>My8yMDI2AQAAAN62AQACAAAABzE0LjM2NjMBCAAAAAUAAAABMQEAAAALLTE5MDQ4NjA2NTcDAAAAAzE2MAIAAAAENDIyMgQAAAABMAcAAAAIMy82LzIwMjYIAAAACjEyLzMxLzIwMjUJAAAAATDrfgK8zXveCLM9yTjOe94IMUNJUS5OWVNFOklCTS5JUV9FQklUXzNZUl9BTk5fQ0FHUi4yMDAwLjA2LzAzLzIwMjYBAAAA3rYBAAIAAAAHMTguNjY3MQEIAAAABQAAAAExAQAAAAstMTkwNDg2MDY1NwMAAAADMTYwAgAAAAQ0MjIzBAAAAAEwBwAAAAgzLzYvMjAyNggAAAAKMTIvMzEvMjAyNQkAAAABMOt+ArzNe94IglDKOM573ggvQ0lRLk5ZU0U6SUJNLklRX05JXzNZUl9BTk5fQ0FHUi4yMDAwLjA2LzAzLzIwMjYBAAAA3rYBAAIAAAAHODYuMjcxNgEIAAAABQAAAAExAQAAAAstMTkwNDg2MDY1NwMAAAADMTYwAgAAAAQ0MjI1BAAAAAEwBwAAAAgzLzYvMjAyNggAAAAKMTIvMzEvMjAyNQkAAAABMOt+ArzNe94I53jJOM573ggwQ0lRLk5ZU0U6SUJNLklRX0VQU18zWVJfQU5OX0NBR1IuMjAwMC4wNi8wMy8yMDI2AQAAAN62AQACAAAABzc4Ljc2NTQBCAAAAAUAAAABMQEAAAALLTE5MDQ4NjA2NTcDAAAAAzE2MAIAAAAENDIyNgQAAAABMAcAAAAIMy82LzIwMjYIAAAACjEyLzMxLzIwMjUJAAAAATDrfgK8zXveCCsVyjjOe94INkNJUS5OWVNFOklCTS5JUV9UT1RBTF9SRVZfNVlSX0FOTl9DQUdSLjIwMDAuMDYv</t>
  </si>
  <si>
    <t>MDMvMjAyNgEAAADetgEAAgAAAAU0LjEyNAEIAAAABQAAAAExAQAAAAstMTkwNDg2MDY1NwMAAAADMTYwAgAAAAQ0MjMzBAAAAAEwBwAAAAgzLzYvMjAyNggAAAAKMTIvMzEvMjAyNQkAAAABMOt+ArzNe94I+MbJOM573ggvQ0lRLk5ZU0U6SUJNLklRX0dQXzVZUl9BTk5fQ0FHUi4yMDAwLjA2LzAzLzIwMjYBAAAA3rYBAAIAAAAGNC45NDg1AQgAAAAFAAAAATEBAAAACy0xOTA0ODYwNjU3AwAAAAMxNjACAAAABDQyMzQEAAAAATAHAAAACDMvNi8yMDI2CAAAAAoxMi8zMS8yMDI1CQAAAAEw634CvM173giCUMo4znveCDNDSVEuTllTRTpJQk0uSVFfRUJJVERBXzVZUl9BTk5fQ0FHUi4yMDAwLjA2LzAzLzIwMjYBAAAA3rYBAAIAAAAFNy4yNTMBCAAAAAUAAAABMQEAAAALLTE5MDQ4NjA2NTcDAAAAAzE2MAIAAAAENDIzNQQAAAABMAcAAAAIMy82LzIwMjYIAAAACjEyLzMxLzIwMjUJAAAAATDrfgK8zXveCCsVyjjOe94IMUNJUS5OWVNFOklCTS5JUV9FQklUXzVZUl9BTk5fQ0FHUi4yMDAwLjA2LzAzLzIwMjYBAAAA3rYBAAIAAAAHMjEuOTM3OQEIAAAABQAAAAExAQAAAAstMTkwNDg2MDY1NwMAAAADMTYwAgAAAAQ0MjM2BAAAAAEwBwAAAAgzLzYvMjAyNggAAAAKMTIvMzEvMjAyNQkAAAABMOt+ArzNe94IkHfKOM573ggvQ0lRLk5ZU0U6SUJNLklRX05JXzVZUl9BTk5fQ0FHUi4yMDAwLjA2LzAzLzIwMjYB</t>
  </si>
  <si>
    <t>AAAA3rYBAAIAAAAHMTMuNjM3NAEIAAAABQAAAAExAQAAAAstMTkwNDg2MDY1NwMAAAADMTYwAgAAAAQ0MjM4BAAAAAEwBwAAAAgzLzYvMjAyNggAAAAKMTIvMzEvMjAyNQkAAAABMOt+ArzNe94I9p/JOM573ggwQ0lRLk5ZU0U6SUJNLklRX0VQU181WVJfQU5OX0NBR1IuMjAwMC4wNi8wMy8yMDI2AQAAAN62AQACAAAABzIwLjUwNzcBCAAAAAUAAAABMQEAAAALLTE5MDQ4NjA2NTcDAAAAAzE2MAIAAAAENDIzOQQAAAABMAcAAAAIMy82LzIwMjYIAAAACjEyLzMxLzIwMjUJAAAAATDrfgK8zXveCLM9yTjOe94IKkNJUS5OWVNFOklCTS5JUV9QRVJJT0REQVRFLjIwMDAuMDYvMDMvMjAyNgEAAADetgEABQAAAAozMS8xMi8yMDI1AMSqAr7Ne94IFO7JOM573ggxQ0lRLk5ZU0U6SUJNLklRX1RPVEFMX1JFVi4yMDAwLjA2LzAzLzIwMjYuLi5VU0QuSAEAAADetgEAAgAAAAU2NzUzNQEIAAAABQAAAAExAQAAAAstMTkwNDg2MDY1NwMAAAADMTYwAgAAAAIyOAQAAAABMAcAAAAIMy82LzIwMjYIAAAACjEyLzMxLzIwMjUJAAAAATAmaQK+zXveCGJ8vDjOe94ILkNJUS5OWVNFOklCTS5JUV9FQklUREEuMjAwMC4wNi8wMy8yMDI2Li4uVVNELkgBAAAA3rYBAAIAAAAFMTYxMTgBCAAAAAUAAAABMQEAAAALLTE5MDQ4NjA2NTcDAAAAAzE2MAIAAAAENDA1MQQAAAABMAcAAAAIMy82LzIwMjYIAAAACjEyLzMxLzIwMjUJ</t>
  </si>
  <si>
    <t>AAAAATDEqgK+zXveCPEbvTjOe94INkNJUS5OWVNFOklCTS5JUV9ESUxVVF9FUFNfRVhDTC4yMDAwLjA2LzAzLzIwMjYuLi5VU0QuSAEAAADetgEAAgAAAAUxMS4xNAEIAAAABQAAAAExAQAAAAstMTkwNDg2MDY1NwMAAAADMTYwAgAAAAMxNDIEAAAAATAHAAAACDMvNi8yMDI2CAAAAAoxMi8zMS8yMDI1CQAAAAEwxKoCvs173giOubw4znveCCxDSVEuTllTRTpJQk0uSVFfR1JPU1NfTUFSR0lOLjIwMDAuMDYvMDMvMjAyNgEAAADetgEAAgAAAAc1OC4xODYxAQgAAAAFAAAAATEBAAAACy0xOTA0ODYwNjU3AwAAAAMxNjACAAAABDQwNzQEAAAAATAHAAAACDMvNi8yMDI2CAAAAAoxMi8zMS8yMDI1CQAAAAEwSSVTvM173gj2n8k4znveCC1DSVEuTllTRTpJQk0uSVFfRUJJVERBX01BUkdJTi4yMDAwLjA2LzAzLzIwMjYBAAAA3rYBAAIAAAAHMjMuODY2MQEIAAAABQAAAAExAQAAAAstMTkwNDg2MDY1NwMAAAADMTYwAgAAAAQ0MDQ3BAAAAAEwBwAAAAgzLzYvMjAyNggAAAAKMTIvMzEvMjAyNQkAAAABMEklU7zNe94INcjIOM573ggpQ0lRLk5ZU0U6SUJNLklRX05JX01BUkdJTi4yMDAwLjA2LzAzLzIwMjYBAAAA3rYBAAIAAAAHMTUuNjg1MgEIAAAABQAAAAExAQAAAAstMTkwNDg2MDY1NwMAAAADMTYwAgAAAAQ0MDk0BAAAAAEwBwAAAAgzLzYvMjAyNggAAAAKMTIvMzEvMjAyNQkAAAABMEklU7zNe94IglDK</t>
  </si>
  <si>
    <t>OM573ggtQ0lRLk5ZU0U6SUJNLklRX1JFVFVSTl9FUVVJVFkuMjAwMC4wNi8wMy8yMDI2AQAAAN62AQACAAAABzM1LjE1ODEBCAAAAAUAAAABMQEAAAALLTE5MDQ4NjA2NTcDAAAAAzE2MAIAAAAENDEyOAQAAAABMAcAAAAIMy82LzIwMjYIAAAACjEyLzMxLzIwMjUJAAAAATBJJVO8zXveCJxRyTjOe94ILUNJUS5OWVNFOklCTS5JUV9SRVRVUk5fQVNTRVRTLjIwMDAuMDYvMDMvMjAyNgEAAADetgEAAgAAAAY1LjQzNDkBCAAAAAUAAAABMQEAAAALLTE5MDQ4NjA2NTcDAAAAAzE2MAIAAAAENDE3OAQAAAABMAcAAAAIMy82LzIwMjYIAAAACjEyLzMxLzIwMjUJAAAAATBJJVO8zXveCIJQyjjOe94IOkNJUS5OWVNFOklCTS5JUV9PUEVCX0RJU0NfUkFURV9NQVhfRk9SRUlHTi4yMDAwLjA2LzAzLzIwMjYBAAAA3rYBAAIAAAAEOC4yMQBIbxi8zXveCECNyDjOe94IQ0NJUS5OWVNFOklCTS5JUV9PUEVCX1JBVEVfQ09NUF9JTkNSRUFTRV9NSU5fRk9SRUlHTi4yMDAwLjA2LzAzLzIwMjYBAAAA3rYBAAMAAAAAAEhvGLzNe94ItRbJOM573ghDQ0lRLk5ZU0U6SUJNLklRX09QRUJfUkFURV9DT01QX0lOQ1JFQVNFX01BWF9GT1JFSUdOLjIwMDAuMDYvMDMvMjAyNgEAAADetgEAAwAAAAAASG8YvM173gg1yMg4znveCEBDSVEuTllTRTpJQk0uSVFfT1BFQl9FWFBfUkFURV9SRVRVUk5fTUlOX0ZPUkVJR04uMjAwMC4w</t>
  </si>
  <si>
    <t>Ni8wMy8yMDI2AQAAAN62AQACAAAABDguMjUASG8YvM173giW8cY4znveCEBDSVEuTllTRTpJQk0uSVFfT1BFQl9FWFBfUkFURV9SRVRVUk5fTUFYX0ZPUkVJR04uMjAwMC4wNi8wMy8yMDI2AQAAAN62AQACAAAABDguMjUASG8YvM173gi3P8c4znveCD1DSVEuTllTRTpJQk0uSVFfT1BFQl9CUkVBS0RPV05fUENUX0VRX0ZPUkVJR04uMjAwMC4wNi8wMy8yMDI2AQAAAN62AQADAAAAAABIbxi8zXveCJQtxjjOe94IPUNJUS5OWVNFOklCTS5JUV9PUEVCX0JSRUFLRE9XTl9QQ1RfRklfRk9SRUlHTi4yMDAwLjA2LzAzLzIwMjYBAAAA3rYBAAMAAAAAAEhvGLzNe94I23vGOM573gg9Q0lRLk5ZU0U6SUJNLklRX09QRUJfQlJFQUtET1dOX1BDVF9SRV9GT1JFSUdOLjIwMDAuMDYvMDMvMjAyNgEAAADetgEAAwAAAAAASG8YvM173giW8cY4znveCEBDSVEuTllTRTpJQk0uSVFfT1BFQl9CUkVBS0RPV05fUENUX09USEVSX0ZPUkVJR04uMjAwMC4wNi8wMy8yMDI2AQAAAN62AQADAAAAAABIbxi8zXveCJbxxjjOe94IQUNJUS5OWVNFOklCTS5JUV9PUEVCX0JSRUFLRE9XTl9FUV9GT1JFSUdOLjIwMDAuMDYvMDMvMjAyNi4uLlVTRC5IAQAAAN62AQADAAAAAABIbxi8zXveCKYYxzjOe94IQUNJUS5OWVNFOklCTS5JUV9PUEVCX0JSRUFLRE9XTl9GSV9GT1JFSUdOLjIwMDAuMDYvMDMvMjAyNi4uLlVTRC5IAQAAAN62</t>
  </si>
  <si>
    <t>AQADAAAAAABIbxi8zXveCCUYyDjOe94IQUNJUS5OWVNFOklCTS5JUV9PUEVCX0JSRUFLRE9XTl9SRV9GT1JFSUdOLjIwMDAuMDYvMDMvMjAyNi4uLlVTRC5IAQAAAN62AQADAAAAAABIbxi8zXveCM1UxjjOe94IRENJUS5OWVNFOklCTS5JUV9PUEVCX0JSRUFLRE9XTl9PVEhFUl9GT1JFSUdOLjIwMDAuMDYvMDMvMjAyNi4uLlVTRC5IAQAAAN62AQADAAAAAABIbxi8zXveCCUYyDjOe94IO0NJUS5OWVNFOklCTS5JUV9PUEVCX0NJX0FDVF9GT1JFSUdOLjIwMDAuMDYvMDMvMjAyNi4uLlVTRC5IAQAAAN62AQACAAAAAzEyNQBIbxi8zXveCECNyDjOe94IRUNJUS5OWVNFOklCTS5JUV9PUEVCX0NJX1BSSU9SX1NFUlZJQ0VfRk9SRUlHTi4yMDAwLjA2LzAzLzIwMjYuLi5VU0QuSAEAAADetgEAAgAAAAItMQBIbxi8zXveCEopyjjOe94IQkNJUS5OWVNFOklCTS5JUV9PUEVCX0NJX1RSQU5TSVRJT05fRk9SRUlHTi4yMDAwLjA2LzAzLzIwMjYuLi5VU0QuSAEAAADetgEAAwAAAAAASG8YvM173ghAjcg4znveCEZDSVEuTllTRTpJQk0uSVFfT1BFQl9DSV9PVEhFUl9NSVNDX0FESl9GT1JFSUdOLjIwMDAuMDYvMDMvMjAyNi4uLlVTRC5IAQAAAN62AQADAAAAAABIbxi8zXveCLHvyDjOe94IRUNJUS5OWVNFOklCTS5JUV9PUEVCX0NJX05FVF9BTVRfUkVDT0dfRk9SRUlHTi4yMDAwLjA2LzAzLzIwMjYuLi5VU0Qu</t>
  </si>
  <si>
    <t>SAEAAADetgEAAgAAAAMxMjQAEpcYvM173ghKKco4znveCEdDSVEuTllTRTpJQk0uSVFfT1BFQl9QUklPUl9TRVJWSUNFX05FWFRfRk9SRUlHTi4yMDAwLjA2LzAzLzIwMjYuLi5VU0QuSAEAAADetgEAAwAAAAAAEpcYvM173gg1yMg4znveCD1DSVEuTllTRTpJQk0uSVFfT1BFQl9BQ1RfTkVYVF9GT1JFSUdOLjIwMDAuMDYvMDMvMjAyNi4uLlVTRC5IAQAAAN62AQADAAAAAAASlxi8zXveCM1UxjjOe94IRENJUS5OWVNFOklCTS5JUV9PUEVCX1RSQU5TSVRJT05fTkVYVF9GT1JFSUdOLjIwMDAuMDYvMDMvMjAyNi4uLlVTRC5IAQAAAN62AQADAAAAAAASlxi8zXveCECNyDjOe94IQ0NJUS5OWVNFOklCTS5JUV9PUEVCX0FNVF9SRUNPR19ORVhUX0ZPUkVJR04uMjAwMC4wNi8wMy8yMDI2Li4uVVNELkgBAAAA3rYBAAMAAAAAABKXGLzNe94IXKPGOM573ghFQ0lRLk5ZU0U6SUJNLklRX09QRUJfUEJPX0FTU1VNRURfUkFURV9SRVRfTUlOX0ZPUkVJR04uMjAwMC4wNi8wMy8yMDI2AQAAAN62AQACAAAABDkuMDEAEpcYvM173gg/Zsg4znveCEVDSVEuTllTRTpJQk0uSVFfT1BFQl9QQk9fQVNTVU1FRF9SQVRFX1JFVF9NQVhfRk9SRUlHTi4yMDAwLjA2LzAzLzIwMjYBAAAA3rYBAAIAAAAEOS4wMQASlxi8zXveCDXIyDjOe94IR0NJUS5OWVNFOklCTS5JUV9PUEVCX1BCT19SQVRFX0NPTVBfSU5DUkVBU0VfTUlO</t>
  </si>
  <si>
    <t>X0ZPUkVJR04uMjAwMC4wNi8wMy8yMDI2AQAAAN62AQADAAAAAAASlxi8zXveCMZmxzjOe94IR0NJUS5OWVNFOklCTS5JUV9PUEVCX1BCT19SQVRFX0NPTVBfSU5DUkVBU0VfTUFYX0ZPUkVJR04uMjAwMC4wNi8wMy8yMDI2AQAAAN62AQADAAAAAAASlxi8zXveCECNyDjOe94IRENJUS5OWVNFOklCTS5JUV9PUEVCX0VTVF9CRU5FRklUXzFZUl9GT1JFSUdOLjIwMDAuMDYvMDMvMjAyNi4uLlVTRC5IAQAAAN62AQACAAAAAjQ3ABKXGLzNe94ItRbJOM573ghEQ0lRLk5ZU0U6SUJNLklRX09QRUJfRVNUX0JFTkVGSVRfMllSX0ZPUkVJR04uMjAwMC4wNi8wMy8yMDI2Li4uVVNELkgBAAAA3rYBAAIAAAACNDgAEpcYvM173ggdP8g4znveCERDSVEuTllTRTpJQk0uSVFfT1BFQl9FU1RfQkVORUZJVF8zWVJfRk9SRUlHTi4yMDAwLjA2LzAzLzIwMjYuLi5VU0QuSAEAAADetgEAAgAAAAI0OQASlxi8zXveCLHvyDjOe94IRENJUS5OWVNFOklCTS5JUV9PUEVCX0VTVF9CRU5FRklUXzRZUl9GT1JFSUdOLjIwMDAuMDYvMDMvMjAyNi4uLlVTRC5IAQAAAN62AQACAAAAAjUwABKXGLzNe94IXKPGOM573ghEQ0lRLk5ZU0U6SUJNLklRX09QRUJfRVNUX0JFTkVGSVRfNVlSX0ZPUkVJR04uMjAwMC4wNi8wMy8yMDI2Li4uVVNELkgBAAAA3rYBAAIAAAACNTIAEpcYvM173ghKKco4znveCEdDSVEuTllTRTpJQk0uSVFfT1BF</t>
  </si>
  <si>
    <t>Ql9FU1RfQkVORUZJVF9BRlRFUjVfRk9SRUlHTi4yMDAwLjA2LzAzLzIwMjYuLi5VU0QuSAEAAADetgEAAgAAAAMyODkAEpcYvM173gi1Fsk4znveCEFDSVEuTllTRTpJQk0uSVFfT1BFQl9QUkVQQUlEX0NPU1RfRk9SRUlHTi4yMDAwLjA2LzAzLzIwMjYuLi5VU0QuSAEAAADetgEAAwAAAAAAEpcYvM173ggdP8g4znveCEFDSVEuTllTRTpJQk0uSVFfT1BFQl9BQ0NSVUVEX0xJQUJfRk9SRUlHTi4yMDAwLjA2LzAzLzIwMjYuLi5VU0QuSAEAAADetgEAAwAAAAAAEpcYvM173gg1yMg4znveCEFDSVEuTllTRTpJQk0uSVFfT1BFQl9JTlRBTl9BU1NFVFNfRk9SRUlHTi4yMDAwLjA2LzAzLzIwMjYuLi5VU0QuSAEAAADetgEAAwAAAAAAEpcYvM173gjNVMY4znveCENDSVEuTllTRTpJQk0uSVFfT1BFQl9BQ0NVTV9PVEhFUl9DSV9GT1JFSUdOLjIwMDAuMDYvMDMvMjAyNi4uLlVTRC5IAQAAAN62AQADAAAAAAASlxi8zXveCDXIyDjOe94IPkNJUS5OWVNFOklCTS5JUV9PUEVCX0xUX0FTU0VUU19GT1JFSUdOLjIwMDAuMDYvMDMvMjAyNi4uLlVTRC5IAQAAAN62AQADAAAAAAASlxi8zXveCLHvyDjOe94IN0NJUS5OWVNFOklCTS5JUV9PUEVCX0NMX0ZPUkVJR04uMjAwMC4wNi8wMy8yMDI2Li4uVVNELkgBAAAA3rYBAAIAAAADLTMyABKXGLzNe94IP2bIOM573gg8Q0lRLk5ZU0U6SUJNLklRX09QRUJfTFRfTElB</t>
  </si>
  <si>
    <t>Ql9GT1JFSUdOLjIwMDAuMDYvMDMvMjAyNi4uLlVTRC5IAQAAAN62AQACAAAABC01MDUAEpcYvM173gg1yMg4znveCDpDSVEuTllTRTpJQk0uSVFfT1BFQl9PVEhFUl9GT1JFSUdOLjIwMDAuMDYvMDMvMjAyNi4uLlVTRC5IAQAAAN62AQADAAAAAAASlxi8zXveCKYYxzjOe94IQkNJUS5OWVNFOklCTS5JUV9PUEVCX1VOUkVDT0dfUFJJT1JfRk9SRUlHTi4yMDAwLjA2LzAzLzIwMjYuLi5VU0QuSAEAAADetgEAAwAAAAAAEpcYvM173ghAjcg4znveCD5DSVEuTllTRTpJQk0uSVFfT1BFQl9PVEhFUl9BREpfRk9SRUlHTi4yMDAwLjA2LzAzLzIwMjYuLi5VU0QuSAEAAADetgEAAwAAAAAAEpcYvM173gi1Fsk4znveCERDSVEuTllTRTpJQk0uSVFfT1BFQl9ORVRfQVNTRVRfUkVDT0dfRk9SRUlHTi4yMDAwLjA2LzAzLzIwMjYuLi5VU0QuSAEAAADetgEAAgAAAAQtNTM4ABKXGLzNe94IHT/IOM573ghVQ0lRLk5ZU0U6SUJNLklRX09QRUJfSU5DUkVBU0VfRUZGRUNUX1NFUlZJQ0VfSU5UX0NPU1RfRk9SRUlHTi4yMDAwLjA2LzAzLzIwMjYuLi5VU0QuSAEAAADetgEAAwAAAAAAEpcYvM173ghKKco4znveCEhDSVEuTllTRTpJQk0uSVFfT1BFQl9JTkNSRUFTRV9FRkZFQ1RfUEJPX0ZPUkVJR04uMjAwMC4wNi8wMy8yMDI2Li4uVVNELkgBAAAA3rYBAAMAAAAAABKXGLzNe94I23vGOM573ghVQ0lRLk5ZU0U6SUJN</t>
  </si>
  <si>
    <t>LklRX09QRUJfREVDUkVBU0VfRUZGRUNUX1NFUlZJQ0VfSU5UX0NPU1RfRk9SRUlHTi4yMDAwLjA2LzAzLzIwMjYuLi5VU0QuSAEAAADetgEAAwAAAAAAEpcYvM173gg/Zsg4znveCEhDSVEuTllTRTpJQk0uSVFfT1BFQl9ERUNSRUFTRV9FRkZFQ1RfUEJPX0ZPUkVJR04uMjAwMC4wNi8wMy8yMDI2Li4uVVNELkgBAAAA3rYBAAMAAAAAABKXGLzNe94Ise/IOM573ghGQ0lRLk5ZU0U6SUJNLklRX09QRUJfSEVBTFRIX0NPU1RfVFJFTkRfSU5JVElBTF9GT1JFSUdOLjIwMDAuMDYvMDMvMjAyNgEAAADetgEAAwAAAAAA570YvM173gimGMc4znveCEdDSVEuTllTRTpJQk0uSVFfT1BFQl9IRUFMVEhfQ09TVF9UUkVORF9VTFRJTUFURV9GT1JFSUdOLjIwMDAuMDYvMDMvMjAyNgEAAADetgEAAwAAAAAA570YvM173ghAjcg4znveCD5DSVEuTllTRTpJQk0uSVFfT1BFQl9CRU5FRklUX0lORk9fREFURV9GT1JFSUdOLjIwMDAuMDYvMDMvMjAyNgEAAADetgEABQAAAAozMS8xMi8yMDI1AOe9GLzNe94I53jJOM573gg4Q0lRLk5ZU0U6SUJNLklRX0FVTV9FUVVJVFlfRlVORFMuMjAwMC4wNi8wMy8yMDI2Li4uVVNELkgBAAAA3rYBAAMAAAAAAOe9GLzNe94ItRbJOM573gg+Q0lRLk5ZU0U6SUJNLklRX0FVTV9GSVhFRF9JTkNPTUVfRlVORFMuMjAwMC4wNi8wMy8yMDI2Li4uVVNELkgBAAAA3rYBAAMAAAAAAOe9GLzN</t>
  </si>
  <si>
    <t>e94IzVTGOM573gg+Q0lRLk5ZU0U6SUJNLklRX0FVTV9NT05FWV9NQVJLRVRfRlVORFMuMjAwMC4wNi8wMy8yMDI2Li4uVVNELkgBAAAA3rYBAAMAAAAAAOe9GLzNe94IJRjIOM573ggxQ0lRLk5ZU0U6SUJNLklRX0FVTV9PVEhFUi4yMDAwLjA2LzAzLzIwMjYuLi5VU0QuSAEAAADetgEAAwAAAAAA570YvM173gix78g4znveCCtDSVEuTllTRTpJQk0uSVFfQVVNLjIwMDAuMDYvMDMvMjAyNi4uLlVTRC5IAQAAAN62AQADAAAAAADnvRi8zXveCBTJxzjOe94IOkNJUS5OWVNFOklCTS5JUV9BVU1fUFJJVkFURV9FUVVJVFkuMjAwMC4wNi8wMy8yMDI2Li4uVVNELkgBAAAA3rYBAAMAAAAAAOe9GLzNe94IP2bIOM573gg3Q0lRLk5ZU0U6SUJNLklRX0FVTV9SRUFMX0VTVEFURS4yMDAwLjA2LzAzLzIwMjYuLi5VU0QuSAEAAADetgEAAwAAAAAA570YvM173gix78g4znveCDlDSVEuTllTRTpJQk0uSVFfQVVNX0lOU1RJVFVUSU9OQUwuMjAwMC4wNi8wMy8yMDI2Li4uVVNELkgBAAAA3rYBAAMAAAAAAOe9GLzNe94ISinKOM573ggyQ0lRLk5ZU0U6SUJNLklRX0FVTV9SRVRBSUwuMjAwMC4wNi8wMy8yMDI2Li4uVVNELkgBAAAA3rYBAAMAAAAAAOe9GLzNe94IFO7JOM573gg6Q0lRLk5ZU0U6SUJNLklRX0FVTV9ISUdIX05FVF9XT1JUSC4yMDAwLjA2LzAzLzIwMjYuLi5VU0QuSAEAAADetgEAAwAAAAAA570YvM17</t>
  </si>
  <si>
    <t>3gg1yMg4znveCDlDSVEuTllTRTpJQk0uSVFfQVVNX09USEVSX0NMSUVOVFMuMjAwMC4wNi8wMy8yMDI2Li4uVVNELkgBAAAA3rYBAAMAAAAAAOe9GLzNe94ISinKOM573gg0Q0lRLk5ZU0U6SUJNLklRX0FVTV9ET01FU1RJQy4yMDAwLjA2LzAzLzIwMjYuLi5VU0QuSAEAAADetgEAAwAAAAAA570YvM173gjNVMY4znveCDNDSVEuTllTRTpJQk0uSVFfQVVNX0ZPUkVJR04uMjAwMC4wNi8wMy8yMDI2Li4uVVNELkgBAAAA3rYBAAMAAAAAAOe9GLzNe94IQI3IOM573gg3Q0lRLk5ZU0U6SUJNLklRX0FVTV9GRUVfRUFSTklORy4yMDAwLjA2LzAzLzIwMjYuLi5VU0QuSAEAAADetgEAAwAAAAAA570YvM173ggUycc4znveCDtDSVEuTllTRTpJQk0uSVFfQVVNX05PTl9GRUVfRUFSTklORy4yMDAwLjA2LzAzLzIwMjYuLi5VU0QuSAEAAADetgEAAwAAAAAA570YvM173gglGMg4znveCDRDSVEuTllTRTpJQk0uSVFfQVVNX1JFVEFJTF9DVVNUT01FUlMuMjAwMC4wNi8wMy8yMDI2AQAAAN62AQADAAAAAADnvRi8zXveCLHvyDjOe94IO0NJUS5OWVNFOklCTS5JUV9BVU1fSU5TVElUVVRJT05BTF9DVVNUT01FUlMuMjAwMC4wNi8wMy8yMDI2AQAAAN62AQADAAAAAADnvRi8zXveCLM9yTjOe94IMUNJUS5OWVNFOklCTS5JUV9BVU1fU01FX0NVU1RPTUVSUy4yMDAwLjA2LzAzLzIwMjYBAAAA3rYBAAMAAAAAAOe9GLzN</t>
  </si>
  <si>
    <t>e94Ih/DHOM573ggzQ0lRLk5ZU0U6SUJNLklRX0FVTV9PVEhFUl9DVVNUT01FUlMuMjAwMC4wNi8wMy8yMDI2AQAAAN62AQADAAAAAADnvRi8zXveCDXIyDjOe94IM0NJUS5OWVNFOklCTS5JUV9BVU1fVE9UQUxfQ1VTVE9NRVJTLjIwMDAuMDYvMDMvMjAyNgEAAADetgEAAwAAAAAA570YvM173gi1Fsk4znveCC9DSVEuTllTRTpJQk0uSVFfQVVNX0JPUC4yMDAwLjA2LzAzLzIwMjYuLi5VU0QuSAEAAADetgEAAwAAAAAA570YvM173ggpjsc4znveCDNDSVEuTllTRTpJQk0uSVFfQVVNX0lORkxPV1MuMjAwMC4wNi8wMy8yMDI2Li4uVVNELkgBAAAA3rYBAAMAAAAAAOe9GLzNe94IFO7JOM573gg0Q0lRLk5ZU0U6SUJNLklRX0FVTV9PVVRGTE9XUy4yMDAwLjA2LzAzLzIwMjYuLi5VU0QuSAEAAADetgEAAwAAAAAA570YvM173gix78g4znveCEBDSVEuTllTRTpJQk0uSVFfQVVNX05FVF9JTkZMT1dTX09VVEZMT1dTLjIwMDAuMDYvMDMvMjAyNi4uLlVTRC5IAQAAAN62AQADAAAAAADnvRi8zXveCEopyjjOe94IQENJUS5OWVNFOklCTS5JUV9BVU1fQ0FTSF9GTE9XU19ESVZJREVORFMuMjAwMC4wNi8wMy8yMDI2Li4uVVNELkgBAAAA3rYBAAMAAAAAAMXkGLzNe94IHT/IOM573ghMQ0lRLk5ZU0U6SUJNLklRX0FVTV9NQVJLRVRfQVBQUkVDSUFUSU9OX0RFUFJFQ0lBVElPTi4yMDAwLjA2LzAzLzIwMjYuLi5V</t>
  </si>
  <si>
    <t>U0QuSAEAAADetgEAAwAAAAAAxeQYvM173gjNVMY4znveCEJDSVEuTllTRTpJQk0uSVFfQVVNX0FDUVVJU0lUSU9OU19UUkFOU0ZFUlMuMjAwMC4wNi8wMy8yMDI2Li4uVVNELkgBAAAA3rYBAAMAAAAAAMXkGLzNe94Ih/DHOM573gg9Q0lRLk5ZU0U6SUJNLklRX0FVTV9PVEhFUl9BREpVU1RNRU5UUy4yMDAwLjA2LzAzLzIwMjYuLi5VU0QuSAEAAADetgEAAwAAAAAAxeQYvM173ggdP8g4znveCC9DSVEuTllTRTpJQk0uSVFfQVVNX0VPUC4yMDAwLjA2LzAzLzIwMjYuLi5VU0QuSAEAAADetgEAAwAAAAAAxeQYvM173gi1Fsk4znveCDNDSVEuTllTRTpJQk0uSVFfQVVNX0FWRVJBR0UuMjAwMC4wNi8wMy8yMDI2Li4uVVNELkgBAAAA3rYBAAMAAAAAAMXkGLzNe94IFMnHOM573gg2Q0lRLk5ZU0U6SUJNLklRX0FVTV9ORVRfQ0hBTkdFLjIwMDAuMDYvMDMvMjAyNi4uLlVTRC5IAQAAAN62AQADAAAAAADF5Bi8zXveCD9myDjOe94IN0NJUS5OWVNFOklCTS5JUV9NVVRVQUxfRlVORF9CT1AuMjAwMC4wNi8wMy8yMDI2Li4uVVNELkgBAAAA3rYBAAMAAAAAAGecUrzNe94INcjIOM573gg5Q0lRLk5ZU0U6SUJNLklRX01VVFVBTF9GVU5EX1NBTEVTLjIwMDAuMDYvMDMvMjAyNi4uLlVTRC5IAQAAAN62AQADAAAAAABnnFK8zXveCLUWyTjOe94IP0NJUS5OWVNFOklCTS5JUV9NVVRVQUxfRlVORF9SRURFTVBUSU9O</t>
  </si>
  <si>
    <t>Uy4yMDAwLjA2LzAzLzIwMjYuLi5VU0QuSAEAAADetgEAAwAAAAAAZ5xSvM173gglGMg4znveCD1DSVEuTllTRTpJQk0uSVFfTVVUVUFMX0ZVTkRfTkVUX1NBTEVTLjIwMDAuMDYvMDMvMjAyNi4uLlVTRC5IAQAAAN62AQADAAAAAABnnFK8zXveCBTuyTjOe94ITUNJUS5OWVNFOklCTS5JUV9NVVRVQUxfRlVORF9BUFBSRUNJQVRJT05fREVQUkVDSUFUSU9OLjIwMDAuMDYvMDMvMjAyNi4uLlVTRC5IAQAAAN62AQADAAAAAABnnFK8zXveCLUWyTjOe94IRkNJUS5OWVNFOklCTS5JUV9NVVRVQUxfRlVORF9BQ1FVSVNJVElPTlNfT1RIRVIuMjAwMC4wNi8wMy8yMDI2Li4uVVNELkgBAAAA3rYBAAMAAAAAAGecUrzNe94ISinKOM573gg3Q0lRLk5ZU0U6SUJNLklRX01VVFVBTF9GVU5EX0VPUC4yMDAwLjA2LzAzLzIwMjYuLi5VU0QuSAEAAADetgEAAwAAAAAAZ5xSvM173gicUck4znveCCRDSVEuTllTRTpJQk0uSVFfREFSVC4yMDAwLjA2LzAzLzIwMjYBAAAA3rYBAAMAAAAAAHTDUrzNe94IQI3IOM573gg2Q0lRLk5ZU0U6SUJNLklRX05VTUJFUl9UUkFERVNfRVhFQ1VURUQuMjAwMC4wNi8wMy8yMDI2AQAAAN62AQADAAAAAAB0w1K8zXveCOd4yTjOe94IM0NJUS5OWVNFOklCTS5JUV9PUkdBTklDX0dST1dUSF9SQVRFLjIwMDAuMDYvMDMvMjAyNgEAAADetgEAAwAAAAAAdMNSvM173gicUck4znveCD1DSVEu</t>
  </si>
  <si>
    <t>TllTRTpJQk0uSVFfTkVUX05FV19DTElFTlRfQVNTRVRTLjIwMDAuMDYvMDMvMjAyNi4uLlVTRC5IAQAAAN62AQADAAAAAAB0w1K8zXveCCUYyDjOe94IOUNJUS5OWVNFOklCTS5JUV9BVkdfUkVWX1BFUl9UUkFERS4yMDAwLjA2LzAzLzIwMjYuLi5VU0QuSAEAAADetgEAAwAAAAAAdMNSvM173ggUycc4znveCENDSVEuTllTRTpJQk0uSVFfQVNTRVRTX1VOREVSX0FETUlOSVNUUkFUSU9OLjIwMDAuMDYvMDMvMjAyNi4uLlVTRC5IAQAAAN62AQADAAAAAAB0w1K8zXveCDXIyDjOe94IPUNJUS5OWVNFOklCTS5JUV9WQUxVRV9DVVNUT01FUl9BU1NFVFMuMjAwMC4wNi8wMy8yMDI2Li4uVVNELkgBAAAA3rYBAAMAAAAAAHTDUrzNe94ItRbJOM573gg5Q0lRLk5ZU0U6SUJNLklRX0FTU0VUX01BTkFHRURfR1JPV1RIX1JBVEUuMjAwMC4wNi8wMy8yMDI2AQAAAN62AQADAAAAAAB0w1K8zXveCCUYyDjOe94IPUNJUS5OWVNFOklCTS5JUV9BU1NFVFNfQ0FQX0xFQVNFX0RFUFIuMjAwMC4wNi8wMy8yMDI2Li4uVVNELkgBAAAA3rYBAAMAAAAAAHTDUrzNe94I53jJOM573gg+Q0lRLk5ZU0U6SUJNLklRX0FTU0VUU19DQVBfTEVBU0VfR1JPU1MuMjAwMC4wNi8wMy8yMDI2Li4uVVNELkgBAAAA3rYBAAMAAAAAAHTDUrzNe94IFO7JOM573gg+Q0lRLk5ZU0U6SUJNLklRX0FTU0VUU19PUEVSX0xFQVNFX0RFUFIuMjAw</t>
  </si>
  <si>
    <t>MC4wNi8wMy8yMDI2Li4uVVNELkgBAAAA3rYBAAMAAAAAAHTDUrzNe94INcjIOM573gg/Q0lRLk5ZU0U6SUJNLklRX0FTU0VUU19PUEVSX0xFQVNFX0dST1NTLjIwMDAuMDYvMDMvMjAyNi4uLlVTRC5IAQAAAN62AQADAAAAAAB0w1K8zXveCEopyjjOe94IQENJUS5OWVNFOklCTS5JUV9DQVBJVEFMSVpFRF9JTlRFUkVTVF9CT1AuMjAwMC4wNi8wMy8yMDI2Li4uVVNELkgBAAAA3rYBAAMAAAAAAHTDUrzNe94IFO7JOM573ghAQ0lRLk5ZU0U6SUJNLklRX0NBUElUQUxJWkVEX0lOVEVSRVNUX0VYUC4yMDAwLjA2LzAzLzIwMjYuLi5VU0QuSAEAAADetgEAAwAAAAAAdMNSvM173gglGMg4znveCEZDSVEuTllTRTpJQk0uSVFfQ0FQSVRBTElaRURfSU5URVJFU1RfV1JJVEVfT0ZGLjIwMDAuMDYvMDMvMjAyNi4uLlVTRC5IAQAAAN62AQADAAAAAAB0w1K8zXveCPafyTjOe94IRkNJUS5OWVNFOklCTS5JUV9DQVBJVEFMSVpFRF9JTlRFUkVTVF9PVEhFUl9BREouMjAwMC4wNi8wMy8yMDI2Li4uVVNELkgBAAAA3rYBAAMAAAAAAHTDUrzNe94InFHJOM573ghAQ0lRLk5ZU0U6SUJNLklRX0NBUElUQUxJWkVEX0lOVEVSRVNUX0VPUC4yMDAwLjA2LzAzLzIwMjYuLi5VU0QuSAEAAADetgEAAwAAAAAAdMNSvM173gi1Fsk4znveCDJDSVEuTllTRTpJQk0uSVFfTk9MX0NGXzFZUi4yMDAwLjA2LzAzLzIwMjYuLi5VU0Qu</t>
  </si>
  <si>
    <t>SAEAAADetgEAAwAAAAAAdMNSvM173gj2n8k4znveCDJDSVEuTllTRTpJQk0uSVFfTk9MX0NGXzJZUi4yMDAwLjA2LzAzLzIwMjYuLi5VU0QuSAEAAADetgEAAwAAAAAAdMNSvM173gglGMg4znveCDJDSVEuTllTRTpJQk0uSVFfTk9MX0NGXzNZUi4yMDAwLjA2LzAzLzIwMjYuLi5VU0QuSAEAAADetgEAAwAAAAAAdMNSvM173ggdP8g4znveCDJDSVEuTllTRTpJQk0uSVFfTk9MX0NGXzRZUi4yMDAwLjA2LzAzLzIwMjYuLi5VU0QuSAEAAADetgEAAwAAAAAAdMNSvM173ghAjcg4znveCDJDSVEuTllTRTpJQk0uSVFfTk9MX0NGXzVZUi4yMDAwLjA2LzAzLzIwMjYuLi5VU0QuSAEAAADetgEAAwAAAAAAdMNSvM173gjneMk4znveCDlDSVEuTllTRTpJQk0uSVFfTk9MX0NGX0FGVEVSX0ZJVkUuMjAwMC4wNi8wMy8yMDI2Li4uVVNELkgBAAAA3rYBAAMAAAAAAHTDUrzNe94IFMnHOM573gg1Q0lRLk5ZU0U6SUJNLklRX05PTF9DRl9OT19FWFAuMjAwMC4wNi8wMy8yMDI2Li4uVVNELkgBAAAA3rYBAAMAAAAAAHTDUrzNe94I9p/JOM573gg0Q0lRLk5ZU0U6SUJNLklRX05PTF9DRl9UT1RBTC4yMDAwLjA2LzAzLzIwMjYuLi5VU0QuSAEAAADetgEAAwAAAAAAdMNSvM173ghKKco4znveCC9DSVEuTllTRTpJQk0uSVFfTk9MX0NGX01BWF9ZRUFSLjIwMDAuMDYvMDMvMjAyNgEAAADetgEAAwAAAAAAdMNSvM173ggU</t>
  </si>
  <si>
    <t>7sk4znveCDdDSVEuTllTRTpJQk0uSVFfQ0FQX0xPU1NfQ0ZfMVlSLjIwMDAuMDYvMDMvMjAyNi4uLlVTRC5IAQAAAN62AQADAAAAAAB0w1K8zXveCECNyDjOe94IN0NJUS5OWVNFOklCTS5JUV9DQVBfTE9TU19DRl8yWVIuMjAwMC4wNi8wMy8yMDI2Li4uVVNELkgBAAAA3rYBAAMAAAAAAHrqUrzNe94ISinKOM573gg3Q0lRLk5ZU0U6SUJNLklRX0NBUF9MT1NTX0NGXzNZUi4yMDAwLjA2LzAzLzIwMjYuLi5VU0QuSAEAAADetgEAAwAAAAAAeupSvM173gicUck4znveCDdDSVEuTllTRTpJQk0uSVFfQ0FQX0xPU1NfQ0ZfNFlSLjIwMDAuMDYvMDMvMjAyNi4uLlVTRC5IAQAAAN62AQADAAAAAAB66lK8zXveCBTJxzjOe94IN0NJUS5OWVNFOklCTS5JUV9DQVBfTE9TU19DRl81WVIuMjAwMC4wNi8wMy8yMDI2Li4uVVNELkgBAAAA3rYBAAMAAAAAAHrqUrzNe94I9p/JOM573gg+Q0lRLk5ZU0U6SUJNLklRX0NBUF9MT1NTX0NGX0FGVEVSX0ZJVkUuMjAwMC4wNi8wMy8yMDI2Li4uVVNELkgBAAAA3rYBAAMAAAAAAHrqUrzNe94IHT/IOM573gg6Q0lRLk5ZU0U6SUJNLklRX0NBUF9MT1NTX0NGX05PX0VYUC4yMDAwLjA2LzAzLzIwMjYuLi5VU0QuSAEAAADetgEAAwAAAAAAeupSvM173ghAjcg4znveCDlDSVEuTllTRTpJQk0uSVFfQ0FQX0xPU1NfQ0ZfVE9UQUwuMjAwMC4wNi8wMy8yMDI2Li4uVVNELkgBAAAA</t>
  </si>
  <si>
    <t>3rYBAAMAAAAAAHrqUrzNe94INcjIOM573gg0Q0lRLk5ZU0U6SUJNLklRX0NBUF9MT1NTX0NGX01BWF9ZRUFSLjIwMDAuMDYvMDMvMjAyNgEAAADetgEAAwAAAAAAeupSvM173gjneMk4znveCDpDSVEuTllTRTpJQk0uSVFfVEFYX0JFTkVGSVRfQ0ZfMVlSLjIwMDAuMDYvMDMvMjAyNi4uLlVTRC5IAQAAAN62AQADAAAAAAB66lK8zXveCBTJxzjOe94IOkNJUS5OWVNFOklCTS5JUV9UQVhfQkVORUZJVF9DRl8yWVIuMjAwMC4wNi8wMy8yMDI2Li4uVVNELkgBAAAA3rYBAAMAAAAAAHrqUrzNe94I9p/JOM573gg6Q0lRLk5ZU0U6SUJNLklRX1RBWF9CRU5FRklUX0NGXzNZUi4yMDAwLjA2LzAzLzIwMjYuLi5VU0QuSAEAAADetgEAAwAAAAAAeupSvM173gjneMk4znveCDpDSVEuTllTRTpJQk0uSVFfVEFYX0JFTkVGSVRfQ0ZfNFlSLjIwMDAuMDYvMDMvMjAyNi4uLlVTRC5IAQAAAN62AQADAAAAAAB66lK8zXveCBTuyTjOe94IOkNJUS5OWVNFOklCTS5JUV9UQVhfQkVORUZJVF9DRl81WVIuMjAwMC4wNi8wMy8yMDI2Li4uVVNELkgBAAAA3rYBAAMAAAAAAHrqUrzNe94IP2bIOM573ghBQ0lRLk5ZU0U6SUJNLklRX1RBWF9CRU5FRklUX0NGX0FGVEVSX0ZJVkUuMjAwMC4wNi8wMy8yMDI2Li4uVVNELkgBAAAA3rYBAAIAAAAEMjA3MQB66lK8zXveCEopyjjOe94IPUNJUS5OWVNFOklCTS5JUV9UQVhfQkVORUZJ</t>
  </si>
  <si>
    <t>VF9DRl9OT19FWFAuMjAwMC4wNi8wMy8yMDI2Li4uVVNELkgBAAAA3rYBAAMAAAAAAHrqUrzNe94InFHJOM573gg8Q0lRLk5ZU0U6SUJNLklRX1RBWF9CRU5FRklUX0NGX1RPVEFMLjIwMDAuMDYvMDMvMjAyNi4uLlVTRC5IAQAAAN62AQACAAAABDIwNzEAeupSvM173gimGMc4znveCDdDSVEuTllTRTpJQk0uSVFfVEFYX0JFTkVGSVRfQ0ZfTUFYX1lFQVIuMjAwMC4wNi8wMy8yMDI2AQAAAN62AQADAAAAAAB66lK8zXveCPafyTjOe94ISkNJUS5OWVNFOklCTS5JUV9UUkFOU19JTVBBQ1RfRklOXzQ4X0NVUlJFTlRfQVNTRVRTLjIwMDAuMDYvMDMvMjAyNi4uLlVTRC5IAQAAAN62AQADAAAAAAB66lK8zXveCCUYyDjOe94IRUNJUS5OWVNFOklCTS5JUV9UUkFOU19JTVBBQ1RfRklOXzQ4X0xUX0FTU0VUUy4yMDAwLjA2LzAzLzIwMjYuLi5VU0QuSAEAAADetgEAAwAAAAAAeupSvM173gg/Zsg4znveCE9DSVEuTllTRTpJQk0uSVFfVFJBTlNfSU1QQUNUX0ZJTl80OF9DVVJSRU5UX0xJQUJJTElUSUVTLjIwMDAuMDYvMDMvMjAyNi4uLlVTRC5IAQAAAN62AQADAAAAAAB66lK8zXveCECNyDjOe94IU0NJUS5OWVNFOklCTS5JUV9UUkFOU19JTVBBQ1RfRklOXzQ4X05PTl9DVVJSRU5UX0xJQUJJTElUSUVTLjIwMDAuMDYvMDMvMjAyNi4uLlVTRC5IAQAAAN62AQADAAAAAAB66lK8zXveCLHvyDjOe94ITUNJUS5O</t>
  </si>
  <si>
    <t>WVNFOklCTS5JUV9UUkFOU19JTVBBQ1RfRklOXzQ4X1JFVEFJTkVEX0VBUk5JTkdTLjIwMDAuMDYvMDMvMjAyNi4uLlVTRC5IAQAAAN62AQADAAAAAAB66lK8zXveCLM9yTjOe94IRkNJUS5OWVNFOklCTS5JUV9VTlJFQ09HX1RBWF9CRU5FRklUX0JFR19QRVJJT0QuMjAwMC4wNi8wMy8yMDI2Li4uVVNELkgBAAAA3rYBAAIAAAAEODg3NQB66lK8zXveCPafyTjOe94IRENJUS5OWVNFOklCTS5JUV9BRERfVEFYX1BPU0lUSU9OU19DVVJSRU5UX1lSLjIwMDAuMDYvMDMvMjAyNi4uLlVTRC5IAQAAAN62AQACAAAAAzMxNgB66lK8zXveCOd4yTjOe94ISUNJUS5OWVNFOklCTS5JUV9SRURVQ1RJT05fVEFYX1BPU0lUSU9OX0NVUlJFTlRfWVIuMjAwMC4wNi8wMy8yMDI2Li4uVVNELkgBAAAA3rYBAAMAAAAAAHrqUrzNe94IFO7JOM573ghDQ0lRLk5ZU0U6SUJNLklRX0FERF9UQVhfUE9TSVRJT05TX1BSSU9SX1lSUy4yMDAwLjA2LzAzLzIwMjYuLi5VU0QuSAEAAADetgEAAgAAAAM0MDIAeupSvM173gj4xsk4znveCEhDSVEuTllTRTpJQk0uSVFfUkVEVUNUSU9OX1RBWF9QT1NJVElPTl9QUklPUl9ZUlMuMjAwMC4wNi8wMy8yMDI2Li4uVVNELkgBAAAA3rYBAAIAAAAFLTI4NDMAdRFTvM173ghKKco4znveCENDSVEuTllTRTpJQk0uSVFfU0VUVExFTUVOVFNfVEFYX0FVVEhPUklUSUVTLjIwMDAuMDYvMDMvMjAy</t>
  </si>
  <si>
    <t>Ni4uLlVTRC5IAQAAAN62AQACAAAAAy05NQB1EVO8zXveCJxRyTjOe94IQUNJUS5OWVNFOklCTS5JUV9MQVBTRV9TVEFUVVRFX0xJTUlUQVRJT05TLjIwMDAuMDYvMDMvMjAyNi4uLlVTRC5IAQAAAN62AQADAAAAAAB1EVO8zXveCCmOxzjOe94IRUNJUS5OWVNFOklCTS5JUV9VTlJFQ09HX1RBWF9CRU5FRklUX09USEVSX0FESi4yMDAwLjA2LzAzLzIwMjYuLi5VU0QuSAEAAADetgEAAwAAAAAAdRFTvM173gj2n8k4znveCEZDSVEuTllTRTpJQk0uSVFfVU5SRUNPR19UQVhfQkVORUZJVF9FTkRfUEVSSU9ELjIwMDAuMDYvMDMvMjAyNi4uLlVTRC5IAQAAAN62AQACAAAABDY2NTUAdRFTvM173gicUck4znveCEdDSVEuTllTRTpJQk0uSVFfQUNDT1VOVF9DT0RFX0lOVEVSRVNUX1BFTkFMVElFUy4yMDAwLjA2LzAzLzIwMjYuLi5VU0QuSAEAAADetgEAAgAAAAExAHURU7zNe94I+MbJOM573ghLQ0lRLk5ZU0U6SUJNLklRX0lOVEVSRVNUX1BFTkFMVElFU19SRUNPR19JU19QUkVfVEFYLjIwMDAuMDYvMDMvMjAyNi4uLlVTRC5IAQAAAN62AQACAAAABC0xMzUAdRFTvM173ggdP8g4znveCE1DSVEuTllTRTpJQk0uSVFfSU5URVJFU1RfUEVOQUxUSUVTX1JFQ09HX0lTX0FGVEVSX1RBWC4yMDAwLjA2LzAzLzIwMjYuLi5VU0QuSAEAAADetgEAAwAAAAAAdRFTvM173gg/Zsg4znveCEtDSVEuTllTRTpJQk0uSVFf</t>
  </si>
  <si>
    <t>SU5URVJFU1RfUEVOQUxUSUVTX1JFQ09HX0JTX1BSRV9UQVguMjAwMC4wNi8wMy8yMDI2Li4uVVNELkgBAAAA3rYBAAIAAAAEMTIzMAB1EVO8zXveCECNyDjOe94ITUNJUS5OWVNFOklCTS5JUV9JTlRFUkVTVF9QRU5BTFRJRVNfUkVDT0dfQlNfQUZURVJfVEFYLjIwMDAuMDYvMDMvMjAyNi4uLlVTRC5IAQAAAN62AQADAAAAAAB1EVO8zXveCLHvyDjOe94IS0NJUS5OWVNFOklCTS5JUV9DSEFOR0VfVU5SRUNPR19UQVhfQkVORUZJVF8xX1lSX01JTi4yMDAwLjA2LzAzLzIwMjYuLi5VU0QuSAEAAADetgEAAwAAAAAAdRFTvM173gjneMk4znveCEtDSVEuTllTRTpJQk0uSVFfQ0hBTkdFX1VOUkVDT0dfVEFYX0JFTkVGSVRfMV9ZUl9NQVguMjAwMC4wNi8wMy8yMDI2Li4uVVNELkgBAAAA3rYBAAMAAAAAAHURU7zNe94IFO7JOM573ghQQ0lRLk5ZU0U6SUJNLklRX0lNUEFDVF9VTlJFQ09HX1RBWF9CRU5FRklUX0VGRkVDVElWRV9UQVguMjAwMC4wNi8wMy8yMDI2Li4uVVNELkgBAAAA3rYBAAIAAAAENTk0NgBJJVO8zXveCPjGyTjOe94IKkNJUS5OWVNFOklCTS5JUV9QRVJJT0REQVRFLjE5OTYuMDYvMDMvMjAyNgEAAADetgEABQAAAAozMS8xMi8yMDI0AEklU7zNe94IyisLOc573gguQ0lRLk5ZU0U6SUJNLklRX1JFVFVSTl9DQVBJVEFMLjIwMDAuMDYvMDMvMjAyNgEAAADetgEAAgAAAAY4LjU3ODIBCAAA</t>
  </si>
  <si>
    <t>AAUAAAABMQEAAAALLTE5MDQ4NjA2NTcDAAAAAzE2MAIAAAAENDM2MwQAAAABMAcAAAAIMy82LzIwMjYIAAAACjEyLzMxLzIwMjUJAAAAATBJJVO8zXveCPafyTjOe94INENJUS5OWVNFOklCTS5JUV9SRVRVUk5fQ09NTU9OX0VRVUlUWS4yMDAwLjA2LzAzLzIwMjYBAAAA3rYBAAIAAAAHMzUuMjYzMQEIAAAABQAAAAExAQAAAAstMTkwNDg2MDY1NwMAAAADMTYwAgAAAAUzMzMyMAQAAAABMAcAAAAIMy82LzIwMjYIAAAACjEyLzMxLzIwMjUJAAAAATBJJVO8zXveCPjGyTjOe94IK0NJUS5OWVNFOklCTS5JUV9FQklUX01BUkdJTi4yMDAwLjA2LzAzLzIwMjYBAAAA3rYBAAIAAAAHMTguNjA5NgEIAAAABQAAAAExAQAAAAstMTkwNDg2MDY1NwMAAAADMTYwAgAAAAQ0MDUzBAAAAAEwBwAAAAgzLzYvMjAyNggAAAAKMTIvMzEvMjAyNQkAAAABMEklU7zNe94Ise/IOM573ggtQ0lRLk5ZU0U6SUJNLklRX0NBUEVYX1BDVF9SRVYuMjAwMC4wNi8wMy8yMDI2AQAAAN62AQACAAAABjEuNjE1NAEIAAAABQAAAAExAQAAAAstMTkwNDg2MDY1NwMAAAADMTYwAgAAAAUzNTM4MAQAAAABMAcAAAAIMy82LzIwMjYIAAAACjEyLzMxLzIwMjUJAAAAATBJJVO8zXveCOd4yTjOe94IQkNJUS5OWVNFOklCTS5JUV9QRU5TSU9OX0VYUF9SRVRVUk5fRk9SRUlHTi4yMDAwLjA2LzAzLzIwMjYuLi5VU0QuSAEAAADetgEAAgAAAAQ0</t>
  </si>
  <si>
    <t>Ljg2APP/cLzNe94IGLrEOM573ghAQ0lRLk5ZU0U6SUJNLklRX1BFTlNJT05fUkFURV9DT01QX0dST1dUSF9GT1JFSUdOLjIwMDAuMDYvMDMvMjAyNgEAAADetgEAAgAAAAQ0LjA0APP/cLzNe94Itz/HOM573gg9Q0lRLk5ZU0U6SUJNLklRX1BFTlNJT05fRElTQ19SQVRFX01JTl9GT1JFSUdOLjIwMDAuMDYvMDMvMjAyNgEAAADetgEAAgAAAAQzLjYxAPP/cLzNe94Iti/FOM573gg9Q0lRLk5ZU0U6SUJNLklRX1BFTlNJT05fRElTQ19SQVRFX01BWF9GT1JFSUdOLjIwMDAuMDYvMDMvMjAyNgEAAADetgEAAgAAAAQzLjYxAL0vcbzNe94IKY7HOM573gg9Q0lRLk5ZU0U6SUJNLklRX1BFTlNJT05fRElTQ09VTlRfUkFURV9GT1JFSUdOLjIwMDAuMDYvMDMvMjAyNgEAAADetgEAAgAAAAQ0LjA1AL0vcbzNe94IzVTGOM573ghGQ0lRLk5ZU0U6SUJNLklRX1BFTlNJT05fUkFURV9DT01QX0lOQ1JFQVNFX01JTl9GT1JFSUdOLjIwMDAuMDYvMDMvMjAyNgEAAADetgEAAgAAAAQ0LjA0AL0vcbzNe94IGLrEOM573ghGQ0lRLk5ZU0U6SUJNLklRX1BFTlNJT05fUkFURV9DT01QX0lOQ1JFQVNFX01BWF9GT1JFSUdOLjIwMDAuMDYvMDMvMjAyNgEAAADetgEAAgAAAAQ0LjA0AL0vcbzNe94IXKPGOM573ghDQ0lRLk5ZU0U6SUJNLklRX1BFTlNJT05fRVhQX1JBVEVfUkVUVVJOX01JTl9GT1JFSUdOLjIwMDAuMDYvMDMv</t>
  </si>
  <si>
    <t>MjAyNgEAAADetgEAAgAAAAQ0Ljg2AL0vcbzNe94IphjHOM573ghDQ0lRLk5ZU0U6SUJNLklRX1BFTlNJT05fRVhQX1JBVEVfUkVUVVJOX01BWF9GT1JFSUdOLjIwMDAuMDYvMDMvMjAyNgEAAADetgEAAgAAAAQ0Ljg2AL0vcbzNe94Ih8rGOM573ghAQ0lRLk5ZU0U6SUJNLklRX1BFTlNJT05fQlJFQUtET1dOX1BDVF9FUV9GT1JFSUdOLjIwMDAuMDYvMDMvMjAyNgEAAADetgEAAgAAAAYwLjE2NDUAvS9xvM173giH8Mc4znveCEBDSVEuTllTRTpJQk0uSVFfUEVOU0lPTl9CUkVBS0RPV05fUENUX0ZJX0ZPUkVJR04uMjAwMC4wNi8wMy8yMDI2AQAAAN62AQACAAAABzUyLjI5MTEAvS9xvM173gjVCMU4znveCEBDSVEuTllTRTpJQk0uSVFfUEVOU0lPTl9CUkVBS0RPV05fUENUX1JFX0ZPUkVJR04uMjAwMC4wNi8wMy8yMDI2AQAAAN62AQADAAAAAAC9L3G8zXveCBTJxzjOe94IQ0NJUS5OWVNFOklCTS5JUV9QRU5TSU9OX0JSRUFLRE9XTl9QQ1RfT1RIRVJfRk9SRUlHTi4yMDAwLjA2LzAzLzIwMjYBAAAA3rYBAAIAAAAHNDcuNTQ0MgC9L3G8zXveCFyjxjjOe94IRENJUS5OWVNFOklCTS5JUV9QRU5TSU9OX0JSRUFLRE9XTl9FUV9GT1JFSUdOLjIwMDAuMDYvMDMvMjAyNi4uLlVTRC5IAQAAAN62AQACAAAAAjQ0AL0vcbzNe94IuKTFOM573ghEQ0lRLk5ZU0U6SUJNLklRX1BFTlNJT05fQlJFQUtET1dOX0ZJ</t>
  </si>
  <si>
    <t>X0ZPUkVJR04uMjAwMC4wNi8wMy8yMDI2Li4uVVNELkgBAAAA3rYBAAIAAAAFMTM5NzkAvS9xvM173gjd8sU4znveCERDSVEuTllTRTpJQk0uSVFfUEVOU0lPTl9CUkVBS0RPV05fUkVfRk9SRUlHTi4yMDAwLjA2LzAzLzIwMjYuLi5VU0QuSAEAAADetgEAAwAAAAAAvS9xvM173gjNVMY4znveCEdDSVEuTllTRTpJQk0uSVFfUEVOU0lPTl9CUkVBS0RPV05fT1RIRVJfRk9SRUlHTi4yMDAwLjA2LzAzLzIwMjYuLi5VU0QuSAEAAADetgEAAgAAAAUxMjcxMAC9L3G8zXveCJbxxjjOe94IPkNJUS5OWVNFOklCTS5JUV9QRU5TSU9OX0NJX0FDVF9GT1JFSUdOLjIwMDAuMDYvMDMvMjAyNi4uLlVTRC5IAQAAAN62AQACAAAABTExMzA3AL0vcbzNe94IKY7HOM573ghIQ0lRLk5ZU0U6SUJNLklRX1BFTlNJT05fQ0lfUFJJT1JfU0VSVklDRV9GT1JFSUdOLjIwMDAuMDYvMDMvMjAyNi4uLlVTRC5IAQAAAN62AQACAAAAAzc4OQC9L3G8zXveCKN9xTjOe94IRUNJUS5OWVNFOklCTS5JUV9QRU5TSU9OX0NJX1RSQU5TSVRJT05fRk9SRUlHTi4yMDAwLjA2LzAzLzIwMjYuLi5VU0QuSAEAAADetgEAAwAAAAAAvS9xvM173gj+y8U4znveCElDSVEuTllTRTpJQk0uSVFfUEVOU0lPTl9DSV9PVEhFUl9NSVNDX0FESl9GT1JFSUdOLjIwMDAuMDYvMDMvMjAyNi4uLlVTRC5IAQAAAN62AQADAAAAAAC9L3G8zXveCLc/xzjOe94I</t>
  </si>
  <si>
    <t>SENJUS5OWVNFOklCTS5JUV9QRU5TSU9OX0NJX05FVF9BTVRfUkVDT0dfRk9SRUlHTi4yMDAwLjA2LzAzLzIwMjYuLi5VU0QuSAEAAADetgEAAgAAAAUxMjA5NgC9L3G8zXveCNUIxTjOe94ISkNJUS5OWVNFOklCTS5JUV9QRU5TSU9OX1BSSU9SX1NFUlZJQ0VfTkVYVF9GT1JFSUdOLjIwMDAuMDYvMDMvMjAyNi4uLlVTRC5IAQAAAN62AQADAAAAAAC9L3G8zXveCIfwxzjOe94IQENJUS5OWVNFOklCTS5JUV9QRU5TSU9OX0FDVF9ORVhUX0ZPUkVJR04uMjAwMC4wNi8wMy8yMDI2Li4uVVNELkgBAAAA3rYBAAMAAAAAAL0vcbzNe94IXKPGOM573ghHQ0lRLk5ZU0U6SUJNLklRX1BFTlNJT05fVFJBTlNJVElPTl9ORVhUX0ZPUkVJR04uMjAwMC4wNi8wMy8yMDI2Li4uVVNELkgBAAAA3rYBAAMAAAAAAL0vcbzNe94IuKTFOM573ghGQ0lRLk5ZU0U6SUJNLklRX1BFTlNJT05fQU1UX1JFQ09HX05FWFRfRk9SRUlHTi4yMDAwLjA2LzAzLzIwMjYuLi5VU0QuSAEAAADetgEAAwAAAAAAvS9xvM173giH8Mc4znveCEhDSVEuTllTRTpJQk0uSVFfUEVOU0lPTl9QQk9fQVNTVU1FRF9SQVRFX1JFVF9NSU5fRk9SRUlHTi4yMDAwLjA2LzAzLzIwMjYBAAAA3rYBAAIAAAAENC4wNQC9L3G8zXveCLc/xzjOe94ISENJUS5OWVNFOklCTS5JUV9QRU5TSU9OX1BCT19BU1NVTUVEX1JBVEVfUkVUX01BWF9GT1JFSUdOLjIwMDAu</t>
  </si>
  <si>
    <t>MDYvMDMvMjAyNgEAAADetgEAAgAAAAQ0LjA1AC5XcbzNe94Iti/FOM573ghKQ0lRLk5ZU0U6SUJNLklRX1BFTlNJT05fUEJPX1JBVEVfQ09NUF9JTkNSRUFTRV9NSU5fRk9SRUlHTi4yMDAwLjA2LzAzLzIwMjYBAAAA3rYBAAIAAAAENC4zNgAuV3G8zXveCMZmxzjOe94ISkNJUS5OWVNFOklCTS5JUV9QRU5TSU9OX1BCT19SQVRFX0NPTVBfSU5DUkVBU0VfTUFYX0ZPUkVJR04uMjAwMC4wNi8wMy8yMDI2AQAAAN62AQACAAAABDQuMzYALldxvM173gijfcU4znveCEdDSVEuTllTRTpJQk0uSVFfUEVOU0lPTl9FU1RfQkVORUZJVF8xWVJfRk9SRUlHTi4yMDAwLjA2LzAzLzIwMjYuLi5VU0QuSAEAAADetgEAAgAAAAQyNDE0AC5XcbzNe94IxmbHOM573ghHQ0lRLk5ZU0U6SUJNLklRX1BFTlNJT05fRVNUX0JFTkVGSVRfMllSX0ZPUkVJR04uMjAwMC4wNi8wMy8yMDI2Li4uVVNELkgBAAAA3rYBAAIAAAAEMjMwOQAuV3G8zXveCBi6xDjOe94IR0NJUS5OWVNFOklCTS5JUV9QRU5TSU9OX0VTVF9CRU5FRklUXzNZUl9GT1JFSUdOLjIwMDAuMDYvMDMvMjAyNi4uLlVTRC5IAQAAAN62AQACAAAABDIyODgALldxvM173gjVCMU4znveCEdDSVEuTllTRTpJQk0uSVFfUEVOU0lPTl9FU1RfQkVORUZJVF80WVJfRk9SRUlHTi4yMDAwLjA2LzAzLzIwMjYuLi5VU0QuSAEAAADetgEAAgAAAAQyMjY5AC5XcbzNe94IzVTG</t>
  </si>
  <si>
    <t>OM573ghHQ0lRLk5ZU0U6SUJNLklRX1BFTlNJT05fRVNUX0JFTkVGSVRfNVlSX0ZPUkVJR04uMjAwMC4wNi8wMy8yMDI2Li4uVVNELkgBAAAA3rYBAAIAAAAEMjIzNwAuV3G8zXveCLYvxTjOe94ISkNJUS5OWVNFOklCTS5JUV9QRU5TSU9OX0VTVF9CRU5FRklUX0FGVEVSNV9GT1JFSUdOLjIwMDAuMDYvMDMvMjAyNi4uLlVTRC5IAQAAAN62AQACAAAABTEwNTg4AC5XcbzNe94IuKTFOM573ghEQ0lRLk5ZU0U6SUJNLklRX1BFTlNJT05fUFJFUEFJRF9DT1NUX0ZPUkVJR04uMjAwMC4wNi8wMy8yMDI2Li4uVVNELkgBAAAA3rYBAAMAAAAAAC5XcbzNe94I3fLFOM573ghEQ0lRLk5ZU0U6SUJNLklRX1BFTlNJT05fQUNDUlVFRF9MSUFCX0ZPUkVJR04uMjAwMC4wNi8wMy8yMDI2Li4uVVNELkgBAAAA3rYBAAMAAAAAAC5XcbzNe94Itz/HOM573ghEQ0lRLk5ZU0U6SUJNLklRX1BFTlNJT05fSU5UQU5fQVNTRVRTX0ZPUkVJR04uMjAwMC4wNi8wMy8yMDI2Li4uVVNELkgBAAAA3rYBAAMAAAAAAC5XcbzNe94Ih/DHOM573ghGQ0lRLk5ZU0U6SUJNLklRX1BFTlNJT05fQUNDVU1fT1RIRVJfQ0lfRk9SRUlHTi4yMDAwLjA2LzAzLzIwMjYuLi5VU0QuSAEAAADetgEAAwAAAAAALldxvM173gg/Zsg4znveCEFDSVEuTllTRTpJQk0uSVFfUEVOU0lPTl9MVF9BU1NFVFNfRk9SRUlHTi4yMDAwLjA2LzAzLzIwMjYuLi5V</t>
  </si>
  <si>
    <t>U0QuSAEAAADetgEAAgAAAAQyNjc5AC5XcbzNe94IXKPGOM573gg6Q0lRLk5ZU0U6SUJNLklRX1BFTlNJT05fQ0xfRk9SRUlHTi4yMDAwLjA2LzAzLzIwMjYuLi5VU0QuSAEAAADetgEAAgAAAAQtNDA3AC5XcbzNe94IllbFOM573gg/Q0lRLk5ZU0U6SUJNLklRX1BFTlNJT05fTFRfTElBQl9GT1JFSUdOLjIwMDAuMDYvMDMvMjAyNi4uLlVTRC5IAQAAAN62AQACAAAABS01NDExAC5XcbzNe94Io33FOM573gg9Q0lRLk5ZU0U6SUJNLklRX1BFTlNJT05fT1RIRVJfRk9SRUlHTi4yMDAwLjA2LzAzLzIwMjYuLi5VU0QuSAEAAADetgEAAwAAAAAALldxvM173gjd8sU4znveCEVDSVEuTllTRTpJQk0uSVFfUEVOU0lPTl9VTlJFQ09HX1BSSU9SX0ZPUkVJR04uMjAwMC4wNi8wMy8yMDI2Li4uVVNELkgBAAAA3rYBAAMAAAAAAC5XcbzNe94IFMnHOM573ghBQ0lRLk5ZU0U6SUJNLklRX1BFTlNJT05fT1RIRVJfQURKX0ZPUkVJR04uMjAwMC4wNi8wMy8yMDI2Li4uVVNELkgBAAAA3rYBAAMAAAAAAC5XcbzNe94IwuHEOM573ghHQ0lRLk5ZU0U6SUJNLklRX1BFTlNJT05fTkVUX0FTU0VUX1JFQ09HX0ZPUkVJR04uMjAwMC4wNi8wMy8yMDI2Li4uVVNELkgBAAAA3rYBAAIAAAAFLTMxMzkALldxvM173ggpjsc4znveCFBDSVEuTllTRTpJQk0uSVFfUEVOU0lPTl9FU1RfQ09OVFJJQlVUSU9OU19ORVhUWVJfRk9SRUlH</t>
  </si>
  <si>
    <t>Ti4yMDAwLjA2LzAzLzIwMjYuLi5VU0QuSAEAAADetgEAAgAAAAMxMDAALldxvM173gix78g4znveCFRDSVEuTllTRTpJQk0uSVFfUEVOU0lPTl9RVUFSVF9FTVBMT1lFUl9DT05UUklCVVRJT05TX0ZPUkVJR04uMjAwMC4wNi8wMy8yMDI2Li4uVVNELkgBAAAA3rYBAAMAAAAAAC5XcbzNe94Iti/FOM573ghUQ0lRLk5ZU0U6SUJNLklRX1BFTlNJT05fUVVBUlRfQURETF9DT05UUklCVVRJT05TX0VYUF9GT1JFSUdOLjIwMDAuMDYvMDMvMjAyNi4uLlVTRC5IAQAAAN62AQADAAAAAAAuV3G8zXveCBTJxzjOe94ITkNJUS5OWVNFOklCTS5JUV9QRU5TSU9OX1VORlVOREVEX0FERExfTUlOX0xJQUJfRk9SRUlHTi4yMDAwLjA2LzAzLzIwMjYuLi5VU0QuSAEAAADetgEAAwAAAAAALldxvM173ghco8Y4znveCEFDSVEuTllTRTpJQk0uSVFfUEVOU0lPTl9CRU5FRklUX0lORk9fREFURV9GT1JFSUdOLjIwMDAuMDYvMDMvMjAyNgEAAADetgEABQAAAAozMS8xMi8yMDI1AC5XcbzNe94IphjHOM573ghBQ0lRLk5ZU0U6SUJNLklRX09QRUJfU0VSVklDRV9DT1NUX0ZPUkVJR04uMjAwMC4wNi8wMy8yMDI2Li4uVVNELkgBAAAA3rYBAAIAAAABMgAuV3G8zXveCLHvyDjOe94IQkNJUS5OWVNFOklCTS5JUV9PUEVCX0lOVEVSRVNUX0NPU1RfRk9SRUlHTi4yMDAwLjA2LzAzLzIwMjYuLi5VU0QuSAEAAADetgEAAgAAAAI0</t>
  </si>
  <si>
    <t>MgAuV3G8zXveCIfwxzjOe94IP0NJUS5OWVNFOklCTS5JUV9PUEVCX0VYUF9SRVRVUk5fRk9SRUlHTi4yMDAwLjA2LzAzLzIwMjYuLi5VU0QuSAEAAADetgEAAgAAAAItMQAuV3G8zXveCCmOxzjOe94IP0NJUS5OWVNFOklCTS5JUV9PUEVCX09USEVSX0NPU1RfRk9SRUlHTi4yMDAwLjA2LzAzLzIwMjYuLi5VU0QuSAEAAADetgEAAgAAAAExAC5XcbzNe94IwuHEOM573gg/Q0lRLk5ZU0U6SUJNLklRX09QRUJfVE9UQUxfQ09TVF9GT1JFSUdOLjIwMDAuMDYvMDMvMjAyNi4uLlVTRC5IAQAAAN62AQACAAAAAjQ0AC5XcbzNe94IXKPGOM573ghMQ0lRLk5ZU0U6SUJNLklRX09QRUJfU1VQUExFX1BMQU5TX1RPVEFMX0NPU1RfRk9SRUlHTi4yMDAwLjA2LzAzLzIwMjYuLi5VU0QuSAEAAADetgEAAwAAAAAALldxvM173gg/Zsg4znveCFFDSVEuTllTRTpJQk0uSVFfT1BFQl9UT1RBTF9DT1NUX0lOQ0xfU1VQUExFX1BMQU5TX0ZPUkVJR04uMjAwMC4wNi8wMy8yMDI2Li4uVVNELkgBAAAA3rYBAAMAAAAAAC5XcbzNe94Iti/FOM573ghDQ0lRLk5ZU0U6SUJNLklRX09QRUJfT0JMSUdBVElPTl9CRUdfRk9SRUlHTi4yMDAwLjA2LzAzLzIwMjYuLi5VU0QuSAEAAADetgEAAgAAAAM1MDcALldxvM173giW8cY4znveCExDSVEuTllTRTpJQk0uSVFfT1BFQl9PQkxJR0FUSU9OX1NFUlZJQ0VfQ09TVF9GT1JFSUdOLjIw</t>
  </si>
  <si>
    <t>MDAuMDYvMDMvMjAyNi4uLlVTRC5IAQAAAN62AQACAAAAATIALldxvM173gjGZsc4znveCE1DSVEuTllTRTpJQk0uSVFfT1BFQl9PQkxJR0FUSU9OX0lOVEVSRVNUX0NPU1RfRk9SRUlHTi4yMDAwLjA2LzAzLzIwMjYuLi5VU0QuSAEAAADetgEAAgAAAAI0MgAuV3G8zXveCJZWxTjOe94IVkNJUS5OWVNFOklCTS5JUV9PUEVCX09CTElHQVRJT05fRU1QTE9ZRUVfQ09OVFJJQlVUSU9OU19GT1JFSUdOLjIwMDAuMDYvMDMvMjAyNi4uLlVTRC5IAQAAAN62AQADAAAAAAAuV3G8zXveCCUYyDjOe94IU0NJUS5OWVNFOklCTS5JUV9PUEVCX09CTElHQVRJT05fQUNUVUFSSUFMX0dBSU5fTE9TU19GT1JFSUdOLjIwMDAuMDYvMDMvMjAyNi4uLlVTRC5IAQAAAN62AQACAAAAATEALldxvM173ghAjcg4znveCERDSVEuTllTRTpJQk0uSVFfT1BFQl9PQkxJR0FUSU9OX1BBSURfRk9SRUlHTi4yMDAwLjA2LzAzLzIwMjYuLi5VU0QuSAEAAADetgEAAgAAAAMtNDIALldxvM173gjbe8Y4znveCEZDSVEuTllTRTpJQk0uSVFfT1BFQl9PQkxJR0FUSU9OX0ZYX0FESl9GT1JFSUdOLjIwMDAuMDYvMDMvMjAyNi4uLlVTRC5IAQAAAN62AQACAAAAAjM2AC5XcbzNe94IXKPGOM573ghDQ0lRLk5ZU0U6SUJNLklRX09QRUJfT0JMSUdBVElPTl9BQ1FfRk9SRUlHTi4yMDAwLjA2LzAzLzIwMjYuLi5VU0QuSAEAAADetgEAAwAAAAAA</t>
  </si>
  <si>
    <t>LldxvM173giW8cY4znveCEdDSVEuTllTRTpJQk0uSVFfT1BFQl9PQkxJR0FUSU9OX0NVUlRBSUxfRk9SRUlHTi4yMDAwLjA2LzAzLzIwMjYuLi5VU0QuSAEAAADetgEAAwAAAAAALldxvM173giULcY4znveCE5DSVEuTllTRTpJQk0uSVFfT1BFQl9PQkxJR0FUSU9OX09USEVSX1BMQU5fQURKX0ZPUkVJR04uMjAwMC4wNi8wMy8yMDI2Li4uVVNELkgBAAAA3rYBAAMAAAAAAC5XcbzNe94IJRjIOM573ghJQ0lRLk5ZU0U6SUJNLklRX09QRUJfT0JMSUdBVElPTl9QUk9KRUNURURfRk9SRUlHTi4yMDAwLjA2LzAzLzIwMjYuLi5VU0QuSAEAAADetgEAAgAAAAM1NDcALldxvM173gimGMc4znveCEtDSVEuTllTRTpJQk0uSVFfT1BFQl9PQkxJR0FUSU9OX0FDQ1VNVUxBVEVEX0ZPUkVJR04uMjAwMC4wNi8wMy8yMDI2Li4uVVNELkgBAAAA3rYBAAMAAAAAAIGScbzNe94IFMnHOM573gg/Q0lRLk5ZU0U6SUJNLklRX09QRUJfQVNTRVRTX0JFR19GT1JFSUdOLjIwMDAuMDYvMDMvMjAyNi4uLlVTRC5IAQAAAN62AQACAAAAAjE0AIGScbzNe94IlC3GOM573ghJQ0lRLk5ZU0U6SUJNLklRX09QRUJfQVNTRVRTX0FDVFVBTF9SRVRVUk5fRk9SRUlHTi4yMDAwLjA2LzAzLzIwMjYuLi5VU0QuSAEAAADetgEAAgAAAAExAIGScbzNe94IHT/IOM573ghSQ0lRLk5ZU0U6SUJNLklRX09QRUJfQVNTRVRTX0VNUExPWUVSX0NP</t>
  </si>
  <si>
    <t>TlRSSUJVVElPTlNfRk9SRUlHTi4yMDAwLjA2LzAzLzIwMjYuLi5VU0QuSAEAAADetgEAAwAAAAAAgZJxvM173ggYusQ4znveCFJDSVEuTllTRTpJQk0uSVFfT1BFQl9BU1NFVFNfUEFSVElDSVBfQ09OVFJJQlVUSU9OU19GT1JFSUdOLjIwMDAuMDYvMDMvMjAyNi4uLlVTRC5IAQAAAN62AQADAAAAAACBknG8zXveCECNyDjOe94ISUNJUS5OWVNFOklCTS5JUV9PUEVCX0FTU0VUU19CRU5FRklUU19QQUlEX0ZPUkVJR04uMjAwMC4wNi8wMy8yMDI2Li4uVVNELkgBAAAA3rYBAAIAAAACLTgAgZJxvM173gjNVMY4znveCEJDSVEuTllTRTpJQk0uSVFfT1BFQl9BU1NFVFNfRlhfQURKX0ZPUkVJR04uMjAwMC4wNi8wMy8yMDI2Li4uVVNELkgBAAAA3rYBAAIAAAABMgCBknG8zXveCCUYyDjOe94IP0NJUS5OWVNFOklCTS5JUV9PUEVCX0FTU0VUU19BQ1FfRk9SRUlHTi4yMDAwLjA2LzAzLzIwMjYuLi5VU0QuSAEAAADetgEAAwAAAAAAgZJxvM173ggpjsc4znveCENDSVEuTllTRTpJQk0uSVFfT1BFQl9BU1NFVFNfQ1VSVEFJTF9GT1JFSUdOLjIwMDAuMDYvMDMvMjAyNi4uLlVTRC5IAQAAAN62AQADAAAAAACBknG8zXveCLYvxTjOe94ISkNJUS5OWVNFOklCTS5JUV9PUEVCX0FTU0VUU19PVEhFUl9QTEFOX0FESl9GT1JFSUdOLjIwMDAuMDYvMDMvMjAyNi4uLlVTRC5IAQAAAN62AQADAAAAAACBknG8zXveCIfw</t>
  </si>
  <si>
    <t>xzjOe94IO0NJUS5OWVNFOklCTS5JUV9PUEVCX0FTU0VUU19GT1JFSUdOLjIwMDAuMDYvMDMvMjAyNi4uLlVTRC5IAQAAAN62AQACAAAAATkAgZJxvM173gg/Zsg4znveCDpDSVEuTllTRTpJQk0uSVFfT1BFQl9ESVNDX1JBVEVfTUlOX0ZPUkVJR04uMjAwMC4wNi8wMy8yMDI2AQAAAN62AQACAAAABDguMjEAgZJxvM173gi1Fsk4znveCD9DSVEuTllTRTpJQk0uSVFfT1BFQl9BU1NFVFNfQ1VSVEFJTF9ET00uMjAwMC4wNi8wMy8yMDI2Li4uVVNELkgBAAAA3rYBAAMAAAAAAIrcgLzNe94IucbDOM573ghGQ0lRLk5ZU0U6SUJNLklRX09QRUJfQVNTRVRTX09USEVSX1BMQU5fQURKX0RPTS4yMDAwLjA2LzAzLzIwMjYuLi5VU0QuSAEAAADetgEAAwAAAAAAityAvM173giULcY4znveCDdDSVEuTllTRTpJQk0uSVFfT1BFQl9BU1NFVFNfRE9NLjIwMDAuMDYvMDMvMjAyNi4uLlVTRC5IAQAAAN62AQACAAAAATUAityAvM173gjGZsc4znveCDZDSVEuTllTRTpJQk0uSVFfT1BFQl9ESVNDX1JBVEVfTUlOX0RPTS4yMDAwLjA2LzAzLzIwMjYBAAAA3rYBAAIAAAADNS4zAIrcgLzNe94IzVTGOM573gg2Q0lRLk5ZU0U6SUJNLklRX09QRUJfRElTQ19SQVRFX01BWF9ET00uMjAwMC4wNi8wMy8yMDI2AQAAAN62AQACAAAAAzUuMwCK3IC8zXveCMLhxDjOe94IP0NJUS5OWVNFOklCTS5JUV9PUEVCX1JBVEVfQ09NUF9J</t>
  </si>
  <si>
    <t>TkNSRUFTRV9NSU5fRE9NLjIwMDAuMDYvMDMvMjAyNgEAAADetgEAAwAAAAAAityAvM173ggYusQ4znveCD9DSVEuTllTRTpJQk0uSVFfT1BFQl9SQVRFX0NPTVBfSU5DUkVBU0VfTUFYX0RPTS4yMDAwLjA2LzAzLzIwMjYBAAAA3rYBAAMAAAAAAIrcgLzNe94Itz/HOM573gg8Q0lRLk5ZU0U6SUJNLklRX09QRUJfRVhQX1JBVEVfUkVUVVJOX01JTl9ET00uMjAwMC4wNi8wMy8yMDI2AQAAAN62AQADAAAAAACK3IC8zXveCJbxxjjOe94IPENJUS5OWVNFOklCTS5JUV9PUEVCX0VYUF9SQVRFX1JFVFVSTl9NQVhfRE9NLjIwMDAuMDYvMDMvMjAyNgEAAADetgEAAwAAAAAAityAvM173gggtcc4znveCDlDSVEuTllTRTpJQk0uSVFfT1BFQl9CUkVBS0RPV05fUENUX0VRX0RPTS4yMDAwLjA2LzAzLzIwMjYBAAAA3rYBAAMAAAAAAIrcgLzNe94Itz/HOM573gg5Q0lRLk5ZU0U6SUJNLklRX09QRUJfQlJFQUtET1dOX1BDVF9GSV9ET00uMjAwMC4wNi8wMy8yMDI2AQAAAN62AQADAAAAAACK3IC8zXveCN3yxTjOe94IOUNJUS5OWVNFOklCTS5JUV9PUEVCX0JSRUFLRE9XTl9QQ1RfUkVfRE9NLjIwMDAuMDYvMDMvMjAyNgEAAADetgEAAwAAAAAAityAvM173giHysY4znveCDxDSVEuTllTRTpJQk0uSVFfT1BFQl9CUkVBS0RPV05fUENUX09USEVSX0RPTS4yMDAwLjA2LzAzLzIwMjYBAAAA3rYBAAMAAAAAAIrcgLzN</t>
  </si>
  <si>
    <t>e94Ifo/GOM573gg9Q0lRLk5ZU0U6SUJNLklRX09QRUJfQlJFQUtET1dOX0VRX0RPTS4yMDAwLjA2LzAzLzIwMjYuLi5VU0QuSAEAAADetgEAAwAAAAAAityAvM173gijfcU4znveCD1DSVEuTllTRTpJQk0uSVFfT1BFQl9CUkVBS0RPV05fRklfRE9NLjIwMDAuMDYvMDMvMjAyNi4uLlVTRC5IAQAAAN62AQADAAAAAACK3IC8zXveCIfKxjjOe94IPUNJUS5OWVNFOklCTS5JUV9PUEVCX0JSRUFLRE9XTl9SRV9ET00uMjAwMC4wNi8wMy8yMDI2Li4uVVNELkgBAAAA3rYBAAMAAAAAAIrcgLzNe94Itz/HOM573ghAQ0lRLk5ZU0U6SUJNLklRX09QRUJfQlJFQUtET1dOX09USEVSX0RPTS4yMDAwLjA2LzAzLzIwMjYuLi5VU0QuSAEAAADetgEAAwAAAAAAityAvM173ggCZMQ4znveCDdDSVEuTllTRTpJQk0uSVFfT1BFQl9DSV9BQ1RfRE9NLjIwMDAuMDYvMDMvMjAyNi4uLlVTRC5IAQAAAN62AQACAAAAAzI0OQCK3IC8zXveCCC1xzjOe94IQUNJUS5OWVNFOklCTS5JUV9PUEVCX0NJX1BSSU9SX1NFUlZJQ0VfRE9NLjIwMDAuMDYvMDMvMjAyNi4uLlVTRC5IAQAAAN62AQACAAAABC0yOTIAityAvM173gh+j8Y4znveCD5DSVEuTllTRTpJQk0uSVFfT1BFQl9DSV9UUkFOU0lUSU9OX0RPTS4yMDAwLjA2LzAzLzIwMjYuLi5VU0QuSAEAAADetgEAAwAAAAAAityAvM173gijrsI4znveCEJDSVEuTllTRTpJQk0uSVFf</t>
  </si>
  <si>
    <t>T1BFQl9DSV9PVEhFUl9NSVNDX0FESl9ET00uMjAwMC4wNi8wMy8yMDI2Li4uVVNELkgBAAAA3rYBAAMAAAAAAIrcgLzNe94IuKTFOM573ghBQ0lRLk5ZU0U6SUJNLklRX09QRUJfQ0lfTkVUX0FNVF9SRUNPR19ET00uMjAwMC4wNi8wMy8yMDI2Li4uVVNELkgBAAAA3rYBAAIAAAADLTQzABIYgbzNe94Itz/HOM573ghDQ0lRLk5ZU0U6SUJNLklRX09QRUJfUFJJT1JfU0VSVklDRV9ORVhUX0RPTS4yMDAwLjA2LzAzLzIwMjYuLi5VU0QuSAEAAADetgEAAwAAAAAAEhiBvM173giH8Mc4znveCDlDSVEuTllTRTpJQk0uSVFfT1BFQl9BQ1RfTkVYVF9ET00uMjAwMC4wNi8wMy8yMDI2Li4uVVNELkgBAAAA3rYBAAMAAAAAABIYgbzNe94I0RDDOM573ghAQ0lRLk5ZU0U6SUJNLklRX09QRUJfVFJBTlNJVElPTl9ORVhUX0RPTS4yMDAwLjA2LzAzLzIwMjYuLi5VU0QuSAEAAADetgEAAwAAAAAAEhiBvM173gjd8sU4znveCD9DSVEuTllTRTpJQk0uSVFfT1BFQl9BTVRfUkVDT0dfTkVYVF9ET00uMjAwMC4wNi8wMy8yMDI2Li4uVVNELkgBAAAA3rYBAAMAAAAAABIYgbzNe94IwuHEOM573ghBQ0lRLk5ZU0U6SUJNLklRX09QRUJfUEJPX0FTU1VNRURfUkFURV9SRVRfTUlOX0RPTS4yMDAwLjA2LzAzLzIwMjYBAAAA3rYBAAIAAAADNC44ABIYgbzNe94IJovDOM573ghBQ0lRLk5ZU0U6SUJNLklRX09QRUJfUEJPX0FT</t>
  </si>
  <si>
    <t>U1VNRURfUkFURV9SRVRfTUFYX0RPTS4yMDAwLjA2LzAzLzIwMjYBAAAA3rYBAAIAAAADNC44ABIYgbzNe94IuKTFOM573ghDQ0lRLk5ZU0U6SUJNLklRX09QRUJfUEJPX1JBVEVfQ09NUF9JTkNSRUFTRV9NSU5fRE9NLjIwMDAuMDYvMDMvMjAyNgEAAADetgEAAwAAAAAAEhiBvM173giHysY4znveCENDSVEuTllTRTpJQk0uSVFfT1BFQl9QQk9fUkFURV9DT01QX0lOQ1JFQVNFX01BWF9ET00uMjAwMC4wNi8wMy8yMDI2AQAAAN62AQADAAAAAAASGIG8zXveCH6PxjjOe94IQENJUS5OWVNFOklCTS5JUV9PUEVCX0VTVF9CRU5FRklUXzFZUl9ET00uMjAwMC4wNi8wMy8yMDI2Li4uVVNELkgBAAAA3rYBAAIAAAADMjY1ABIYgbzNe94Iti/FOM573ghAQ0lRLk5ZU0U6SUJNLklRX09QRUJfRVNUX0JFTkVGSVRfMllSX0RPTS4yMDAwLjA2LzAzLzIwMjYuLi5VU0QuSAEAAADetgEAAgAAAAMyNjIAEhiBvM173gi2L8U4znveCEBDSVEuTllTRTpJQk0uSVFfT1BFQl9FU1RfQkVORUZJVF8zWVJfRE9NLjIwMDAuMDYvMDMvMjAyNi4uLlVTRC5IAQAAAN62AQACAAAAAzI1NgASGIG8zXveCLc/xzjOe94IQENJUS5OWVNFOklCTS5JUV9PUEVCX0VTVF9CRU5FRklUXzRZUl9ET00uMjAwMC4wNi8wMy8yMDI2Li4uVVNELkgBAAAA3rYBAAIAAAADMjQ4ABIYgbzNe94I1QjFOM573ghAQ0lRLk5ZU0U6SUJNLklRX09QRUJf</t>
  </si>
  <si>
    <t>RVNUX0JFTkVGSVRfNVlSX0RPTS4yMDAwLjA2LzAzLzIwMjYuLi5VU0QuSAEAAADetgEAAgAAAAMyMzkAEhiBvM173ggpjsc4znveCENDSVEuTllTRTpJQk0uSVFfT1BFQl9FU1RfQkVORUZJVF9BRlRFUjVfRE9NLjIwMDAuMDYvMDMvMjAyNi4uLlVTRC5IAQAAAN62AQACAAAABDEwMDIAEhiBvM173giH8Mc4znveCD1DSVEuTllTRTpJQk0uSVFfT1BFQl9QUkVQQUlEX0NPU1RfRE9NLjIwMDAuMDYvMDMvMjAyNi4uLlVTRC5IAQAAAN62AQADAAAAAAASGIG8zXveCJbxxjjOe94IPUNJUS5OWVNFOklCTS5JUV9PUEVCX0FDQ1JVRURfTElBQl9ET00uMjAwMC4wNi8wMy8yMDI2Li4uVVNELkgBAAAA3rYBAAMAAAAAABIYgbzNe94IXKPGOM573gg9Q0lRLk5ZU0U6SUJNLklRX09QRUJfSU5UQU5fQVNTRVRTX0RPTS4yMDAwLjA2LzAzLzIwMjYuLi5VU0QuSAEAAADetgEAAwAAAAAAEhiBvM173gjqKMQ4znveCD9DSVEuTllTRTpJQk0uSVFfT1BFQl9BQ0NVTV9PVEhFUl9DSV9ET00uMjAwMC4wNi8wMy8yMDI2Li4uVVNELkgBAAAA3rYBAAMAAAAAABIYgbzNe94Ih8rGOM573gg6Q0lRLk5ZU0U6SUJNLklRX09QRUJfTFRfQVNTRVRTX0RPTS4yMDAwLjA2LzAzLzIwMjYuLi5VU0QuSAEAAADetgEAAwAAAAAAEhiBvM173gjGZsc4znveCDNDSVEuTllTRTpJQk0uSVFfT1BFQl9DTF9ET00uMjAwMC4wNi8wMy8yMDI2</t>
  </si>
  <si>
    <t>Li4uVVNELkgBAAAA3rYBAAIAAAAELTI1NAASGIG8zXveCNUIxTjOe94IOENJUS5OWVNFOklCTS5JUV9PUEVCX0xUX0xJQUJfRE9NLjIwMDAuMDYvMDMvMjAyNi4uLlVTRC5IAQAAAN62AQACAAAABS0xOTY1ABIYgbzNe94Iti/FOM573gg2Q0lRLk5ZU0U6SUJNLklRX09QRUJfT1RIRVJfRE9NLjIwMDAuMDYvMDMvMjAyNi4uLlVTRC5IAQAAAN62AQADAAAAAAASGIG8zXveCH6PxjjOe94IPkNJUS5OWVNFOklCTS5JUV9PUEVCX1VOUkVDT0dfUFJJT1JfRE9NLjIwMDAuMDYvMDMvMjAyNi4uLlVTRC5IAQAAAN62AQADAAAAAAASGIG8zXveCNUIxTjOe94IOkNJUS5OWVNFOklCTS5JUV9PUEVCX09USEVSX0FESl9ET00uMjAwMC4wNi8wMy8yMDI2Li4uVVNELkgBAAAA3rYBAAMAAAAAABIYgbzNe94Iti/FOM573ghAQ0lRLk5ZU0U6SUJNLklRX09QRUJfTkVUX0FTU0VUX1JFQ09HX0RPTS4yMDAwLjA2LzAzLzIwMjYuLi5VU0QuSAEAAADetgEAAgAAAAUtMjIxOQASGIG8zXveCLc/xzjOe94IUUNJUS5OWVNFOklCTS5JUV9PUEVCX0lOQ1JFQVNFX0VGRkVDVF9TRVJWSUNFX0lOVF9DT1NUX0RPTS4yMDAwLjA2LzAzLzIwMjYuLi5VU0QuSAEAAADetgEAAwAAAAAAEhiBvM173giW8cY4znveCERDSVEuTllTRTpJQk0uSVFfT1BFQl9JTkNSRUFTRV9FRkZFQ1RfUEJPX0RPTS4yMDAwLjA2LzAzLzIwMjYuLi5VU0Qu</t>
  </si>
  <si>
    <t>SAEAAADetgEAAwAAAAAAEhiBvM173giH8Mc4znveCFFDSVEuTllTRTpJQk0uSVFfT1BFQl9ERUNSRUFTRV9FRkZFQ1RfU0VSVklDRV9JTlRfQ09TVF9ET00uMjAwMC4wNi8wMy8yMDI2Li4uVVNELkgBAAAA3rYBAAMAAAAAABIYgbzNe94IAmTEOM573ghEQ0lRLk5ZU0U6SUJNLklRX09QRUJfREVDUkVBU0VfRUZGRUNUX1BCT19ET00uMjAwMC4wNi8wMy8yMDI2Li4uVVNELkgBAAAA3rYBAAMAAAAAABIYgbzNe94Io33FOM573ghCQ0lRLk5ZU0U6SUJNLklRX09QRUJfSEVBTFRIX0NPU1RfVFJFTkRfSU5JVElBTF9ET00uMjAwMC4wNi8wMy8yMDI2AQAAAN62AQACAAAABDcuMzgAEhiBvM173gjd8sU4znveCENDSVEuTllTRTpJQk0uSVFfT1BFQl9IRUFMVEhfQ09TVF9UUkVORF9VTFRJTUFURV9ET00uMjAwMC4wNi8wMy8yMDI2AQAAAN62AQACAAAAAzQuNQASGIG8zXveCNUIxTjOe94IOkNJUS5OWVNFOklCTS5JUV9PUEVCX0JFTkVGSVRfSU5GT19EQVRFX0RPTS4yMDAwLjA2LzAzLzIwMjYBAAAA3rYBAAUAAAAKMzEvMTIvMjAyNQBDP4G8zXveCIfKxjjOe94IRENJUS5OWVNFOklCTS5JUV9QRU5TSU9OX1NFUlZJQ0VfQ09TVF9GT1JFSUdOLjIwMDAuMDYvMDMvMjAyNi4uLlVTRC5IAQAAAN62AQACAAAAAzE3NABDP4G8zXveCKN9xTjOe94IRUNJUS5OWVNFOklCTS5JUV9QRU5TSU9OX0lOVEVSRVNUX0NP</t>
  </si>
  <si>
    <t>U1RfRk9SRUlHTi4yMDAwLjA2LzAzLzIwMjYuLi5VU0QuSAEAAADetgEAAgAAAAQxMDcwAEM/gbzNe94Ih8rGOM573ghGQ0lRLk5ZU0U6SUJNLklRX1BFTlNJT05fT0JMSUdBVElPTl9ST0FfRk9SRUlHTi4yMDAwLjA2LzAzLzIwMjYuLi5VU0QuSAEAAADetgEAAgAAAAUtMTQ2NwBDP4G8zXveCNUIxTjOe94ITUNJUS5OWVNFOklCTS5JUV9QRU5TSU9OX09CTElHQVRJT05fT1RIRVJfQ09TVF9GT1JFSUdOLjIwMDAuMDYvMDMvMjAyNi4uLlVTRC5IAQAAAN62AQACAAAAAzM5MgBDP4G8zXveCLYvxTjOe94ITUNJUS5OWVNFOklCTS5JUV9QRU5TSU9OX09CTElHQVRJT05fVE9UQUxfQ09TVF9GT1JFSUdOLjIwMDAuMDYvMDMvMjAyNi4uLlVTRC5IAQAAAN62AQACAAAAAzE3MABDP4G8zXveCKN9xTjOe94IVkNJUS5OWVNFOklCTS5JUV9QRU5TSU9OX09CTElHQVRJT05fU1VQUExFX1BMQU5TX1RPVEFMX0NPU1RfRE9NLjIwMDAuMDYvMDMvMjAyNi4uLlVTRC5IAQAAAN62AQADAAAAAABRrtm8zXveCKYYxzjOe94IX0NJUS5OWVNFOklCTS5JUV9QRU5TSU9OX09CTElHQVRJT05fVE9UQUxfQ09TVF9JTkNMX1NVUFBMRV9QTEFOU19GT1JFSUdOLjIwMDAuMDYvMDMvMjAyNi4uLlVTRC5IAQAAAN62AQADAAAAAABDP4G8zXveCJQtxjjOe94IRkNJUS5OWVNFOklCTS5JUV9QRU5TSU9OX09CTElHQVRJT05fQkVHX0ZP</t>
  </si>
  <si>
    <t>UkVJR04uMjAwMC4wNi8wMy8yMDI2Li4uVVNELkgBAAAA3rYBAAIAAAAFMjg0OTAAQz+BvM173gjGZsc4znveCE9DSVEuTllTRTpJQk0uSVFfUEVOU0lPTl9PQkxJR0FUSU9OX1NFUlZJQ0VfQ09TVF9GT1JFSUdOLjIwMDAuMDYvMDMvMjAyNi4uLlVTRC5IAQAAAN62AQACAAAAAzE3NABDP4G8zXveCM1UxjjOe94IUENJUS5OWVNFOklCTS5JUV9QRU5TSU9OX09CTElHQVRJT05fSU5URVJFU1RfQ09TVF9GT1JFSUdOLjIwMDAuMDYvMDMvMjAyNi4uLlVTRC5IAQAAAN62AQACAAAABDEwNzAAQz+BvM173gi4pMU4znveCFlDSVEuTllTRTpJQk0uSVFfUEVOU0lPTl9PQkxJR0FUSU9OX0VNUExPWUVFX0NPTlRSSUJVVElPTlNfRk9SRUlHTi4yMDAwLjA2LzAzLzIwMjYuLi5VU0QuSAEAAADetgEAAgAAAAIxOQBDP4G8zXveCFyjxjjOe94IVkNJUS5OWVNFOklCTS5JUV9QRU5TSU9OX09CTElHQVRJT05fQUNUVUFSSUFMX0dBSU5fTE9TU19GT1JFSUdOLjIwMDAuMDYvMDMvMjAyNi4uLlVTRC5IAQAAAN62AQACAAAABC02NDQAQz+BvM173gjC4cQ4znveCEdDSVEuTllTRTpJQk0uSVFfUEVOU0lPTl9PQkxJR0FUSU9OX1BBSURfRk9SRUlHTi4yMDAwLjA2LzAzLzIwMjYuLi5VU0QuSAEAAADetgEAAgAAAAUtMjA5OABDP4G8zXveCIfwxzjOe94ISUNJUS5OWVNFOklCTS5JUV9QRU5TSU9OX09CTElHQVRJT05fRlhf</t>
  </si>
  <si>
    <t>QURKX0ZPUkVJR04uMjAwMC4wNi8wMy8yMDI2Li4uVVNELkgBAAAA3rYBAAIAAAAEMzAzMQBDP4G8zXveCLc/xzjOe94IRkNJUS5OWVNFOklCTS5JUV9QRU5TSU9OX09CTElHQVRJT05fQUNRX0ZPUkVJR04uMjAwMC4wNi8wMy8yMDI2Li4uVVNELkgBAAAA3rYBAAMAAAAAAEM/gbzNe94IlvHGOM573ghKQ0lRLk5ZU0U6SUJNLklRX1BFTlNJT05fT0JMSUdBVElPTl9DVVJUQUlMX0ZPUkVJR04uMjAwMC4wNi8wMy8yMDI2Li4uVVNELkgBAAAA3rYBAAMAAAAAAEM/gbzNe94IILXHOM573ghRQ0lRLk5ZU0U6SUJNLklRX1BFTlNJT05fT0JMSUdBVElPTl9PVEhFUl9QTEFOX0FESl9GT1JFSUdOLjIwMDAuMDYvMDMvMjAyNi4uLlVTRC5IAQAAAN62AQACAAAABC0xNzAAQz+BvM173gh+j8Y4znveCExDSVEuTllTRTpJQk0uSVFfUEVOU0lPTl9PQkxJR0FUSU9OX1BST0pFQ1RFRF9GT1JFSUdOLjIwMDAuMDYvMDMvMjAyNi4uLlVTRC5IAQAAAN62AQACAAAABTI5ODcyAEM/gbzNe94Iti/FOM573ghOQ0lRLk5ZU0U6SUJNLklRX1BFTlNJT05fQUNDVU1VTEFURURfT0JMSUdBVElPTl9GT1JFSUdOLjIwMDAuMDYvMDMvMjAyNi4uLlVTRC5IAQAAAN62AQACAAAABTI5NTQwAEM/gbzNe94Io33FOM573ghCQ0lRLk5ZU0U6SUJNLklRX1BFTlNJT05fQVNTRVRTX0JFR19GT1JFSUdOLjIwMDAuMDYvMDMvMjAyNi4uLlVT</t>
  </si>
  <si>
    <t>RC5IAQAAAN62AQACAAAABTI1MjA1AEM/gbzNe94IzVTGOM573ghMQ0lRLk5ZU0U6SUJNLklRX1BFTlNJT05fQVNTRVRTX0FDVFVBTF9SRVRVUk5fRk9SRUlHTi4yMDAwLjA2LzAzLzIwMjYuLi5VU0QuSAEAAADetgEAAgAAAAM2NDUAQz+BvM173giW8cY4znveCFVDSVEuTllTRTpJQk0uSVFfUEVOU0lPTl9BU1NFVFNfRU1QTE9ZRVJfQ09OVFJJQlVUSU9OU19GT1JFSUdOLjIwMDAuMDYvMDMvMjAyNi4uLlVTRC5IAQAAAN62AQACAAAAAjQwAEM/gbzNe94IKY7HOM573ghVQ0lRLk5ZU0U6SUJNLklRX1BFTlNJT05fQVNTRVRTX1BBUlRJQ0lQX0NPTlRSSUJVVElPTlNfRk9SRUlHTi4yMDAwLjA2LzAzLzIwMjYuLi5VU0QuSAEAAADetgEAAgAAAAIxOQBDP4G8zXveCJZWxTjOe94ITENJUS5OWVNFOklCTS5JUV9QRU5TSU9OX0FTU0VUU19CRU5FRklUU19QQUlEX0ZPUkVJR04uMjAwMC4wNi8wMy8yMDI2Li4uVVNELkgBAAAA3rYBAAIAAAAFLTE2NTYAQz+BvM173gijfcU4znveCEVDSVEuTllTRTpJQk0uSVFfUEVOU0lPTl9BU1NFVFNfRlhfQURKX0ZPUkVJR04uMjAwMC4wNi8wMy8yMDI2Li4uVVNELkgBAAAA3rYBAAIAAAAEMjY1NABDP4G8zXveCLc/xzjOe94IQkNJUS5OWVNFOklCTS5JUV9QRU5TSU9OX0FTU0VUU19BQ1FfRk9SRUlHTi4yMDAwLjA2LzAzLzIwMjYuLi5VU0QuSAEAAADetgEAAwAAAAAA</t>
  </si>
  <si>
    <t>Qz+BvM173giH8Mc4znveCEZDSVEuTllTRTpJQk0uSVFfUEVOU0lPTl9BU1NFVFNfQ1VSVEFJTF9GT1JFSUdOLjIwMDAuMDYvMDMvMjAyNi4uLlVTRC5IAQAAAN62AQADAAAAAABDP4G8zXveCIfKxjjOe94ITUNJUS5OWVNFOklCTS5JUV9QRU5TSU9OX0FTU0VUU19PVEhFUl9QTEFOX0FESl9GT1JFSUdOLjIwMDAuMDYvMDMvMjAyNi4uLlVTRC5IAQAAAN62AQACAAAABC0xNzMAUmaBvM173gjbe8Y4znveCD5DSVEuTllTRTpJQk0uSVFfUEVOU0lPTl9BU1NFVFNfRk9SRUlHTi4yMDAwLjA2LzAzLzIwMjYuLi5VU0QuSAEAAADetgEAAgAAAAUyNjczMwBSZoG8zXveCLikxTjOe94IPkNJUS5OWVNFOklCTS5JUV9QRU5TSU9OX0FTU0VUU19BQ1FfRE9NLjIwMDAuMDYvMDMvMjAyNi4uLlVTRC5IAQAAAN62AQADAAAAAAA+o8m8zXveCMLhxDjOe94IQkNJUS5OWVNFOklCTS5JUV9QRU5TSU9OX0FTU0VUU19DVVJUQUlMX0RPTS4yMDAwLjA2LzAzLzIwMjYuLi5VU0QuSAEAAADetgEAAwAAAAAAPqPJvM173ghbh8I4znveCElDSVEuTllTRTpJQk0uSVFfUEVOU0lPTl9BU1NFVFNfT1RIRVJfUExBTl9BREpfRE9NLjIwMDAuMDYvMDMvMjAyNi4uLlVTRC5IAQAAAN62AQACAAAABC0zMDYAPqPJvM173gjCPMM4znveCDpDSVEuTllTRTpJQk0uSVFfUEVOU0lPTl9BU1NFVFNfRE9NLjIwMDAuMDYvMDMvMjAyNi4uLlVT</t>
  </si>
  <si>
    <t>RC5IAQAAAN62AQACAAAABTE4MDczAD6jybzNe94Io33FOM573ghDQ0lRLk5ZU0U6SUJNLklRX1BFTlNJT05fRVhQX1JFVFVSTl9ET01FU1RJQy4yMDAwLjA2LzAzLzIwMjYuLi5VU0QuSAEAAADetgEAAgAAAAM1LjUAPqPJvM173gi8PMQ4znveCEFDSVEuTllTRTpJQk0uSVFfUEVOU0lPTl9SQVRFX0NPTVBfR1JPV1RIX0RPTUVTVElDLjIwMDAuMDYvMDMvMjAyNgEAAADetgEAAgAAAAE0AD6jybzNe94I3fLFOM573gg5Q0lRLk5ZU0U6SUJNLklRX1BFTlNJT05fRElTQ19SQVRFX01JTl9ET00uMjAwMC4wNi8wMy8yMDI2AQAAAN62AQACAAAAAzUuNQA+o8m8zXveCG0lwzjOe94IOUNJUS5OWVNFOklCTS5JUV9QRU5TSU9OX0RJU0NfUkFURV9NQVhfRE9NLjIwMDAuMDYvMDMvMjAyNgEAAADetgEAAgAAAAM1LjUAPqPJvM173gi8PMQ4znveCD5DSVEuTllTRTpJQk0uSVFfUEVOU0lPTl9ESVNDT1VOVF9SQVRFX0RPTUVTVElDLjIwMDAuMDYvMDMvMjAyNgEAAADetgEAAgAAAAM1LjIAPqPJvM173ggYusQ4znveCEJDSVEuTllTRTpJQk0uSVFfUEVOU0lPTl9SQVRFX0NPTVBfSU5DUkVBU0VfTUlOX0RPTS4yMDAwLjA2LzAzLzIwMjYBAAAA3rYBAAIAAAABNAA+o8m8zXveCMjVwjjOe94IQkNJUS5OWVNFOklCTS5JUV9QRU5TSU9OX1JBVEVfQ09NUF9JTkNSRUFTRV9NQVhfRE9NLjIwMDAuMDYvMDMvMjAyNgEA</t>
  </si>
  <si>
    <t>AADetgEAAgAAAAE0AD6jybzNe94IllbFOM573gg/Q0lRLk5ZU0U6SUJNLklRX1BFTlNJT05fRVhQX1JBVEVfUkVUVVJOX01JTl9ET00uMjAwMC4wNi8wMy8yMDI2AQAAAN62AQACAAAAAzUuNQA+o8m8zXveCN3yxTjOe94IP0NJUS5OWVNFOklCTS5JUV9QRU5TSU9OX0VYUF9SQVRFX1JFVFVSTl9NQVhfRE9NLjIwMDAuMDYvMDMvMjAyNgEAAADetgEAAgAAAAM1LjUAPqPJvM173gi4pMU4znveCDxDSVEuTllTRTpJQk0uSVFfUEVOU0lPTl9CUkVBS0RPV05fUENUX0VRX0RPTS4yMDAwLjA2LzAzLzIwMjYBAAAA3rYBAAIAAAAFNi4wMzEAPqPJvM173ghbh8I4znveCDxDSVEuTllTRTpJQk0uSVFfUEVOU0lPTl9CUkVBS0RPV05fUENUX0ZJX0RPTS4yMDAwLjA2LzAzLzIwMjYBAAAA3rYBAAIAAAAHNjEuNTMzNwA+o8m8zXveCMjVwjjOe94IPENJUS5OWVNFOklCTS5JUV9QRU5TSU9OX0JSRUFLRE9XTl9QQ1RfUkVfRE9NLjIwMDAuMDYvMDMvMjAyNgEAAADetgEAAwAAAAAAPqPJvM173gjC4cQ4znveCD9DSVEuTllTRTpJQk0uSVFfUEVOU0lPTl9CUkVBS0RPV05fUENUX09USEVSX0RPTS4yMDAwLjA2LzAzLzIwMjYBAAAA3rYBAAIAAAAHMzIuNDM1MQA+o8m8zXveCOooxDjOe94IQENJUS5OWVNFOklCTS5JUV9QRU5TSU9OX0JSRUFLRE9XTl9FUV9ET00uMjAwMC4wNi8wMy8yMDI2Li4uVVNELkgBAAAA3rYB</t>
  </si>
  <si>
    <t>AAIAAAAEMTA5MAA+o8m8zXveCAJkxDjOe94IQENJUS5OWVNFOklCTS5JUV9QRU5TSU9OX0JSRUFLRE9XTl9GSV9ET00uMjAwMC4wNi8wMy8yMDI2Li4uVVNELkgBAAAA3rYBAAIAAAAFMTExMjEAPqPJvM173gjI1cI4znveCEBDSVEuTllTRTpJQk0uSVFfUEVOU0lPTl9CUkVBS0RPV05fUkVfRE9NLjIwMDAuMDYvMDMvMjAyNi4uLlVTRC5IAQAAAN62AQADAAAAAAA+o8m8zXveCN3yxTjOe94IQ0NJUS5OWVNFOklCTS5JUV9QRU5TSU9OX0JSRUFLRE9XTl9PVEhFUl9ET00uMjAwMC4wNi8wMy8yMDI2Li4uVVNELkgBAAAA3rYBAAIAAAAENTg2MgA+o8m8zXveCJZWxTjOe94IOkNJUS5OWVNFOklCTS5JUV9QRU5TSU9OX0NJX0FDVF9ET00uMjAwMC4wNi8wMy8yMDI2Li4uVVNELkgBAAAA3rYBAAIAAAAENTcyNgA+o8m8zXveCJQtxjjOe94IRENJUS5OWVNFOklCTS5JUV9QRU5TSU9OX0NJX1BSSU9SX1NFUlZJQ0VfRE9NLjIwMDAuMDYvMDMvMjAyNi4uLlVTRC5IAQAAAN62AQADAAAAAADBysm8zXveCKN9xTjOe94IQUNJUS5OWVNFOklCTS5JUV9QRU5TSU9OX0NJX1RSQU5TSVRJT05fRE9NLjIwMDAuMDYvMDMvMjAyNi4uLlVTRC5IAQAAAN62AQADAAAAAADBysm8zXveCFyjxjjOe94IRUNJUS5OWVNFOklCTS5JUV9QRU5TSU9OX0NJX09USEVSX01JU0NfQURKX0RPTS4yMDAwLjA2LzAzLzIwMjYuLi5VU0Qu</t>
  </si>
  <si>
    <t>SAEAAADetgEAAwAAAAAAwcrJvM173gjI1cI4znveCERDSVEuTllTRTpJQk0uSVFfUEVOU0lPTl9DSV9ORVRfQU1UX1JFQ09HX0RPTS4yMDAwLjA2LzAzLzIwMjYuLi5VU0QuSAEAAADetgEAAgAAAAQ1NzI2AMHKybzNe94IwuHEOM573ghGQ0lRLk5ZU0U6SUJNLklRX1BFTlNJT05fUFJJT1JfU0VSVklDRV9ORVhUX0RPTS4yMDAwLjA2LzAzLzIwMjYuLi5VU0QuSAEAAADetgEAAwAAAAAAwcrJvM173gjqKMQ4znveCDxDSVEuTllTRTpJQk0uSVFfUEVOU0lPTl9BQ1RfTkVYVF9ET00uMjAwMC4wNi8wMy8yMDI2Li4uVVNELkgBAAAA3rYBAAMAAAAAAMHKybzNe94IwuHEOM573ghDQ0lRLk5ZU0U6SUJNLklRX1BFTlNJT05fVFJBTlNJVElPTl9ORVhUX0RPTS4yMDAwLjA2LzAzLzIwMjYuLi5VU0QuSAEAAADetgEAAwAAAAAAwcrJvM173gjI1cI4znveCEJDSVEuTllTRTpJQk0uSVFfUEVOU0lPTl9BTVRfUkVDT0dfTkVYVF9ET00uMjAwMC4wNi8wMy8yMDI2Li4uVVNELkgBAAAA3rYBAAMAAAAAAMHKybzNe94I/svFOM573ghEQ0lRLk5ZU0U6SUJNLklRX1BFTlNJT05fUEJPX0FTU1VNRURfUkFURV9SRVRfTUlOX0RPTS4yMDAwLjA2LzAzLzIwMjYBAAAA3rYBAAIAAAADNS4yAMHKybzNe94IllbFOM573ghEQ0lRLk5ZU0U6SUJNLklRX1BFTlNJT05fUEJPX0FTU1VNRURfUkFURV9SRVRfTUFYX0RPTS4yMDAw</t>
  </si>
  <si>
    <t>LjA2LzAzLzIwMjYBAAAA3rYBAAIAAAADNS4yAMHKybzNe94I3fLFOM573ghGQ0lRLk5ZU0U6SUJNLklRX1BFTlNJT05fUEJPX1JBVEVfQ09NUF9JTkNSRUFTRV9NSU5fRE9NLjIwMDAuMDYvMDMvMjAyNgEAAADetgEAAgAAAAE0AMHKybzNe94Io33FOM573ghGQ0lRLk5ZU0U6SUJNLklRX1BFTlNJT05fUEJPX1JBVEVfQ09NUF9JTkNSRUFTRV9NQVhfRE9NLjIwMDAuMDYvMDMvMjAyNgEAAADetgEAAgAAAAE0AMHKybzNe94IlC3GOM573ghDQ0lRLk5ZU0U6SUJNLklRX1BFTlNJT05fRVNUX0JFTkVGSVRfMVlSX0RPTS4yMDAwLjA2LzAzLzIwMjYuLi5VU0QuSAEAAADetgEAAgAAAAQxMjk5AMHKybzNe94I0RDDOM573ghDQ0lRLk5ZU0U6SUJNLklRX1BFTlNJT05fRVNUX0JFTkVGSVRfMllSX0RPTS4yMDAwLjA2LzAzLzIwMjYuLi5VU0QuSAEAAADetgEAAgAAAAQxMzI2AMHKybzNe94IKrLDOM573ghDQ0lRLk5ZU0U6SUJNLklRX1BFTlNJT05fRVNUX0JFTkVGSVRfM1lSX0RPTS4yMDAwLjA2LzAzLzIwMjYuLi5VU0QuSAEAAADetgEAAgAAAAQxMzM4AMHKybzNe94IXKPGOM573ghDQ0lRLk5ZU0U6SUJNLklRX1BFTlNJT05fRVNUX0JFTkVGSVRfNFlSX0RPTS4yMDAwLjA2LzAzLzIwMjYuLi5VU0QuSAEAAADetgEAAgAAAAQxMzM4AMHKybzNe94IAmTEOM573ghDQ0lRLk5ZU0U6SUJNLklRX1BFTlNJT05f</t>
  </si>
  <si>
    <t>RVNUX0JFTkVGSVRfNVlSX0RPTS4yMDAwLjA2LzAzLzIwMjYuLi5VU0QuSAEAAADetgEAAgAAAAQxMjk1AMHKybzNe94IGLrEOM573ghGQ0lRLk5ZU0U6SUJNLklRX1BFTlNJT05fRVNUX0JFTkVGSVRfQUZURVI1X0RPTS4yMDAwLjA2LzAzLzIwMjYuLi5VU0QuSAEAAADetgEAAgAAAAQ2MDc2AMHKybzNe94IyNXCOM573ghAQ0lRLk5ZU0U6SUJNLklRX1BFTlNJT05fUFJFUEFJRF9DT1NUX0RPTS4yMDAwLjA2LzAzLzIwMjYuLi5VU0QuSAEAAADetgEAAwAAAAAAwcrJvM173gjC4cQ4znveCEBDSVEuTllTRTpJQk0uSVFfUEVOU0lPTl9BQ0NSVUVEX0xJQUJfRE9NLjIwMDAuMDYvMDMvMjAyNi4uLlVTRC5IAQAAAN62AQADAAAAAADBysm8zXveCCqywzjOe94IQENJUS5OWVNFOklCTS5JUV9QRU5TSU9OX0lOVEFOX0FTU0VUU19ET00uMjAwMC4wNi8wMy8yMDI2Li4uVVNELkgBAAAA3rYBAAMAAAAAAMHKybzNe94IlC3GOM573ghCQ0lRLk5ZU0U6SUJNLklRX1BFTlNJT05fQUNDVU1fT1RIRVJfQ0lfRE9NLjIwMDAuMDYvMDMvMjAyNi4uLlVTRC5IAQAAAN62AQADAAAAAADBysm8zXveCNUIxTjOe94IPUNJUS5OWVNFOklCTS5JUV9QRU5TSU9OX0xUX0FTU0VUU19ET00uMjAwMC4wNi8wMy8yMDI2Li4uVVNELkgBAAAA3rYBAAIAAAAENDg2NgDBysm8zXveCKYYxzjOe94INkNJUS5OWVNFOklCTS5JUV9QRU5T</t>
  </si>
  <si>
    <t>SU9OX0NMX0RPTS4yMDAwLjA2LzAzLzIwMjYuLi5VU0QuSAEAAADetgEAAgAAAAQtMTE2AMHKybzNe94IwuHEOM573gg7Q0lRLk5ZU0U6SUJNLklRX1BFTlNJT05fTFRfTElBQl9ET00uMjAwMC4wNi8wMy8yMDI2Li4uVVNELkgBAAAA3rYBAAIAAAAFLTExMzcAwcrJvM173ggpjsc4znveCDlDSVEuTllTRTpJQk0uSVFfUEVOU0lPTl9PVEhFUl9ET00uMjAwMC4wNi8wMy8yMDI2Li4uVVNELkgBAAAA3rYBAAMAAAAAAMHKybzNe94IphjHOM573ghBQ0lRLk5ZU0U6SUJNLklRX1BFTlNJT05fVU5SRUNPR19QUklPUl9ET00uMjAwMC4wNi8wMy8yMDI2Li4uVVNELkgBAAAA3rYBAAMAAAAAAMHKybzNe94Iti/FOM573gg9Q0lRLk5ZU0U6SUJNLklRX1BFTlNJT05fT1RIRVJfQURKX0RPTS4yMDAwLjA2LzAzLzIwMjYuLi5VU0QuSAEAAADetgEAAwAAAAAAwcrJvM173giHysY4znveCENDSVEuTllTRTpJQk0uSVFfUEVOU0lPTl9ORVRfQVNTRVRfUkVDT0dfRE9NLjIwMDAuMDYvMDMvMjAyNi4uLlVTRC5IAQAAAN62AQACAAAABDM2MTMAwcrJvM173gjbe8Y4znveCExDSVEuTllTRTpJQk0uSVFfUEVOU0lPTl9FU1RfQ09OVFJJQlVUSU9OU19ORVhUWVJfRE9NLjIwMDAuMDYvMDMvMjAyNi4uLlVTRC5IAQAAAN62AQADAAAAAADBysm8zXveCAJkxDjOe94IUENJUS5OWVNFOklCTS5JUV9QRU5TSU9OX1FVQVJUX0VN</t>
  </si>
  <si>
    <t>UExPWUVSX0NPTlRSSUJVVElPTlNfRE9NLjIwMDAuMDYvMDMvMjAyNi4uLlVTRC5IAQAAAN62AQADAAAAAADBysm8zXveCIfKxjjOe94IUENJUS5OWVNFOklCTS5JUV9QRU5TSU9OX1FVQVJUX0FERExfQ09OVFJJQlVUSU9OU19FWFBfRE9NLjIwMDAuMDYvMDMvMjAyNi4uLlVTRC5IAQAAAN62AQADAAAAAADBysm8zXveCNUIxTjOe94ISkNJUS5OWVNFOklCTS5JUV9QRU5TSU9OX1VORlVOREVEX0FERExfTUlOX0xJQUJfRE9NLjIwMDAuMDYvMDMvMjAyNi4uLlVTRC5IAQAAAN62AQADAAAAAABV8sm8zXveCMI8wzjOe94IPUNJUS5OWVNFOklCTS5JUV9QRU5TSU9OX0JFTkVGSVRfSU5GT19EQVRFX0RPTS4yMDAwLjA2LzAzLzIwMjYBAAAA3rYBAAUAAAAKMzEvMTIvMjAyNQBV8sm8zXveCCC1xzjOe94IPUNJUS5OWVNFOklCTS5JUV9PUEVCX1NFUlZJQ0VfQ09TVF9ET00uMjAwMC4wNi8wMy8yMDI2Li4uVVNELkgBAAAA3rYBAAIAAAABMgBV8sm8zXveCJZWxTjOe94IPkNJUS5OWVNFOklCTS5JUV9PUEVCX0lOVEVSRVNUX0NPU1RfRE9NLjIwMDAuMDYvMDMvMjAyNi4uLlVTRC5IAQAAAN62AQACAAAAAzExNABV8sm8zXveCP7LxTjOe94IO0NJUS5OWVNFOklCTS5JUV9PUEVCX0VYUF9SRVRVUk5fRE9NLjIwMDAuMDYvMDMvMjAyNi4uLlVTRC5IAQAAAN62AQADAAAAAABV8sm8zXveCMLhxDjOe94IO0NJUS5O</t>
  </si>
  <si>
    <t>WVNFOklCTS5JUV9PUEVCX09USEVSX0NPU1RfRE9NLjIwMDAuMDYvMDMvMjAyNi4uLlVTRC5IAQAAAN62AQACAAAAAy0yOQBV8sm8zXveCLikxTjOe94IO0NJUS5OWVNFOklCTS5JUV9PUEVCX1RPVEFMX0NPU1RfRE9NLjIwMDAuMDYvMDMvMjAyNi4uLlVTRC5IAQAAAN62AQACAAAAAjg2AFXyybzNe94IlC3GOM573ghIQ0lRLk5ZU0U6SUJNLklRX09QRUJfU1VQUExFX1BMQU5TX1RPVEFMX0NPU1RfRE9NLjIwMDAuMDYvMDMvMjAyNi4uLlVTRC5IAQAAAN62AQADAAAAAABV8sm8zXveCMI8wzjOe94ITUNJUS5OWVNFOklCTS5JUV9PUEVCX1RPVEFMX0NPU1RfSU5DTF9TVVBQTEVfUExBTlNfRE9NLjIwMDAuMDYvMDMvMjAyNi4uLlVTRC5IAQAAAN62AQADAAAAAABV8sm8zXveCKYYxzjOe94IP0NJUS5OWVNFOklCTS5JUV9PUEVCX09CTElHQVRJT05fQkVHX0RPTS4yMDAwLjA2LzAzLzIwMjYuLi5VU0QuSAEAAADetgEAAgAAAAQyMjU3AFXyybzNe94IGLrEOM573ghIQ0lRLk5ZU0U6SUJNLklRX09QRUJfT0JMSUdBVElPTl9TRVJWSUNFX0NPU1RfRE9NLjIwMDAuMDYvMDMvMjAyNi4uLlVTRC5IAQAAAN62AQACAAAAATIAVfLJvM173gggtcc4znveCElDSVEuTllTRTpJQk0uSVFfT1BFQl9PQkxJR0FUSU9OX0lOVEVSRVNUX0NPU1RfRE9NLjIwMDAuMDYvMDMvMjAyNi4uLlVTRC5IAQAAAN62AQACAAAAAzEx</t>
  </si>
  <si>
    <t>NABV8sm8zXveCNt7xjjOe94IUkNJUS5OWVNFOklCTS5JUV9PUEVCX09CTElHQVRJT05fRU1QTE9ZRUVfQ09OVFJJQlVUSU9OU19ET00uMjAwMC4wNi8wMy8yMDI2Li4uVVNELkgBAAAA3rYBAAIAAAACMzMAVfLJvM173ggCZMQ4znveCE9DSVEuTllTRTpJQk0uSVFfT1BFQl9PQkxJR0FUSU9OX0FDVFVBUklBTF9HQUlOX0xPU1NfRE9NLjIwMDAuMDYvMDMvMjAyNi4uLlVTRC5IAQAAAN62AQACAAAAAjYxAFXyybzNe94Ih8rGOM573ghAQ0lRLk5ZU0U6SUJNLklRX09QRUJfT0JMSUdBVElPTl9QQUlEX0RPTS4yMDAwLjA2LzAzLzIwMjYuLi5VU0QuSAEAAADetgEAAgAAAAQtMjQyAFXyybzNe94I/svFOM573ghCQ0lRLk5ZU0U6SUJNLklRX09QRUJfT0JMSUdBVElPTl9GWF9BREpfRE9NLjIwMDAuMDYvMDMvMjAyNi4uLlVTRC5IAQAAAN62AQADAAAAAABV8sm8zXveCKOuwjjOe94IP0NJUS5OWVNFOklCTS5JUV9PUEVCX09CTElHQVRJT05fQUNRX0RPTS4yMDAwLjA2LzAzLzIwMjYuLi5VU0QuSAEAAADetgEAAwAAAAAAVfLJvM173giWVsU4znveCENDSVEuTllTRTpJQk0uSVFfT1BFQl9PQkxJR0FUSU9OX0NVUlRBSUxfRE9NLjIwMDAuMDYvMDMvMjAyNi4uLlVTRC5IAQAAAN62AQADAAAAAABV8sm8zXveCMLhxDjOe94ISkNJUS5OWVNFOklCTS5JUV9PUEVCX09CTElHQVRJT05fT1RIRVJfUExBTl9BREpf</t>
  </si>
  <si>
    <t>RE9NLjIwMDAuMDYvMDMvMjAyNi4uLlVTRC5IAQAAAN62AQADAAAAAABV8sm8zXveCCaLwzjOe94IRUNJUS5OWVNFOklCTS5JUV9PUEVCX09CTElHQVRJT05fUFJPSkVDVEVEX0RPTS4yMDAwLjA2LzAzLzIwMjYuLi5VU0QuSAEAAADetgEAAgAAAAQyMjI0AFXyybzNe94IlvHGOM573ghHQ0lRLk5ZU0U6SUJNLklRX09QRUJfT0JMSUdBVElPTl9BQ0NVTVVMQVRFRF9ET00uMjAwMC4wNi8wMy8yMDI2Li4uVVNELkgBAAAA3rYBAAMAAAAAAFXyybzNe94I1QjFOM573gg7Q0lRLk5ZU0U6SUJNLklRX09QRUJfQVNTRVRTX0JFR19ET00uMjAwMC4wNi8wMy8yMDI2Li4uVVNELkgBAAAA3rYBAAIAAAABNgBV8sm8zXveCKYYxzjOe94IRUNJUS5OWVNFOklCTS5JUV9PUEVCX0FTU0VUU19BQ1RVQUxfUkVUVVJOX0RPTS4yMDAwLjA2LzAzLzIwMjYuLi5VU0QuSAEAAADetgEAAgAAAAExAFXyybzNe94IlvHGOM573ghOQ0lRLk5ZU0U6SUJNLklRX09QRUJfQVNTRVRTX0VNUExPWUVSX0NPTlRSSUJVVElPTlNfRE9NLjIwMDAuMDYvMDMvMjAyNi4uLlVTRC5IAQAAAN62AQACAAAAAzIwNABV8sm8zXveCCC1xzjOe94ITkNJUS5OWVNFOklCTS5JUV9PUEVCX0FTU0VUU19QQVJUSUNJUF9DT05UUklCVVRJT05TX0RPTS4yMDAwLjA2LzAzLzIwMjYuLi5VU0QuSAEAAADetgEAAgAAAAIzMwBV8sm8zXveCH6PxjjOe94IRUNJ</t>
  </si>
  <si>
    <t>US5OWVNFOklCTS5JUV9PUEVCX0FTU0VUU19CRU5FRklUU19QQUlEX0RPTS4yMDAwLjA2LzAzLzIwMjYuLi5VU0QuSAEAAADetgEAAgAAAAQtMjM5AFXyybzNe94I3fLFOM573gg+Q0lRLk5ZU0U6SUJNLklRX09QRUJfQVNTRVRTX0ZYX0FESl9ET00uMjAwMC4wNi8wMy8yMDI2Li4uVVNELkgBAAAA3rYBAAMAAAAAAFXyybzNe94Ih8rGOM573gg7Q0lRLk5ZU0U6SUJNLklRX09QRUJfQVNTRVRTX0FDUV9ET00uMjAwMC4wNi8wMy8yMDI2Li4uVVNELkgBAAAA3rYBAAMAAAAAABkZyrzNe94I23vGOM573ghKQ0lRLk5ZU0U6SUJNLklRX09QRUJfQVNTRVRTX1BBUlRJQ0lQX0NPTlRSSUJVVElPTlMuMjAwMC4wNi8wMy8yMDI2Li4uVVNELkgBAAAA3rYBAAIAAAACMzMANFXZvM173ghsJcI4znveCEFDSVEuTllTRTpJQk0uSVFfT1BFQl9BU1NFVFNfQkVORUZJVFNfUEFJRC4yMDAwLjA2LzAzLzIwMjYuLi5VU0QuSAEAAADetgEAAgAAAAQtMjQ3ADRV2bzNe94IyNXCOM573gg6Q0lRLk5ZU0U6SUJNLklRX09QRUJfQVNTRVRTX0ZYX0FESi4yMDAwLjA2LzAzLzIwMjYuLi5VU0QuSAEAAADetgEAAgAAAAEyADRV2bzNe94IKrLDOM573gg3Q0lRLk5ZU0U6SUJNLklRX09QRUJfQVNTRVRTX0FDUS4yMDAwLjA2LzAzLzIwMjYuLi5VU0QuSAEAAADetgEAAwAAAAAANFXZvM173ggCZMQ4znveCDtDSVEuTllTRTpJQk0u</t>
  </si>
  <si>
    <t>SVFfT1BFQl9BU1NFVFNfQ1VSVEFJTC4yMDAwLjA2LzAzLzIwMjYuLi5VU0QuSAEAAADetgEAAwAAAAAANFXZvM173ggqFcQ4znveCEJDSVEuTllTRTpJQk0uSVFfT1BFQl9BU1NFVFNfT1RIRVJfUExBTl9BREouMjAwMC4wNi8wMy8yMDI2Li4uVVNELkgBAAAA3rYBAAMAAAAAADRV2bzNe94IW4fCOM573ggzQ0lRLk5ZU0U6SUJNLklRX09QRUJfQVNTRVRTLjIwMDAuMDYvMDMvMjAyNi4uLlVTRC5IAQAAAN62AQACAAAAAjE0AIFp2bzNe94IvDzEOM573ggyQ0lRLk5ZU0U6SUJNLklRX09QRUJfRElTQ19SQVRFX01JTi4yMDAwLjA2LzAzLzIwMjYBAAAA3rYBAAMAAAAAAIFp2bzNe94IyNXCOM573ggyQ0lRLk5ZU0U6SUJNLklRX09QRUJfRElTQ19SQVRFX01BWC4yMDAwLjA2LzAzLzIwMjYBAAAA3rYBAAMAAAAAAIFp2bzNe94IsznBOM573gg7Q0lRLk5ZU0U6SUJNLklRX09QRUJfUkFURV9DT01QX0lOQ1JFQVNFX01JTi4yMDAwLjA2LzAzLzIwMjYBAAAA3rYBAAMAAAAAAIFp2bzNe94I0RDDOM573gg7Q0lRLk5ZU0U6SUJNLklRX09QRUJfUkFURV9DT01QX0lOQ1JFQVNFX01BWC4yMDAwLjA2LzAzLzIwMjYBAAAA3rYBAAMAAAAAAIFp2bzNe94IHe7DOM573gg4Q0lRLk5ZU0U6SUJNLklRX09QRUJfRVhQX1JBVEVfUkVUVVJOX01JTi4yMDAwLjA2LzAzLzIwMjYBAAAA3rYBAAMAAAAAAIFp2bzNe94IBGTD</t>
  </si>
  <si>
    <t>OM573gg4Q0lRLk5ZU0U6SUJNLklRX09QRUJfRVhQX1JBVEVfUkVUVVJOX01BWC4yMDAwLjA2LzAzLzIwMjYBAAAA3rYBAAMAAAAAAIFp2bzNe94IvDzEOM573gg1Q0lRLk5ZU0U6SUJNLklRX09QRUJfQlJFQUtET1dOX1BDVF9FUS4yMDAwLjA2LzAzLzIwMjYBAAAA3rYBAAMAAAAAAIFp2bzNe94Io67COM573gg1Q0lRLk5ZU0U6SUJNLklRX09QRUJfQlJFQUtET1dOX1BDVF9GSS4yMDAwLjA2LzAzLzIwMjYBAAAA3rYBAAMAAAAAAIFp2bzNe94IAmTEOM573gg1Q0lRLk5ZU0U6SUJNLklRX09QRUJfQlJFQUtET1dOX1BDVF9SRS4yMDAwLjA2LzAzLzIwMjYBAAAA3rYBAAMAAAAAAIFp2bzNe94IyNXCOM573gg4Q0lRLk5ZU0U6SUJNLklRX09QRUJfQlJFQUtET1dOX1BDVF9PVEhFUi4yMDAwLjA2LzAzLzIwMjYBAAAA3rYBAAMAAAAAAIFp2bzNe94IW4fCOM573gg5Q0lRLk5ZU0U6SUJNLklRX09QRUJfQlJFQUtET1dOX0VRLjIwMDAuMDYvMDMvMjAyNi4uLlVTRC5IAQAAAN62AQADAAAAAACBadm8zXveCMI8wzjOe94IOUNJUS5OWVNFOklCTS5JUV9PUEVCX0JSRUFLRE9XTl9GSS4yMDAwLjA2LzAzLzIwMjYuLi5VU0QuSAEAAADetgEAAwAAAAAAgWnZvM173gi8PMQ4znveCDlDSVEuTllTRTpJQk0uSVFfT1BFQl9CUkVBS0RPV05fUkUuMjAwMC4wNi8wMy8yMDI2Li4uVVNELkgBAAAA3rYBAAMAAAAAAIFp</t>
  </si>
  <si>
    <t>2bzNe94I9GDBOM573gg8Q0lRLk5ZU0U6SUJNLklRX09QRUJfQlJFQUtET1dOX09USEVSLjIwMDAuMDYvMDMvMjAyNi4uLlVTRC5IAQAAAN62AQADAAAAAACBadm8zXveCAJkxDjOe94IM0NJUS5OWVNFOklCTS5JUV9PUEVCX0NJX0FDVC4yMDAwLjA2LzAzLzIwMjYuLi5VU0QuSAEAAADetgEAAgAAAAMzNzQAgWnZvM173ggd7sM4znveCD1DSVEuTllTRTpJQk0uSVFfT1BFQl9DSV9QUklPUl9TRVJWSUNFLjIwMDAuMDYvMDMvMjAyNi4uLlVTRC5IAQAAAN62AQACAAAABC0yOTMAgWnZvM173ggYusQ4znveCDpDSVEuTllTRTpJQk0uSVFfT1BFQl9DSV9UUkFOU0lUSU9OLjIwMDAuMDYvMDMvMjAyNi4uLlVTRC5IAQAAAN62AQADAAAAAACBadm8zXveCNEQwzjOe94IPkNJUS5OWVNFOklCTS5JUV9PUEVCX0NJX09USEVSX01JU0NfQURKLjIwMDAuMDYvMDMvMjAyNi4uLlVTRC5IAQAAAN62AQADAAAAAACBadm8zXveCFuHwjjOe94IPUNJUS5OWVNFOklCTS5JUV9PUEVCX0NJX05FVF9BTVRfUkVDT0cuMjAwMC4wNi8wMy8yMDI2Li4uVVNELkgBAAAA3rYBAAIAAAACODEAgWnZvM173ggEZMM4znveCD9DSVEuTllTRTpJQk0uSVFfT1BFQl9QUklPUl9TRVJWSUNFX05FWFQuMjAwMC4wNi8wMy8yMDI2Li4uVVNELkgBAAAA3rYBAAMAAAAAAIFp2bzNe94IyNXCOM573gg1Q0lRLk5ZU0U6SUJNLklRX09QRUJfQUNU</t>
  </si>
  <si>
    <t>X05FWFQuMjAwMC4wNi8wMy8yMDI2Li4uVVNELkgBAAAA3rYBAAMAAAAAAIFp2bzNe94IR+rBOM573gg8Q0lRLk5ZU0U6SUJNLklRX09QRUJfVFJBTlNJVElPTl9ORVhULjIwMDAuMDYvMDMvMjAyNi4uLlVTRC5IAQAAAN62AQADAAAAAACBadm8zXveCAJkxDjOe94IO0NJUS5OWVNFOklCTS5JUV9PUEVCX0FNVF9SRUNPR19ORVhULjIwMDAuMDYvMDMvMjAyNi4uLlVTRC5IAQAAAN62AQADAAAAAACBadm8zXveCLnGwzjOe94IPUNJUS5OWVNFOklCTS5JUV9PUEVCX1BCT19BU1NVTUVEX1JBVEVfUkVUX01JTi4yMDAwLjA2LzAzLzIwMjYBAAAA3rYBAAMAAAAAAIFp2bzNe94IAmTEOM573gg9Q0lRLk5ZU0U6SUJNLklRX09QRUJfUEJPX0FTU1VNRURfUkFURV9SRVRfTUFYLjIwMDAuMDYvMDMvMjAyNgEAAADetgEAAwAAAAAAgWnZvM173ggd7sM4znveCD9DSVEuTllTRTpJQk0uSVFfT1BFQl9QQk9fUkFURV9DT01QX0lOQ1JFQVNFX01JTi4yMDAwLjA2LzAzLzIwMjYBAAAA3rYBAAMAAAAAAIFp2bzNe94IGLrEOM573gg/Q0lRLk5ZU0U6SUJNLklRX09QRUJfUEJPX1JBVEVfQ09NUF9JTkNSRUFTRV9NQVguMjAwMC4wNi8wMy8yMDI2AQAAAN62AQADAAAAAADkkNm8zXveCG0lwzjOe94IPENJUS5OWVNFOklCTS5JUV9PUEVCX0VTVF9CRU5FRklUXzFZUi4yMDAwLjA2LzAzLzIwMjYuLi5VU0QuSAEAAADetgEA</t>
  </si>
  <si>
    <t>AgAAAAMzMTIA5JDZvM173ghbh8I4znveCDxDSVEuTllTRTpJQk0uSVFfT1BFQl9FU1RfQkVORUZJVF8yWVIuMjAwMC4wNi8wMy8yMDI2Li4uVVNELkgBAAAA3rYBAAIAAAADMzEwAOSQ2bzNe94IBGTDOM573gg8Q0lRLk5ZU0U6SUJNLklRX09QRUJfRVNUX0JFTkVGSVRfM1lSLjIwMDAuMDYvMDMvMjAyNi4uLlVTRC5IAQAAAN62AQACAAAAAzMwNQDkkNm8zXveCKOuwjjOe94IPENJUS5OWVNFOklCTS5JUV9PUEVCX0VTVF9CRU5FRklUXzRZUi4yMDAwLjA2LzAzLzIwMjYuLi5VU0QuSAEAAADetgEAAgAAAAMyOTgA5JDZvM173ggmi8M4znveCDxDSVEuTllTRTpJQk0uSVFfT1BFQl9FU1RfQkVORUZJVF81WVIuMjAwMC4wNi8wMy8yMDI2Li4uVVNELkgBAAAA3rYBAAIAAAADMjkxAOSQ2bzNe94IvDzEOM573gg/Q0lRLk5ZU0U6SUJNLklRX09QRUJfRVNUX0JFTkVGSVRfQUZURVI1LjIwMDAuMDYvMDMvMjAyNi4uLlVTRC5IAQAAAN62AQACAAAABDEyOTEA5JDZvM173gh4TMI4znveCDlDSVEuTllTRTpJQk0uSVFfT1BFQl9QUkVQQUlEX0NPU1QuMjAwMC4wNi8wMy8yMDI2Li4uVVNELkgBAAAA3rYBAAMAAAAAAOSQ2bzNe94IAmTEOM573gg5Q0lRLk5ZU0U6SUJNLklRX09QRUJfQUNDUlVFRF9MSUFCLjIwMDAuMDYvMDMvMjAyNi4uLlVTRC5IAQAAAN62AQADAAAAAADkkNm8zXveCCqywzjOe94IOUNJUS5O</t>
  </si>
  <si>
    <t>WVNFOklCTS5JUV9PUEVCX0lOVEFOX0FTU0VUUy4yMDAwLjA2LzAzLzIwMjYuLi5VU0QuSAEAAADetgEAAwAAAAAA5JDZvM173ggCZMQ4znveCDtDSVEuTllTRTpJQk0uSVFfT1BFQl9BQ0NVTV9PVEhFUl9DSS4yMDAwLjA2LzAzLzIwMjYuLi5VU0QuSAEAAADetgEAAwAAAAAA5JDZvM173gijrsI4znveCDZDSVEuTllTRTpJQk0uSVFfT1BFQl9MVF9BU1NFVFMuMjAwMC4wNi8wMy8yMDI2Li4uVVNELkgBAAAA3rYBAAMAAAAAAOSQ2bzNe94IAmTEOM573ggvQ0lRLk5ZU0U6SUJNLklRX09QRUJfQ0wuMjAwMC4wNi8wMy8yMDI2Li4uVVNELkgBAAAA3rYBAAIAAAAELTI4NgDkkNm8zXveCMjVwjjOe94INENJUS5OWVNFOklCTS5JUV9PUEVCX0xUX0xJQUIuMjAwMC4wNi8wMy8yMDI2Li4uVVNELkgBAAAA3rYBAAIAAAAFLTI0NzAA5JDZvM173ggCZMQ4znveCDJDSVEuTllTRTpJQk0uSVFfT1BFQl9PVEhFUi4yMDAwLjA2LzAzLzIwMjYuLi5VU0QuSAEAAADetgEAAwAAAAAA5JDZvM173gijrsI4znveCDpDSVEuTllTRTpJQk0uSVFfT1BFQl9VTlJFQ09HX1BSSU9SLjIwMDAuMDYvMDMvMjAyNi4uLlVTRC5IAQAAAN62AQADAAAAAADkkNm8zXveCCaLwzjOe94INkNJUS5OWVNFOklCTS5JUV9PUEVCX09USEVSX0FESi4yMDAwLjA2LzAzLzIwMjYuLi5VU0QuSAEAAADetgEAAwAAAAAA5JDZvM173giWVsU4znve</t>
  </si>
  <si>
    <t>CDxDSVEuTllTRTpJQk0uSVFfT1BFQl9ORVRfQVNTRVRfUkVDT0cuMjAwMC4wNi8wMy8yMDI2Li4uVVNELkgBAAAA3rYBAAIAAAAFLTI3NTcA5JDZvM173ggEZMM4znveCE1DSVEuTllTRTpJQk0uSVFfT1BFQl9JTkNSRUFTRV9FRkZFQ1RfU0VSVklDRV9JTlRfQ09TVC4yMDAwLjA2LzAzLzIwMjYuLi5VU0QuSAEAAADetgEAAwAAAAAA5JDZvM173ghbh8I4znveCEBDSVEuTllTRTpJQk0uSVFfT1BFQl9JTkNSRUFTRV9FRkZFQ1RfUEJPLjIwMDAuMDYvMDMvMjAyNi4uLlVTRC5IAQAAAN62AQADAAAAAABRrtm8zXveCARkwzjOe94ITUNJUS5OWVNFOklCTS5JUV9PUEVCX0RFQ1JFQVNFX0VGRkVDVF9TRVJWSUNFX0lOVF9DT1NULjIwMDAuMDYvMDMvMjAyNi4uLlVTRC5IAQAAAN62AQADAAAAAABRrtm8zXveCOooxDjOe94IQENJUS5OWVNFOklCTS5JUV9PUEVCX0RFQ1JFQVNFX0VGRkVDVF9QQk8uMjAwMC4wNi8wMy8yMDI2Li4uVVNELkgBAAAA3rYBAAMAAAAAAFGu2bzNe94IbSXDOM573gg+Q0lRLk5ZU0U6SUJNLklRX09QRUJfSEVBTFRIX0NPU1RfVFJFTkRfSU5JVElBTC4yMDAwLjA2LzAzLzIwMjYBAAAA3rYBAAMAAAAAAFGu2bzNe94IHe7DOM573gg/Q0lRLk5ZU0U6SUJNLklRX09QRUJfSEVBTFRIX0NPU1RfVFJFTkRfVUxUSU1BVEUuMjAwMC4wNi8wMy8yMDI2AQAAAN62AQADAAAAAABRrtm8zXve</t>
  </si>
  <si>
    <t>CMjVwjjOe94INkNJUS5OWVNFOklCTS5JUV9PUEVCX0JFTkVGSVRfSU5GT19EQVRFLjIwMDAuMDYvMDMvMjAyNgEAAADetgEABQAAAAozMS8xMi8yMDI1AFGu2bzNe94I/svFOM573ghAQ0lRLk5ZU0U6SUJNLklRX1BFTlNJT05fU0VSVklDRV9DT1NUX0RPTS4yMDAwLjA2LzAzLzIwMjYuLi5VU0QuSAEAAADetgEAAgAAAAMzNTIAUa7ZvM173gijrsI4znveCEFDSVEuTllTRTpJQk0uSVFfUEVOU0lPTl9JTlRFUkVTVF9DT1NUX0RPTS4yMDAwLjA2LzAzLzIwMjYuLi5VU0QuSAEAAADetgEAAgAAAAM3NDgAUa7ZvM173ggEZMM4znveCEJDSVEuTllTRTpJQk0uSVFfUEVOU0lPTl9PQkxJR0FUSU9OX1JPQV9ET00uMjAwMC4wNi8wMy8yMDI2Li4uVVNELkgBAAAA3rYBAAIAAAAFLTEwNzMAUa7ZvM173ghbh8I4znveCElDSVEuTllTRTpJQk0uSVFfUEVOU0lPTl9PQkxJR0FUSU9OX09USEVSX0NPU1RfRE9NLjIwMDAuMDYvMDMvMjAyNi4uLlVTRC5IAQAAAN62AQACAAAAAzI4MABRrtm8zXveCARkwzjOe94ISUNJUS5OWVNFOklCTS5JUV9QRU5TSU9OX09CTElHQVRJT05fVE9UQUxfQ09TVF9ET00uMjAwMC4wNi8wMy8yMDI2Li4uVVNELkgBAAAA3rYBAAIAAAADMzA3AFGu2bzNe94I6ijEOM573ghbQ0lRLk5ZU0U6SUJNLklRX1BFTlNJT05fT0JMSUdBVElPTl9UT1RBTF9DT1NUX0lOQ0xfU1VQUExFX1BMQU5T</t>
  </si>
  <si>
    <t>X0RPTS4yMDAwLjA2LzAzLzIwMjYuLi5VU0QuSAEAAADetgEAAwAAAAAAUa7ZvM173giWVsU4znveCEJDSVEuTllTRTpJQk0uSVFfUEVOU0lPTl9PQkxJR0FUSU9OX0JFR19ET00uMjAwMC4wNi8wMy8yMDI2Li4uVVNELkgBAAAA3rYBAAIAAAAFMTQyMTkAUa7ZvM173gjREMM4znveCEtDSVEuTllTRTpJQk0uSVFfUEVOU0lPTl9PQkxJR0FUSU9OX1NFUlZJQ0VfQ09TVF9ET00uMjAwMC4wNi8wMy8yMDI2Li4uVVNELkgBAAAA3rYBAAIAAAADMzUyAFGu2bzNe94IKrLDOM573ghMQ0lRLk5ZU0U6SUJNLklRX1BFTlNJT05fT0JMSUdBVElPTl9JTlRFUkVTVF9DT1NUX0RPTS4yMDAwLjA2LzAzLzIwMjYuLi5VU0QuSAEAAADetgEAAgAAAAM3NDgAUa7ZvM173ggCZMQ4znveCFVDSVEuTllTRTpJQk0uSVFfUEVOU0lPTl9PQkxJR0FUSU9OX0VNUExPWUVFX0NPTlRSSUJVVElPTlNfRE9NLjIwMDAuMDYvMDMvMjAyNi4uLlVTRC5IAQAAAN62AQADAAAAAABRrtm8zXveCCaLwzjOe94IUkNJUS5OWVNFOklCTS5JUV9QRU5TSU9OX09CTElHQVRJT05fQUNUVUFSSUFMX0dBSU5fTE9TU19ET00uMjAwMC4wNi8wMy8yMDI2Li4uVVNELkgBAAAA3rYBAAIAAAADMzE2AFGu2bzNe94I6ijEOM573ghDQ0lRLk5ZU0U6SUJNLklRX1BFTlNJT05fT0JMSUdBVElPTl9QQUlEX0RPTS4yMDAwLjA2LzAzLzIwMjYuLi5VU0QuSAEA</t>
  </si>
  <si>
    <t>AADetgEAAgAAAAQtODY5AFGu2bzNe94IbSXDOM573ghFQ0lRLk5ZU0U6SUJNLklRX1BFTlNJT05fT0JMSUdBVElPTl9GWF9BREpfRE9NLjIwMDAuMDYvMDMvMjAyNi4uLlVTRC5IAQAAAN62AQADAAAAAABRrtm8zXveCLnGwzjOe94IQkNJUS5OWVNFOklCTS5JUV9QRU5TSU9OX09CTElHQVRJT05fQUNRX0RPTS4yMDAwLjA2LzAzLzIwMjYuLi5VU0QuSAEAAADetgEAAwAAAAAAUa7ZvM173ggCZMQ4znveCEZDSVEuTllTRTpJQk0uSVFfUEVOU0lPTl9PQkxJR0FUSU9OX0NVUlRBSUxfRE9NLjIwMDAuMDYvMDMvMjAyNi4uLlVTRC5IAQAAAN62AQADAAAAAABRrtm8zXveCKN9xTjOe94ITUNJUS5OWVNFOklCTS5JUV9QRU5TSU9OX09CTElHQVRJT05fT1RIRVJfUExBTl9BREpfRE9NLjIwMDAuMDYvMDMvMjAyNi4uLlVTRC5IAQAAAN62AQACAAAABC0zMDYAq9XZvM173ggd7sM4znveCEhDSVEuTllTRTpJQk0uSVFfUEVOU0lPTl9PQkxJR0FUSU9OX1BST0pFQ1RFRF9ET00uMjAwMC4wNi8wMy8yMDI2Li4uVVNELkgBAAAA3rYBAAIAAAAFMTQ0NjAAq9XZvM173gjI1cI4znveCE9DSVEuTllTRTpJQk0uSVFfUEVOU0lPTl9BQ0NVTVVMQVRFRF9PQkxJR0FUSU9OX0RPTUVTVElDLjIwMDAuMDYvMDMvMjAyNi4uLlVTRC5IAQAAAN62AQACAAAABTE0NDYwAKvV2bzNe94IJovDOM573gg+Q0lRLk5ZU0U6SUJNLklR</t>
  </si>
  <si>
    <t>X1BFTlNJT05fQVNTRVRTX0JFR19ET00uMjAwMC4wNi8wMy8yMDI2Li4uVVNELkgBAAAA3rYBAAIAAAAFMTc1OTEAq9XZvM173giWVsU4znveCEhDSVEuTllTRTpJQk0uSVFfUEVOU0lPTl9BU1NFVFNfQUNUVUFMX1JFVFVSTl9ET00uMjAwMC4wNi8wMy8yMDI2Li4uVVNELkgBAAAA3rYBAAIAAAAEMTUzNgCr1dm8zXveCMjVwjjOe94IUUNJUS5OWVNFOklCTS5JUV9QRU5TSU9OX0FTU0VUU19FTVBMT1lFUl9DT05UUklCVVRJT05TX0RPTS4yMDAwLjA2LzAzLzIwMjYuLi5VU0QuSAEAAADetgEAAwAAAAAAq9XZvM173ggmi8M4znveCFFDSVEuTllTRTpJQk0uSVFfUEVOU0lPTl9BU1NFVFNfUEFSVElDSVBfQ09OVFJJQlVUSU9OU19ET00uMjAwMC4wNi8wMy8yMDI2Li4uVVNELkgBAAAA3rYBAAMAAAAAAKvV2bzNe94IllbFOM573ghIQ0lRLk5ZU0U6SUJNLklRX1BFTlNJT05fQVNTRVRTX0JFTkVGSVRTX1BBSURfRE9NLjIwMDAuMDYvMDMvMjAyNi4uLlVTRC5IAQAAAN62AQACAAAABC03NDkAq9XZvM173ghbh8I4znveCEFDSVEuTllTRTpJQk0uSVFfUEVOU0lPTl9BU1NFVFNfRlhfQURKX0RPTS4yMDAwLjA2LzAzLzIwMjYuLi5VU0QuSAEAAADetgEAAwAAAAAAq9XZvM173ghtJcM4znveCDpDSVEuTllTRTpJQk0uSVFfUEVOU0lPTl9BU1NFVFNfQkVHLjIwMDAuMDYvMDMvMjAyNi4uLlVTRC5IAQAAAN62</t>
  </si>
  <si>
    <t>AQACAAAABTQyNzk2APD47LzNe94I9GDBOM573ghEQ0lRLk5ZU0U6SUJNLklRX1BFTlNJT05fQVNTRVRTX0FDVFVBTF9SRVRVUk4uMjAwMC4wNi8wMy8yMDI2Li4uVVNELkgBAAAA3rYBAAIAAAAEMjE4MQDw+Oy8zXveCC/+wTjOe94ITUNJUS5OWVNFOklCTS5JUV9QRU5TSU9OX0FTU0VUU19FTVBMT1lFUl9DT05UUklCVVRJT05TLjIwMDAuMDYvMDMvMjAyNi4uLlVTRC5IAQAAAN62AQACAAAAAjQwAPD47LzNe94IucbDOM573ghNQ0lRLk5ZU0U6SUJNLklRX1BFTlNJT05fQVNTRVRTX1BBUlRJQ0lQX0NPTlRSSUJVVElPTlMuMjAwMC4wNi8wMy8yMDI2Li4uVVNELkgBAAAA3rYBAAIAAAACMTkA8PjsvM173ghhpcQ4znveCERDSVEuTllTRTpJQk0uSVFfUEVOU0lPTl9BU1NFVFNfQkVORUZJVFNfUEFJRC4yMDAwLjA2LzAzLzIwMjYuLi5VU0QuSAEAAADetgEAAgAAAAUtMjQwNQDw+Oy8zXveCLw8xDjOe94IPUNJUS5OWVNFOklCTS5JUV9QRU5TSU9OX0FTU0VUU19GWF9BREouMjAwMC4wNi8wMy8yMDI2Li4uVVNELkgBAAAA3rYBAAIAAAAEMjY1NADw+Oy8zXveCPRgwTjOe94IOkNJUS5OWVNFOklCTS5JUV9QRU5TSU9OX0FTU0VUU19BQ1EuMjAwMC4wNi8wMy8yMDI2Li4uVVNELkgBAAAA3rYBAAMAAAAAAPD47LzNe94IL/7BOM573gg+Q0lRLk5ZU0U6SUJNLklRX1BFTlNJT05fQVNTRVRTX0NVUlRBSUwu</t>
  </si>
  <si>
    <t>MjAwMC4wNi8wMy8yMDI2Li4uVVNELkgBAAAA3rYBAAMAAAAAAPD47LzNe94IsznBOM573ghFQ0lRLk5ZU0U6SUJNLklRX1BFTlNJT05fQVNTRVRTX09USEVSX1BMQU5fQURKLjIwMDAuMDYvMDMvMjAyNi4uLlVTRC5IAQAAAN62AQACAAAABC00NzkA8PjsvM173ggd7sM4znveCDZDSVEuTllTRTpJQk0uSVFfUEVOU0lPTl9BU1NFVFMuMjAwMC4wNi8wMy8yMDI2Li4uVVNELkgBAAAA3rYBAAIAAAAFNDQ4MDYA8PjsvM173gj6m8A4znveCDVDSVEuTllTRTpJQk0uSVFfUEVOU0lPTl9ESVNDX1JBVEVfTUlOLjIwMDAuMDYvMDMvMjAyNgEAAADetgEAAwAAAAAA8PjsvM173gijJcE4znveCDVDSVEuTllTRTpJQk0uSVFfUEVOU0lPTl9ESVNDX1JBVEVfTUFYLjIwMDAuMDYvMDMvMjAyNgEAAADetgEAAwAAAAAA8PjsvM173gj0YME4znveCD5DSVEuTllTRTpJQk0uSVFfUEVOU0lPTl9SQVRFX0NPTVBfSU5DUkVBU0VfTUlOLjIwMDAuMDYvMDMvMjAyNgEAAADetgEAAwAAAAAA8PjsvM173gh4TMI4znveCD5DSVEuTllTRTpJQk0uSVFfUEVOU0lPTl9SQVRFX0NPTVBfSU5DUkVBU0VfTUFYLjIwMDAuMDYvMDMvMjAyNgEAAADetgEAAwAAAAAA8PjsvM173gijJcE4znveCDtDSVEuTllTRTpJQk0uSVFfUEVOU0lPTl9FWFBfUkFURV9SRVRVUk5fTUlOLjIwMDAuMDYvMDMvMjAyNgEAAADetgEAAwAAAAAA8PjsvM17</t>
  </si>
  <si>
    <t>3gg2w8E4znveCDtDSVEuTllTRTpJQk0uSVFfUEVOU0lPTl9FWFBfUkFURV9SRVRVUk5fTUFYLjIwMDAuMDYvMDMvMjAyNgEAAADetgEAAwAAAAAA8PjsvM173gi5xsM4znveCDhDSVEuTllTRTpJQk0uSVFfUEVOU0lPTl9CUkVBS0RPV05fUENUX0VRLjIwMDAuMDYvMDMvMjAyNgEAAADetgEAAgAAAAYyLjUzMDkA8PjsvM173ghhpcQ4znveCDhDSVEuTllTRTpJQk0uSVFfUEVOU0lPTl9CUkVBS0RPV05fUENUX0ZJLjIwMDAuMDYvMDMvMjAyNgEAAADetgEAAgAAAAc1Ni4wMTkyAPD47LzNe94IvDzEOM573gg4Q0lRLk5ZU0U6SUJNLklRX1BFTlNJT05fQlJFQUtET1dOX1BDVF9SRS4yMDAwLjA2LzAzLzIwMjYBAAAA3rYBAAMAAAAAAPD47LzNe94IL/7BOM573gg7Q0lRLk5ZU0U6SUJNLklRX1BFTlNJT05fQlJFQUtET1dOX1BDVF9PVEhFUi4yMDAwLjA2LzAzLzIwMjYBAAAA3rYBAAIAAAAHNDEuNDQ5OADw+Oy8zXveCGGlxDjOe94IPENJUS5OWVNFOklCTS5JUV9QRU5TSU9OX0JSRUFLRE9XTl9FUS4yMDAwLjA2LzAzLzIwMjYuLi5VU0QuSAEAAADetgEAAgAAAAQxMTM0APD47LzNe94I9GDBOM573gg8Q0lRLk5ZU0U6SUJNLklRX1BFTlNJT05fQlJFQUtET1dOX0ZJLjIwMDAuMDYvMDMvMjAyNi4uLlVTRC5IAQAAAN62AQACAAAABTI1MTAwAPD47LzNe94IKhXEOM573gg8Q0lRLk5ZU0U6SUJNLklRX1BF</t>
  </si>
  <si>
    <t>TlNJT05fQlJFQUtET1dOX1JFLjIwMDAuMDYvMDMvMjAyNi4uLlVTRC5IAQAAAN62AQADAAAAAADw+Oy8zXveCCL+wDjOe94IP0NJUS5OWVNFOklCTS5JUV9QRU5TSU9OX0JSRUFLRE9XTl9PVEhFUi4yMDAwLjA2LzAzLzIwMjYuLi5VU0QuSAEAAADetgEAAgAAAAUxODU3MgDw+Oy8zXveCLM5wTjOe94INkNJUS5OWVNFOklCTS5JUV9QRU5TSU9OX0NJX0FDVC4yMDAwLjA2LzAzLzIwMjYuLi5VU0QuSAEAAADetgEAAgAAAAUxNzAzMwDw+Oy8zXveCCoVxDjOe94IQENJUS5OWVNFOklCTS5JUV9QRU5TSU9OX0NJX1BSSU9SX1NFUlZJQ0UuMjAwMC4wNi8wMy8yMDI2Li4uVVNELkgBAAAA3rYBAAIAAAADNzg5APD47LzNe94IeEzCOM573gg9Q0lRLk5ZU0U6SUJNLklRX1BFTlNJT05fQ0lfVFJBTlNJVElPTi4yMDAwLjA2LzAzLzIwMjYuLi5VU0QuSAEAAADetgEAAwAAAAAA8PjsvM173ggi/sA4znveCEFDSVEuTllTRTpJQk0uSVFfUEVOU0lPTl9DSV9PVEhFUl9NSVNDX0FESi4yMDAwLjA2LzAzLzIwMjYuLi5VU0QuSAEAAADetgEAAwAAAAAA8PjsvM173gjI1cI4znveCEBDSVEuTllTRTpJQk0uSVFfUEVOU0lPTl9DSV9ORVRfQU1UX1JFQ09HLjIwMDAuMDYvMDMvMjAyNi4uLlVTRC5IAQAAAN62AQACAAAABTE3ODIyAPD47LzNe94IucbDOM573ghCQ0lRLk5ZU0U6SUJNLklRX1BFTlNJT05fUFJJT1JfU0VS</t>
  </si>
  <si>
    <t>VklDRV9ORVhULjIwMDAuMDYvMDMvMjAyNi4uLlVTRC5IAQAAAN62AQADAAAAAADw+Oy8zXveCB7DwDjOe94IOENJUS5OWVNFOklCTS5JUV9QRU5TSU9OX0FDVF9ORVhULjIwMDAuMDYvMDMvMjAyNi4uLlVTRC5IAQAAAN62AQADAAAAAADw+Oy8zXveCLw8xDjOe94IP0NJUS5OWVNFOklCTS5JUV9QRU5TSU9OX1RSQU5TSVRJT05fTkVYVC4yMDAwLjA2LzAzLzIwMjYuLi5VU0QuSAEAAADetgEAAwAAAAAA8PjsvM173gijrsI4znveCEBDSVEuTllTRTpJQk0uSVFfUEVOU0lPTl9BTVRfUkVDT0dfUEVSSU9ELjIwMDAuMDYvMDMvMjAyNi4uLlVTRC5IAQAAAN62AQADAAAAAADw+Oy8zXveCGGlxDjOe94IQENJUS5OWVNFOklCTS5JUV9QRU5TSU9OX1BCT19BU1NVTUVEX1JBVEVfUkVUX01JTi4yMDAwLjA2LzAzLzIwMjYBAAAA3rYBAAMAAAAAALkz7bzNe94IeEzCOM573ghAQ0lRLk5ZU0U6SUJNLklRX1BFTlNJT05fUEJPX0FTU1VNRURfUkFURV9SRVRfTUFYLjIwMDAuMDYvMDMvMjAyNgEAAADetgEAAwAAAAAAuTPtvM173gijrsI4znveCEJDSVEuTllTRTpJQk0uSVFfUEVOU0lPTl9QQk9fUkFURV9DT01QX0lOQ1JFQVNFX01JTi4yMDAwLjA2LzAzLzIwMjYBAAAA3rYBAAMAAAAAALkz7bzNe94I9GDBOM573ghCQ0lRLk5ZU0U6SUJNLklRX1BFTlNJT05fUEJPX1JBVEVfQ09NUF9JTkNSRUFTRV9NQVguMjAw</t>
  </si>
  <si>
    <t>MC4wNi8wMy8yMDI2AQAAAN62AQADAAAAAAC5M+28zXveCDbDwTjOe94IP0NJUS5OWVNFOklCTS5JUV9QRU5TSU9OX0VTVF9CRU5FRklUXzFZUi4yMDAwLjA2LzAzLzIwMjYuLi5VU0QuSAEAAADetgEAAgAAAAQzNzEzALkz7bzNe94IKhXEOM573gg/Q0lRLk5ZU0U6SUJNLklRX1BFTlNJT05fRVNUX0JFTkVGSVRfMllSLjIwMDAuMDYvMDMvMjAyNi4uLlVTRC5IAQAAAN62AQACAAAABDM2MzUAuTPtvM173gh4TMI4znveCD9DSVEuTllTRTpJQk0uSVFfUEVOU0lPTl9FU1RfQkVORUZJVF8zWVIuMjAwMC4wNi8wMy8yMDI2Li4uVVNELkgBAAAA3rYBAAIAAAAEMzYyNgC5M+28zXveCPRgwTjOe94IP0NJUS5OWVNFOklCTS5JUV9QRU5TSU9OX0VTVF9CRU5FRklUXzRZUi4yMDAwLjA2LzAzLzIwMjYuLi5VU0QuSAEAAADetgEAAgAAAAQzNjA3ALkz7bzNe94IyNXCOM573gg/Q0lRLk5ZU0U6SUJNLklRX1BFTlNJT05fRVNUX0JFTkVGSVRfNVlSLjIwMDAuMDYvMDMvMjAyNi4uLlVTRC5IAQAAAN62AQACAAAABDM1MzIAuTPtvM173gi5xsM4znveCEJDSVEuTllTRTpJQk0uSVFfUEVOU0lPTl9FU1RfQkVORUZJVF9BRlRFUjUuMjAwMC4wNi8wMy8yMDI2Li4uVVNELkgBAAAA3rYBAAIAAAAFMTY2NjQAuTPtvM173gjCPMM4znveCDxDSVEuTllTRTpJQk0uSVFfUEVOU0lPTl9QUkVQQUlEX0NPU1QuMjAwMC4wNi8w</t>
  </si>
  <si>
    <t>My8yMDI2Li4uVVNELkgBAAAA3rYBAAMAAAAAALkz7bzNe94IvDzEOM573gg8Q0lRLk5ZU0U6SUJNLklRX1BFTlNJT05fQUNDUlVFRF9MSUFCLjIwMDAuMDYvMDMvMjAyNi4uLlVTRC5IAQAAAN62AQADAAAAAAC5M+28zXveCLnGwzjOe94IPENJUS5OWVNFOklCTS5JUV9QRU5TSU9OX0lOVEFOX0FTU0VUUy4yMDAwLjA2LzAzLzIwMjYuLi5VU0QuSAEAAADetgEAAwAAAAAAuTPtvM173ghhpcQ4znveCD5DSVEuTllTRTpJQk0uSVFfUEVOU0lPTl9BQ0NVTV9PVEhFUl9DSS4yMDAwLjA2LzAzLzIwMjYuLi5VU0QuSAEAAADetgEAAwAAAAAAuTPtvM173gg2w8E4znveCDlDSVEuTllTRTpJQk0uSVFfUEVOU0lPTl9MVF9BU1NFVFMuMjAwMC4wNi8wMy8yMDI2Li4uVVNELkgBAAAA3rYBAAIAAAAENzU0NQC5M+28zXveCKOuwjjOe94IMkNJUS5OWVNFOklCTS5JUV9QRU5TSU9OX0NMLjIwMDAuMDYvMDMvMjAyNi4uLlVTRC5IAQAAAN62AQACAAAABC01MjMAuTPtvM173gh4TMI4znveCDdDSVEuTllTRTpJQk0uSVFfUEVOU0lPTl9MVF9MSUFCLjIwMDAuMDYvMDMvMjAyNi4uLlVTRC5IAQAAAN62AQACAAAABS02NTQ4ALkz7bzNe94IoyXBOM573gg1Q0lRLk5ZU0U6SUJNLklRX1BFTlNJT05fT1RIRVIuMjAwMC4wNi8wMy8yMDI2Li4uVVNELkgBAAAA3rYBAAMAAAAAALkz7bzNe94IKhXEOM573gg9Q0lRLk5ZU0U6</t>
  </si>
  <si>
    <t>SUJNLklRX1BFTlNJT05fVU5SRUNPR19QUklPUi4yMDAwLjA2LzAzLzIwMjYuLi5VU0QuSAEAAADetgEAAwAAAAAAuTPtvM173gh4TMI4znveCDlDSVEuTllTRTpJQk0uSVFfUEVOU0lPTl9PVEhFUl9BREouMjAwMC4wNi8wMy8yMDI2Li4uVVNELkgBAAAA3rYBAAMAAAAAALkz7bzNe94IL/7BOM573gg/Q0lRLk5ZU0U6SUJNLklRX1BFTlNJT05fTkVUX0FTU0VUX1JFQ09HLjIwMDAuMDYvMDMvMjAyNi4uLlVTRC5IAQAAAN62AQACAAAAAzQ3NAC5M+28zXveCMjVwjjOe94IN0NJUS5OWVNFOklCTS5JUV9QRU5TSU9OX1VWX0xJQUIuMjAwMC4wNi8wMy8yMDI2Li4uVVNELkgBAAAA3rYBAAMAAAAAALkz7bzNe94IW4fCOM573ghIQ0lRLk5ZU0U6SUJNLklRX1BFTlNJT05fRVNUX0NPTlRSSUJVVElPTlNfTkVYVFlSLjIwMDAuMDYvMDMvMjAyNi4uLlVTRC5IAQAAAN62AQACAAAAAzEwMAC5M+28zXveCMI8wzjOe94ITENJUS5OWVNFOklCTS5JUV9QRU5TSU9OX1FVQVJUX0VNUExPWUVSX0NPTlRSSUJVVElPTlMuMjAwMC4wNi8wMy8yMDI2Li4uVVNELkgBAAAA3rYBAAMAAAAAALkz7bzNe94IvDzEOM573ghMQ0lRLk5ZU0U6SUJNLklRX1BFTlNJT05fUVVBUlRfQURETF9DT05UUklCVVRJT05TX0VYUC4yMDAwLjA2LzAzLzIwMjYuLi5VU0QuSAEAAADetgEAAwAAAAAAuTPtvM173gi5xsM4znveCEZDSVEuTllT</t>
  </si>
  <si>
    <t>RTpJQk0uSVFfUEVOU0lPTl9VTkZVTkRFRF9BRERMX01JTl9MSUFCLjIwMDAuMDYvMDMvMjAyNi4uLlVTRC5IAQAAAN62AQADAAAAAAC5M+28zXveCGGlxDjOe94IOUNJUS5OWVNFOklCTS5JUV9QRU5TSU9OX0JFTkVGSVRfSU5GT19EQVRFLjIwMDAuMDYvMDMvMjAyNgEAAADetgEABQAAAAozMS8xMi8yMDI1AA1b7bzNe94IucbDOM573gg5Q0lRLk5ZU0U6SUJNLklRX09QRUJfU0VSVklDRV9DT1NULjIwMDAuMDYvMDMvMjAyNi4uLlVTRC5IAQAAAN62AQACAAAAATQADVvtvM173gh4TMI4znveCDpDSVEuTllTRTpJQk0uSVFfT1BFQl9JTlRFUkVTVF9DT1NULjIwMDAuMDYvMDMvMjAyNi4uLlVTRC5IAQAAAN62AQACAAAAAzE1NgANW+28zXveCCoVxDjOe94IN0NJUS5OWVNFOklCTS5JUV9PUEVCX0VYUF9SRVRVUk4uMjAwMC4wNi8wMy8yMDI2Li4uVVNELkgBAAAA3rYBAAIAAAACLTEADVvtvM173ghbh8I4znveCDdDSVEuTllTRTpJQk0uSVFfT1BFQl9PVEhFUl9DT1NULjIwMDAuMDYvMDMvMjAyNi4uLlVTRC5IAQAAAN62AQACAAAAAy0yOAANW+28zXveCLM5wTjOe94IN0NJUS5OWVNFOklCTS5JUV9PUEVCX1RPVEFMX0NPU1QuMjAwMC4wNi8wMy8yMDI2Li4uVVNELkgBAAAA3rYBAAIAAAADMTMwAA1b7bzNe94Io67COM573ghEQ0lRLk5ZU0U6SUJNLklRX09QRUJfU1VQUExFX1BMQU5TX1RPVEFMX0NP</t>
  </si>
  <si>
    <t>U1QuMjAwMC4wNi8wMy8yMDI2Li4uVVNELkgBAAAA3rYBAAMAAAAAAA1b7bzNe94I9GDBOM573gg3Q0lRLk5ZU0U6SUJNLklRX1BPU1RfUkVUSVJFX0VYUC4yMDAwLjA2LzAzLzIwMjYuLi5VU0QuSAEAAADetgEAAgAAAAMxMzAADVvtvM173gjREMM4znveCDtDSVEuTllTRTpJQk0uSVFfT1BFQl9PQkxJR0FUSU9OX0JFRy4yMDAwLjA2LzAzLzIwMjYuLi5VU0QuSAEAAADetgEAAgAAAAQyNzY0AA1b7bzNe94IHe7DOM573ghEQ0lRLk5ZU0U6SUJNLklRX09QRUJfT0JMSUdBVElPTl9TRVJWSUNFX0NPU1QuMjAwMC4wNi8wMy8yMDI2Li4uVVNELkgBAAAA3rYBAAIAAAABNAANW+28zXveCMI8wzjOe94IRUNJUS5OWVNFOklCTS5JUV9PUEVCX09CTElHQVRJT05fSU5URVJFU1RfQ09TVC4yMDAwLjA2LzAzLzIwMjYuLi5VU0QuSAEAAADetgEAAgAAAAMxNTYADVvtvM173gi8PMQ4znveCE5DSVEuTllTRTpJQk0uSVFfT1BFQl9PQkxJR0FUSU9OX0VNUExPWUVFX0NPTlRSSUJVVElPTlMuMjAwMC4wNi8wMy8yMDI2Li4uVVNELkgBAAAA3rYBAAIAAAACMzMADVvtvM173ghbh8I4znveCEtDSVEuTllTRTpJQk0uSVFfT1BFQl9PQkxJR0FUSU9OX0FDVFVBUklBTF9HQUlOX0xPU1MuMjAwMC4wNi8wMy8yMDI2Li4uVVNELkgBAAAA3rYBAAIAAAACNjIADVvtvM173ggCZMQ4znveCDxDSVEuTllTRTpJQk0uSVFfT1BF</t>
  </si>
  <si>
    <t>Ql9PQkxJR0FUSU9OX1BBSUQuMjAwMC4wNi8wMy8yMDI2Li4uVVNELkgBAAAA3rYBAAIAAAAELTI4NAANW+28zXveCMjVwjjOe94IPkNJUS5OWVNFOklCTS5JUV9PUEVCX09CTElHQVRJT05fRlhfQURKLjIwMDAuMDYvMDMvMjAyNi4uLlVTRC5IAQAAAN62AQACAAAAAjM2AA1b7bzNe94IGLrEOM573gg7Q0lRLk5ZU0U6SUJNLklRX09QRUJfT0JMSUdBVElPTl9BQ1EuMjAwMC4wNi8wMy8yMDI2Li4uVVNELkgBAAAA3rYBAAMAAAAAAA1b7bzNe94IwjzDOM573gg/Q0lRLk5ZU0U6SUJNLklRX09QRUJfT0JMSUdBVElPTl9DVVJUQUlMLjIwMDAuMDYvMDMvMjAyNi4uLlVTRC5IAQAAAN62AQADAAAAAAANW+28zXveCLw8xDjOe94IRkNJUS5OWVNFOklCTS5JUV9PUEVCX09CTElHQVRJT05fT1RIRVJfUExBTl9BREouMjAwMC4wNi8wMy8yMDI2Li4uVVNELkgBAAAA3rYBAAMAAAAAAA1b7bzNe94INsPBOM573ghBQ0lRLk5ZU0U6SUJNLklRX09QRUJfT0JMSUdBVElPTl9QUk9KRUNURUQuMjAwMC4wNi8wMy8yMDI2Li4uVVNELkgBAAAA3rYBAAIAAAAEMjc3MQANW+28zXveCDbDwTjOe94IQ0NJUS5OWVNFOklCTS5JUV9PUEVCX09CTElHQVRJT05fQUNDVU1VTEFURUQuMjAwMC4wNi8wMy8yMDI2Li4uVVNELkgBAAAA3rYBAAMAAAAAAA1b7bzNe94IHe7DOM573gg3Q0lRLk5ZU0U6SUJNLklRX09QRUJfQVNTRVRT</t>
  </si>
  <si>
    <t>X0JFRy4yMDAwLjA2LzAzLzIwMjYuLi5VU0QuSAEAAADetgEAAgAAAAIyMAANW+28zXveCBi6xDjOe94IQUNJUS5OWVNFOklCTS5JUV9PUEVCX0FTU0VUU19BQ1RVQUxfUkVUVVJOLjIwMDAuMDYvMDMvMjAyNi4uLlVTRC5IAQAAAN62AQACAAAAATIAFILtvM173gjREMM4znveCEpDSVEuTllTRTpJQk0uSVFfT1BFQl9BU1NFVFNfRU1QTE9ZRVJfQ09OVFJJQlVUSU9OUy4yMDAwLjA2LzAzLzIwMjYuLi5VU0QuSAEAAADetgEAAgAAAAMyMDQAFILtvM173ghbh8I4znveCDdDSVEuTllTRTpJQk0uSVFfREVGX1RBWF9MSUFCX0xULjIwMDAuMDYvMDMvMjAyNi4uLlVTRC5IAQAAAN62AQACAAAAAzc4MQEIAAAABQAAAAExAQAAAAstMTkwNDg2MDY1NwMAAAADMTYwAgAAAAQxMDI3BAAAAAEwBwAAAAgzLzYvMjAyNggAAAAKMTIvMzEvMjAyNQkAAAABME/vQL3Ne94I0JvBOM573gg1Q0lRLk5ZU0U6SUJNLklRX09USEVSX0xJQUJfTFQuMjAwMC4wNi8wMy8yMDI2Li4uVVNELkgBAAAA3rYBAAIAAAAEOTAyOAEIAAAABQAAAAExAQAAAAstMTkwNDg2MDY1NwMAAAADMTYwAgAAAAQxMDYyBAAAAAEwBwAAAAgzLzYvMjAyNggAAAAKMTIvMzEvMjAyNQkAAAABME/vQL3Ne94IUju/OM573ggyQ0lRLk5ZU0U6SUJNLklRX1RPVEFMX0xJQUIuMjAwMC4wNi8wMy8yMDI2Li4uVVNELkgBAAAA3rYBAAIAAAAGMTE5MTM5AQgA</t>
  </si>
  <si>
    <t>AAAFAAAAATEBAAAACy0xOTA0ODYwNjU3AwAAAAMxNjACAAAABDEyNzYEAAAAATAHAAAACDMvNi8yMDI2CAAAAAoxMi8zMS8yMDI1CQAAAAEwT+9Avc173giEsL84znveCDNDSVEuTllTRTpJQk0uSVFfUFJFRl9SRURFRU0uMjAwMC4wNi8wMy8yMDI2Li4uVVNELkgBAAAA3rYBAAMAAAAAAE/vQL3Ne94IYRLAOM573gg3Q0lRLk5ZU0U6SUJNLklRX1BSRUZfTk9OX1JFREVFTS4yMDAwLjA2LzAzLzIwMjYuLi5VU0QuSAEAAADetgEAAwAAAAAAT+9Avc173giRib84znveCDRDSVEuTllTRTpJQk0uSVFfUFJFRl9DT05WRVJULjIwMDAuMDYvMDMvMjAyNi4uLlVTRC5IAQAAAN62AQADAAAAAABP70C9zXveCGESwDjOe94IMkNJUS5OWVNFOklCTS5JUV9QUkVGX09USEVSLjIwMDAuMDYvMDMvMjAyNi4uLlVTRC5IAQAAAN62AQADAAAAAABP70C9zXveCJGJvzjOe94IM0NJUS5OWVNFOklCTS5JUV9QUkVGX0VRVUlUWS4yMDAwLjA2LzAzLzIwMjYuLi5VU0QuSAEAAADetgEAAwAAAAAAT+9Avc173ghhEsA4znveCC5DSVEuTllTRTpJQk0uSVFfQ09NTU9OLjIwMDAuMDYvMDMvMjAyNi4uLlVTRC5IAQAAAN62AQACAAAABTYzMzE4AQgAAAAFAAAAATEBAAAACy0xOTA0ODYwNjU3AwAAAAMxNjACAAAABDExMDMEAAAAATAHAAAACDMvNi8yMDI2CAAAAAoxMi8zMS8yMDI1CQAAAAEwT+9Avc173ggv/sE4znveCCxDSVEu</t>
  </si>
  <si>
    <t>TllTRTpJQk0uSVFfQVBJQy4yMDAwLjA2LzAzLzIwMjYuLi5VU0QuSAEAAADetgEAAwAAAAAAT+9Avc173gh91784znveCCpDSVEuTllTRTpJQk0uSVFfUkUuMjAwMC4wNi8wMy8yMDI2Li4uVVNELkgBAAAA3rYBAAIAAAAGMTU1NjQ4AQgAAAAFAAAAATEBAAAACy0xOTA0ODYwNjU3AwAAAAMxNjACAAAABDEyMjIEAAAAATAHAAAACDMvNi8yMDI2CAAAAAoxMi8zMS8yMDI1CQAAAAEwT+9Avc173gj6m8A4znveCDBDSVEuTllTRTpJQk0uSVFfVFJFQVNVUlkuMjAwMC4wNi8wMy8yMDI2Li4uVVNELkgBAAAA3rYBAAIAAAAHLTE3MDYwNQEIAAAABQAAAAExAQAAAAstMTkwNDg2MDY1NwMAAAADMTYwAgAAAAQxMjQ4BAAAAAEwBwAAAAgzLzYvMjAyNggAAAAKMTIvMzEvMjAyNQkAAAABME/vQL3Ne94IbCXCOM573gg0Q0lRLk5ZU0U6SUJNLklRX09USEVSX0VRVUlUWS4yMDAwLjA2LzAzLzIwMjYuLi5VU0QuSAEAAADetgEAAgAAAAYtMTU3MTMBCAAAAAUAAAABMQEAAAALLTE5MDQ4NjA2NTcDAAAAAzE2MAIAAAAEMTAyOAQAAAABMAcAAAAIMy82LzIwMjYIAAAACjEyLzMxLzIwMjUJAAAAATBP70C9zXveCPqbwDjOe94IO0NJUS5OWVNFOklCTS5JUV9UT1RBTF9DT01NT05fRVFVSVRZLjIwMDAuMDYvMDMvMjAyNi4uLlVTRC5IAQAAAN62AQACAAAABTMyNjQ4AQgAAAAFAAAAATEBAAAACy0xOTA0ODYwNjU3AwAA</t>
  </si>
  <si>
    <t>AAMxNjACAAAABDEwMDYEAAAAATAHAAAACDMvNi8yMDI2CAAAAAoxMi8zMS8yMDI1CQAAAAEwT+9Avc173gjQm8E4znveCDlDSVEuTllTRTpJQk0uSVFfTUlOT1JJVFlfSU5URVJFU1QuMjAwMC4wNi8wMy8yMDI2Li4uVVNELkgBAAAA3rYBAAIAAAACOTMBCAAAAAUAAAABMQEAAAALLTE5MDQ4NjA2NTcDAAAAAzE2MAIAAAAEMTA1MgQAAAABMAcAAAAIMy82LzIwMjYIAAAACjEyLzMxLzIwMjUJAAAAATBP70C9zXveCPqbwDjOe94INENJUS5OWVNFOklCTS5JUV9UT1RBTF9FUVVJVFkuMjAwMC4wNi8wMy8yMDI2Li4uVVNELkgBAAAA3rYBAAIAAAAFMzI3NDEBCAAAAAUAAAABMQEAAAALLTE5MDQ4NjA2NTcDAAAAAzE2MAIAAAAEMTI3NQQAAAABMAcAAAAIMy82LzIwMjYIAAAACjEyLzMxLzIwMjUJAAAAATBP70C9zXveCJxivzjOe94IOUNJUS5OWVNFOklCTS5JUV9UT1RBTF9MSUFCX0VRVUlUWS4yMDAwLjA2LzAzLzIwMjYuLi5VU0QuSAEAAADetgEAAgAAAAYxNTE4ODABCAAAAAUAAAABMQEAAAALLTE5MDQ4NjA2NTcDAAAAAzE2MAIAAAAEMTAxMwQAAAABMAcAAAAIMy82LzIwMjYIAAAACjEyLzMxLzIwMjUJAAAAATBP70C9zXveCNCbwTjOe94IMUNJUS5OWVNFOklCTS5JUV9SVUFfR1JPU1MuMjAwMC4wNi8wMy8yMDI2Li4uVVNELkgBAAAA3rYBAAMAAAAAAE/vQL3Ne94IDRS/OM573gg1Q0lRLk5ZU0U6</t>
  </si>
  <si>
    <t>SUJNLklRX1JVQV9BQ0NVTV9ERVAuMjAwMC4wNi8wMy8yMDI2Li4uVVNELkgBAAAA3rYBAAMAAAAAAE/vQL3Ne94IhLC/OM573ggvQ0lRLk5ZU0U6SUJNLklRX1JVQV9ORVQuMjAwMC4wNi8wMy8yMDI2Li4uVVNELkgBAAAA3rYBAAMAAAAAAE/vQL3Ne94IDRS/OM573gg/Q0lRLk5ZU0U6SUJNLklRX1JVQV9DQVBJVEFMX0xFQVNFX0dST1NTLjIwMDAuMDYvMDMvMjAyNi4uLlVTRC5IAQAAAN62AQADAAAAAABP70C9zXveCJGJvzjOe94IQ0NJUS5OWVNFOklCTS5JUV9SVUFfQ0FQSVRBTF9MRUFTRV9BQ0NVTV9ERVAuMjAwMC4wNi8wMy8yMDI2Li4uVVNELkgBAAAA3rYBAAMAAAAAAE/vQL3Ne94IDRS/OM573gg9Q0lRLk5ZU0U6SUJNLklRX1JVQV9DQVBJVEFMX0xFQVNFX05FVC4yMDAwLjA2LzAzLzIwMjYuLi5VU0QuSAEAAADetgEAAwAAAAAAT+9Avc173giRib84znveCEFDSVEuTllTRTpJQk0uSVFfUlVBX09QRVJBVElOR19MRUFTRV9HUk9TUy4yMDAwLjA2LzAzLzIwMjYuLi5VU0QuSAEAAADetgEAAgAAAAQzMTI5AQgAAAAFAAAAATEBAAAACy0xOTA0ODYwNjU3AwAAAAMxNjACAAAABTQ4Mzc3BAAAAAEwBwAAAAgzLzYvMjAyNggAAAAKMTIvMzEvMjAyNQkAAAABME/vQL3Ne94IYRLAOM573ghFQ0lRLk5ZU0U6SUJNLklRX1JVQV9PUEVSQVRJTkdfTEVBU0VfQUNDVU1fREVQLjIwMDAuMDYvMDMvMjAy</t>
  </si>
  <si>
    <t>Ni4uLlVTRC5IAQAAAN62AQADAAAAAABP70C9zXveCGwlwjjOe94IP0NJUS5OWVNFOklCTS5JUV9SVUFfT1BFUkFUSU5HX0xFQVNFX05FVC4yMDAwLjA2LzAzLzIwMjYuLi5VU0QuSAEAAADetgEAAwAAAAAAgBZBvc173ghhEsA4znveCD1DSVEuTllTRTpJQk0uSVFfR1BQRV9FWENMX09QRVJfTEVBU0VTLjIwMDAuMDYvMDMvMjAyNi4uLlVTRC5IAQAAAN62AQACAAAABTE3ODc0AQgAAAAFAAAAATEBAAAACy0xOTA0ODYwNjU3AwAAAAMxNjACAAAABTQ4OTc0BAAAAAEwBwAAAAgzLzYvMjAyNggAAAAKMTIvMzEvMjAyNQkAAAABMIAWQb3Ne94IkYm/OM573gg7Q0lRLk5ZU0U6SUJNLklRX0FEX0VYQ0xfT1BFUl9MRUFTRVMuMjAwMC4wNi8wMy8yMDI2Li4uVVNELkgBAAAA3rYBAAIAAAAGLTExOTc1AQgAAAAFAAAAATEBAAAACy0xOTA0ODYwNjU3AwAAAAMxNjACAAAABTQ4OTc1BAAAAAEwBwAAAAgzLzYvMjAyNggAAAAKMTIvMzEvMjAyNQkAAAABMIAWQb3Ne94IYRLAOM573gg9Q0lRLk5ZU0U6SUJNLklRX05QUEVfRVhDTF9PUEVSX0xFQVNFUy4yMDAwLjA2LzAzLzIwMjYuLi5VU0QuSAEAAADetgEAAgAAAAQ1ODk5AQgAAAAFAAAAATEBAAAACy0xOTA0ODYwNjU3AwAAAAMxNjACAAAABTQ4OTc2BAAAAAEwBwAAAAgzLzYvMjAyNggAAAAKMTIvMzEvMjAyNQkAAAABMIAWQb3Ne94I+pvAOM573gg+Q0lRLk5Z</t>
  </si>
  <si>
    <t>U0U6SUJNLklRX0ZJTkFOQ0VfTEVBU0VTX0NVUlJFTlQuMjAwMC4wNi8wMy8yMDI2Li4uVVNELkgBAAAA3rYBAAIAAAADMjc5AQgAAAAFAAAAATEBAAAACy0xOTA0ODYwNjU3AwAAAAMxNjACAAAABTQ4OTkwBAAAAAEwBwAAAAgzLzYvMjAyNggAAAAKMTIvMzEvMjAyNQkAAAABMIAWQb3Ne94I0JvBOM573ghAQ0lRLk5ZU0U6SUJNLklRX0ZJTkFOQ0VfTEVBU0VTX0xPTkdfVEVSTS4yMDAwLjA2LzAzLzIwMjYuLi5VU0QuSAEAAADetgEAAgAAAAM4NzQBCAAAAAUAAAABMQEAAAALLTE5MDQ4NjA2NTcDAAAAAzE2MAIAAAAFNDg5OTEEAAAAATAHAAAACDMvNi8yMDI2CAAAAAoxMi8zMS8yMDI1CQAAAAEwgBZBvc173gieTcA4znveCDxDSVEuTllTRTpJQk0uSVFfVE9UQUxfRklOQU5DRV9MRUFTRVMuMjAwMC4wNi8wMy8yMDI2Li4uVVNELkgBAAAA3rYBAAIAAAAEMTE1MwEIAAAABQAAAAExAQAAAAstMTkwNDg2MDY1NwMAAAADMTYwAgAAAAU0OTAzMQQAAAABMAcAAAAIMy82LzIwMjYIAAAACjEyLzMxLzIwMjUJAAAAATCAFkG9zXveCH3XvzjOe94ITkNJUS5OWVNFOklCTS5JUV9DVVJSRU5UX1BPUlRJT05fT1BFUl9MRUFTRV9MSUFCSUxJVElFUy4yMDAwLjA2LzAzLzIwMjYuLi5VU0QuSAEAAADetgEAAgAAAAM4MDABCAAAAAUAAAABMQEAAAALLTE5MDQ4NjA2NTcDAAAAAzE2MAIAAAAFNDgzODUEAAAAATAH</t>
  </si>
  <si>
    <t>AAAACDMvNi8yMDI2CAAAAAoxMi8zMS8yMDI1CQAAAAEwgBZBvc173gieTcA4znveCElDSVEuTllTRTpJQk0uSVFfTFRfUE9SVElPTl9PUEVSX0xFQVNFX0xJQUJJTElUSUVTLjIwMDAuMDYvMDMvMjAyNi4uLlVTRC5IAQAAAN62AQACAAAABDI1NDcBCAAAAAUAAAABMQEAAAALLTE5MDQ4NjA2NTcDAAAAAzE2MAIAAAAFNDgzODMEAAAAATAHAAAACDMvNi8yMDI2CAAAAAoxMi8zMS8yMDI1CQAAAAEwgBZBvc173ghSO784znveCDlDSVEuTllTRTpJQk0uSVFfVE9UQUxfT1BFUl9MRUFTRVMuMjAwMC4wNi8wMy8yMDI2Li4uVVNELkgBAAAA3rYBAAIAAAAEMzM0NwEIAAAABQAAAAExAQAAAAstMTkwNDg2MDY1NwMAAAADMTYwAgAAAAU0ODk3OAQAAAABMAcAAAAIMy82LzIwMjYIAAAACjEyLzMxLzIwMjUJAAAAATCAFkG9zXveCJ5NwDjOe94INENJUS5OWVNFOklCTS5JUV9UT1RBTF9MRUFTRVMuMjAwMC4wNi8wMy8yMDI2Li4uVVNELkgBAAAA3rYBAAIAAAAENDUwMAEIAAAABQAAAAExAQAAAAstMTkwNDg2MDY1NwMAAAADMTYwAgAAAAU0ODk3OQQAAAABMAcAAAAIMy82LzIwMjYIAAAACjEyLzMxLzIwMjUJAAAAATCAFkG9zXveCA0UvzjOe94IUENJUS5OWVNFOklCTS5JUV9GSU5BTkNJTkdfT0JMSUdfQ1VSUkVOVF9FWENMX09QRVJfTEVBU0VTLjIwMDAuMDYvMDMvMjAyNi4uLlVTRC5IAQAAAN62AQACAAAA</t>
  </si>
  <si>
    <t>BDY0MjQBCAAAAAUAAAABMQEAAAALLTE5MDQ4NjA2NTcDAAAAAzE2MAIAAAAFNDg5ODAEAAAAATAHAAAACDMvNi8yMDI2CAAAAAoxMi8zMS8yMDI1CQAAAAEw7ORCvc173ghhEsA4znveCFRDSVEuTllTRTpJQk0uSVFfRklOQU5DSU5HX09CTElHX05PTl9DVVJSRU5UX0VYQ0xfT1BFUl9MRUFTRVMuMjAwMC4wNi8wMy8yMDI2Li4uVVNELkgBAAAA3rYBAAIAAAAFNTQ4MzYBCAAAAAUAAAABMQEAAAALLTE5MDQ4NjA2NTcDAAAAAzE2MAIAAAAFNDg5ODEEAAAAATAHAAAACDMvNi8yMDI2CAAAAAoxMi8zMS8yMDI1CQAAAAEw7ORCvc173ghsJcI4znveCENDSVEuTllTRTpJQk0uSVFfVE9UQUxfREVCVF9FWENMX09QRVJfTEVBU0VTLjIwMDAuMDYvMDMvMjAyNi4uLlVTRC5IAQAAAN62AQACAAAABTYxMjYwAQgAAAAFAAAAATEBAAAACy0xOTA0ODYwNjU3AwAAAAMxNjACAAAABTQ4OTgyBAAAAAEwBwAAAAgzLzYvMjAyNggAAAAKMTIvMzEvMjAyNQkAAAABMOzkQr3Ne94IkYm/OM573gg+Q0lRLk5ZU0U6SUJNLklRX1RPVEFMX0RFQlRfRVhDTF9MRUFTRVMuMjAwMC4wNi8wMy8yMDI2Li4uVVNELkgBAAAA3rYBAAIAAAAFNjAxMDcBCAAAAAUAAAABMQEAAAALLTE5MDQ4NjA2NTcDAAAAAzE2MAIAAAAFNDg5OTIEAAAAATAHAAAACDMvNi8yMDI2CAAAAAoxMi8zMS8yMDI1CQAAAAEw7ORCvc173gjpdMA4znveCC1D</t>
  </si>
  <si>
    <t>SVEuTllTRTpJQk0uSVFfRklMSU5HREFURV9CUy4yMDAwLjA2LzAzLzIwMjYBAAAA3rYBAAUAAAAKMjQvMDIvMjAyNgDs5EK9zXveCJ5NwDjOe94IPUNJUS5OWVNFOklCTS5JUV9UT1RBTF9PVVRTVEFORElOR19GSUxJTkdfREFURS4yMDAwLjA2LzAzLzIwMjYBAAAA3rYBAAIAAAAKOTM4LjAzNDQwNAEEAAAABQAAAAE1AQAAAAstMTkwNDg2MDY1NwIAAAAFMjQxNTMGAAAAATDs5EK9zXveCNCbwTjOe94IOUNJUS5OWVNFOklCTS5JUV9UT1RBTF9PVVRTVEFORElOR19CU19EQVRFLjIwMDAuMDYvMDMvMjAyNgEAAADetgEAAgAAAAo5MzYuOTUyMTI5AQQAAAAFAAAAATUBAAAACy0xOTA0ODYwNjU3AgAAAAUyNDE1MgYAAAABMOzkQr3Ne94IeEzCOM573ggwQ0lRLk5ZU0U6SUJNLklRX0JWX1NIQVJFLjIwMDAuMDYvMDMvMjAyNi4uLlVTRC5IAQAAAN62AQACAAAACTM0Ljg0NDg5NgEIAAAABQAAAAExAQAAAAstMTkwNDg2MDY1NwMAAAADMTYwAgAAAAQ0MDIwBAAAAAEwBwAAAAgzLzYvMjAyNggAAAAKMTIvMzEvMjAyNQkAAAABMOzkQr3Ne94IFNe+OM573gg5Q0lRLk5ZU0U6SUJNLklRX0JWX1NIQVJFX1JFUE9SVEVELjIwMDAuMDYvMDMvMjAyNi4uLlVTRC5IAQAAAN62AQADAAAAAADs5EK9zXveCJxivzjOe94IMUNJUS5OWVNFOklCTS5JUV9UQlZfU0hBUkUuMjAwMC4wNi8wMy8yMDI2Li4uVVNELkgBAAAA</t>
  </si>
  <si>
    <t>3rYBAAIAAAAKLTQ5LjU4NjMxMQEIAAAABQAAAAExAQAAAAstMTkwNDg2MDY1NwMAAAADMTYwAgAAAAQ0MTU2BAAAAAEwBwAAAAgzLzYvMjAyNggAAAAKMTIvMzEvMjAyNQkAAAABMOzkQr3Ne94IeEzCOM573gg6Q0lRLk5ZU0U6SUJNLklRX1RCVl9TSEFSRV9SRVBPUlRFRC4yMDAwLjA2LzAzLzIwMjYuLi5VU0QuSAEAAADetgEAAwAAAAAA7ORCvc173ggNFL84znveCCtDSVEuTllTRTpJQk0uSVFfVEJWLjIwMDAuMDYvMDMvMjAyNi4uLlVTRC5IAQAAAN62AQACAAAABi00NjQ2MAEIAAAABQAAAAExAQAAAAstMTkwNDg2MDY1NwMAAAADMTYwAgAAAAQxMzEwBAAAAAEwBwAAAAgzLzYvMjAyNggAAAAKMTIvMzEvMjAyNQkAAAABMOzkQr3Ne94IkYm/OM573ggwQ0lRLk5ZU0U6SUJNLklRX0dXX0lOVEFOLjIwMDAuMDYvMDMvMjAyNi4uLlVTRC5IAQAAAN62AQACAAAABTc5MTA4AQgAAAAFAAAAATEBAAAACy0xOTA0ODYwNjU3AwAAAAMxNjACAAAABTM1MzgxBAAAAAEwBwAAAAgzLzYvMjAyNggAAAAKMTIvMzEvMjAyNQkAAAABMOzkQr3Ne94IxOq+OM573ggyQ0lRLk5ZU0U6SUJNLklRX0NBU0hfU0hBUkUuMjAwMC4wNi8wMy8yMDI2Li4uVVNELkgBAAAA3rYBAAIAAAAJMTQuNTAxMjc0AQgAAAAFAAAAATEBAAAACy0xOTA0ODYwNjU3AwAAAAMxNjACAAAABDQzODEEAAAAATAHAAAACDMvNi8yMDI2CAAAAAox</t>
  </si>
  <si>
    <t>Mi8zMS8yMDI1CQAAAAEwtwtDvc173ghsJcI4znveCDJDSVEuTllTRTpJQk0uSVFfVE9UQUxfREVCVC4yMDAwLjA2LzAzLzIwMjYuLi5VU0QuSAEAAADetgEAAgAAAAU2NDYwNwEIAAAABQAAAAExAQAAAAstMTkwNDg2MDY1NwMAAAADMTYwAgAAAAQ0MTczBAAAAAEwBwAAAAgzLzYvMjAyNggAAAAKMTIvMzEvMjAyNQkAAAABMLcLQ73Ne94IYRLAOM573gg6Q0lRLk5ZU0U6SUJNLklRX1RPVEFMX0RFQlRfQ1VSUkVOVC4yMDAwLjA2LzAzLzIwMjYuLi5VU0QuSAEAAADetgEAAgAAAAQ3MjI0AQgAAAAFAAAAATEBAAAACy0xOTA0ODYwNjU3AwAAAAMxNjACAAAABTI1MjIzBAAAAAEwBwAAAAgzLzYvMjAyNggAAAAKMTIvMzEvMjAyNQkAAAABMLcLQ73Ne94I6XTAOM573gg+Q0lRLk5ZU0U6SUJNLklRX1RPVEFMX0RFQlRfTk9OX0NVUlJFTlQuMjAwMC4wNi8wMy8yMDI2Li4uVVNELkgBAAAA3rYBAAIAAAAFNTczODMBCAAAAAUAAAABMQEAAAALLTE5MDQ4NjA2NTcDAAAAAzE2MAIAAAAFMjUyMjQEAAAAATAHAAAACDMvNi8yMDI2CAAAAAoxMi8zMS8yMDI1CQAAAAEwtwtDvc173gicYr84znveCDBDSVEuTllTRTpJQk0uSVFfTkVUX0RFQlQuMjAwMC4wNi8wMy8yMDI2Li4uVVNELkgBAAAA3rYBAAIAAAAFNTAxOTABCAAAAAUAAAABMQEAAAALLTE5MDQ4NjA2NTcDAAAAAzE2MAIAAAAENDM2NAQAAAABMAcAAAAI</t>
  </si>
  <si>
    <t>My82LzIwMjYIAAAACjEyLzMxLzIwMjUJAAAAATC3C0O9zXveCGESwDjOe94IP0NJUS5OWVNFOklCTS5JUV9NSU5PUklUWV9JTlRFUkVTVF9UT1RBTC4yMDAwLjA2LzAzLzIwMjYuLi5VU0QuSAEAAADetgEAAgAAAAI5MwEIAAAABQAAAAExAQAAAAstMTkwNDg2MDY1NwMAAAADMTYwAgAAAAQxMzEyBAAAAAEwBwAAAAgzLzYvMjAyNggAAAAKMTIvMzEvMjAyNQkAAAABMLcLQ73Ne94I0JvBOM573ggxQ0lRLk5ZU0U6SUJNLklRX1RPVEFMX0NBUC4yMDAwLjA2LzAzLzIwMjYuLi5VU0QuSAEAAADetgEAAgAAAAU5NzM0OAEIAAAABQAAAAExAQAAAAstMTkwNDg2MDY1NwMAAAADMTYwAgAAAAQ0MTc1BAAAAAEwBwAAAAgzLzYvMjAyNggAAAAKMTIvMzEvMjAyNQkAAAABMLcLQ73Ne94IhLC/OM573ggzQ0lRLk5ZU0U6SUJNLklRX1dPUktJTkdfQ0FQLjIwMDAuMDYvMDMvMjAyNi4uLlVTRC5IAQAAAN62AQACAAAABS0xNzE0AQgAAAAFAAAAATEBAAAACy0xOTA0ODYwNjU3AwAAAAMxNjACAAAABDQxNjUEAAAAATAHAAAACDMvNi8yMDI2CAAAAAoxMi8zMS8yMDI1CQAAAAEwtwtDvc173ghH6sE4znveCDdDSVEuTllTRTpJQk0uSVFfTkVUX1dPUktJTkdfQ0FQLjIwMDAuMDYvMDMvMjAyNi4uLlVTRC5IAQAAAN62AQACAAAABS04OTA3AQgAAAAFAAAAATEBAAAACy0xOTA0ODYwNjU3AwAAAAMxNjACAAAABDEzMTEE</t>
  </si>
  <si>
    <t>AAAAATAHAAAACDMvNi8yMDI2CAAAAAoxMi8zMS8yMDI1CQAAAAEwtwtDvc173ggew8A4znveCDhDSVEuTllTRTpJQk0uSVFfQUxMT1dfRE9VQlRfQUNDVC4yMDAwLjA2LzAzLzIwMjYuLi5VU0QuSAEAAADetgEAAgAAAAI5OQEIAAAABQAAAAExAQAAAAstMTkwNDg2MDY1NwMAAAADMTYwAgAAAAQzMDEyBAAAAAEwBwAAAAgzLzYvMjAyNggAAAAKMTIvMzEvMjAyNQkAAAABMLcLQ73Ne94IeEzCOM573gg1Q0lRLk5ZU0U6SUJNLklRX0VRVUlUWV9NRVRIT0QuMjAwMC4wNi8wMy8yMDI2Li4uVVNELkgBAAAA3rYBAAIAAAACNjABCAAAAAUAAAABMQEAAAALLTE5MDQ4NjA2NTcDAAAAAzE2MAIAAAAEMzA2MwQAAAABMAcAAAAIMy82LzIwMjYIAAAACjEyLzMxLzIwMjUJAAAAATC3C0O9zXveCH3XvzjOe94IM0NJUS5OWVNFOklCTS5JUV9BUl9VTkJJTExFRC4yMDAwLjA2LzAzLzIwMjYuLi5VU0QuSAEAAADetgEAAgAAAAM0ODIBCAAAAAUAAAABMQEAAAALLTE5MDQ4NjA2NTcDAAAAAzE2MAIAAAAFNDU0MjAEAAAAATAHAAAACDMvNi8yMDI2CAAAAAoxMi8zMS8yMDI1CQAAAAEwtwtDvc173ggew8A4znveCCpDSVEuTllTRTpJQk0uSVFfSU5WX01FVEhPRC4yMDAwLjA2LzAzLzIwMjYBAAAA3rYBAAMAAAAIQXZnIENvc3QAtwtDvc173gicYr84znveCC1DSVEuTllTRTpJQk0uSVFfTElGT1IuMjAwMC4wNi8wMy8y</t>
  </si>
  <si>
    <t>MDI2Li4uVVNELkgBAAAA3rYBAAMAAAAAALcLQ73Ne94IbCXCOM573ggvQ0lRLk5ZU0U6SUJNLklRX1JBV19JTlYuMjAwMC4wNi8wMy8yMDI2Li4uVVNELkgBAAAA3rYBAAMAAAAAALcLQ73Ne94IYRLAOM573ggvQ0lRLk5ZU0U6SUJNLklRX1dJUF9JTlYuMjAwMC4wNi8wMy8yMDI2Li4uVVNELkgBAAAA3rYBAAIAAAADOTkwAQgAAAAFAAAAATEBAAAACy0xOTA0ODYwNjU3AwAAAAMxNjACAAAABDMyMTkEAAAAATAHAAAACDMvNi8yMDI2CAAAAAoxMi8zMS8yMDI1CQAAAAEwtwtDvc173gj6m8A4znveCDRDSVEuTllTRTpJQk0uSVFfRklOSVNIRURfSU5WLjIwMDAuMDYvMDMvMjAyNi4uLlVTRC5IAQAAAN62AQACAAAAAzIzMAEIAAAABQAAAAExAQAAAAstMTkwNDg2MDY1NwMAAAADMTYwAgAAAAQzMDc1BAAAAAEwBwAAAAgzLzYvMjAyNggAAAAKMTIvMzEvMjAyNQkAAAABMLcLQ73Ne94IbCXCOM573ggxQ0lRLk5ZU0U6SUJNLklRX09USEVSX0lOVi4yMDAwLjA2LzAzLzIwMjYuLi5VU0QuSAEAAADetgEAAwAAAAAAtwtDvc173giEsL84znveCCxDSVEuTllTRTpJQk0uSVFfTEFORC4yMDAwLjA2LzAzLzIwMjYuLi5VU0QuSAEAAADetgEAAgAAAAMxODIBCAAAAAUAAAABMQEAAAALLTE5MDQ4NjA2NTcDAAAAAzE2MAIAAAAEMzA5OAQAAAABMAcAAAAIMy82LzIwMjYIAAAACjEyLzMxLzIwMjUJAAAAATC3C0O9</t>
  </si>
  <si>
    <t>zXveCNCbwTjOe94IMUNJUS5OWVNFOklCTS5JUV9CVUlMRElOR1MuMjAwMC4wNi8wMy8yMDI2Li4uVVNELkgBAAAA3rYBAAIAAAAENDgwNwEIAAAABQAAAAExAQAAAAstMTkwNDg2MDY1NwMAAAADMTYwAgAAAAQzMDIzBAAAAAEwBwAAAAgzLzYvMjAyNggAAAAKMTIvMzEvMjAyNQkAAAABMLcLQ73Ne94IDRS/OM573ggxQ0lRLk5ZU0U6SUJNLklRX01BQ0hJTkVSWS4yMDAwLjA2LzAzLzIwMjYuLi5VU0QuSAEAAADetgEAAgAAAAUxMjg4NQEIAAAABQAAAAExAQAAAAstMTkwNDg2MDY1NwMAAAADMTYwAgAAAAQzMTE0BAAAAAEwBwAAAAgzLzYvMjAyNggAAAAKMTIvMzEvMjAyNQkAAAABMLcLQ73Ne94IR+rBOM573ggwQ0lRLk5ZU0U6SUJNLklRX1NPRlRXQVJFLjIwMDAuMDYvMDMvMjAyNi4uLlVTRC5IAQAAAN62AQADAAAAAAC3C0O9zXveCNCbwTjOe94IPkNJUS5OWVNFOklCTS5JUV9OQVRVUkFMX1JFU09VUkNFU19DT1NULjIwMDAuMDYvMDMvMjAyNi4uLlVTRC5IAQAAAN62AQADAAAAAAC3C0O9zXveCHhMwjjOe94IK0NJUS5OWVNFOklCTS5JUV9DSVAuMjAwMC4wNi8wMy8yMDI2Li4uVVNELkgBAAAA3rYBAAMAAAAAALcLQ73Ne94I6XTAOM573gg9Q0lRLk5ZU0U6SUJNLklRX0xFQVNFSE9MRF9JTVBST1ZFTUVOVC4yMDAwLjA2LzAzLzIwMjYuLi5VU0QuSAEAAADetgEAAwAAAAAAtwtDvc173ggew8A4</t>
  </si>
  <si>
    <t>znveCDtDSVEuTllTRTpJQk0uSVFfTUlOT1JJVFlfSU5UX1JFREVFTS4yMDAwLjA2LzAzLzIwMjYuLi5VU0QuSAEAAADetgEAAwAAAAAAtwtDvc173giRib84znveCENDSVEuTllTRTpJQk0uSVFfRklOX0RJVl9NSU5PUklUWV9JTlRfUkVERUVNLjIwMDAuMDYvMDMvMjAyNi4uLlVTRC5IAQAAAN62AQADAAAAAAC3C0O9zXveCGESwDjOe94IP0NJUS5OWVNFOklCTS5JUV9NSU5PUklUWV9JTlRfUkVERUVNX1RPVC4yMDAwLjA2LzAzLzIwMjYuLi5VU0QuSAEAAADetgEAAwAAAAAAtwtDvc173gieTcA4znveCEFDSVEuTllTRTpJQk0uSVFfRklOX0RJVl9NSU5PUklUWV9JTlRFUkVTVC4yMDAwLjA2LzAzLzIwMjYuLi5VU0QuSAEAAADetgEAAwAAAAAAtwtDvc173gjE6r44znveCENDSVEuTllTRTpJQk0uSVFfREVGX1RBWF9WQUxVQVRJT05fQUxMT1dBTkNFLjIwMDAuMDYvMDMvMjAyNi4uLlVTRC5IAQAAAN62AQACAAAABDExNDMBCAAAAAUAAAABMQEAAAALLTE5MDQ4NjA2NTcDAAAAAzE2MAIAAAAFNDYwNDUEAAAAATAHAAAACDMvNi8yMDI2CAAAAAoxMi8zMS8yMDI1CQAAAAEw1DJDvc173ghsJcI4znveCEVDSVEuTllTRTpJQk0uSVFfR0VORVJBTF9QQVJUTkVSX0NPTU1PTl9FUVVJVFkuMjAwMC4wNi8wMy8yMDI2Li4uVVNELkgBAAAA3rYBAAMAAAAAANQyQ73Ne94IkYm/OM573ghDQ0lRLk5ZU0U6SUJN</t>
  </si>
  <si>
    <t>LklRX0dFTkVSQUxfUEFSVE5FUl9QUkVGX0VRVUlUWS4yMDAwLjA2LzAzLzIwMjYuLi5VU0QuSAEAAADetgEAAwAAAAAA1DJDvc173ghhEsA4znveCElDSVEuTllTRTpJQk0uSVFfR0VORVJBTF9QQVJUTkVSX01JTk9SSVRZX0lOVEVSRVNULjIwMDAuMDYvMDMvMjAyNi4uLlVTRC5IAQAAAN62AQADAAAAAADUMkO9zXveCOl0wDjOe94IRkNJUS5OWVNFOklCTS5JUV9UT1RBTF9HRU5FUkFMX1BBUlRORVJfSU5URVJFU1QuMjAwMC4wNi8wMy8yMDI2Li4uVVNELkgBAAAA3rYBAAMAAAAAAH+VR73Ne94IR+rBOM573ghLQ0lRLk5ZU0U6SUJNLklRX0xJUVVJREFUSU9OX1ZBTFVFX1BSRUZFUlJFRF9DT05WRVJULjIwMDAuMDYvMDMvMjAyNi4uLlVTRC5IAQAAAN62AQADAAAAAAB/lUe9zXveCNCbwTjOe94ITkNJUS5OWVNFOklCTS5JUV9MSVFVSURBVElPTl9WQUxVRV9QUkVGRVJSRURfTk9OX1JFREVFTS4yMDAwLjA2LzAzLzIwMjYuLi5VU0QuSAEAAADetgEAAwAAAAAAf5VHvc173gh4TMI4znveCEpDSVEuTllTRTpJQk0uSVFfTElRVUlEQVRJT05fVkFMVUVfUFJFRkVSUkVEX1JFREVFTS4yMDAwLjA2LzAzLzIwMjYuLi5VU0QuSAEAAADetgEAAwAAAAAAf5VHvc173ghH6sE4znveCDZDSVEuTllTRTpJQk0uSVFfQVNTRVRTX0xFVkVMXzEuMjAwMC4wNi8wMy8yMDI2Li4uVVNELkgBAAAA3rYBAAIAAAADNDEz</t>
  </si>
  <si>
    <t>AH+VR73Ne94IHsPAOM573gg2Q0lRLk5ZU0U6SUJNLklRX0FTU0VUU19MRVZFTF8yLjIwMDAuMDYvMDMvMjAyNi4uLlVTRC5IAQAAAN62AQACAAAABDg0OTUAf5VHvc173gj6m8A4znveCDZDSVEuTllTRTpJQk0uSVFfQVNTRVRTX0xFVkVMXzMuMjAwMC4wNi8wMy8yMDI2Li4uVVNELkgBAAAA3rYBAAMAAAAAAH+VR73Ne94IDRS/OM573ghIQ0lRLk5ZU0U6SUJNLklRX0FTU0VUU19ORVRUSU5HX09USEVSX0FESlVTVE1FTlRTLjIwMDAuMDYvMDMvMjAyNi4uLlVTRC5IAQAAAN62AQADAAAAAAB/lUe9zXveCDbDwTjOe94IOUNJUS5OWVNFOklCTS5JUV9BU1NFVFNfRkFJUl9WQUxVRS4yMDAwLjA2LzAzLzIwMjYuLi5VU0QuSAEAAADetgEAAgAAAAQ4OTA4AH+VR73Ne94IhLC/OM573gg7Q0lRLk5ZU0U6SUJNLklRX0xJQUJJTElUSUVTX0xFVkVMXzEuMjAwMC4wNi8wMy8yMDI2Li4uVVNELkgBAAAA3rYBAAMAAAAAAH+VR73Ne94IbCXCOM573gg7Q0lRLk5ZU0U6SUJNLklRX0xJQUJJTElUSUVTX0xFVkVMXzIuMjAwMC4wNi8wMy8yMDI2Li4uVVNELkgBAAAA3rYBAAIAAAADNTEzAH+VR73Ne94IIv7AOM573gg7Q0lRLk5ZU0U6SUJNLklRX0xJQUJJTElUSUVTX0xFVkVMXzMuMjAwMC4wNi8wMy8yMDI2Li4uVVNELkgBAAAA3rYBAAMAAAAAAH+VR73Ne94IYRLAOM573ghNQ0lRLk5ZU0U6SUJNLklRX0xJQUJJ</t>
  </si>
  <si>
    <t>TElUSUVTX05FVFRJTkdfT1RIRVJfQURKVVNUTUVOVFMuMjAwMC4wNi8wMy8yMDI2Li4uVVNELkgBAAAA3rYBAAMAAAAAAH+VR73Ne94IsznBOM573gg+Q0lRLk5ZU0U6SUJNLklRX0xJQUJJTElUSUVTX0ZBSVJfVkFMVUUuMjAwMC4wNi8wMy8yMDI2Li4uVVNELkgBAAAA3rYBAAIAAAADNTEzAF/QR73Ne94IIv7AOM573ghHQ0lRLk5ZU0U6SUJNLklRX0ZBSVJfVkFMVUVfQ0hBTkdFX0lOQ0xfRUFSTklOR1MuMjAwMC4wNi8wMy8yMDI2Li4uVVNELkgBAAAA3rYBAAMAAAAAAF/QR73Ne94I0JvBOM573ggpQ0lRLk5ZU0U6SUJNLklRX0ZVTExfVElNRS4yMDAwLjA2LzAzLzIwMjYBAAAA3rYBAAIAAAAGMjY0MzAwAF/QR73Ne94IeEzCOM573ggpQ0lRLk5ZU0U6SUJNLklRX1BBUlRfVElNRS4yMDAwLjA2LzAzLzIwMjYBAAAA3rYBAAMAAAAAAF/QR73Ne94IR+rBOM573ggvQ0lRLk5ZU0U6SUJNLklRX1RPVEFMX0VNUExPWUVFUy4yMDAwLjA2LzAzLzIwMjYBAAAA3rYBAAIAAAAGMjY0MzAwAF/QR73Ne94IHsPAOM573gg/Q0lRLk5ZU0U6SUJNLklRX0VNUExPWUVFU19VTkRFUl9VTklPTl9DT05UUkFDVFMuMjAwMC4wNi8wMy8yMDI2AQAAAN62AQADAAAAAABf0Ee9zXveCHhMwjjOe94ILUNJUS5OWVNFOklCTS5JUV9BVkdfRU1QTE9ZRUVTLjIwMDAuMDYvMDMvMjAyNgEAAADetgEAAwAAAAAAX9BHvc173ghh</t>
  </si>
  <si>
    <t>EsA4znveCDJDSVEuTllTRTpJQk0uSVFfQVZHX1RFTVBfRU1QTE9ZRUVTLjIwMDAuMDYvMDMvMjAyNgEAAADetgEAAgAAAAUxMzgwMAEIAAAABQAAAAExAQAAAAstMTkwNDg2MDY1NwMAAAADMTYwAgAAAAUyNDY3NQQAAAABMAcAAAAIMy82LzIwMjYIAAAACjEyLzMxLzIwMjUJAAAAATBf0Ee9zXveCDbDwTjOe94IMUNJUS5OWVNFOklCTS5JUV9OVU1CRVJfQURSSE9MREVSUy4yMDAwLjA2LzAzLzIwMjYBAAAA3rYBAAMAAAAAAF/QR73Ne94IxOq+OM573gg9Q0lRLk5ZU0U6SUJNLklRX0ZJTl9ESVZfTFRfREVCVF9UT1RBTC4yMDAwLjA2LzAzLzIwMjYuLi5VU0QuSAEAAADetgEAAgAAAAUxNTA5MwEIAAAABQAAAAExAQAAAAstMTkwNDg2MDY1NwMAAAADMTYwAgAAAAUyNDUxNQQAAAABMAcAAAAIMy82LzIwMjYIAAAACjEyLzMxLzIwMjUJAAAAATBf0Ee9zXveCGwlwjjOe94IPUNJUS5OWVNFOklCTS5JUV9GSU5fRElWX1NUX0RFQlRfVE9UQUwuMjAwMC4wNi8wMy8yMDI2Li4uVVNELkgBAAAA3rYBAAMAAAAAAF/QR73Ne94INsPBOM573gg6Q0lRLk5ZU0U6SUJNLklRX0ZJTl9ESVZfREVCVF9UT1RBTC4yMDAwLjA2LzAzLzIwMjYuLi5VU0QuSAEAAADetgEAAgAAAAUxNTA5MwEIAAAABQAAAAExAQAAAAstMTkwNDg2MDY1NwMAAAADMTYwAgAAAAUyNDUxNgQAAAABMAcAAAAIMy82LzIwMjYIAAAACjEyLzMx</t>
  </si>
  <si>
    <t>LzIwMjUJAAAAATBf0Ee9zXveCJxivzjOe94IOkNJUS5OWVNFOklCTS5JUV9GSU5fRElWX0NBU0hfRVFVSVYuMjAwMC4wNi8wMy8yMDI2Li4uVVNELkgBAAAA3rYBAAMAAAAAAF/QR73Ne94IsznBOM573gg5Q0lRLk5ZU0U6SUJNLklRX0ZJTl9ESVZfU1RfSU5WRVNULjIwMDAuMDYvMDMvMjAyNi4uLlVTRC5IAQAAAN62AQADAAAAAABf0Ee9zXveCKMlwTjOe94IOkNJUS5OWVNFOklCTS5JUV9ERUJUX0VRVUlWX05FVF9QQk8uMjAwMC4wNi8wMy8yMDI2Li4uVVNELkgBAAAA3rYBAAIAAAAELTQ3NAEIAAAABQAAAAExAQAAAAstMTkwNDg2MDY1NwMAAAADMTYwAgAAAAUyMTY3OQQAAAABMAcAAAAIMy82LzIwMjYIAAAACjEyLzMxLzIwMjUJAAAAATBf0Ee9zXveCNCbwTjOe94IPUNJUS5OWVNFOklCTS5JUV9ERUJUX0VRVUlWX09QRVJfTEVBU0UuMjAwMC4wNi8wMy8yMDI2Li4uVVNELkgBAAAA3rYBAAIAAAAFMTA0NjQBCAAAAAUAAAABMQEAAAALLTE5MDQ4NjA2NTcDAAAAAzE2MAIAAAAFMjE2NzEEAAAAATAHAAAACDMvNi8yMDI2CAAAAAoxMi8zMS8yMDI1CQAAAAEwX9BHvc173gizOcE4znveCC5DSVEuTllTRTpJQk0uSVFfQ09TVF9CT1JST1dJTkcuMjAwMC4wNi8wMy8yMDI2AQAAAN62AQACAAAABjMuMTUyNwEIAAAABQAAAAExAQAAAAstMTkwNDg2MDY1NwMAAAADMTYwAgAAAAUyMTY4MQQAAAABMAcA</t>
  </si>
  <si>
    <t>AAAIMy82LzIwMjYIAAAACjEyLzMxLzIwMjUJAAAAATBf0Ee9zXveCC/+wTjOe94IQ0NJUS5OWVNFOklCTS5JUV9SRVNUUklDVEVEX0NBU0hfTk9OX0NVUlJFTlQuMjAwMC4wNi8wMy8yMDI2Li4uVVNELkgBAAAA3rYBAAMAAAAAAF/QR73Ne94IHsPAOM573gg9Q0lRLk5ZU0U6SUJNLklRX1JFU1RSSUNURURfQ0FTSF9UT1RBTC4yMDAwLjA2LzAzLzIwMjYuLi5VU0QuSAEAAADetgEAAgAAAAI1NAEIAAAABQAAAAExAQAAAAstMTkwNDg2MDY1NwMAAAADMTYwAgAAAAUyNDE5MgQAAAABMAcAAAAIMy82LzIwMjYIAAAACjEyLzMxLzIwMjUJAAAAATBf0Ee9zXveCHhMwjjOe94IO0NJUS5OWVNFOklCTS5JUV9UT1RBTF9ERUJUX0VYQ0xfRklOLjIwMDAuMDYvMDMvMjAyNi4uLlVTRC5IAQAAAN62AQACAAAABTY0NjA3AQgAAAAFAAAAATEBAAAACy0xOTA0ODYwNjU3AwAAAAMxNjACAAAABTIxODYwBAAAAAEwBwAAAAgzLzYvMjAyNggAAAAKMTIvMzEvMjAyNQkAAAABMF/QR73Ne94IYRLAOM573gg1Q0lRLk5ZU0U6SUJNLklRX09SREVSX0JBQ0tMT0cuMjAwMC4wNi8wMy8yMDI2Li4uVVNELkgBAAAA3rYBAAIAAAAFMzE5MDABCAAAAAUAAAABMQEAAAALLTE5MDQ4NjA2NTcDAAAAAzE2MAIAAAAEMzEyNQQAAAABMAcAAAAIMy82LzIwMjYIAAAACjEyLzMxLzIwMjUJAAAAATBf0Ee9zXveCB7DwDjOe94IPkNJUS5O</t>
  </si>
  <si>
    <t>WVNFOklCTS5JUV9DT05USU5HRU5UX0xJQUJJTElUSUVTLjIwMDAuMDYvMDMvMjAyNi4uLlVTRC5IAQAAAN62AQADAAAAAABf0Ee9zXveCPRgwTjOe94IPENJUS5OWVNFOklCTS5JUV9XQVJSQU5UWV9MSUFCSUxJVElFUy4yMDAwLjA2LzAzLzIwMjYuLi5VU0QuSAEAAADetgEAAwAAAAAAX9BHvc173ggv/sE4znveCDtDSVEuTllTRTpJQk0uSVFfU1RfREVCVF9ERVJJVkFUSVZFUy4yMDAwLjA2LzAzLzIwMjYuLi5VU0QuSAEAAADetgEAAwAAAAAAX9BHvc173gjQm8E4znveCEVDSVEuTllTRTpJQk0uSVFfQ1VSUkVOVF9QT1JUX0RFQlRfREVSSVZBVElWRVMuMjAwMC4wNi8wMy8yMDI2Li4uVVNELkgBAAAA3rYBAAMAAAAAAF/QR73Ne94IeEzCOM573gg7Q0lRLk5ZU0U6SUJNLklRX0xUX0RFQlRfREVSSVZBVElWRVMuMjAwMC4wNi8wMy8yMDI2Li4uVVNELkgBAAAA3rYBAAMAAAAAAF/QR73Ne94INsPBOM573gg/Q0lRLk5ZU0U6SUJNLklRX0RFUklWQVRJVkVfTElBQl9DVVJSRU5ULjIwMDAuMDYvMDMvMjAyNi4uLlVTRC5IAQAAAN62AQACAAAAAzI1NAEIAAAABQAAAAExAQAAAAstMTkwNDg2MDY1NwMAAAADMTYwAgAAAAU0MDQxNwQAAAABMAcAAAAIMy82LzIwMjYIAAAACjEyLzMxLzIwMjUJAAAAATBf0Ee9zXveCHhMwjjOe94IQ0NJUS5OWVNFOklCTS5JUV9ERVJJVkFUSVZFX0xJQUJfTk9OX0NVUlJF</t>
  </si>
  <si>
    <t>TlQuMjAwMC4wNi8wMy8yMDI2Li4uVVNELkgBAAAA3rYBAAIAAAADMjU5AQgAAAAFAAAAATEBAAAACy0xOTA0ODYwNjU3AwAAAAMxNjACAAAABTQwNDE5BAAAAAEwBwAAAAgzLzYvMjAyNggAAAAKMTIvMzEvMjAyNQkAAAABMF/QR73Ne94IsznBOM573ghBQ0lRLk5ZU0U6SUJNLklRX0RFUklWQVRJVkVfVFJBRElOR19BU1NFVFMuMjAwMC4wNi8wMy8yMDI2Li4uVVNELkgBAAAA3rYBAAMAAAAAAF/QR73Ne94IHsPAOM573ghBQ0lRLk5ZU0U6SUJNLklRX0RFUklWQVRJVkVfQVNTRVRTX0NVUlJFTlQuMjAwMC4wNi8wMy8yMDI2Li4uVVNELkgBAAAA3rYBAAIAAAADMjMyAQgAAAAFAAAAATEBAAAACy0xOTA0ODYwNjU3AwAAAAMxNjACAAAABDExMDkEAAAAATAHAAAACDMvNi8yMDI2CAAAAAoxMi8zMS8yMDI1CQAAAAEwX9BHvc173gizOcE4znveCDxDSVEuTllTRTpJQk0uSVFfREVSSVZBVElWRV9BU1NFVFNfTFQuMjAwMC4wNi8wMy8yMDI2Li4uVVNELkgBAAAA3rYBAAIAAAADMzYxAQgAAAAFAAAAATEBAAAACy0xOTA0ODYwNjU3AwAAAAMxNjACAAAABDExMTAEAAAAATAHAAAACDMvNi8yMDI2CAAAAAoxMi8zMS8yMDI1CQAAAAEwX9BHvc173ggi/sA4znveCDpDSVEuTllTRTpJQk0uSVFfR1JPU1NfSU5UQU5fQVNTRVRTLjIwMDAuMDYvMDMvMjAyNi4uLlVTRC5IAQAAAN62AQACAAAABTIwODMwAQgAAAAF</t>
  </si>
  <si>
    <t>AAAAATEBAAAACy0xOTA0ODYwNjU3AwAAAAMxNjACAAAABTI0MjkzBAAAAAEwBwAAAAgzLzYvMjAyNggAAAAKMTIvMzEvMjAyNQkAAAABMF/QR73Ne94I9GDBOM573ghAQ0lRLk5ZU0U6SUJNLklRX0FDQ1VNX0FNT1JUX0lOVEFOX0FTU0VUUy4yMDAwLjA2LzAzLzIwMjYuLi5VU0QuSAEAAADetgEAAgAAAAYtMTA0MDMBCAAAAAUAAAABMQEAAAALLTE5MDQ4NjA2NTcDAAAAAzE2MAIAAAAFMjQzMzEEAAAAATAHAAAACDMvNi8yMDI2CAAAAAoxMi8zMS8yMDI1CQAAAAEwX9BHvc173ggCZMQ4znveCDBDSVEuTllTRTpJQk0uSVFfR1JPU1NfR1cuMjAwMC4wNi8wMy8yMDI2Li4uVVNELkgBAAAA3rYBAAMAAAAAAF/QR73Ne94I9GDBOM573gg2Q0lRLk5ZU0U6SUJNLklRX0FDQ1VNX0FNT1JUX0dXLjIwMDAuMDYvMDMvMjAyNi4uLlVTRC5IAQAAAN62AQADAAAAAABf0Ee9zXveCC/+wTjOe94IOkNJUS5OWVNFOklCTS5JUV9MVF9NQVJLX1NFQ1VSSVRJRVMuMjAwMC4wNi8wMy8yMDI2Li4uVVNELkgBAAAA3rYBAAMAAAAAAMP3R73Ne94IAmTEOM573gg9Q0lRLk5ZU0U6SUJNLklRX0FEVkFOQ0VTX0ZPUl9TVVBQTElFUy4yMDAwLjA2LzAzLzIwMjYuLi5VU0QuSAEAAADetgEAAwAAAAAAw/dHvc173ghsJcI4znveCDRDSVEuTllTRTpJQk0uSVFfR1dfSU5UQU5fTkVULjIwMDAuMDYvMDMvMjAyNi4uLlVTRC5IAQAA</t>
  </si>
  <si>
    <t>AN62AQADAAAAAADD90e9zXveCB3uwzjOe94ILkNJUS5OWVNFOklCTS5JUV9HV19ORVQuMjAwMC4wNi8wMy8yMDI2Li4uVVNELkgBAAAA3rYBAAIAAAAFNjc3MTcBCAAAAAUAAAABMQEAAAALLTE5MDQ4NjA2NTcDAAAAAzE2MAIAAAAFNDg5NjAEAAAAATAHAAAACDMvNi8yMDI2CAAAAAoxMi8zMS8yMDI1CQAAAAEww/dHvc173ghsJcI4znveCDFDSVEuTllTRTpJQk0uSVFfSU5UQU5fTkVULjIwMDAuMDYvMDMvMjAyNi4uLlVTRC5IAQAAAN62AQACAAAABTExMzkxAQgAAAAFAAAAATEBAAAACy0xOTA0ODYwNjU3AwAAAAMxNjACAAAABTQ4OTYyBAAAAAEwBwAAAAgzLzYvMjAyNggAAAAKMTIvMzEvMjAyNQkAAAABMMP3R73Ne94IIv7AOM573gg3Q0lRLk5ZU0U6SUJNLklRX0lOVEVSQ09NUEFOWV9DQS4yMDAwLjA2LzAzLzIwMjYuLi5VU0QuSAEAAADetgEAAwAAAAAAw/dHvc173ggd7sM4znveCDtDSVEuTllTRTpJQk0uSVFfSU5URVJDT01QQU5ZX05PTl9DQS4yMDAwLjA2LzAzLzIwMjYuLi5VU0QuSAEAAADetgEAAwAAAAAAw/dHvc173ggi/sA4znveCDdDSVEuTllTRTpJQk0uSVFfSU5URVJDT01QQU5ZX0NMLjIwMDAuMDYvMDMvMjAyNi4uLlVTRC5IAQAAAN62AQADAAAAAADD90e9zXveCPRgwTjOe94IO0NJUS5OWVNFOklCTS5JUV9JTlRFUkNPTVBBTllfTk9OX0NMLjIwMDAuMDYvMDMvMjAyNi4uLlVT</t>
  </si>
  <si>
    <t>RC5IAQAAAN62AQADAAAAAADD90e9zXveCB7DwDjOe94IL0NJUS5OWVNFOklCTS5JUV9GSUxJTkdfQ1VSUkVOQ1kuMjAwMC4wNi8wMy8yMDI2AQAAAN62AQADAAAAA1VTRAD359q9zXveCLM5wTjOe94ILkNJUS5OWVNFOklCTS5JUV9SRVNUQVRFTUVOVF9CUy4yMDAwLjA2LzAzLzIwMjYBAAAA3rYBAAMAAAABTwDD90e9zXveCHhMwjjOe94ILENJUS5OWVNFOklCTS5JUV9DQUxDX1RZUEVfQlMuMjAwMC4wNi8wMy8yMDI2AQAAAN62AQADAAAAA1JFUADD90e9zXveCLM5wTjOe94IJ0NJUS5OWVNFOklCTS5JUV9HQUFQX0JTLjIwMDAuMDYvMDMvMjAyNgEAAADetgEAAwAAAAdVUyBHQUFQAMP3R73Ne94I9GDBOM573ggsQ0lRLk5ZU0U6SUJNLklRX0FVRElUT1JfTkFNRS4yMDAwLjA2LzAzLzIwMjYBAAAA3rYBAAMAAAAAAMP3R73Ne94IAmTEOM573ggvQ0lRLk5ZU0U6SUJNLklRX0FVRElUT1JfT1BJTklPTi4yMDAwLjA2LzAzLzIwMjYBAAAA3rYBAAMAAAAAAMP3R73Ne94I9GDBOM573gg8Q0lRLk5ZU0U6SUJNLklRX1BFTlNJT05fU0VSVklDRV9DT1NULjIwMDAuMDYvMDMvMjAyNi4uLlVTRC5IAQAAAN62AQACAAAAAzUyNgDD90e9zXveCLM5wTjOe94IPUNJUS5OWVNFOklCTS5JUV9QRU5TSU9OX0lOVEVSRVNUX0NPU1QuMjAwMC4wNi8wMy8yMDI2Li4uVVNELkgBAAAA3rYBAAIAAAAEMTgxOADD90e9zXve</t>
  </si>
  <si>
    <t>CDbDwTjOe94IPkNJUS5OWVNFOklCTS5JUV9QRU5TSU9OX09CTElHQVRJT05fUk9BLjIwMDAuMDYvMDMvMjAyNi4uLlVTRC5IAQAAAN62AQACAAAABS0yNTQwAMP3R73Ne94IHe7DOM573ghFQ0lRLk5ZU0U6SUJNLklRX1BFTlNJT05fT0JMSUdBVElPTl9PVEhFUl9DT1NULjIwMDAuMDYvMDMvMjAyNi4uLlVTRC5IAQAAAN62AQACAAAAAzY3MgDD90e9zXveCPRgwTjOe94IRUNJUS5OWVNFOklCTS5JUV9QRU5TSU9OX09CTElHQVRJT05fVE9UQUxfQ09TVC4yMDAwLjA2LzAzLzIwMjYuLi5VU0QuSAEAAADetgEAAgAAAAM0NzcAw/dHvc173gijJcE4znveCFJDSVEuTllTRTpJQk0uSVFfUEVOU0lPTl9PQkxJR0FUSU9OX1NVUFBMRV9QTEFOU19UT1RBTF9DT1NULjIwMDAuMDYvMDMvMjAyNi4uLlVTRC5IAQAAAN62AQADAAAAAADD90e9zXveCPRgwTjOe94IR0NJUS5OWVNFOklCTS5JUV9QRU5TSU9OX0NPTlRSSUJVVElPTl9UT1RBTF9DT1NULjIwMDAuMDYvMDMvMjAyNi4uLlVTRC5IAQAAAN62AQACAAAAAzQ2MQDD90e9zXveCC/+wTjOe94IOUNJUS5OWVNFOklCTS5JUV9QRU5TSU9OX1RPVEFMX0VYUC4yMDAwLjA2LzAzLzIwMjYuLi5VU0QuSAEAAADetgEAAgAAAAM5MzgAw/dHvc173gj0YME4znveCD5DSVEuTllTRTpJQk0uSVFfUEVOU0lPTl9PQkxJR0FUSU9OX0JFRy4yMDAwLjA2LzAzLzIwMjYuLi5V</t>
  </si>
  <si>
    <t>U0QuSAEAAADetgEAAgAAAAU0MjcwOQDD90e9zXveCDbDwTjOe94IR0NJUS5OWVNFOklCTS5JUV9QRU5TSU9OX09CTElHQVRJT05fU0VSVklDRV9DT1NULjIwMDAuMDYvMDMvMjAyNi4uLlVTRC5IAQAAAN62AQACAAAAAzUyNgDD90e9zXveCLnGwzjOe94ISENJUS5OWVNFOklCTS5JUV9QRU5TSU9OX09CTElHQVRJT05fSU5URVJFU1RfQ09TVC4yMDAwLjA2LzAzLzIwMjYuLi5VU0QuSAEAAADetgEAAgAAAAQxODE4AMP3R73Ne94IYaXEOM573ghRQ0lRLk5ZU0U6SUJNLklRX1BFTlNJT05fT0JMSUdBVElPTl9FTVBMT1lFRV9DT05UUklCVVRJT05TLjIwMDAuMDYvMDMvMjAyNi4uLlVTRC5IAQAAAN62AQACAAAAAjE5AMP3R73Ne94IbCXCOM573ghOQ0lRLk5ZU0U6SUJNLklRX1BFTlNJT05fT0JMSUdBVElPTl9BQ1RVQVJJQUxfR0FJTl9MT1NTLjIwMDAuMDYvMDMvMjAyNi4uLlVTRC5IAQAAAN62AQACAAAABC0zMjgAw/dHvc173gj0YME4znveCD9DSVEuTllTRTpJQk0uSVFfUEVOU0lPTl9PQkxJR0FUSU9OX1BBSUQuMjAwMC4wNi8wMy8yMDI2Li4uVVNELkgBAAAA3rYBAAIAAAAFLTI5NjcAw/dHvc173gg2w8E4znveCEFDSVEuTllTRTpJQk0uSVFfUEVOU0lPTl9PQkxJR0FUSU9OX0ZYX0FESi4yMDAwLjA2LzAzLzIwMjYuLi5VU0QuSAEAAADetgEAAgAAAAQzMDMxAMP3R73Ne94IsznBOM573gg+Q0lR</t>
  </si>
  <si>
    <t>Lk5ZU0U6SUJNLklRX1BFTlNJT05fT0JMSUdBVElPTl9BQ1EuMjAwMC4wNi8wMy8yMDI2Li4uVVNELkgBAAAA3rYBAAMAAAAAAMP3R73Ne94IHe7DOM573ghCQ0lRLk5ZU0U6SUJNLklRX1BFTlNJT05fT0JMSUdBVElPTl9DVVJUQUlMLjIwMDAuMDYvMDMvMjAyNi4uLlVTRC5IAQAAAN62AQADAAAAAADD90e9zXveCC/+wTjOe94ISUNJUS5OWVNFOklCTS5JUV9QRU5TSU9OX09CTElHQVRJT05fT1RIRVJfUExBTl9BREouMjAwMC4wNi8wMy8yMDI2Li4uVVNELkgBAAAA3rYBAAIAAAAELTQ3NgDD90e9zXveCPRgwTjOe94IRENJUS5OWVNFOklCTS5JUV9QRU5TSU9OX09CTElHQVRJT05fUFJPSkVDVEVELjIwMDAuMDYvMDMvMjAyNi4uLlVTRC5IAQAAAN62AQACAAAABTQ0MzMyAOUeSL3Ne94INsPBOM573ghGQ0lRLk5ZU0U6SUJNLklRX1BFTlNJT05fQUNDVU1VTEFURURfT0JMSUdBVElPTi4yMDAwLjA2LzAzLzIwMjYuLi5VU0QuSAEAAADetgEAAgAAAAU0NDAwMADlHki9zXveCKMlwTjOe94IPENJUS5OWVNFOklCTS5JUV9ORUdBVElWRV9HV19BTU9SVF9DRi4yMDAwLjA2LzAzLzIwMjYuLi5VU0QuSAEAAADetgEAAwAAAAAAGVKavc173ggnALw4znveCDRDSVEuTllTRTpJQk0uSVFfQU1PUlRfRElDX0NGLjIwMDAuMDYvMDMvMjAyNi4uLlVTRC5IAQAAAN62AQADAAAAAAAZUpq9zXveCJClvTjOe94IQENJ</t>
  </si>
  <si>
    <t>US5OWVNFOklCTS5JUV9BTU9SVF9TT0ZUV0FSRV9BU1NFVFNfQ0YuMjAwMC4wNi8wMy8yMDI2Li4uVVNELkgBAAAA3rYBAAIAAAADNTcxAQgAAAAFAAAAATEBAAAACy0xOTA0ODYwNjU3AwAAAAMxNjACAAAABTQ2MDExBAAAAAEwBwAAAAgzLzYvMjAyNggAAAAKMTIvMzEvMjAyNQkAAAABMBlSmr3Ne94I9q++OM573ghDQ0lRLk5ZU0U6SUJNLklRX1NBTEVfUFJPQ0VFRFNfUkVOVEFMX0FTU0VUUy4yMDAwLjA2LzAzLzIwMjYuLi5VU0QuSAEAAADetgEAAwAAAAAAGVKavc173giQpb04znveCDVDSVEuTllTRTpJQk0uSVFfQ0FTSF9JTlRFUkVTVC4yMDAwLjA2LzAzLzIwMjYuLi5VU0QuSAEAAADetgEAAgAAAAQyMDQyAQgAAAAFAAAAATEBAAAACy0xOTA0ODYwNjU3AwAAAAMxNjACAAAABDMwMjgEAAAAATAHAAAACDMvNi8yMDI2CAAAAAoxMi8zMS8yMDI1CQAAAAEwGVKavc173gjJJb44znveCDlDSVEuTllTRTpJQk0uSVFfQ0FTSF9JTlRFUkVTVF9ORVQuMjAwMC4wNi8wMy8yMDI2Li4uVVNELkgBAAAA3rYBAAMAAAAAABlSmr3Ne94IUju/OM573gg+Q0lRLk5ZU0U6SUJNLklRX0NBU0hfSU5URVJFU1RfUkVDRUlWRUQuMjAwMC4wNi8wMy8yMDI2Li4uVVNELkgBAAAA3rYBAAMAAAAAABlSmr3Ne94Ifde/OM573gg6Q0lRLk5ZU0U6SUJNLklRX0NBU0hfSU5URVJFU1RfT1BFUi4yMDAwLjA2LzAzLzIwMjYu</t>
  </si>
  <si>
    <t>Li5VU0QuSAEAAADetgEAAwAAAAAAGVKavc173giGV704znveCDxDSVEuTllTRTpJQk0uSVFfQ0FTSF9JTlRFUkVTVF9JTlZFU1QuMjAwMC4wNi8wMy8yMDI2Li4uVVNELkgBAAAA3rYBAAMAAAAAABlSmr3Ne94Ix/O9OM573gg7Q0lRLk5ZU0U6SUJNLklRX0NBU0hfSU5URVJFU1RfRklOQU4uMjAwMC4wNi8wMy8yMDI2Li4uVVNELkgBAAAA3rYBAAMAAAAAABlSmr3Ne94Ifde/OM573ggyQ0lRLk5ZU0U6SUJNLklRX0NBU0hfVEFYRVMuMjAwMC4wNi8wMy8yMDI2Li4uVVNELkgBAAAA3rYBAAIAAAAEMTk0OAEIAAAABQAAAAExAQAAAAstMTkwNDg2MDY1NwMAAAADMTYwAgAAAAQzMDUzBAAAAAEwBwAAAAgzLzYvMjAyNggAAAAKMTIvMzEvMjAyNQkAAAABMBlSmr3Ne94I6XTAOM573gg3Q0lRLk5ZU0U6SUJNLklRX0NBU0hfVEFYRVNfT1BFUi4yMDAwLjA2LzAzLzIwMjYuLi5VU0QuSAEAAADetgEAAwAAAAAAGVKavc173giQpb04znveCDlDSVEuTllTRTpJQk0uSVFfQ0FTSF9UQVhFU19JTlZFU1QuMjAwMC4wNi8wMy8yMDI2Li4uVVNELkgBAAAA3rYBAAMAAAAAABlSmr3Ne94IDRS/OM573gg4Q0lRLk5ZU0U6SUJNLklRX0NBU0hfVEFYRVNfRklOQU4uMjAwMC4wNi8wMy8yMDI2Li4uVVNELkgBAAAA3rYBAAMAAAAAABlSmr3Ne94IhLC/OM573gg8Q0lRLk5ZU0U6SUJNLklRX0NIQU5HRV9ERUZfVEFYX1RP</t>
  </si>
  <si>
    <t>VEFMLjIwMDAuMDYvMDMvMjAyNi4uLlVTRC5IAQAAAN62AQACAAAABC05NTcBCAAAAAUAAAABMQEAAAALLTE5MDQ4NjA2NTcDAAAAAzE2MAIAAAAFMzA5MjQEAAAAATAHAAAACDMvNi8yMDI2CAAAAAoxMi8zMS8yMDI1CQAAAAEwGVKavc173giUfr04znveCEJDSVEuTllTRTpJQk0uSVFfQ0hBTkdFX05FVF9XT1JLSU5HX0NBUElUQUwuMjAwMC4wNi8wMy8yMDI2Li4uVVNELkgBAAAA3rYBAAIAAAAFLTE1MTMBCAAAAAUAAAABMQEAAAALLTE5MDQ4NjA2NTcDAAAAAzE2MAIAAAAENDQyMQQAAAABMAcAAAAIMy82LzIwMjYIAAAACjEyLzMxLzIwMjUJAAAAATAZUpq9zXveCJClvTjOe94IM0NJUS5OWVNFOklCTS5JUV9MRVZFUkVEX0ZDRi4yMDAwLjA2LzAzLzIwMjYuLi5VU0QuSAEAAADetgEAAgAAAAkxMzE1Ni42MjUBCAAAAAUAAAABMQEAAAALLTE5MDQ4NjA2NTcDAAAAAzE2MAIAAAAENDQyMgQAAAABMAcAAAAIMy82LzIwMjYIAAAACjEyLzMxLzIwMjUJAAAAATAZUpq9zXveCGJ8vDjOe94INUNJUS5OWVNFOklCTS5JUV9VTkxFVkVSRURfRkNGLjIwMDAuMDYvMDMvMjAyNi4uLlVTRC5IAQAAAN62AQACAAAABTE0MzY2AQgAAAAFAAAAATEBAAAACy0xOTA0ODYwNjU3AwAAAAMxNjACAAAABDQ0MjMEAAAAATAHAAAACDMvNi8yMDI2CAAAAAoxMi8zMS8yMDI1CQAAAAEwGVKavc173gieTcA4znveCDBDSVEu</t>
  </si>
  <si>
    <t>TllTRTpJQk0uSVFfQ0ZfU0hBUkUuMjAwMC4wNi8wMy8yMDI2Li4uVVNELkgBAAAA3rYBAAIAAAAJMTIuMjg2ODk3AQgAAAAFAAAAATEBAAAACy0xOTA0ODYwNjU3AwAAAAMxNjACAAAABTQzOTIzBAAAAAEwBwAAAAgzLzYvMjAyNggAAAAKMTIvMzEvMjAyNQkAAAABMBlSmr3Ne94IUju/OM573gg3Q0lRLk5ZU0U6SUJNLklRX05FVF9ERUJUX0lTU1VFRC4yMDAwLjA2LzAzLzIwMjYuLi5VU0QuSAEAAADetgEAAgAAAAQyODczAQgAAAAFAAAAATEBAAAACy0xOTA0ODYwNjU3AwAAAAMxNjACAAAABDIwMDMEAAAAATAHAAAACDMvNi8yMDI2CAAAAAoxMi8zMS8yMDI1CQAAAAEwGVKavc173giUfr04znveCDNDSVEuTllTRTpJQk0uSVFfTUFJTlRfQ0FQRVguMjAwMC4wNi8wMy8yMDI2Li4uVVNELkgBAAAA3rYBAAMAAAAAABlSmr3Ne94IkYm/OM573gg0Q0lRLk5ZU0U6SUJNLklRX0RPX0lOVkVTVF9DRi4yMDAwLjA2LzAzLzIwMjYuLi5VU0QuSAEAAADetgEAAwAAAAAAGVKavc173giQpb04znveCDVDSVEuTllTRTpJQk0uSVFfRE9fRklOQU5DRV9DRi4yMDAwLjA2LzAzLzIwMjYuLi5VU0QuSAEAAADetgEAAwAAAAAAGVKavc173gh91784znveCEBDSVEuTllTRTpJQk0uSVFfT1BFUkFUSU5HX0xFQVNFX1BBWU1FTlRTLjIwMDAuMDYvMDMvMjAyNi4uLlVTRC5IAQAAAN62AQADAAAAAAA/eZq9zXveCOl0wDjO</t>
  </si>
  <si>
    <t>e94IQ0NJUS5OWVNFOklCTS5JUV9PUEVSQVRJTkdfTEVBU0VfTElBQklMSVRJRVMuMjAwMC4wNi8wMy8yMDI2Li4uVVNELkgBAAAA3rYBAAMAAAAAAD95mr3Ne94IYRLAOM573ghLQ0lRLk5ZU0U6SUJNLklRX09QRVJBVElOR19MRUFTRV9MSUFCSUxJVElFU19OT05DQVNILjIwMDAuMDYvMDMvMjAyNi4uLlVTRC5IAQAAAN62AQADAAAAAAA/eZq9zXveCA0UvzjOe94ISUNJUS5OWVNFOklCTS5JUV9MT05HX1RFUk1fREVCVF9SRVBBSURfRVhDTF9MRUFTRVMuMjAwMC4wNi8wMy8yMDI2Li4uVVNELkgBAAAA3rYBAAIAAAAFLTU0ODkBCAAAAAUAAAABMQEAAAALLTE5MDQ4NjA2NTcDAAAAAzE2MAIAAAAFNDg5ODQEAAAAATAHAAAACDMvNi8yMDI2CAAAAAoxMi8zMS8yMDI1CQAAAAEwP3mavc173giEsL84znveCEVDSVEuTllTRTpJQk0uSVFfVE9UQUxfREVCVF9SRVBBSURfRVhDTF9MRUFTRVMuMjAwMC4wNi8wMy8yMDI2Li4uVVNELkgBAAAA3rYBAAIAAAAFLTU1MTgBCAAAAAUAAAABMQEAAAALLTE5MDQ4NjA2NTcDAAAAAzE2MAIAAAAFNDg5ODYEAAAAATAHAAAACDMvNi8yMDI2CAAAAAoxMi8zMS8yMDI1CQAAAAEwP3mavc173gicYr84znveCDtDSVEuTllTRTpJQk0uSVFfR0FJTl9CQVJHQUlOX0FDUV9DRi4yMDAwLjA2LzAzLzIwMjYuLi5VU0QuSAEAAADetgEAAwAAAAAAP3mavc173ghgKrw4znveCC5D</t>
  </si>
  <si>
    <t>SVEuTllTRTpJQk0uSVFfUkVTVEFURU1FTlRfQ0YuMjAwMC4wNi8wMy8yMDI2AQAAAN62AQADAAAAAU8AP3mavc173gieTcA4znveCCxDSVEuTllTRTpJQk0uSVFfQ0FMQ19UWVBFX0NGLjIwMDAuMDYvMDMvMjAyNgEAAADetgEAAwAAAANSRVAAP3mavc173ghSO784znveCCdDSVEuTllTRTpJQk0uSVFfR0FBUF9DRi4yMDAwLjA2LzAzLzIwMjYBAAAA3rYBAAMAAAAHVVMgR0FBUAA/eZq9zXveCPavvjjOe94IMkNJUS5OWVNFOklCTS5JUV9DQVNIX0VRVUlWLjIwMDAuMDYvMDMvMjAyNi4uLlVTRC5IAQAAAN62AQACAAAABTEzNTg3AQgAAAAFAAAAATEBAAAACy0xOTA0ODYwNjU3AwAAAAMxNjACAAAABDEwOTYEAAAAATAHAAAACDMvNi8yMDI2CAAAAAoxMi8zMS8yMDI1CQAAAAEwP3mavc173ghSO784znveCDFDSVEuTllTRTpJQk0uSVFfU1RfSU5WRVNULjIwMDAuMDYvMDMvMjAyNi4uLlVTRC5IAQAAAN62AQACAAAAAzgzMAEIAAAABQAAAAExAQAAAAstMTkwNDg2MDY1NwMAAAADMTYwAgAAAAQxMDY5BAAAAAEwBwAAAAgzLzYvMjAyNggAAAAKMTIvMzEvMjAyNQkAAAABMD95mr3Ne94Ifde/OM573gg2Q0lRLk5ZU0U6SUJNLklRX1RSQURJTkdfQVNTRVRTLjIwMDAuMDYvMDMvMjAyNi4uLlVTRC5IAQAAAN62AQADAAAAAAA/eZq9zXveCOl0wDjOe94INkNJUS5OWVNFOklCTS5JUV9DQVNIX1NUX0lOVkVT</t>
  </si>
  <si>
    <t>VC4yMDAwLjA2LzAzLzIwMjYuLi5VU0QuSAEAAADetgEAAgAAAAUxNDQxNwEIAAAABQAAAAExAQAAAAstMTkwNDg2MDY1NwMAAAADMTYwAgAAAAQxMDAyBAAAAAEwBwAAAAgzLzYvMjAyNggAAAAKMTIvMzEvMjAyNQkAAAABMD95mr3Ne94IYRLAOM573ggqQ0lRLk5ZU0U6SUJNLklRX0FSLjIwMDAuMDYvMDMvMjAyNi4uLlVTRC5IAQAAAN62AQACAAAABDg1OTQBCAAAAAUAAAABMQEAAAALLTE5MDQ4NjA2NTcDAAAAAzE2MAIAAAAEMTAyMQQAAAABMAcAAAAIMy82LzIwMjYIAAAACjEyLzMxLzIwMjUJAAAAATA/eZq9zXveCA0UvzjOe94INENJUS5OWVNFOklCTS5JUV9PVEhFUl9SRUNFSVYuMjAwMC4wNi8wMy8yMDI2Li4uVVNELkgBAAAA3rYBAAIAAAAEMTA1MgEIAAAABQAAAAExAQAAAAstMTkwNDg2MDY1NwMAAAADMTYwAgAAAAQxMjA2BAAAAAEwBwAAAAgzLzYvMjAyNggAAAAKMTIvMzEvMjAyNQkAAAABMD95mr3Ne94I6XTAOM573gg2Q0lRLk5ZU0U6SUJNLklRX1NUX05PVEVfUkVDRUlWLjIwMDAuMDYvMDMvMjAyNi4uLlVTRC5IAQAAAN62AQADAAAAAAA/eZq9zXveCJxivzjOe94INENJUS5OWVNFOklCTS5JUV9UT1RBTF9SRUNFSVYuMjAwMC4wNi8wMy8yMDI2Li4uVVNELkgBAAAA3rYBAAIAAAAEOTY0NgEIAAAABQAAAAExAQAAAAstMTkwNDg2MDY1NwMAAAADMTYwAgAAAAQxMDAxBAAAAAEwBwAA</t>
  </si>
  <si>
    <t>AAgzLzYvMjAyNggAAAAKMTIvMzEvMjAyNQkAAAABMD95mr3Ne94IpYi+OM573ggxQ0lRLk5ZU0U6SUJNLklRX0lOVkVOVE9SWS4yMDAwLjA2LzAzLzIwMjYuLi5VU0QuSAEAAADetgEAAgAAAAQxMjIwAQgAAAAFAAAAATEBAAAACy0xOTA0ODYwNjU3AwAAAAMxNjACAAAABDEwNDMEAAAAATAHAAAACDMvNi8yMDI2CAAAAAoxMi8zMS8yMDI1CQAAAAEwP3mavc173giEsL84znveCDNDSVEuTllTRTpJQk0uSVFfUFJFUEFJRF9FWFAuMjAwMC4wNi8wMy8yMDI2Li4uVVNELkgBAAAA3rYBAAIAAAAEMTgxNgEIAAAABQAAAAExAQAAAAstMTkwNDg2MDY1NwMAAAADMTYwAgAAAAQxMjEyBAAAAAEwBwAAAAgzLzYvMjAyNggAAAAKMTIvMzEvMjAyNQkAAAABMD95mr3Ne94IYRLAOM573gg9Q0lRLk5ZU0U6SUJNLklRX0ZJTl9ESVZfTE9BTlNfQ1VSUkVOVC4yMDAwLjA2LzAzLzIwMjYuLi5VU0QuSAEAAADetgEAAgAAAAQ3MzQ0AQgAAAAFAAAAATEBAAAACy0xOTA0ODYwNjU3AwAAAAMxNjACAAAABDEwMzIEAAAAATAHAAAACDMvNi8yMDI2CAAAAAoxMi8zMS8yMDI1CQAAAAEwP3mavc173gh91784znveCD5DSVEuTllTRTpJQk0uSVFfRklOX0RJVl9BU1NFVFNfQ1VSUkVOVC4yMDAwLjA2LzAzLzIwMjYuLi5VU0QuSAEAAADetgEAAgAAAAQxMTMxAQgAAAAFAAAAATEBAAAACy0xOTA0ODYwNjU3AwAAAAMxNjACAAAA</t>
  </si>
  <si>
    <t>BDEwMjkEAAAAATAHAAAACDMvNi8yMDI2CAAAAAoxMi8zMS8yMDI1CQAAAAEwP3mavc173gjpdMA4znveCDZDSVEuTllTRTpJQk0uSVFfTE9BTlNfRk9SX1NBTEUuMjAwMC4wNi8wMy8yMDI2Li4uVVNELkgBAAAA3rYBAAMAAAAAAD95mr3Ne94InGK/OM573gg+Q0lRLk5ZU0U6SUJNLklRX0RFRl9UQVhfQVNTRVRTX0NVUlJFTlQuMjAwMC4wNi8wMy8yMDI2Li4uVVNELkgBAAAA3rYBAAMAAAAAAD95mr3Ne94Ijrm8OM573gg3Q0lRLk5ZU0U6SUJNLklRX1JFU1RSSUNURURfQ0FTSC4yMDAwLjA2LzAzLzIwMjYuLi5VU0QuSAEAAADetgEAAgAAAAI1NAEIAAAABQAAAAExAQAAAAstMTkwNDg2MDY1NwMAAAADMTYwAgAAAAQxMTA0BAAAAAEwBwAAAAgzLzYvMjAyNggAAAAKMTIvMzEvMjAyNQkAAAABMD95mr3Ne94IkYm/OM573gg2Q0lRLk5ZU0U6SUJNLklRX09USEVSX0NBX1NVUFBMLjIwMDAuMDYvMDMvMjAyNi4uLlVTRC5IAQAAAN62AQACAAAABDEzMTYBCAAAAAUAAAABMQEAAAALLTE5MDQ4NjA2NTcDAAAAAzE2MAIAAAAEMTA1NQQAAAABMAcAAAAIMy82LzIwMjYIAAAACjEyLzMxLzIwMjUJAAAAATA/eZq9zXveCFI7vzjOe94IMENJUS5OWVNFOklCTS5JUV9UT1RBTF9DQS4yMDAwLjA2LzAzLzIwMjYuLi5VU0QuSAEAAADetgEAAgAAAAUzNjk0NAEIAAAABQAAAAExAQAAAAstMTkwNDg2MDY1NwMAAAAD</t>
  </si>
  <si>
    <t>MTYwAgAAAAQxMDA4BAAAAAEwBwAAAAgzLzYvMjAyNggAAAAKMTIvMzEvMjAyNQkAAAABMD95mr3Ne94IhLC/OM573ggsQ0lRLk5ZU0U6SUJNLklRX0dQUEUuMjAwMC4wNi8wMy8yMDI2Li4uVVNELkgBAAAA3rYBAAIAAAAFMjEwMDMBCAAAAAUAAAABMQEAAAALLTE5MDQ4NjA2NTcDAAAAAzE2MAIAAAAEMTE2OQQAAAABMAcAAAAIMy82LzIwMjYIAAAACjEyLzMxLzIwMjUJAAAAATA/eZq9zXveCJ5NwDjOe94IKkNJUS5OWVNFOklCTS5JUV9BRC4yMDAwLjA2LzAzLzIwMjYuLi5VU0QuSAEAAADetgEAAgAAAAYtMTE5NzUBCAAAAAUAAAABMQEAAAALLTE5MDQ4NjA2NTcDAAAAAzE2MAIAAAAEMTA3NQQAAAABMAcAAAAIMy82LzIwMjYIAAAACjEyLzMxLzIwMjUJAAAAATA/eZq9zXveCC/+wTjOe94ILENJUS5OWVNFOklCTS5JUV9OUFBFLjIwMDAuMDYvMDMvMjAyNi4uLlVTRC5IAQAAAN62AQACAAAABDkwMjgBCAAAAAUAAAABMQEAAAALLTE5MDQ4NjA2NTcDAAAAAzE2MAIAAAAEMTAwNAQAAAABMAcAAAAIMy82LzIwMjYIAAAACjEyLzMxLzIwMjUJAAAAATA/eZq9zXveCJ5NwDjOe94IMUNJUS5OWVNFOklCTS5JUV9MVF9JTlZFU1QuMjAwMC4wNi8wMy8yMDI2Li4uVVNELkgBAAAA3rYBAAIAAAAEMTc1MQEIAAAABQAAAAExAQAAAAstMTkwNDg2MDY1NwMAAAADMTYwAgAAAAQxMDU0BAAAAAEwBwAAAAgzLzYv</t>
  </si>
  <si>
    <t>MjAyNggAAAAKMTIvMzEvMjAyNQkAAAABMD95mr3Ne94Ifde/OM573ggqQ0lRLk5ZU0U6SUJNLklRX0dXLjIwMDAuMDYvMDMvMjAyNi4uLlVTRC5IAQAAAN62AQACAAAABTY3NzE3AQgAAAAFAAAAATEBAAAACy0xOTA0ODYwNjU3AwAAAAMxNjACAAAABDExNzEEAAAAATAHAAAACDMvNi8yMDI2CAAAAAoxMi8zMS8yMDI1CQAAAAEwP3mavc173gj6m8A4znveCDNDSVEuTllTRTpJQk0uSVFfT1RIRVJfSU5UQU4uMjAwMC4wNi8wMy8yMDI2Li4uVVNELkgBAAAA3rYBAAIAAAAFMTEzOTEBCAAAAAUAAAABMQEAAAALLTE5MDQ4NjA2NTcDAAAAAzE2MAIAAAAEMTA0MAQAAAABMAcAAAAIMy82LzIwMjYIAAAACjEyLzMxLzIwMjUJAAAAATA/eZq9zXveCJxivzjOe94IOENJUS5OWVNFOklCTS5JUV9GSU5fRElWX0xPQU5TX0xULjIwMDAuMDYvMDMvMjAyNi4uLlVTRC5IAQAAAN62AQACAAAABDc3MDgBCAAAAAUAAAABMQEAAAALLTE5MDQ4NjA2NTcDAAAAAzE2MAIAAAAEMTAzMwQAAAABMAcAAAAIMy82LzIwMjYIAAAACjEyLzMxLzIwMjUJAAAAATA/eZq9zXveCOl0wDjOe94IOUNJUS5OWVNFOklCTS5JUV9GSU5fRElWX0FTU0VUU19MVC4yMDAwLjA2LzAzLzIwMjYuLi5VU0QuSAEAAADetgEAAwAAAAAAP3mavc173ghSO784znveCC1DSVEuTllTRTpJQk0uSVFfQVJfTFQuMjAwMC4wNi8wMy8yMDI2Li4uVVNELkgB</t>
  </si>
  <si>
    <t>AAAA3rYBAAMAAAAAAD95mr3Ne94IkKW9OM573gg3Q0lRLk5ZU0U6SUJNLklRX0xPQU5TX1JFQ0VJVl9MVC4yMDAwLjA2LzAzLzIwMjYuLi5VU0QuSAEAAADetgEAAwAAAAAAP3mavc173gicYr84znveCDlDSVEuTllTRTpJQk0uSVFfREVGX1RBWF9BU1NFVFNfTFQuMjAwMC4wNi8wMy8yMDI2Li4uVVNELkgBAAAA3rYBAAIAAAAEODYxMAEIAAAABQAAAAExAQAAAAstMTkwNDg2MDY1NwMAAAADMTYwAgAAAAQxMDI2BAAAAAEwBwAAAAgzLzYvMjAyNggAAAAKMTIvMzEvMjAyNQkAAAABMD95mr3Ne94Ifde/OM573gg2Q0lRLk5ZU0U6SUJNLklRX0RFRl9DSEFSR0VTX0xULjIwMDAuMDYvMDMvMjAyNi4uLlVTRC5IAQAAAN62AQACAAAAAzgyNQEIAAAABQAAAAExAQAAAAstMTkwNDg2MDY1NwMAAAADMTYwAgAAAAQxMDI1BAAAAAEwBwAAAAgzLzYvMjAyNggAAAAKMTIvMzEvMjAyNQkAAAABMD95mr3Ne94InGK/OM573gg3Q0lRLk5ZU0U6SUJNLklRX09USEVSX0xUX0FTU0VUUy4yMDAwLjA2LzAzLzIwMjYuLi5VU0QuSAEAAADetgEAAgAAAAQ3OTA2AQgAAAAFAAAAATEBAAAACy0xOTA0ODYwNjU3AwAAAAMxNjACAAAABDEwNjAEAAAAATAHAAAACDMvNi8yMDI2CAAAAAoxMi8zMS8yMDI1CQAAAAEwP3mavc173gh91784znveCDRDSVEuTllTRTpJQk0uSVFfVE9UQUxfQVNTRVRTLjIwMDAuMDYvMDMvMjAyNi4u</t>
  </si>
  <si>
    <t>LlVTRC5IAQAAAN62AQACAAAABjE1MTg4MAEIAAAABQAAAAExAQAAAAstMTkwNDg2MDY1NwMAAAADMTYwAgAAAAQxMDA3BAAAAAEwBwAAAAgzLzYvMjAyNggAAAAKMTIvMzEvMjAyNQkAAAABMD95mr3Ne94InGK/OM573ggqQ0lRLk5ZU0U6SUJNLklRX0FQLjIwMDAuMDYvMDMvMjAyNi4uLlVTRC5IAQAAAN62AQACAAAABDQ3NTYBCAAAAAUAAAABMQEAAAALLTE5MDQ4NjA2NTcDAAAAAzE2MAIAAAAEMTAxOAQAAAABMAcAAAAIMy82LzIwMjYIAAAACjEyLzMxLzIwMjUJAAAAATA/eZq9zXveCC/+wTjOe94IKkNJUS5OWVNFOklCTS5JUV9BRS4yMDAwLjA2LzAzLzIwMjYuLi5VU0QuSAEAAADetgEAAgAAAAQ3OTc2AQgAAAAFAAAAATEBAAAACy0xOTA0ODYwNjU3AwAAAAMxNjACAAAABDEwMTYEAAAAATAHAAAACDMvNi8yMDI2CAAAAAoxMi8zMS8yMDI1CQAAAAEwP3mavc173gieTcA4znveCC9DSVEuTllTRTpJQk0uSVFfU1RfREVCVC4yMDAwLjA2LzAzLzIwMjYuLi5VU0QuSAEAAADetgEAAwAAAAAAP3mavc173giEsL84znveCDlDSVEuTllTRTpJQk0uSVFfQ1VSUkVOVF9QT1JUX0RFQlQuMjAwMC4wNi8wMy8yMDI2Li4uVVNELkgBAAAA3rYBAAIAAAAENjE0NQEIAAAABQAAAAExAQAAAAstMTkwNDg2MDY1NwMAAAADMTYwAgAAAAQxMjk3BAAAAAEwBwAAAAgzLzYvMjAyNggAAAAKMTIvMzEvMjAyNQkAAAAB</t>
  </si>
  <si>
    <t>MAizmr3Ne94Ink3AOM573gg7Q0lRLk5ZU0U6SUJNLklRX0NVUlJFTlRfUE9SVF9MRUFTRVMuMjAwMC4wNi8wMy8yMDI2Li4uVVNELkgBAAAA3rYBAAIAAAAEMTA3OQEIAAAABQAAAAExAQAAAAstMTkwNDg2MDY1NwMAAAADMTYwAgAAAAQxMDkwBAAAAAEwBwAAAAgzLzYvMjAyNggAAAAKMTIvMzEvMjAyNQkAAAABMAizmr3Ne94IhLC/OM573gg8Q0lRLk5ZU0U6SUJNLklRX0ZJTl9ESVZfREVCVF9DVVJSRU5ULjIwMDAuMDYvMDMvMjAyNi4uLlVTRC5IAQAAAN62AQADAAAAAAAIs5q9zXveCNCbwTjOe94IPENJUS5OWVNFOklCTS5JUV9GSU5fRElWX0xJQUJfQ1VSUkVOVC4yMDAwLjA2LzAzLzIwMjYuLi5VU0QuSAEAAADetgEAAwAAAAAACLOavc173gjE6r44znveCDtDSVEuTllTRTpJQk0uSVFfSU5DX1RBWF9QQVlfQ1VSUkVOVC4yMDAwLjA2LzAzLzIwMjYuLi5VU0QuSAEAAADetgEAAgAAAAQyMzQ3AQgAAAAFAAAAATEBAAAACy0xOTA0ODYwNjU3AwAAAAMxNjACAAAABDEwOTQEAAAAATAHAAAACDMvNi8yMDI2CAAAAAoxMi8zMS8yMDI1CQAAAAEwCLOavc173ghhEsA4znveCDpDSVEuTllTRTpJQk0uSVFfVU5FQVJOX1JFVl9DVVJSRU5ULjIwMDAuMDYvMDMvMjAyNi4uLlVTRC5IAQAAAN62AQACAAAABTE2MTAxAQgAAAAFAAAAATEBAAAACy0xOTA0ODYwNjU3AwAAAAMxNjACAAAABDEwNzQEAAAAATAH</t>
  </si>
  <si>
    <t>AAAACDMvNi8yMDI2CAAAAAoxMi8zMS8yMDI1CQAAAAEwCLOavc173gjE6r44znveCDxDSVEuTllTRTpJQk0uSVFfREVGX1RBWF9MSUFCX0NVUlJFTlQuMjAwMC4wNi8wMy8yMDI2Li4uVVNELkgBAAAA3rYBAAMAAAAAAAizmr3Ne94IlH69OM573gg2Q0lRLk5ZU0U6SUJNLklRX09USEVSX0NMX1NVUFBMLjIwMDAuMDYvMDMvMjAyNi4uLlVTRC5IAQAAAN62AQACAAAAAzI1NAEIAAAABQAAAAExAQAAAAstMTkwNDg2MDY1NwMAAAADMTYwAgAAAAQxMDU3BAAAAAEwBwAAAAgzLzYvMjAyNggAAAAKMTIvMzEvMjAyNQkAAAABMAizmr3Ne94IxOq+OM573ggwQ0lRLk5ZU0U6SUJNLklRX1RPVEFMX0NMLjIwMDAuMDYvMDMvMjAyNi4uLlVTRC5IAQAAAN62AQACAAAABTM4NjU4AQgAAAAFAAAAATEBAAAACy0xOTA0ODYwNjU3AwAAAAMxNjACAAAABDEwMDkEAAAAATAHAAAACDMvNi8yMDI2CAAAAAoxMi8zMS8yMDI1CQAAAAEwCLOavc173giRib84znveCC9DSVEuTllTRTpJQk0uSVFfTFRfREVCVC4yMDAwLjA2LzAzLzIwMjYuLi5VU0QuSAEAAADetgEAAgAAAAU1Mzk2MgEIAAAABQAAAAExAQAAAAstMTkwNDg2MDY1NwMAAAADMTYwAgAAAAQxMDQ5BAAAAAEwBwAAAAgzLzYvMjAyNggAAAAKMTIvMzEvMjAyNQkAAAABMAizmr3Ne94IkKW9OM573gg4Q0lRLk5ZU0U6SUJNLklRX0xPTkdfVEVSTV9MRUFTRVMuMjAw</t>
  </si>
  <si>
    <t>MC4wNi8wMy8yMDI2Li4uVVNELkgBAAAA3rYBAAIAAAAEMzQyMQEIAAAABQAAAAExAQAAAAstMTkwNDg2MDY1NwMAAAADMTYwAgAAAAQxMTgzBAAAAAEwBwAAAAgzLzYvMjAyNggAAAAKMTIvMzEvMjAyNQkAAAABMAizmr3Ne94IL/7BOM573gg3Q0lRLk5ZU0U6SUJNLklRX0ZJTl9ESVZfREVCVF9MVC4yMDAwLjA2LzAzLzIwMjYuLi5VU0QuSAEAAADetgEAAwAAAAAACLOavc173gj6m8A4znveCDdDSVEuTllTRTpJQk0uSVFfRklOX0RJVl9MSUFCX0xULjIwMDAuMDYvMDMvMjAyNi4uLlVTRC5IAQAAAN62AQADAAAAAAAIs5q9zXveCFI7vzjOe94INUNJUS5OWVNFOklCTS5JUV9VTkVBUk5fUkVWX0xULjIwMDAuMDYvMDMvMjAyNi4uLlVTRC5IAQAAAN62AQACAAAABDQyNzEBCAAAAAUAAAABMQEAAAALLTE5MDQ4NjA2NTcDAAAAAzE2MAIAAAAEMTI1NgQAAAABMAcAAAAIMy82LzIwMjYIAAAACjEyLzMxLzIwMjUJAAAAATAIs5q9zXveCH3XvzjOe94IL0NJUS5OWVNFOklCTS5JUV9QRU5TSU9OLjIwMDAuMDYvMDMvMjAyNi4uLlVTRC5IAQAAAN62AQACAAAABDkwMTgBCAAAAAUAAAABMQEAAAALLTE5MDQ4NjA2NTcDAAAAAzE2MAIAAAAEMTIxMwQAAAABMAcAAAAIMy82LzIwMjYIAAAACjEyLzMxLzIwMjUJAAAAATAIs5q9zXveCFI7vzjOe94INkNJUS5OWVNFOklCTS5JUV9TVE9DS19CQVNFRF9TTS4yMDAw</t>
  </si>
  <si>
    <t>LjA2LzAzLzIwMjYuLi5VU0QuSAEAAADetgEAAwAAAAAA3kLRvc173giyUrs4znveCDZDSVEuTllTRTpJQk0uSVFfU1RPQ0tfQkFTRURfR0EuMjAwMC4wNi8wMy8yMDI2Li4uVVNELkgBAAAA3rYBAAMAAAAAAN5C0b3Ne94Il8y9OM573gg3Q0lRLk5ZU0U6SUJNLklRX1NUT0NLX0JBU0VEX1NHQS4yMDAwLjA2LzAzLzIwMjYuLi5VU0QuSAEAAADetgEAAgAAAAM5MDQBCAAAAAUAAAABMQEAAAALLTE5MDQ4NjA2NTcDAAAAAzE2MAIAAAAFMjI2NzkEAAAAATAHAAAACDMvNi8yMDI2CAAAAAoxMi8zMS8yMDI1CQAAAAEw3kLRvc173ghgKrw4znveCEFDSVEuTllTRTpJQk0uSVFfU1RPQ0tfQkFTRURfRVhQTE9SRV9EUklMTC4yMDAwLjA2LzAzLzIwMjYuLi5VU0QuSAEAAADetgEAAwAAAAAA3kLRvc173gjH8704znveCDlDSVEuTllTRTpJQk0uSVFfU1RPQ0tfQkFTRURfT1RIRVIuMjAwMC4wNi8wMy8yMDI2Li4uVVNELkgBAAAA3rYBAAMAAAAAAN5C0b3Ne94IDOG8OM573gg2Q0lRLk5ZU0U6SUJNLklRX1NUT0NLX0JBU0VEX0FULjIwMDAuMDYvMDMvMjAyNi4uLlVTRC5IAQAAAN62AQADAAAAAADeQtG9zXveCB4wvTjOe94IOUNJUS5OWVNFOklCTS5JUV9TVE9DS19CQVNFRF9UT1RBTC4yMDAwLjA2LzAzLzIwMjYuLi5VU0QuSAEAAADetgEAAgAAAAQxNzE1AQgAAAAFAAAAATEBAAAACy0xOTA0ODYwNjU3AwAA</t>
  </si>
  <si>
    <t>AAMxNjACAAAABTI0MDM0BAAAAAEwBwAAAAgzLzYvMjAyNggAAAAKMTIvMzEvMjAyNQkAAAABMN5C0b3Ne94I9q++OM573gg/Q0lRLk5ZU0U6SUJNLklRX1JFU1RSX1NUT0NLX0NPTVBfUFJFVEFYLjIwMDAuMDYvMDMvMjAyNi4uLlVTRC5IAQAAAN62AQADAAAAAADeQtG9zXveCLJSuzjOe94IPENJUS5OWVNFOklCTS5JUV9SRVNUUl9TVE9DS19DT01QX1RBWC4yMDAwLjA2LzAzLzIwMjYuLi5VU0QuSAEAAADetgEAAwAAAAAA3kLRvc173giGV704znveCDhDSVEuTllTRTpJQk0uSVFfUkVTVFJfU1RPQ0tfQ09NUC4yMDAwLjA2LzAzLzIwMjYuLi5VU0QuSAEAAADetgEAAwAAAAAA3kLRvc173gh91784znveCEFDSVEuTllTRTpJQk0uSVFfU1RPQ0tfT1BUSU9OU19DT01QX1BSRVRBWC4yMDAwLjA2LzAzLzIwMjYuLi5VU0QuSAEAAADetgEAAwAAAAAA3kLRvc173giQpb04znveCD5DSVEuTllTRTpJQk0uSVFfU1RPQ0tfT1BUSU9OU19DT01QX1RBWC4yMDAwLjA2LzAzLzIwMjYuLi5VU0QuSAEAAADetgEAAwAAAAAA3kLRvc173ggM4bw4znveCDpDSVEuTllTRTpJQk0uSVFfU1RPQ0tfT1BUSU9OU19DT01QLjIwMDAuMDYvMDMvMjAyNi4uLlVTRC5IAQAAAN62AQADAAAAAADeQtG9zXveCJfMvTjOe94IP0NJUS5OWVNFOklCTS5JUV9TVE9DS19CQVNFRF9DT01QX1BSRVRBWC4yMDAwLjA2LzAzLzIwMjYuLi5V</t>
  </si>
  <si>
    <t>U0QuSAEAAADetgEAAgAAAAQxNzE1AN5C0b3Ne94IXrG7OM573gg8Q0lRLk5ZU0U6SUJNLklRX1NUT0NLX0JBU0VEX0NPTVBfVEFYLjIwMDAuMDYvMDMvMjAyNi4uLlVTRC5IAQAAAN62AQACAAAABC03NDAA3kLRvc173gjJJb44znveCDhDSVEuTllTRTpJQk0uSVFfU1RPQ0tfQkFTRURfQ09NUC4yMDAwLjA2LzAzLzIwMjYuLi5VU0QuSAEAAADetgEAAgAAAAM5NzUA3kLRvc173giliL44znveCC1DSVEuTllTRTpJQk0uSVFfTklfQ0YuMjAwMC4wNi8wMy8yMDI2Li4uVVNELkgBAAAA3rYBAAIAAAAFMTA1OTMBCAAAAAUAAAABMQEAAAALLTE5MDQ4NjA2NTcDAAAAAzE2MAIAAAAEMjE1MAQAAAABMAcAAAAIMy82LzIwMjYIAAAACjEyLzMxLzIwMjUJAAAAATDeQtG9zXveCPavvjjOe94IM0NJUS5OWVNFOklCTS5JUV9EQV9TVVBQTF9DRi4yMDAwLjA2LzAzLzIwMjYuLi5VU0QuSAEAAADetgEAAgAAAAQyMjg0AQgAAAAFAAAAATEBAAAACy0xOTA0ODYwNjU3AwAAAAMxNjACAAAABDIxNzEEAAAAATAHAAAACDMvNi8yMDI2CAAAAAoxMi8zMS8yMDI1CQAAAAEw3kLRvc173gjH8704znveCDlDSVEuTllTRTpJQk0uSVFfR1dfSU5UQU5fQU1PUlRfQ0YuMjAwMC4wNi8wMy8yMDI2Li4uVVNELkgBAAAA3rYBAAIAAAAEMjE2NgEIAAAABQAAAAExAQAAAAstMTkwNDg2MDY1NwMAAAADMTYwAgAAAAQyMTgyBAAAAAEw</t>
  </si>
  <si>
    <t>BwAAAAgzLzYvMjAyNggAAAAKMTIvMzEvMjAyNQkAAAABMN5C0b3Ne94Ihle9OM573ggyQ0lRLk5ZU0U6SUJNLklRX09JTF9JTVBBSVIuMjAwMC4wNi8wMy8yMDI2Li4uVVNELkgBAAAA3rYBAAMAAAAAAN5C0b3Ne94IXVW8OM573ggtQ0lRLk5ZU0U6SUJNLklRX0RBX0NGLjIwMDAuMDYvMDMvMjAyNi4uLlVTRC5IAQAAAN62AQACAAAABDQ0NTABCAAAAAUAAAABMQEAAAALLTE5MDQ4NjA2NTcDAAAAAzE2MAIAAAAEMjE2MAQAAAABMAcAAAAIMy82LzIwMjYIAAAACjEyLzMxLzIwMjUJAAAAATDuadG9zXveCPavvjjOe94IM0NJUS5OWVNFOklCTS5JUV9PVEhFUl9BTU9SVC4yMDAwLjA2LzAzLzIwMjYuLi5VU0QuSAEAAADetgEAAgAAAAM1NzEBCAAAAAUAAAABMQEAAAALLTE5MDQ4NjA2NTcDAAAAAzE2MAIAAAAEMjAxNAQAAAABMAcAAAAIMy82LzIwMjYIAAAACjEyLzMxLzIwMjUJAAAAATDuadG9zXveCH3XvzjOe94IPENJUS5OWVNFOklCTS5JUV9NSU5PUklUWV9JTlRFUkVTVF9DRi4yMDAwLjA2LzAzLzIwMjYuLi5VU0QuSAEAAADetgEAAwAAAAAA7mnRvc173gj2r744znveCDZDSVEuTllTRTpJQk0uSVFfR0FJTl9BU1NFVFNfQ0YuMjAwMC4wNi8wMy8yMDI2Li4uVVNELkgBAAAA3rYBAAIAAAADLTM5AQgAAAAFAAAAATEBAAAACy0xOTA0ODYwNjU3AwAAAAMxNjACAAAABDIwMjYEAAAAATAHAAAACDMv</t>
  </si>
  <si>
    <t>Ni8yMDI2CAAAAAoxMi8zMS8yMDI1CQAAAAEw7mnRvc173giUfr04znveCDZDSVEuTllTRTpJQk0uSVFfR0FJTl9JTlZFU1RfQ0YuMjAwMC4wNi8wMy8yMDI2Li4uVVNELkgBAAAA3rYBAAMAAAAAAO5p0b3Ne94IXrG7OM573gg6Q0lRLk5ZU0U6SUJNLklRX0FTU0VUX1dSSVRFRE9XTl9DRi4yMDAwLjA2LzAzLzIwMjYuLi5VU0QuSAEAAADetgEAAwAAAAAA7mnRvc173giyUrs4znveCDBDSVEuTllTRTpJQk0uSVFfTE9BTlNfQ0YuMjAwMC4wNi8wMy8yMDI2Li4uVVNELkgBAAAA3rYBAAMAAAAAAO5p0b3Ne94IDOG8OM573gg2Q0lRLk5ZU0U6SUJNLklRX0NSRURJVF9MT1NTX0NGLjIwMDAuMDYvMDMvMjAyNi4uLlVTRC5IAQAAAN62AQADAAAAAADuadG9zXveCGJ8vDjOe94INUNJUS5OWVNFOklCTS5JUV9JTkNfRVFVSVRZX0NGLjIwMDAuMDYvMDMvMjAyNi4uLlVTRC5IAQAAAN62AQADAAAAAADuadG9zXveCCcAvDjOe94INkNJUS5OWVNFOklCTS5JUV9TVE9DS19CQVNFRF9DRi4yMDAwLjA2LzAzLzIwMjYuLi5VU0QuSAEAAADetgEAAgAAAAQxNzE1AQgAAAAFAAAAATEBAAAACy0xOTA0ODYwNjU3AwAAAAMxNjACAAAABDIxMjcEAAAAATAHAAAACDMvNi8yMDI2CAAAAAoxMi8zMS8yMDI1CQAAAAEw7mnRvc173gjVTb44znveCDtDSVEuTllTRTpJQk0uSVFfVEFYX0JFTkVGSVRfT1BUSU9OUy4yMDAwLjA2</t>
  </si>
  <si>
    <t>LzAzLzIwMjYuLi5VU0QuSAEAAADetgEAAwAAAAAA7mnRvc173giOubw4znveCDlDSVEuTllTRTpJQk0uSVFfUFJPVl9CQURfREVCVFNfQ0YuMjAwMC4wNi8wMy8yMDI2Li4uVVNELkgBAAAA3rYBAAMAAAAAAO5p0b3Ne94I1U2+OM573ggtQ0lRLk5ZU0U6SUJNLklRX0RPX0NGLjIwMDAuMDYvMDMvMjAyNi4uLlVTRC5IAQAAAN62AQADAAAAAADuadG9zXveCGJ8vDjOe94INkNJUS5OWVNFOklCTS5JUV9PVEhFUl9PUEVSX0FDVC4yMDAwLjA2LzAzLzIwMjYuLi5VU0QuSAEAAADetgEAAgAAAAQtOTU4AQgAAAAFAAAAATEBAAAACy0xOTA0ODYwNjU3AwAAAAMxNjACAAAABDIwNDcEAAAAATAHAAAACDMvNi8yMDI2CAAAAAoxMi8zMS8yMDI1CQAAAAEw7mnRvc173gjJJb44znveCD1DSVEuTllTRTpJQk0uSVFfQ0hBTkdFX1RSQURJTkdfQVNTRVRTLjIwMDAuMDYvMDMvMjAyNi4uLlVTRC5IAQAAAN62AQADAAAAAADuadG9zXveCH3XvzjOe94IMUNJUS5OWVNFOklCTS5JUV9DSEFOR0VfQVIuMjAwMC4wNi8wMy8yMDI2Li4uVVNELkgBAAAA3rYBAAIAAAAFLTQyNzgBCAAAAAUAAAABMQEAAAALLTE5MDQ4NjA2NTcDAAAAAzE2MAIAAAAEMjAxOAQAAAABMAcAAAAIMy82LzIwMjYIAAAACjEyLzMxLzIwMjUJAAAAATDuadG9zXveCMklvjjOe94IOENJUS5OWVNFOklCTS5JUV9DSEFOR0VfSU5WRU5UT1JZLjIwMDAu</t>
  </si>
  <si>
    <t>MDYvMDMvMjAyNi4uLlVTRC5IAQAAAN62AQACAAAAAjcwAQgAAAAFAAAAATEBAAAACy0xOTA0ODYwNjU3AwAAAAMxNjACAAAABDIwOTkEAAAAATAHAAAACDMvNi8yMDI2CAAAAAoxMi8zMS8yMDI1CQAAAAEw7mnRvc173gj2r744znveCDFDSVEuTllTRTpJQk0uSVFfQ0hBTkdFX0FQLjIwMDAuMDYvMDMvMjAyNi4uLlVTRC5IAQAAAN62AQACAAAAAzYyNAEIAAAABQAAAAExAQAAAAstMTkwNDg2MDY1NwMAAAADMTYwAgAAAAQyMDE3BAAAAAEwBwAAAAgzLzYvMjAyNggAAAAKMTIvMzEvMjAyNQkAAAABMO5p0b3Ne94Ifde/OM573gg5Q0lRLk5ZU0U6SUJNLklRX0NIQU5HRV9VTkVBUk5fUkVWLjIwMDAuMDYvMDMvMjAyNi4uLlVTRC5IAQAAAN62AQADAAAAAADuadG9zXveCKWIvjjOe94INkNJUS5OWVNFOklCTS5JUV9DSEFOR0VfSU5DX1RBWC4yMDAwLjA2LzAzLzIwMjYuLi5VU0QuSAEAAADetgEAAwAAAAAA7mnRvc173giUfr04znveCDZDSVEuTllTRTpJQk0uSVFfQ0hBTkdFX0RFRl9UQVguMjAwMC4wNi8wMy8yMDI2Li4uVVNELkgBAAAA3rYBAAMAAAAAAO5p0b3Ne94IpYi+OM573ghEQ0lRLk5ZU0U6SUJNLklRX0NIQU5HRV9PVEhFUl9ORVRfT1BFUl9BU1NFVFMuMjAwMC4wNi8wMy8yMDI2Li4uVVNELkgBAAAA3rYBAAIAAAADNDQ1AQgAAAAFAAAAATEBAAAACy0xOTA0ODYwNjU3AwAAAAMxNjACAAAA</t>
  </si>
  <si>
    <t>BDIwNDUEAAAAATAHAAAACDMvNi8yMDI2CAAAAAoxMi8zMS8yMDI1CQAAAAEw7mnRvc173giUfr04znveCDFDSVEuTllTRTpJQk0uSVFfQ0FTSF9PUEVSLjIwMDAuMDYvMDMvMjAyNi4uLlVTRC5IAQAAAN62AQACAAAABTEzMTkzAQgAAAAFAAAAATEBAAAACy0xOTA0ODYwNjU3AwAAAAMxNjACAAAABDIwMDYEAAAAATAHAAAACDMvNi8yMDI2CAAAAAoxMi8zMS8yMDI1CQAAAAEw7mnRvc173giliL44znveCC1DSVEuTllTRTpJQk0uSVFfQ0FQRVguMjAwMC4wNi8wMy8yMDI2Li4uVVNELkgBAAAA3rYBAAIAAAAFLTEwOTEBCAAAAAUAAAABMQEAAAALLTE5MDQ4NjA2NTcDAAAAAzE2MAIAAAAEMjAyMQQAAAABMAcAAAAIMy82LzIwMjYIAAAACjEyLzMxLzIwMjUJAAAAATDuadG9zXveCJR+vTjOe94IM0NJUS5OWVNFOklCTS5JUV9TQUxFX1BQRV9DRi4yMDAwLjA2LzAzLzIwMjYuLi5VU0QuSAEAAADetgEAAgAAAAMxMjEBCAAAAAUAAAABMQEAAAALLTE5MDQ4NjA2NTcDAAAAAzE2MAIAAAAEMjA0MgQAAAABMAcAAAAIMy82LzIwMjYIAAAACjEyLzMxLzIwMjUJAAAAATDuadG9zXveCCcAvDjOe94IN0NJUS5OWVNFOklCTS5JUV9DQVNIX0FDUVVJUkVfQ0YuMjAwMC4wNi8wMy8yMDI2Li4uVVNELkgBAAAA3rYBAAIAAAAFLTgyOTQBCAAAAAUAAAABMQEAAAALLTE5MDQ4NjA2NTcDAAAAAzE2MAIAAAAEMjA1NwQA</t>
  </si>
  <si>
    <t>AAABMAcAAAAIMy82LzIwMjYIAAAACjEyLzMxLzIwMjUJAAAAATDuadG9zXveCIaduzjOe94IMUNJUS5OWVNFOklCTS5JUV9ESVZFU1RfQ0YuMjAwMC4wNi8wMy8yMDI2Li4uVVNELkgBAAAA3rYBAAIAAAACLTEBCAAAAAUAAAABMQEAAAALLTE5MDQ4NjA2NTcDAAAAAzE2MAIAAAAEMjA3NwQAAAABMAcAAAAIMy82LzIwMjYIAAAACjEyLzMxLzIwMjUJAAAAATDuadG9zXveCGJ8vDjOe94IO0NJUS5OWVNFOklCTS5JUV9TQUxFX1JFQUxfRVNUQVRFX0NGLjIwMDAuMDYvMDMvMjAyNi4uLlVTRC5IAQAAAN62AQADAAAAAADuadG9zXveCB4wvTjOe94INUNJUS5OWVNFOklCTS5JUV9TQUxFX0lOVEFOX0NGLjIwMDAuMDYvMDMvMjAyNi4uLlVTRC5IAQAAAN62AQACAAAABC02NDcBCAAAAAUAAAABMQEAAAALLTE5MDQ4NjA2NTcDAAAAAzE2MAIAAAAEMjAyOQQAAAABMAcAAAAIMy82LzIwMjYIAAAACjEyLzMxLzIwMjUJAAAAATDuadG9zXveCIZXvTjOe94IOkNJUS5OWVNFOklCTS5JUV9JTlZFU1RfU0VDVVJJVFlfQ0YuMjAwMC4wNi8wMy8yMDI2Li4uVVNELkgBAAAA3rYBAAIAAAAELTM5MQEIAAAABQAAAAExAQAAAAstMTkwNDg2MDY1NwMAAAADMTYwAgAAAAQyMDI3BAAAAAEwBwAAAAgzLzYvMjAyNggAAAAKMTIvMzEvMjAyNQkAAAABMO5p0b3Ne94Ix/O9OM573gg3Q0lRLk5ZU0U6SUJNLklRX0lOVkVTVF9M</t>
  </si>
  <si>
    <t>T0FOU19DRi4yMDAwLjA2LzAzLzIwMjYuLi5VU0QuSAEAAADetgEAAwAAAAAA7mnRvc173gh91784znveCD5DSVEuTllTRTpJQk0uSVFfT1RIRVJfSU5WRVNUX0FDVF9TVVBQTC4yMDAwLjA2LzAzLzIwMjYuLi5VU0QuSAEAAADetgEAAgAAAAExAQgAAAAFAAAAATEBAAAACy0xOTA0ODYwNjU3AwAAAAMxNjACAAAABDIwNTEEAAAAATAHAAAACDMvNi8yMDI2CAAAAAoxMi8zMS8yMDI1CQAAAAEw7mnRvc173gi4K7s4znveCDNDSVEuTllTRTpJQk0uSVFfQ0FTSF9JTlZFU1QuMjAwMC4wNi8wMy8yMDI2Li4uVVNELkgBAAAA3rYBAAIAAAAGLTEwMzAyAQgAAAAFAAAAATEBAAAACy0xOTA0ODYwNjU3AwAAAAMxNjACAAAABDIwMDUEAAAAATAHAAAACDMvNi8yMDI2CAAAAAoxMi8zMS8yMDI1CQAAAAEw7mnRvc173giUfr04znveCDZDSVEuTllTRTpJQk0uSVFfU1RfREVCVF9JU1NVRUQuMjAwMC4wNi8wMy8yMDI2Li4uVVNELkgBAAAA3rYBAAMAAAAAAO5p0b3Ne94Ihle9OM573gg2Q0lRLk5ZU0U6SUJNLklRX0xUX0RFQlRfSVNTVUVELjIwMDAuMDYvMDMvMjAyNi4uLlVTRC5IAQAAAN62AQACAAAABDgzOTEBCAAAAAUAAAABMQEAAAALLTE5MDQ4NjA2NTcDAAAAAzE2MAIAAAAEMjAzNAQAAAABMAcAAAAIMy82LzIwMjYIAAAACjEyLzMxLzIwMjUJAAAAATDuadG9zXveCNVNvjjOe94IOUNJUS5OWVNFOklCTS5J</t>
  </si>
  <si>
    <t>UV9UT1RBTF9ERUJUX0lTU1VFRC4yMDAwLjA2LzAzLzIwMjYuLi5VU0QuSAEAAADetgEAAgAAAAQ4MzkxAQgAAAAFAAAAATEBAAAACy0xOTA0ODYwNjU3AwAAAAMxNjACAAAABDIxNjEEAAAAATAHAAAACDMvNi8yMDI2CAAAAAoxMi8zMS8yMDI1CQAAAAEw7mnRvc173ggnALw4znveCDZDSVEuTllTRTpJQk0uSVFfU1RfREVCVF9SRVBBSUQuMjAwMC4wNi8wMy8yMDI2Li4uVVNELkgBAAAA3rYBAAIAAAADLTI5AQgAAAAFAAAAATEBAAAACy0xOTA0ODYwNjU3AwAAAAMxNjACAAAABDIwNDQEAAAAATAHAAAACDMvNi8yMDI2CAAAAAoxMi8zMS8yMDI1CQAAAAEw7mnRvc173gjH8704znveCDZDSVEuTllTRTpJQk0uSVFfTFRfREVCVF9SRVBBSUQuMjAwMC4wNi8wMy8yMDI2Li4uVVNELkgBAAAA3rYBAAIAAAAFLTU0ODkBCAAAAAUAAAABMQEAAAALLTE5MDQ4NjA2NTcDAAAAAzE2MAIAAAAEMjAzNgQAAAABMAcAAAAIMy82LzIwMjYIAAAACjEyLzMxLzIwMjUJAAAAATDuadG9zXveCLgruzjOe94IOUNJUS5OWVNFOklCTS5JUV9UT1RBTF9ERUJUX1JFUEFJRC4yMDAwLjA2LzAzLzIwMjYuLi5VU0QuSAEAAADetgEAAgAAAAUtNTUxOAEIAAAABQAAAAExAQAAAAstMTkwNDg2MDY1NwMAAAADMTYwAgAAAAQyMTY2BAAAAAEwBwAAAAgzLzYvMjAyNggAAAAKMTIvMzEvMjAyNQkAAAABMO5p0b3Ne94IFwi9OM573gg1</t>
  </si>
  <si>
    <t>Q0lRLk5ZU0U6SUJNLklRX0NPTU1PTl9JU1NVRUQuMjAwMC4wNi8wMy8yMDI2Li4uVVNELkgBAAAA3rYBAAIAAAADNzEwAQgAAAAFAAAAATEBAAAACy0xOTA0ODYwNjU3AwAAAAMxNjACAAAABDIxNjkEAAAAATAHAAAACDMvNi8yMDI2CAAAAAoxMi8zMS8yMDI1CQAAAAEw7mnRvc173ghSO784znveCDJDSVEuTllTRTpJQk0uSVFfQ09NTU9OX1JFUC4yMDAwLjA2LzAzLzIwMjYuLi5VU0QuSAEAAADetgEAAgAAAAUtMTAxOAEIAAAABQAAAAExAQAAAAstMTkwNDg2MDY1NwMAAAADMTYwAgAAAAQyMTY0BAAAAAEwBwAAAAgzLzYvMjAyNggAAAAKMTIvMzEvMjAyNQkAAAABMO5p0b3Ne94IXVW8OM573ggzQ0lRLk5ZU0U6SUJNLklRX1BSRUZfSVNTVUVELjIwMDAuMDYvMDMvMjAyNi4uLlVTRC5IAQAAAN62AQADAAAAAADuadG9zXveCMklvjjOe94IMENJUS5OWVNFOklCTS5JUV9QUkVGX1JFUC4yMDAwLjA2LzAzLzIwMjYuLi5VU0QuSAEAAADetgEAAwAAAAAA7mnRvc173ghSO784znveCDVDSVEuTllTRTpJQk0uSVFfQ09NTU9OX0RJVl9DRi4yMDAwLjA2LzAzLzIwMjYuLi5VU0QuSAEAAADetgEAAgAAAAUtNjI1NQEIAAAABQAAAAExAQAAAAstMTkwNDg2MDY1NwMAAAADMTYwAgAAAAQyMDc0BAAAAAEwBwAAAAgzLzYvMjAyNggAAAAKMTIvMzEvMjAyNQkAAAABMO5p0b3Ne94Ifde/OM573ggzQ0lRLk5ZU0U6</t>
  </si>
  <si>
    <t>SUJNLklRX1BSRUZfRElWX0NGLjIwMDAuMDYvMDMvMjAyNi4uLlVTRC5IAQAAAN62AQADAAAAAADuadG9zXveCOl0wDjOe94IOkNJUS5OWVNFOklCTS5JUV9DT01NT05fUFJFRl9ESVZfQ0YuMjAwMC4wNi8wMy8yMDI2Li4uVVNELkgBAAAA3rYBAAMAAAAAAO5p0b3Ne94I8Ru9OM573gg5Q0lRLk5ZU0U6SUJNLklRX1RPVEFMX0RJVl9QQUlEX0NGLjIwMDAuMDYvMDMvMjAyNi4uLlVTRC5IAQAAAN62AQACAAAABS02MjU1AQgAAAAFAAAAATEBAAAACy0xOTA0ODYwNjU3AwAAAAMxNjACAAAABDIwMjIEAAAAATAHAAAACDMvNi8yMDI2CAAAAAoxMi8zMS8yMDI1CQAAAAEw7mnRvc173gjH8704znveCDZDSVEuTllTRTpJQk0uSVFfU1BFQ0lBTF9ESVZfQ0YuMjAwMC4wNi8wMy8yMDI2Li4uVVNELkgBAAAA3rYBAAMAAAAAAO5p0b3Ne94I6XTAOM573gg/Q0lRLk5ZU0U6SUJNLklRX09USEVSX0ZJTkFOQ0VfQUNUX1NVUFBMLjIwMDAuMDYvMDMvMjAyNi4uLlVTRC5IAQAAAN62AQACAAAABC0xMzkBCAAAAAUAAAABMQEAAAALLTE5MDQ4NjA2NTcDAAAAAzE2MAIAAAAEMjA1MAQAAAABMAcAAAAIMy82LzIwMjYIAAAACjEyLzMxLzIwMjUJAAAAATDuadG9zXveCCcAvDjOe94IMkNJUS5OWVNFOklCTS5JUV9DQVNIX0ZJTkFOLjIwMDAuMDYvMDMvMjAyNi4uLlVTRC5IAQAAAN62AQACAAAABS0zODI5AQgAAAAFAAAA</t>
  </si>
  <si>
    <t>ATEBAAAACy0xOTA0ODYwNjU3AwAAAAMxNjACAAAABDIwMDQEAAAAATAHAAAACDMvNi8yMDI2CAAAAAoxMi8zMS8yMDI1CQAAAAEw7mnRvc173giQpb04znveCCpDSVEuTllTRTpJQk0uSVFfRlguMjAwMC4wNi8wMy8yMDI2Li4uVVNELkgBAAAA3rYBAAIAAAADNDE4AQgAAAAFAAAAATEBAAAACy0xOTA0ODYwNjU3AwAAAAMxNjACAAAABDIxNDQEAAAAATAHAAAACDMvNi8yMDI2CAAAAAoxMi8zMS8yMDI1CQAAAAEw7mnRvc173giyUrs4znveCDZDSVEuTllTRTpJQk0uSVFfTUlTQ19BREpVU1RfQ0YuMjAwMC4wNi8wMy8yMDI2Li4uVVNELkgBAAAA3rYBAAMAAAAAAO5p0b3Ne94Ijrm8OM573ggyQ0lRLk5ZU0U6SUJNLklRX05FVF9DSEFOR0UuMjAwMC4wNi8wMy8yMDI2Li4uVVNELkgBAAAA3rYBAAIAAAAELTUyMAEIAAAABQAAAAExAQAAAAstMTkwNDg2MDY1NwMAAAADMTYwAgAAAAQyMDkzBAAAAAEwBwAAAAgzLzYvMjAyNggAAAAKMTIvMzEvMjAyNQkAAAABMO5p0b3Ne94IpYi+OM573ggtQ0lRLk5ZU0U6SUJNLklRX0ZJTElOR0RBVEVfQ0YuMjAwMC4wNi8wMy8yMDI2AQAAAN62AQAFAAAACjI0LzAyLzIwMjYA7mnRvc173giQpb04znveCC9DSVEuTllTRTpJQk0uSVFfUEVSSU9ETEVOR1RIX0NGLjIwMDAuMDYvMDMvMjAyNgEAAADetgEAAQAAAAIxMgCspNG9zXveCFI7vzjOe94IO0NJUS5OWVNFOklC</t>
  </si>
  <si>
    <t>TS5JUV9EQV9TVVBQTF9QQVJUSUFMX0NGLjIwMDAuMDYvMDMvMjAyNi4uLlVTRC5IAQAAAN62AQADAAAAAACspNG9zXveCH3XvzjOe94IQUNJUS5OWVNFOklCTS5JUV9HV19JTlRBTl9BTU9SVF9QQVJUSUFMX0NGLjIwMDAuMDYvMDMvMjAyNi4uLlVTRC5IAQAAAN62AQADAAAAAACspNG9zXveCJClvTjOe94IMkNJUS5OWVNFOklCTS5JUV9ERVBSRV9TVVBQLjIwMDAuMDYvMDMvMjAyNi4uLlVTRC5IAQAAAN62AQADAAAAAACspNG9zXveCAzhvDjOe94IRUNJUS5OWVNFOklCTS5JUV9ERVBSRUNJQVRJT05fUkVOVEFMX0FTU0VUU19DRi4yMDAwLjA2LzAzLzIwMjYuLi5VU0QuSAEAAADetgEAAwAAAAAArKTRvc173ggNFL84znveCC9DSVEuTllTRTpJQk0uSVFfREVQX1JVQS4yMDAwLjA2LzAzLzIwMjYuLi5VU0QuSAEAAADetgEAAgAAAAM5MDABCAAAAAUAAAABMQEAAAALLTE5MDQ4NjA2NTcDAAAAAzE2MAIAAAAFNDgzNTcEAAAAATAHAAAACDMvNi8yMDI2CAAAAAoxMi8zMS8yMDI1CQAAAAEwrKTRvc173gjpdMA4znveCERDSVEuTllTRTpJQk0uSVFfREFfU1VQUExfQ0ZfRVhDTF9PUEVSX0xFQVNFUy4yMDAwLjA2LzAzLzIwMjYuLi5VU0QuSAEAAADetgEAAgAAAAQxMzg0AQgAAAAFAAAAATEBAAAACy0xOTA0ODYwNjU3AwAAAAMxNjACAAAABTQ4OTgzBAAAAAEwBwAAAAgzLzYvMjAyNggAAAAKMTIvMzEv</t>
  </si>
  <si>
    <t>MjAyNQkAAAABMKyk0b3Ne94IpYi+OM573gg+Q0lRLk5ZU0U6SUJNLklRX0RBX0NGX0VYQ0xfT1BFUl9MRUFTRVMuMjAwMC4wNi8wMy8yMDI2Li4uVVNELkgBAAAA3rYBAAIAAAAEMzU1MAEIAAAABQAAAAExAQAAAAstMTkwNDg2MDY1NwMAAAADMTYwAgAAAAU0ODk4NQQAAAABMAcAAAAIMy82LzIwMjYIAAAACjEyLzMxLzIwMjUJAAAAATCspNG9zXveCA0UvzjOe94INUNJUS5OWVNFOklCTS5JUV9FQklUX0VYQ0xfU0JDLjIwMDAuMDYvMDMvMjAyNi4uLlVTRC5IAQAAAN62AQACAAAABTE0MjgzAQgAAAAFAAAAATEBAAAACy0xOTA0ODYwNjU3AwAAAAMxNjACAAAABTI0MTM0BAAAAAEwBwAAAAgzLzYvMjAyNggAAAAKMTIvMzEvMjAyNQkAAAABMO/A2r3Ne94IslK7OM573ggtQ0lRLk5ZU0U6SUJNLklRX0VCSVRBLjIwMDAuMDYvMDMvMjAyNi4uLlVTRC5IAQAAAN62AQACAAAABTE0NzM0AQgAAAAFAAAAATEBAAAACy0xOTA0ODYwNjU3AwAAAAMxNjACAAAABjEwMDY4OQQAAAABMAcAAAAIMy82LzIwMjYIAAAACjEyLzMxLzIwMjUJAAAAATDvwNq9zXveCGAqvDjOe94INENJUS5OWVNFOklCTS5JUV9FQklUQV9FUV9JTkMuMjAwMC4wNi8wMy8yMDI2Li4uVVNELkgBAAAA3rYBAAIAAAAFMTQ3MzQBCAAAAAUAAAABMQEAAAALLTE5MDQ4NjA2NTcDAAAAAzE2MAIAAAAFMjE2NzYEAAAAATAHAAAACDMvNi8yMDI2</t>
  </si>
  <si>
    <t>CAAAAAoxMi8zMS8yMDI1CQAAAAEw78Davc173giXzL04znveCD1DSVEuTllTRTpJQk0uSVFfRUJJVEFfRVFfSU5DX0VYQ0xfU0JDLjIwMDAuMDYvMDMvMjAyNi4uLlVTRC5IAQAAAN62AQACAAAABTE2NDQ5AQgAAAAFAAAAATEBAAAACy0xOTA0ODYwNjU3AwAAAAMxNjACAAAABTI0MTMyBAAAAAEwBwAAAAgzLzYvMjAyNggAAAAKMTIvMzEvMjAyNQkAAAABMO/A2r3Ne94IHjC9OM573gg2Q0lRLk5ZU0U6SUJNLklRX0VCSVRBX0VYQ0xfU0JDLjIwMDAuMDYvMDMvMjAyNi4uLlVTRC5IAQAAAN62AQACAAAABTE2NDQ5AQgAAAAFAAAAATEBAAAACy0xOTA0ODYwNjU3AwAAAAMxNjACAAAABTI0MTM2BAAAAAEwBwAAAAgzLzYvMjAyNggAAAAKMTIvMzEvMjAyNQkAAAABMO/A2r3Ne94IslK7OM573ggvQ0lRLk5ZU0U6SUJNLklRX0VCSVREQVIuMjAwMC4wNi8wMy8yMDI2Li4uVVNELkgBAAAA3rYBAAIAAAAFMTc0MjYBCAAAAAUAAAABMQEAAAALLTE5MDQ4NjA2NTcDAAAAAzE2MAIAAAAFMjE2NzQEAAAAATAHAAAACDMvNi8yMDI2CAAAAAoxMi8zMS8yMDI1CQAAAAEw78Davc173gjxG704znveCDZDSVEuTllTRTpJQk0uSVFfRUJJVERBUl9FUV9JTkMuMjAwMC4wNi8wMy8yMDI2Li4uVVNELkgBAAAA3rYBAAIAAAAFMTg3MzQBCAAAAAUAAAABMQEAAAALLTE5MDQ4NjA2NTcDAAAAAzE2MAIAAAAFMjQxMjkEAAAA</t>
  </si>
  <si>
    <t>ATAHAAAACDMvNi8yMDI2CAAAAAoxMi8zMS8yMDI1CQAAAAEw78Davc173ghifLw4znveCD9DSVEuTllTRTpJQk0uSVFfRUJJVERBUl9FUV9JTkNfRVhDTF9TQkMuMjAwMC4wNi8wMy8yMDI2Li4uVVNELkgBAAAA3rYBAAIAAAAFMTkxNDEBCAAAAAUAAAABMQEAAAALLTE5MDQ4NjA2NTcDAAAAAzE2MAIAAAAFMjQxMzMEAAAAATAHAAAACDMvNi8yMDI2CAAAAAoxMi8zMS8yMDI1CQAAAAEw78Davc173ggeML04znveCDhDSVEuTllTRTpJQk0uSVFfRUJJVERBUl9FWENMX1NCQy4yMDAwLjA2LzAzLzIwMjYuLi5VU0QuSAEAAADetgEAAgAAAAUxOTE0MQEIAAAABQAAAAExAQAAAAstMTkwNDg2MDY1NwMAAAADMTYwAgAAAAUyNDEzNwQAAAABMAcAAAAIMy82LzIwMjYIAAAACjEyLzMxLzIwMjUJAAAAATDvwNq9zXveCNVNvjjOe94INENJUS5OWVNFOklCTS5JUV9FQklUREFfQ0FQRVguMjAwMC4wNi8wMy8yMDI2Li4uVVNELkgBAAAA3rYBAAIAAAAFMTUwMjcBCAAAAAUAAAABMQEAAAALLTE5MDQ4NjA2NTcDAAAAAzE2MAIAAAAFMzUzNzkEAAAAATAHAAAACDMvNi8yMDI2CAAAAAoxMi8zMS8yMDI1CQAAAAEw78Davc173giGV704znveCDlDSVEuTllTRTpJQk0uSVFfRkVFU19PVEhFUl9JTkNPTUUuMjAwMC4wNi8wMy8yMDI2Li4uVVNELkgBAAAA3rYBAAMAAAAAAO/A2r3Ne94IJwC8OM573ggqQ0lRLk5ZU0U6</t>
  </si>
  <si>
    <t>SUJNLklRX1NBTUVfU1RPUkUuMjAwMC4wNi8wMy8yMDI2AQAAAN62AQADAAAAAADvwNq9zXveCNVNvjjOe94IPUNJUS5OWVNFOklCTS5JUV9UT1RBTF9SRVZfQVNfUkVQT1JURUQuMjAwMC4wNi8wMy8yMDI2Li4uVVNELkgBAAAA3rYBAAIAAAAFNjc1MzUBCAAAAAUAAAABMQEAAAALLTE5MDQ4NjA2NTcDAAAAAzE2MAIAAAADMzM5BAAAAAEwBwAAAAgzLzYvMjAyNggAAAAKMTIvMzEvMjAyNQkAAAABMO/A2r3Ne94IJwC8OM573gg6Q0lRLk5ZU0U6SUJNLklRX0FTX1JFUE9SVEVEX0VCSVREQS4yMDAwLjA2LzAzLzIwMjYuLi5VU0QuSAEAAADetgEAAwAAAAAA78Davc173ghifLw4znveCEpDSVEuTllTRTpJQk0uSVFfUFJPVl9CQURfREVCVFNfUEFUSUVOVF9TRVJWSUNFX1JFVi4yMDAwLjA2LzAzLzIwMjYuLi5VU0QuSAEAAADetgEAAwAAAAAA78Davc173ggnALw4znveCEFDSVEuTllTRTpJQk0uSVFfRUFSTklOR19QQVJFTlRfRVhDTF9FWFRSQS4yMDAwLjA2LzAzLzIwMjYuLi5VU0QuSAEAAADetgEAAgAAAAUxMDU3MQEIAAAABQAAAAExAQAAAAstMTkwNDg2MDY1NwMAAAADMTYwAgAAAAU0MTU5NgQAAAABMAcAAAAIMy82LzIwMjYIAAAACjEyLzMxLzIwMjUJAAAAATDvwNq9zXveCJfMvTjOe94IL0NJUS5OWVNFOklCTS5JUV9OSV9TRkFTLjIwMDAuMDYvMDMvMjAyNi4uLlVTRC5IAQAAAN62AQADAAAA</t>
  </si>
  <si>
    <t>AADvwNq9zXveCLHYuzjOe94IN0NJUS5OWVNFOklCTS5JUV9JTlRFUkVTVF9JTkNPTUUuMjAwMC4wNi8wMy8yMDI2Li4uVVNELkgBAAAA3rYBAAIAAAADNjQ1AQgAAAAFAAAAATEBAAAACy0xOTA0ODYwNjU3AwAAAAMxNjACAAAAAzIxMAQAAAABMAcAAAAIMy82LzIwMjYIAAAACjEyLzMxLzIwMjUJAAAAATDvwNq9zXveCGJ8vDjOe94IOUNJUS5OWVNFOklCTS5JUV9JTlZFU1RNRU5UX0lOQ09NRS4yMDAwLjA2LzAzLzIwMjYuLi5VU0QuSAEAAADetgEAAwAAAAAA78Davc173ggeML04znveCD9DSVEuTllTRTpJQk0uSVFfRVhDSVNFX1RBWEVTX0VYQ0xfU0FMRVMuMjAwMC4wNi8wMy8yMDI2Li4uVVNELkgBAAAA3rYBAAMAAAAAAO/A2r3Ne94Ijrm8OM573gg/Q0lRLk5ZU0U6SUJNLklRX0VYQ0lTRV9UQVhFU19JTkNMX1NBTEVTLjIwMDAuMDYvMDMvMjAyNi4uLlVTRC5IAQAAAN62AQADAAAAAADvwNq9zXveCIZXvTjOe94IO0NJUS5OWVNFOklCTS5JUV9DVVJSX0RPTUVTVElDX1RBWEVTLjIwMDAuMDYvMDMvMjAyNi4uLlVTRC5IAQAAAN62AQACAAAABS0xNTg3AQgAAAAFAAAAATEBAAAACy0xOTA0ODYwNjU3AwAAAAMxNjACAAAABDMwMjcEAAAAATAHAAAACDMvNi8yMDI2CAAAAAoxMi8zMS8yMDI1CQAAAAEw78Davc173giOubw4znveCDpDSVEuTllTRTpJQk0uSVFfQ1VSUl9GT1JFSUdOX1RBWEVTLjIw</t>
  </si>
  <si>
    <t>MDAuMDYvMDMvMjAyNi4uLlVTRC5IAQAAAN62AQACAAAABDIzMDMBCAAAAAUAAAABMQEAAAALLTE5MDQ4NjA2NTcDAAAAAzE2MAIAAAAEMzAzMAQAAAABMAcAAAAIMy82LzIwMjYIAAAACjEyLzMxLzIwMjUJAAAAATDvwNq9zXveCIZXvTjOe94IMkNJUS5OWVNFOklCTS5JUV9DVVJSX1RBWEVTLjIwMDAuMDYvMDMvMjAyNi4uLlVTRC5IAQAAAN62AQACAAAAAzcxNgEIAAAABQAAAAExAQAAAAstMTkwNDg2MDY1NwMAAAADMTYwAgAAAAUzNTM4MwQAAAABMAcAAAAIMy82LzIwMjYIAAAACjEyLzMxLzIwMjUJAAAAATDvwNq9zXveCLHYuzjOe94IP0NJUS5OWVNFOklCTS5JUV9ERUZFUlJFRF9ET01FU1RJQ19UQVhFUy4yMDAwLjA2LzAzLzIwMjYuLi5VU0QuSAEAAADetgEAAgAAAAQtMjQ5AQgAAAAFAAAAATEBAAAACy0xOTA0ODYwNjU3AwAAAAMxNjACAAAABDMwNTQEAAAAATAHAAAACDMvNi8yMDI2CAAAAAoxMi8zMS8yMDI1CQAAAAEw78Davc173gjVTb44znveCD5DSVEuTllTRTpJQk0uSVFfREVGRVJSRURfRk9SRUlHTl9UQVhFUy4yMDAwLjA2LzAzLzIwMjYuLi5VU0QuSAEAAADetgEAAgAAAAQtNzA4AQgAAAAFAAAAATEBAAAACy0xOTA0ODYwNjU3AwAAAAMxNjACAAAABDMwNTUEAAAAATAHAAAACDMvNi8yMDI2CAAAAAoxMi8zMS8yMDI1CQAAAAEw78Davc173ggnALw4znveCDxDSVEuTllTRTpJQk0u</t>
  </si>
  <si>
    <t>SVFfREVGRVJSRURfVEFYRVNfVE9UQUwuMjAwMC4wNi8wMy8yMDI2Li4uVVNELkgBAAAA3rYBAAIAAAAELTk1NwEIAAAABQAAAAExAQAAAAstMTkwNDg2MDY1NwMAAAADMTYwAgAAAAUzNTM4NQQAAAABMAcAAAAIMy82LzIwMjYIAAAACjEyLzMxLzIwMjUJAAAAATDvwNq9zXveCB4wvTjOe94IQUNJUS5OWVNFOklCTS5JUV9OT05SRUNVUlJJTkdfSU5DT01FX1RBWEVTLjIwMDAuMDYvMDMvMjAyNi4uLlVTRC5IAQAAAN62AQACAAAABS0xMTYxAQgAAAAFAAAAATEBAAAACy0xOTA0ODYwNjU3AwAAAAMxNjACAAAABTQ4ODM5BAAAAAEwBwAAAAgzLzYvMjAyNggAAAAKMTIvMzEvMjAyNQkAAAABMO/A2r3Ne94IXVW8OM573ggvQ0lRLk5ZU0U6SUJNLklRX05JX05PUk0uMjAwMC4wNi8wMy8yMDI2Li4uVVNELkgBAAAA3rYBAAIAAAAINjk3NC4zNzUBCAAAAAUAAAABMQEAAAALLTE5MDQ4NjA2NTcDAAAAAzE2MAIAAAAENDM3OAQAAAABMAcAAAAIMy82LzIwMjYIAAAACjEyLzMxLzIwMjUJAAAAATDvwNq9zXveCJfMvTjOe94IMENJUS5OWVNFOklCTS5JUV9ESUxVVF9OSS4yMDAwLjA2LzAzLzIwMjYuLi5VU0QuSAEAAADetgEAAgAAAAsxMDU2OC4yNDIwNAEIAAAABQAAAAExAQAAAAstMTkwNDg2MDY1NwMAAAADMTYwAgAAAAQzNTIyBAAAAAEwBwAAAAgzLzYvMjAyNggAAAAKMTIvMzEvMjAyNQkAAAABMO/A2r3N</t>
  </si>
  <si>
    <t>e94IYny8OM573gg8Q0lRLk5ZU0U6SUJNLklRX0NBUElUQUxJWkVEX0lOVEVSRVNULjIwMDAuMDYvMDMvMjAyNi4uLlVTRC5IAQAAAN62AQACAAAAATQBCAAAAAUAAAABMQEAAAALLTE5MDQ4NjA2NTcDAAAAAzE2MAIAAAAEMzAzMgQAAAABMAcAAAAIMy82LzIwMjYIAAAACjEyLzMxLzIwMjUJAAAAATDvwNq9zXveCLHYuzjOe94IM0NJUS5OWVNFOklCTS5JUV9JTlRfRVhQX0xURC4yMDAwLjA2LzAzLzIwMjYuLi5VU0QuSAEAAADetgEAAwAAAAAA9+favc173giXzL04znveCElDSVEuTllTRTpJQk0uSVFfSU5URVJFU1RfRVhQX0xFQVNFX0xJQUJJTElUWV9ERUJULjIwMDAuMDYvMDMvMjAyNi4uLlVTRC5IAQAAAN62AQADAAAAAAD359q9zXveCCcAvDjOe94IOENJUS5OWVNFOklCTS5JUV9JTlRfRVhQX0lOQ0xfQ0FQLjIwMDAuMDYvMDMvMjAyNi4uLlVTRC5IAQAAAN62AQACAAAABDE5MzkBCAAAAAUAAAABMQEAAAALLTE5MDQ4NjA2NTcDAAAAAzE2MAIAAAAFMjE4NjEEAAAAATAHAAAACDMvNi8yMDI2CAAAAAoxMi8zMS8yMDI1CQAAAAEw9+favc173giyUrs4znveCDtDSVEuTllTRTpJQk0uSVFfTk9OQ0FTSF9QRU5TSU9OX0VYUC4yMDAwLjA2LzAzLzIwMjYuLi5VU0QuSAEAAADetgEAAgAAAAMtNDkBCAAAAAUAAAABMQEAAAALLTE5MDQ4NjA2NTcDAAAAAzE2MAIAAAAFMjE2NzgEAAAAATAHAAAACDMv</t>
  </si>
  <si>
    <t>Ni8yMDI2CAAAAAoxMi8zMS8yMDI1CQAAAAEw9+favc173ghdVbw4znveCDFDSVEuTllTRTpJQk0uSVFfREFfRUJJVERBLjIwMDAuMDYvMDMvMjAyNi4uLlVTRC5IAQAAAN62AQACAAAABDM1NTABCAAAAAUAAAABMQEAAAALLTE5MDQ4NjA2NTcDAAAAAzE2MAIAAAAEMjIwNgQAAAABMAcAAAAIMy82LzIwMjYIAAAACjEyLzMxLzIwMjUJAAAAATD359q9zXveCLx5uzjOe94IOkNJUS5OWVNFOklCTS5JUV9ESVNUUklCVVRBQkxFX0NBU0guMjAwMC4wNi8wMy8yMDI2Li4uVVNELkgBAAAA3rYBAAMAAAAAAPfn2r3Ne94IYny8OM573ghHQ0lRLk5ZU0U6SUJNLklRX0RJU1RSSUJVVEFCTEVfQ0FTSF9TVEFOREFSRElaRUQuMjAwMC4wNi8wMy8yMDI2Li4uVVNELkgBAAAA3rYBAAMAAAAAAPfn2r3Ne94I1U2+OM573gg/Q0lRLk5ZU0U6SUJNLklRX0RJU1RSSUJVVEFCTEVfQ0FTSF9TSEFSRVNfQkFTSUMuMjAwMC4wNi8wMy8yMDI2AQAAAN62AQADAAAAAADEqgK+zXveCI65vDjOe94IQUNJUS5OWVNFOklCTS5JUV9ESVNUUklCVVRBQkxFX0NBU0hfU0hBUkVTX0RJTFVURUQuMjAwMC4wNi8wMy8yMDI2AQAAAN62AQADAAAAAADEqgK+zXveCBcIvTjOe94IPkNJUS5OWVNFOklCTS5JUV9BTk5VX0RJU1RSSUJVVElPTl9VTklULjIwMDAuMDYvMDMvMjAyNi4uLlVTRC5IAQAAAN62AQADAAAAAAD359q9zXveCLx5uzjO</t>
  </si>
  <si>
    <t>e94IOUNJUS5OWVNFOklCTS5JUV9ESVNUUklCVVRBQkxFX0NBU0hfUEFZT1VULjIwMDAuMDYvMDMvMjAyNgEAAADetgEAAwAAAAAA9+favc173ghdVbw4znveCDJDSVEuTllTRTpJQk0uSVFfQ09NTU9OX0RJVi4yMDAwLjA2LzAzLzIwMjYuLi5VU0QuSAEAAADetgEAAgAAAAQ2MjU1APfn2r3Ne94IXrG7OM573ggvQ0lRLk5ZU0U6SUJNLklRX0VGRkVDVF9UQVhfUkFURS4yMDAwLjA2LzAzLzIwMjYBAAAA3rYBAAMAAAACTk0BCAAAAAUAAAABMQEAAAALLTE5MDQ4NjA2NTcDAAAAAzE2MAIAAAAENDM3NgQAAAABMAcAAAAIMy82LzIwMjYIAAAACjEyLzMxLzIwMjUJAAAAATD359q9zXveCI65vDjOe94ILENJUS5OWVNFOklCTS5JUV9QQVlPVVRfUkFUSU8uMjAwMC4wNi8wMy8yMDI2AQAAAN62AQACAAAABzU5LjA0ODQBCAAAAAUAAAABMQEAAAALLTE5MDQ4NjA2NTcDAAAAAzE2MAIAAAAENDM3NwQAAAABMAcAAAAIMy82LzIwMjYIAAAACjEyLzMxLzIwMjUJAAAAATD359q9zXveCJfMvTjOe94IK0NJUS5OWVNFOklCTS5JUV9ESUMuMjAwMC4wNi8wMy8yMDI2Li4uVVNELkgBAAAA3rYBAAMAAAAAAPfn2r3Ne94IvHm7OM573gguQ0lRLk5ZU0U6SUJNLklRX1JFU1RBVEVNRU5UX0lTLjIwMDAuMDYvMDMvMjAyNgEAAADetgEAAwAAAAFPAPfn2r3Ne94Isdi7OM573ggsQ0lRLk5ZU0U6SUJNLklRX0NBTENfVFlQ</t>
  </si>
  <si>
    <t>RV9JUy4yMDAwLjA2LzAzLzIwMjYBAAAA3rYBAAMAAAADUkVQAPfn2r3Ne94IYny8OM573ggnQ0lRLk5ZU0U6SUJNLklRX0dBQVBfSVMuMjAwMC4wNi8wMy8yMDI2AQAAAN62AQADAAAAB1VTIEdBQVAA9+favc173ghdVbw4znveCDNDSVEuTllTRTpJQk0uSVFfQURWRVJUSVNJTkcuMjAwMC4wNi8wMy8yMDI2Li4uVVNELkgBAAAA3rYBAAIAAAAEMTEyOQEIAAAABQAAAAExAQAAAAstMTkwNDg2MDY1NwMAAAADMTYwAgAAAAQzMDEzBAAAAAEwBwAAAAgzLzYvMjAyNggAAAAKMTIvMzEvMjAyNQkAAAABMPfn2r3Ne94I1U2+OM573ggxQ0lRLk5ZU0U6SUJNLklRX01BUktFVElORy4yMDAwLjA2LzAzLzIwMjYuLi5VU0QuSAEAAADetgEAAwAAAAAA9+favc173giGV704znveCDdDSVEuTllTRTpJQk0uSVFfU0FMRVNfTUFSS0VUSU5HLjIwMDAuMDYvMDMvMjAyNi4uLlVTRC5IAQAAAN62AQACAAAABDExMjkBCAAAAAUAAAABMQEAAAALLTE5MDQ4NjA2NTcDAAAAAzE2MAIAAAAFMjE1NjEEAAAAATAHAAAACDMvNi8yMDI2CAAAAAoxMi8zMS8yMDI1CQAAAAEw9+favc173ghdVbw4znveCC5DSVEuTllTRTpJQk0uSVFfR0FfRVhQLjIwMDAuMDYvMDMvMjAyNi4uLlVTRC5IAQAAAN62AQADAAAAAAD359q9zXveCF6xuzjOe94IMUNJUS5OWVNFOklCTS5JUV9SRF9FWFBfRk4uMjAwMC4wNi8wMy8yMDI2Li4uVVNELkgB</t>
  </si>
  <si>
    <t>AAAA3rYBAAIAAAAEODMxMgEIAAAABQAAAAExAQAAAAstMTkwNDg2MDY1NwMAAAADMTYwAgAAAAQzMTY4BAAAAAEwBwAAAAgzLzYvMjAyNggAAAAKMTIvMzEvMjAyNQkAAAABMPfn2r3Ne94Ihle9OM573gg5Q0lRLk5ZU0U6SUJNLklRX05FVF9SRU5UQUxfRVhQX0ZOLjIwMDAuMDYvMDMvMjAyNi4uLlVTRC5IAQAAAN62AQACAAAABDEzMDgBCAAAAAUAAAABMQEAAAALLTE5MDQ4NjA2NTcDAAAAAzE2MAIAAAAEMzE3MAQAAAABMAcAAAAIMy82LzIwMjYIAAAACjEyLzMxLzIwMjUJAAAAATD359q9zXveCCcAvDjOe94INkNJUS5OWVNFOklCTS5JUV9ORVRfUkVOVEFMX0VYUC4yMDAwLjA2LzAzLzIwMjYuLi5VU0QuSAEAAADetgEAAwAAAAAA9+favc173ggM4bw4znveCD1DSVEuTllTRTpJQk0uSVFfTkVUX1JFTlRBTF9FWFBfU1VQUExFLjIwMDAuMDYvMDMvMjAyNi4uLlVTRC5IAQAAAN62AQACAAAABDEzMDgBCAAAAAUAAAABMQEAAAALLTE5MDQ4NjA2NTcDAAAAAzE2MAIAAAAFMjQyNjMEAAAAATAHAAAACDMvNi8yMDI2CAAAAAoxMi8zMS8yMDI1CQAAAAEw9+favc173giXzL04znveCDlDSVEuTllTRTpJQk0uSVFfQ09OVElOR0VOVF9SRU5UQUwuMjAwMC4wNi8wMy8yMDI2Li4uVVNELkgBAAAA3rYBAAIAAAADMzAwAPfn2r3Ne94Isdi7OM573gg2Q0lRLk5ZU0U6SUJNLklRX01JTklNVU1fUkVOVEFMLjIw</t>
  </si>
  <si>
    <t>MDAuMDYvMDMvMjAyNi4uLlVTRC5IAQAAAN62AQADAAAAAAD359q9zXveCAzhvDjOe94INENJUS5OWVNFOklCTS5JUV9PVEhFUl9SRU5UQUwuMjAwMC4wNi8wMy8yMDI2Li4uVVNELkgBAAAA3rYBAAMAAAAAAPfn2r3Ne94IlH69OM573gg1Q0lRLk5ZU0U6SUJNLklRX0FJUkNSQUZUX1JFTlQuMjAwMC4wNi8wMy8yMDI2Li4uVVNELkgBAAAA3rYBAAMAAAAAAPfn2r3Ne94IslK7OM573ghCQ0lRLk5ZU0U6SUJNLklRX0RFUFJFQ0lBVElPTl9SRU5UQUxfQVNTRVRTLjIwMDAuMDYvMDMvMjAyNi4uLlVTRC5IAQAAAN62AQADAAAAAAD359q9zXveCAzhvDjOe94IP0NJUS5OWVNFOklCTS5JUV9FWFBMT1JFX0RSSUxMX0VYUF9UT1RBTC4yMDAwLjA2LzAzLzIwMjYuLi5VU0QuSAEAAADetgEAAwAAAAAA9+favc173giXzL04znveCDRDSVEuTllTRTpJQk0uSVFfTUFJTlRfUkVQQUlSLjIwMDAuMDYvMDMvMjAyNi4uLlVTRC5IAQAAAN62AQADAAAAAAD359q9zXveCLJSuzjOe94IQENJUS5OWVNFOklCTS5JUV9JTVBVVF9PUEVSX0xFQVNFX0lOVF9FWFAuMjAwMC4wNi8wMy8yMDI2Li4uVVNELkgBAAAA3rYBAAIAAAAKMzI5Ljg5ODUyOAEIAAAABQAAAAExAQAAAAstMTkwNDg2MDY1NwMAAAADMTYwAgAAAAUyMTY3MgQAAAABMAcAAAAIMy82LzIwMjYIAAAACjEyLzMxLzIwMjUJAAAAATD359q9zXveCAzhvDjOe94I</t>
  </si>
  <si>
    <t>PUNJUS5OWVNFOklCTS5JUV9JTVBVVF9PUEVSX0xFQVNFX0RFUFIuMjAwMC4wNi8wMy8yMDI2Li4uVVNELkgBAAAA3rYBAAIAAAAKOTc4LjEwMTQ3MgEIAAAABQAAAAExAQAAAAstMTkwNDg2MDY1NwMAAAADMTYwAgAAAAUyMTY3MwQAAAABMAcAAAAIMy82LzIwMjYIAAAACjEyLzMxLzIwMjUJAAAAATD359q9zXveCF6xuzjOe94IP0NJUS5OWVNFOklCTS5JUV9TQUxBUklFU19PVEhFUl9CRU5FRklUUy4yMDAwLjA2LzAzLzIwMjYuLi5VU0QuSAEAAADetgEAAwAAAAAACA/bvc173giliL44znveCDpDSVEuTllTRTpJQk0uSVFfUkVTVFJVQ1RVUkVfU1VQUExFLjIwMDAuMDYvMDMvMjAyNi4uLlVTRC5IAQAAAN62AQADAAAAAAAID9u9zXveCJR+vTjOe94INUNJUS5OWVNFOklCTS5JUV9NRVJHRVJfU1VQUExFLjIwMDAuMDYvMDMvMjAyNi4uLlVTRC5IAQAAAN62AQADAAAAAAAID9u9zXveCGAqvDjOe94IPENJUS5OWVNFOklCTS5JUV9JTVBBSVJNRU5UX0dXX1NVUFBMRS4yMDAwLjA2LzAzLzIwMjYuLi5VU0QuSAEAAADetgEAAwAAAAAACA/bvc173ghesbs4znveCD5DSVEuTllTRTpJQk0uSVFfQVNTRVRfV1JJVEVET1dOX1NVUFBMRS4yMDAwLjA2LzAzLzIwMjYuLi5VU0QuSAEAAADetgEAAwAAAAAACA/bvc173giUfr04znveCDNDSVEuTllTRTpJQk0uSVFfSVBSRF9TVVBQTEUuMjAwMC4wNi8wMy8yMDI2</t>
  </si>
  <si>
    <t>Li4uVVNELkgBAAAA3rYBAAMAAAAAAAgP273Ne94IYCq8OM573gg4Q0lRLk5ZU0U6SUJNLklRX0dBSU5fQkFSR0FJTl9BQ1EuMjAwMC4wNi8wMy8yMDI2Li4uVVNELkgBAAAA3rYBAAMAAAAAAAgP273Ne94IXrG7OM573gg/Q0lRLk5ZU0U6SUJNLklRX0dBSU5fQkFSR0FJTl9BQ1FfU1VQUExFLjIwMDAuMDYvMDMvMjAyNi4uLlVTRC5IAQAAAN62AQADAAAAAAAID9u9zXveCJClvTjOe94IOUNJUS5OWVNFOklCTS5JUV9JTlNfU0VUVExFX1NVUFBMRS4yMDAwLjA2LzAzLzIwMjYuLi5VU0QuSAEAAADetgEAAwAAAAAACA/bvc173ghifLw4znveCDtDSVEuTllTRTpJQk0uSVFfTEVHQUxfU0VUVExFX1NVUFBMRS4yMDAwLjA2LzAzLzIwMjYuLi5VU0QuSAEAAADetgEAAwAAAAAACA/bvc173gjVTb44znveCDxDSVEuTllTRTpJQk0uSVFfT1RIRVJfVU5VU1VBTF9TVVBQTEUuMjAwMC4wNi8wMy8yMDI2Li4uVVNELkgBAAAA3rYBAAMAAAAAAAgP273Ne94IDOG8OM573gg8Q0lRLk5ZU0U6SUJNLklRX1RPVEFMX1VOVVNVQUxfU1VQUExFLjIwMDAuMDYvMDMvMjAyNi4uLlVTRC5IAQAAAN62AQADAAAAAAAID9u9zXveCIZXvTjOe94IOUNJUS5OWVNFOklCTS5JUV9ORUdBVElWRV9HV19BTU9SVC4yMDAwLjA2LzAzLzIwMjYuLi5VU0QuSAEAAADetgEAAwAAAAAACA/bvc173gh91784znveCDxDSVEuTllTRTpJQk0u</t>
  </si>
  <si>
    <t>SVFfTkVHQVRJVkVfR1dfQU1PUlRfQVQuMjAwMC4wNi8wMy8yMDI2Li4uVVNELkgBAAAA3rYBAAMAAAAAAAgP273Ne94IDOG8OM573gg4Q0lRLk5ZU0U6SUJNLklRX1NUT0NLX0JBU0VEX0NPR1MuMjAwMC4wNi8wMy8yMDI2Li4uVVNELkgBAAAA3rYBAAIAAAADMjY5AQgAAAAFAAAAATEBAAAACy0xOTA0ODYwNjU3AwAAAAMxNjACAAAABTIyNjc0BAAAAAEwBwAAAAgzLzYvMjAyNggAAAAKMTIvMzEvMjAyNQkAAAABMAgP273Ne94IlH69OM573gg2Q0lRLk5ZU0U6SUJNLklRX1NUT0NLX0JBU0VEX1JELjIwMDAuMDYvMDMvMjAyNi4uLlVTRC5IAQAAAN62AQACAAAAAzU0MgEIAAAABQAAAAExAQAAAAstMTkwNDg2MDY1NwMAAAADMTYwAgAAAAUyMjY3OAQAAAABMAcAAAAIMy82LzIwMjYIAAAACjEyLzMxLzIwMjUJAAAAATAID9u9zXveCIaduzjOe94IK0NJUS5OWVNFOklCTS5JUV9SRVYuMjAwMC4wNi8wMy8yMDI2Li4uVVNELkgBAAAA3rYBAAIAAAAFNjY3OTkBCAAAAAUAAAABMQEAAAALLTE5MDQ4NjA2NTcDAAAAAzE2MAIAAAADMTEyBAAAAAEwBwAAAAgzLzYvMjAyNggAAAAKMTIvMzEvMjAyNQkAAAABMCZpAr7Ne94Ijrm8OM573ggzQ0lRLk5ZU0U6SUJNLklRX0ZJTl9ESVZfUkVWLjIwMDAuMDYvMDMvMjAyNi4uLlVTRC5IAQAAAN62AQACAAAAAzczNwEIAAAABQAAAAExAQAAAAstMTkwNDg2MDY1NwMA</t>
  </si>
  <si>
    <t>AAADMTYwAgAAAAI1MgQAAAABMAcAAAAIMy82LzIwMjYIAAAACjEyLzMxLzIwMjUJAAAAATAmaQK+zXveCGmNuzjOe94IM0NJUS5OWVNFOklCTS5JUV9JTlNfRElWX1JFVi4yMDAwLjA2LzAzLzIwMjYuLi5VU0QuSAEAAADetgEAAwAAAAAAJmkCvs173ggeML04znveCDdDSVEuTllTRTpJQk0uSVFfR0FJTl9BU1NFVFNfUkVWLjIwMDAuMDYvMDMvMjAyNi4uLlVTRC5IAQAAAN62AQADAAAAAAAmaQK+zXveCI65vDjOe94IN0NJUS5OWVNFOklCTS5JUV9HQUlOX0lOVkVTVF9SRVYuMjAwMC4wNi8wMy8yMDI2Li4uVVNELkgBAAAA3rYBAAMAAAAAACZpAr7Ne94IYny8OM573ggzQ0lRLk5ZU0U6SUJNLklRX0lOVF9JTlZfSU5DLjIwMDAuMDYvMDMvMjAyNi4uLlVTRC5IAQAAAN62AQADAAAAAAAmaQK+zXveCF6xuzjOe94IN0NJUS5OWVNFOklCTS5JUV9PVEhFUl9SRVZfU1VQUEwuMjAwMC4wNi8wMy8yMDI2Li4uVVNELkgBAAAA3rYBAAIAAAACLTEBCAAAAAUAAAABMQEAAAALLTE5MDQ4NjA2NTcDAAAAAzE2MAIAAAACOTAEAAAAATAHAAAACDMvNi8yMDI2CAAAAAoxMi8zMS8yMDI1CQAAAAEwJmkCvs173ghgKrw4znveCCxDSVEuTllTRTpJQk0uSVFfQ09HUy4yMDAwLjA2LzAzLzIwMjYuLi5VU0QuSAEAAADetgEAAgAAAAUyNzgzNgEIAAAABQAAAAExAQAAAAstMTkwNDg2MDY1NwMAAAADMTYwAgAAAAIzNAQA</t>
  </si>
  <si>
    <t>AAABMAcAAAAIMy82LzIwMjYIAAAACjEyLzMxLzIwMjUJAAAAATAmaQK+zXveCIaduzjOe94IM0NJUS5OWVNFOklCTS5JUV9GSU5fRElWX0VYUC4yMDAwLjA2LzAzLzIwMjYuLi5VU0QuSAEAAADetgEAAgAAAAM0MDMBCAAAAAUAAAABMQEAAAALLTE5MDQ4NjA2NTcDAAAAAzE2MAIAAAACNTEEAAAAATAHAAAACDMvNi8yMDI2CAAAAAoxMi8zMS8yMDI1CQAAAAEwJmkCvs173ggeML04znveCDNDSVEuTllTRTpJQk0uSVFfSU5TX0RJVl9FWFAuMjAwMC4wNi8wMy8yMDI2Li4uVVNELkgBAAAA3rYBAAMAAAAAACZpAr7Ne94IYCq8OM573gg3Q0lRLk5ZU0U6SUJNLklRX0ZJTl9ESVZfSU5UX0VYUC4yMDAwLjA2LzAzLzIwMjYuLi5VU0QuSAEAAADetgEAAwAAAAAAJmkCvs173ghifLw4znveCCpDSVEuTllTRTpJQk0uSVFfR1AuMjAwMC4wNi8wMy8yMDI2Li4uVVNELkgBAAAA3rYBAAIAAAAFMzkyOTYBCAAAAAUAAAABMQEAAAALLTE5MDQ4NjA2NTcDAAAAAzE2MAIAAAACMTAEAAAAATAHAAAACDMvNi8yMDI2CAAAAAoxMi8zMS8yMDI1CQAAAAEwJmkCvs173gix2Ls4znveCDFDSVEuTllTRTpJQk0uSVFfU0dBX1NVUFBMLjIwMDAuMDYvMDMvMjAyNi4uLlVTRC5IAQAAAN62AQACAAAABTE5MzgwAQgAAAAFAAAAATEBAAAACy0xOTA0ODYwNjU3AwAAAAMxNjACAAAAAzEwMgQAAAABMAcAAAAIMy82LzIwMjYIAAAA</t>
  </si>
  <si>
    <t>CjEyLzMxLzIwMjUJAAAAATAmaQK+zXveCF1VvDjOe94INUNJUS5OWVNFOklCTS5JUV9FWFBMT1JFX0RSSUxMLjIwMDAuMDYvMDMvMjAyNi4uLlVTRC5IAQAAAN62AQADAAAAAAAmaQK+zXveCGmNuzjOe94INkNJUS5OWVNFOklCTS5JUV9QUk9WX0JBRF9ERUJUUy4yMDAwLjA2LzAzLzIwMjYuLi5VU0QuSAEAAADetgEAAwAAAAAAJmkCvs173gjxG704znveCDNDSVEuTllTRTpJQk0uSVFfU1RPQ0tfQkFTRUQuMjAwMC4wNi8wMy8yMDI2Li4uVVNELkgBAAAA3rYBAAMAAAAAACZpAr7Ne94Ijrm8OM573gg1Q0lRLk5ZU0U6SUJNLklRX1BSRV9PUEVOX0NPU1QuMjAwMC4wNi8wMy8yMDI2Li4uVVNELkgBAAAA3rYBAAMAAAAAACZpAr7Ne94IYny8OM573gguQ0lRLk5ZU0U6SUJNLklRX1JEX0VYUC4yMDAwLjA2LzAzLzIwMjYuLi5VU0QuSAEAAADetgEAAgAAAAQ4MzEyAQgAAAAFAAAAATEBAAAACy0xOTA0ODYwNjU3AwAAAAMxNjACAAAAAzEwMAQAAAABMAcAAAAIMy82LzIwMjYIAAAACjEyLzMxLzIwMjUJAAAAATAmaQK+zXveCBcIvTjOe94IMENJUS5OWVNFOklCTS5JUV9EQV9TVVBQTC4yMDAwLjA2LzAzLzIwMjYuLi5VU0QuSAEAAADetgEAAwAAAAAAJmkCvs173ghgKrw4znveCDZDSVEuTllTRTpJQk0uSVFfR1dfSU5UQU5fQU1PUlQuMjAwMC4wNi8wMy8yMDI2Li4uVVNELkgBAAAA3rYBAAMAAAAAACZp</t>
  </si>
  <si>
    <t>Ar7Ne94IslK7OM573ggyQ0lRLk5ZU0U6SUJNLklRX0lNUEFJUl9PSUwuMjAwMC4wNi8wMy8yMDI2Li4uVVNELkgBAAAA3rYBAAMAAAAAACZpAr7Ne94Isdi7OM573ggyQ0lRLk5ZU0U6SUJNLklRX09USEVSX09QRVIuMjAwMC4wNi8wMy8yMDI2Li4uVVNELkgBAAAA3rYBAAIAAAAELTk2NAEIAAAABQAAAAExAQAAAAstMTkwNDg2MDY1NwMAAAADMTYwAgAAAAMyNjAEAAAAATAHAAAACDMvNi8yMDI2CAAAAAoxMi8zMS8yMDI1CQAAAAEwJmkCvs173ghifLw4znveCDhDSVEuTllTRTpJQk0uSVFfVE9UQUxfT1RIRVJfT1BFUi4yMDAwLjA2LzAzLzIwMjYuLi5VU0QuSAEAAADetgEAAgAAAAUyNjcyOAEIAAAABQAAAAExAQAAAAstMTkwNDg2MDY1NwMAAAADMTYwAgAAAAMzODAEAAAAATAHAAAACDMvNi8yMDI2CAAAAAoxMi8zMS8yMDI1CQAAAAEwJmkCvs173giyUrs4znveCDBDSVEuTllTRTpJQk0uSVFfT1BFUl9JTkMuMjAwMC4wNi8wMy8yMDI2Li4uVVNELkgBAAAA3rYBAAIAAAAFMTI1NjgBCAAAAAUAAAABMQEAAAALLTE5MDQ4NjA2NTcDAAAAAzE2MAIAAAACMjEEAAAAATAHAAAACDMvNi8yMDI2CAAAAAoxMi8zMS8yMDI1CQAAAAEwJmkCvs173ggeML04znveCDRDSVEuTllTRTpJQk0uSVFfSU5URVJFU1RfRVhQLjIwMDAuMDYvMDMvMjAyNi4uLlVTRC5IAQAAAN62AQACAAAABS0xOTM1AQgAAAAFAAAA</t>
  </si>
  <si>
    <t>ATEBAAAACy0xOTA0ODYwNjU3AwAAAAMxNjACAAAAAjgyBAAAAAEwBwAAAAgzLzYvMjAyNggAAAAKMTIvMzEvMjAyNQkAAAABMCZpAr7Ne94IXVW8OM573gg7Q0lRLk5ZU0U6SUJNLklRX0lOVEVSRVNUX0lOVkVTVF9JTkMuMjAwMC4wNi8wMy8yMDI2Li4uVVNELkgBAAAA3rYBAAIAAAADNjQ1AQgAAAAFAAAAATEBAAAACy0xOTA0ODYwNjU3AwAAAAMxNjACAAAAAjY1BAAAAAEwBwAAAAgzLzYvMjAyNggAAAAKMTIvMzEvMjAyNQkAAAABMCZpAr7Ne94IHjC9OM573gg4Q0lRLk5ZU0U6SUJNLklRX05FVF9JTlRFUkVTVF9FWFAuMjAwMC4wNi8wMy8yMDI2Li4uVVNELkgBAAAA3rYBAAIAAAAFLTEyOTABCAAAAAUAAAABMQEAAAALLTE5MDQ4NjA2NTcDAAAAAzE2MAIAAAADMzY4BAAAAAEwBwAAAAgzLzYvMjAyNggAAAAKMTIvMzEvMjAyNQkAAAABMCZpAr7Ne94IJwC8OM573ggyQ0lRLk5ZU0U6SUJNLklRX0lOQ19FUVVJVFkuMjAwMC4wNi8wMy8yMDI2Li4uVVNELkgBAAAA3rYBAAMAAAAAACZpAr7Ne94IYny8OM573gg1Q0lRLk5ZU0U6SUJNLklRX0NVUlJFTkNZX0dBSU4uMjAwMC4wNi8wMy8yMDI2Li4uVVNELkgBAAAA3rYBAAIAAAAELTI0NAEIAAAABQAAAAExAQAAAAstMTkwNDg2MDY1NwMAAAADMTYwAgAAAAIzOAQAAAABMAcAAAAIMy82LzIwMjYIAAAACjEyLzMxLzIwMjUJAAAAATAmaQK+zXveCJCl</t>
  </si>
  <si>
    <t>vTjOe94IQENJUS5OWVNFOklCTS5JUV9PVEhFUl9OT05fT1BFUl9FWFBfU1VQUEwuMjAwMC4wNi8wMy8yMDI2Li4uVVNELkgBAAAA3rYBAAIAAAADMTI1AQgAAAAFAAAAATEBAAAACy0xOTA0ODYwNjU3AwAAAAMxNjACAAAAAjg1BAAAAAEwBwAAAAgzLzYvMjAyNggAAAAKMTIvMzEvMjAyNQkAAAABMCZpAr7Ne94IDOG8OM573ggwQ0lRLk5ZU0U6SUJNLklRX0VCVF9FWENMLjIwMDAuMDYvMDMvMjAyNi4uLlVTRC5IAQAAAN62AQACAAAABTExMTU5AQgAAAAFAAAAATEBAAAACy0xOTA0ODYwNjU3AwAAAAMxNjACAAAAATQEAAAAATAHAAAACDMvNi8yMDI2CAAAAAoxMi8zMS8yMDI1CQAAAAEwJmkCvs173gi8ebs4znveCDNDSVEuTllTRTpJQk0uSVFfUkVTVFJVQ1RVUkUuMjAwMC4wNi8wMy8yMDI2Li4uVVNELkgBAAAA3rYBAAIAAAAELTY3MAEIAAAABQAAAAExAQAAAAstMTkwNDg2MDY1NwMAAAADMTYwAgAAAAI5OAQAAAABMAcAAAAIMy82LzIwMjYIAAAACjEyLzMxLzIwMjUJAAAAATAmaQK+zXveCPEbvTjOe94ILkNJUS5OWVNFOklCTS5JUV9NRVJHRVIuMjAwMC4wNi8wMy8yMDI2Li4uVVNELkgBAAAA3rYBAAIAAAAELTE1MwEIAAAABQAAAAExAQAAAAstMTkwNDg2MDY1NwMAAAADMTYwAgAAAAI4MAQAAAABMAcAAAAIMy82LzIwMjYIAAAACjEyLzMxLzIwMjUJAAAAATAmaQK+zXveCI65vDjOe94INUNJ</t>
  </si>
  <si>
    <t>US5OWVNFOklCTS5JUV9JTVBBSVJNRU5UX0dXLjIwMDAuMDYvMDMvMjAyNi4uLlVTRC5IAQAAAN62AQADAAAAAAAmaQK+zXveCIZXvTjOe94IM0NJUS5OWVNFOklCTS5JUV9HQUlOX0lOVkVTVC4yMDAwLjA2LzAzLzIwMjYuLi5VU0QuSAEAAADetgEAAgAAAAItNwEIAAAABQAAAAExAQAAAAstMTkwNDg2MDY1NwMAAAADMTYwAgAAAAI2MgQAAAABMAcAAAAIMy82LzIwMjYIAAAACjEyLzMxLzIwMjUJAAAAATAmaQK+zXveCLHYuzjOe94IM0NJUS5OWVNFOklCTS5JUV9HQUlOX0FTU0VUUy4yMDAwLjA2LzAzLzIwMjYuLi5VU0QuSAEAAADetgEAAwAAAAAAJmkCvs173ghdVbw4znveCDdDSVEuTllTRTpJQk0uSVFfQVNTRVRfV1JJVEVET1dOLjIwMDAuMDYvMDMvMjAyNi4uLlVTRC5IAQAAAN62AQADAAAAAAAmaQK+zXveCIaduzjOe94ILENJUS5OWVNFOklCTS5JUV9JUFJELjIwMDAuMDYvMDMvMjAyNi4uLlVTRC5IAQAAAN62AQADAAAAAAAmaQK+zXveCGAqvDjOe94IMkNJUS5OWVNFOklCTS5JUV9JTlNfU0VUVExFLjIwMDAuMDYvMDMvMjAyNi4uLlVTRC5IAQAAAN62AQADAAAAAAAmaQK+zXveCGJ8vDjOe94INENJUS5OWVNFOklCTS5JUV9MRUdBTF9TRVRUTEUuMjAwMC4wNi8wMy8yMDI2Li4uVVNELkgBAAAA3rYBAAMAAAAAAMSqAr7Ne94Isdi7OM573gg7Q0lRLk5ZU0U6SUJNLklRX09USEVSX1VOVVNV</t>
  </si>
  <si>
    <t>QUxfU1VQUEwuMjAwMC4wNi8wMy8yMDI2Li4uVVNELkgBAAAA3rYBAAMAAAAAAMSqAr7Ne94IDOG8OM573ggrQ0lRLk5ZU0U6SUJNLklRX0VCVC4yMDAwLjA2LzAzLzIwMjYuLi5VU0QuSAEAAADetgEAAgAAAAUxMDMyOQEIAAAABQAAAAExAQAAAAstMTkwNDg2MDY1NwMAAAADMTYwAgAAAAMxMzkEAAAAATAHAAAACDMvNi8yMDI2CAAAAAoxMi8zMS8yMDI1CQAAAAEwxKoCvs173giXzL04znveCC9DSVEuTllTRTpJQk0uSVFfSU5DX1RBWC4yMDAwLjA2LzAzLzIwMjYuLi5VU0QuSAEAAADetgEAAgAAAAQtMjQyAQgAAAAFAAAAATEBAAAACy0xOTA0ODYwNjU3AwAAAAMxNjACAAAAAjc1BAAAAAEwBwAAAAgzLzYvMjAyNggAAAAKMTIvMzEvMjAyNQkAAAABMMSqAr7Ne94I8Ru9OM573ggyQ0lRLk5ZU0U6SUJNLklRX0VBUk5JTkdfQ08uMjAwMC4wNi8wMy8yMDI2Li4uVVNELkgBAAAA3rYBAAIAAAAFMTA1NzEBCAAAAAUAAAABMQEAAAALLTE5MDQ4NjA2NTcDAAAAAzE2MAIAAAABNwQAAAABMAcAAAAIMy82LzIwMjYIAAAACjEyLzMxLzIwMjUJAAAAATDEqgK+zXveCGAqvDjOe94IKkNJUS5OWVNFOklCTS5JUV9ETy4yMDAwLjA2LzAzLzIwMjYuLi5VU0QuSAEAAADetgEAAgAAAAIyMgEIAAAABQAAAAExAQAAAAstMTkwNDg2MDY1NwMAAAADMTYwAgAAAAI0MAQAAAABMAcAAAAIMy82LzIwMjYIAAAACjEyLzMx</t>
  </si>
  <si>
    <t>LzIwMjUJAAAAATDEqgK+zXveCLJSuzjOe94IN0NJUS5OWVNFOklCTS5JUV9FWFRSQV9BQ0NfSVRFTVMuMjAwMC4wNi8wMy8yMDI2Li4uVVNELkgBAAAA3rYBAAMAAAAAAMSqAr7Ne94Isdi7OM573ggyQ0lRLk5ZU0U6SUJNLklRX05JX0NPTVBBTlkuMjAwMC4wNi8wMy8yMDI2Li4uVVNELkgBAAAA3rYBAAIAAAAFMTA1OTMBCAAAAAUAAAABMQEAAAALLTE5MDQ4NjA2NTcDAAAAAzE2MAIAAAAFNDE1NzEEAAAAATAHAAAACDMvNi8yMDI2CAAAAAoxMi8zMS8yMDI1CQAAAAEwxKoCvs173giOubw4znveCDxDSVEuTllTRTpJQk0uSVFfTUlOT1JJVFlfSU5URVJFU1RfSVMuMjAwMC4wNi8wMy8yMDI2Li4uVVNELkgBAAAA3rYBAAMAAAAAAMSqAr7Ne94IuCu7OM573ggqQ0lRLk5ZU0U6SUJNLklRX05JLjIwMDAuMDYvMDMvMjAyNi4uLlVTRC5IAQAAAN62AQACAAAABTEwNTkzAQgAAAAFAAAAATEBAAAACy0xOTA0ODYwNjU3AwAAAAMxNjACAAAAAjE1BAAAAAEwBwAAAAgzLzYvMjAyNggAAAAKMTIvMzEvMjAyNQkAAAABMMSqAr7Ne94IFwi9OM573gg2Q0lRLk5ZU0U6SUJNLklRX1BSRUZfRElWX09USEVSLjIwMDAuMDYvMDMvMjAyNi4uLlVTRC5IAQAAAN62AQADAAAAAADEqgK+zXveCGJ8vDjOe94INUNJUS5OWVNFOklCTS5JUV9OSV9BVkFJTF9JTkNMLjIwMDAuMDYvMDMvMjAyNi4uLlVTRC5IAQAAAN62AQAC</t>
  </si>
  <si>
    <t>AAAABTEwNTkzAQgAAAAFAAAAATEBAAAACy0xOTA0ODYwNjU3AwAAAAMxNjACAAAAAjE2BAAAAAEwBwAAAAgzLzYvMjAyNggAAAAKMTIvMzEvMjAyNQkAAAABMMSqAr7Ne94IySW+OM573gg1Q0lRLk5ZU0U6SUJNLklRX05JX0FWQUlMX0VYQ0wuMjAwMC4wNi8wMy8yMDI2Li4uVVNELkgBAAAA3rYBAAIAAAAFMTA1NzEBCAAAAAUAAAABMQEAAAALLTE5MDQ4NjA2NTcDAAAAAzE2MAIAAAADMzc5BAAAAAEwBwAAAAgzLzYvMjAyNggAAAAKMTIvMzEvMjAyNQkAAAABMMSqAr7Ne94IYCq8OM573gg2Q0lRLk5ZU0U6SUJNLklRX0JBU0lDX0VQU19JTkNMLjIwMDAuMDYvMDMvMjAyNi4uLlVTRC5IAQAAAN62AQACAAAACTExLjM2MjI5NgEIAAAABQAAAAExAQAAAAstMTkwNDg2MDY1NwMAAAADMTYwAgAAAAE5BAAAAAEwBwAAAAgzLzYvMjAyNggAAAAKMTIvMzEvMjAyNQkAAAABMMSqAr7Ne94IHjC9OM573gg2Q0lRLk5ZU0U6SUJNLklRX0JBU0lDX0VQU19FWENMLjIwMDAuMDYvMDMvMjAyNi4uLlVTRC5IAQAAAN62AQACAAAACTExLjMzODY5OAEIAAAABQAAAAExAQAAAAstMTkwNDg2MDY1NwMAAAADMTYwAgAAAAQzMDY0BAAAAAEwBwAAAAgzLzYvMjAyNggAAAAKMTIvMzEvMjAyNQkAAAABMMSqAr7Ne94IJwC8OM573ggsQ0lRLk5ZU0U6SUJNLklRX0JBU0lDX1dFSUdIVC4yMDAwLjA2LzAzLzIwMjYBAAAA3rYB</t>
  </si>
  <si>
    <t>AAIAAAAKOTMyLjI5MzkyNwDEqgK+zXveCJfMvTjOe94INkNJUS5OWVNFOklCTS5JUV9ESUxVVF9FUFNfSU5DTC4yMDAwLjA2LzAzLzIwMjYuLi5VU0QuSAEAAADetgEAAgAAAAgxMS4xNjMxOQEIAAAABQAAAAExAQAAAAstMTkwNDg2MDY1NwMAAAADMTYwAgAAAAE4BAAAAAEwBwAAAAgzLzYvMjAyNggAAAAKMTIvMzEvMjAyNQkAAAABMMSqAr7Ne94IXrG7OM573ggsQ0lRLk5ZU0U6SUJNLklRX0RJTFVUX1dFSUdIVC4yMDAwLjA2LzAzLzIwMjYBAAAA3rYBAAIAAAAKOTQ4LjY3NTIyOADEqgK+zXveCJfMvTjOe94IMENJUS5OWVNFOklCTS5JUV9FUFNfTk9STS4yMDAwLjA2LzAzLzIwMjYuLi5VU0QuSAEAAADetgEAAgAAAAg3LjQ4MDg3NQEIAAAABQAAAAExAQAAAAstMTkwNDg2MDY1NwMAAAADMTYwAgAAAAQ0Mzc5BAAAAAEwBwAAAAgzLzYvMjAyNggAAAAKMTIvMzEvMjAyNQkAAAABMMSqAr7Ne94IDOG8OM573gg2Q0lRLk5ZU0U6SUJNLklRX0RJTFVUX0VQU19OT1JNLjIwMDAuMDYvMDMvMjAyNi4uLlVTRC5IAQAAAN62AQACAAAACDcuMzUxNjk5AQgAAAAFAAAAATEBAAAACy0xOTA0ODYwNjU3AwAAAAMxNjACAAAABDQzODAEAAAAATAHAAAACDMvNi8yMDI2CAAAAAoxMi8zMS8yMDI1CQAAAAEwxKoCvs173ghifLw4znveCExDSVEuTllTRTpJQk0uSVFfRElTVFJJQlVUQUJMRV9DQVNIX1BFUl9TSEFS</t>
  </si>
  <si>
    <t>RV9ESUxVVEVELjIwMDAuMDYvMDMvMjAyNi4uLlVTRC5IAQAAAN62AQADAAAAAADEqgK+zXveCBcIvTjOe94IMUNJUS5OWVNFOklCTS5JUV9ESVZfU0hBUkUuMjAwMC4wNi8wMy8yMDI2Li4uVVNELkgBAAAA3rYBAAIAAAAENi43MQEIAAAABQAAAAExAQAAAAstMTkwNDg2MDY1NwMAAAADMTYwAgAAAAQzMDU4BAAAAAEwBwAAAAgzLzYvMjAyNggAAAAKMTIvMzEvMjAyNQkAAAABMMSqAr7Ne94IySW+OM573ggwQ0lRLk5ZU0U6SUJNLklRX0RSX1JBVElPX1BSSU1BUlkuMjAwMC4wNi8wMy8yMDI2AQAAAN62AQACAAAAATEAxKoCvs173ghesbs4znveCDdDSVEuTllTRTpJQk0uSVFfVE9UQUxfUkVWX1NIQVJFLjIwMDAuMDYvMDMvMjAyNi4uLlVTRC5IAQAAAN62AQACAAAABzcyLjQzOTYBCAAAAAUAAAABMQEAAAALLTE5MDQ4NjA2NTcDAAAAAzE2MAIAAAAENDM4MgQAAAABMAcAAAAIMy82LzIwMjYIAAAACjEyLzMxLzIwMjUJAAAAATDEqgK+zXveCF1VvDjOe94IQENJUS5OWVNFOklCTS5JUV9ESVNUUklCVVRBQkxFX0NBU0hfU0hBUkUuMjAwMC4wNi8wMy8yMDI2Li4uVVNELkgBAAAA3rYBAAMAAAAAAMSqAr7Ne94Ihp27OM573gg5Q0lRLk5ZU0U6SUJNLklRX1NQRUNJQUxfRElWX1NIQVJFLjIwMDAuMDYvMDMvMjAyNi4uLlVTRC5IAQAAAN62AQADAAAAAADEqgK+zXveCF1VvDjOe94ILUNJUS5OWVNFOklC</t>
  </si>
  <si>
    <t>TS5JUV9GSUxJTkdEQVRFX0lTLjIwMDAuMDYvMDMvMjAyNgEAAADetgEABQAAAAoyNC8wMi8yMDI2AMSqAr7Ne94IFwi9OM573ggvQ0lRLk5ZU0U6SUJNLklRX1BFUklPRExFTkdUSF9JUy4yMDAwLjA2LzAzLzIwMjYBAAAA3rYBAAEAAAACMTIAxKoCvs173giXzL04znveCDVDSVEuTllTRTpJQk0uSVFfRUJJVERBX0VRX0lOQy4yMDAwLjA2LzAzLzIwMjYuLi5VU0QuSAEAAADetgEAAgAAAAUxNzQyNgEIAAAABQAAAAExAQAAAAstMTkwNDg2MDY1NwMAAAADMTYwAgAAAAUyMTY3NwQAAAABMAcAAAAIMy82LzIwMjYIAAAACjEyLzMxLzIwMjUJAAAAATDEqgK+zXveCLx5uzjOe94IPkNJUS5OWVNFOklCTS5JUV9FQklUREFfRVFfSU5DX0VYQ0xfU0JDLjIwMDAuMDYvMDMvMjAyNi4uLlVTRC5IAQAAAN62AQACAAAABTE3ODMzAQgAAAAFAAAAATEBAAAACy0xOTA0ODYwNjU3AwAAAAMxNjACAAAABTI0MTMxBAAAAAEwBwAAAAgzLzYvMjAyNggAAAAKMTIvMzEvMjAyNQkAAAABMMSqAr7Ne94I8Ru9OM573gg3Q0lRLk5ZU0U6SUJNLklRX0VCSVREQV9FWENMX1NCQy4yMDAwLjA2LzAzLzIwMjYuLi5VU0QuSAEAAADetgEAAgAAAAUxNzgzMwEIAAAABQAAAAExAQAAAAstMTkwNDg2MDY1NwMAAAADMTYwAgAAAAUyNDEzNQQAAAABMAcAAAAIMy82LzIwMjYIAAAACjEyLzMxLzIwMjUJAAAAATDEqgK+zXveCGAqvDjO</t>
  </si>
  <si>
    <t>e94IPUNJUS5OWVNFOklCTS5JUV9FQklUREFfTEVBU0VfQURKVVNURUQuMjAwMC4wNi8wMy8yMDI2Li4uVVNELkgBAAAA3rYBAAIAAAAFMTc0MjYBCAAAAAUAAAABMQEAAAALLTE5MDQ4NjA2NTcDAAAAAzE2MAIAAAAFNDg5OTMEAAAAATAHAAAACDMvNi8yMDI2CAAAAAoxMi8zMS8yMDI1CQAAAAEwxKoCvs173ggeML04znveCD9DSVEuTllTRTpJQk0uSVFfTEVBU0VfQURKVVNUTUVOVF9FQklUREEuMjAwMC4wNi8wMy8yMDI2Li4uVVNELkgBAAAA3rYBAAIAAAAEMTMwOADEqgK+zXveCNVNvjjOe94ISUNJUS5OWVNFOklCTS5JUV9FQklUREFfRVFfSU5DX0VYQ0xfT1BFUl9MRUFTRV9BREouMjAwMC4wNi8wMy8yMDI2Li4uVVNELkgBAAAA3rYBAAIAAAAFMTYxMTgBCAAAAAUAAAABMQEAAAALLTE5MDQ4NjA2NTcDAAAAAzE2MAIAAAAFNDg5ODcEAAAAATAHAAAACDMvNi8yMDI2CAAAAAoxMi8zMS8yMDI1CQAAAAEw6uUCvs173ggeML04znveCCxDSVEuTllTRTpJQk0uSVFfRUJJVC4yMDAwLjA2LzAzLzIwMjYuLi5VU0QuSAEAAADetgEAAgAAAAUxMjU2OAEIAAAABQAAAAExAQAAAAstMTkwNDg2MDY1NwMAAAADMTYwAgAAAAM0MDAEAAAAATAHAAAACDMvNi8yMDI2CAAAAAoxMi8zMS8yMDI1CQAAAAEw6uUCvs173ghgKrw4znveCDNDSVEuTllTRTpJQk0uSVFfRUJJVF9FUV9JTkMuMjAwMC4wNi8wMy8yMDI2</t>
  </si>
  <si>
    <t>Li4uVVNELkgBAAAA3rYBAAIAAAAFMTI1NjgBCAAAAAUAAAABMQEAAAALLTE5MDQ4NjA2NTcDAAAAAzE2MAIAAAAFMjE2NzUEAAAAATAHAAAACDMvNi8yMDI2CAAAAAoxMi8zMS8yMDI1CQAAAAEw6uUCvs173gi8ebs4znveCDxDSVEuTllTRTpJQk0uSVFfRUJJVF9FUV9JTkNfRVhDTF9TQkMuMjAwMC4wNi8wMy8yMDI2Li4uVVNELkgBAAAA3rYBAAIAAAAFMTQyODMBCAAAAAUAAAABMQEAAAALLTE5MDQ4NjA2NTcDAAAAAzE2MAIAAAAFMjQxMzAEAAAAATAHAAAACDMvNi8yMDI2CAAAAAoxMi8zMS8yMDI1CQAAAAEw6uUCvs173ghgKrw4znveCDJDSVEuTllTRTpJQk0uSVFfSU5DX0VRVUlUWS4xOTkwLjA2LzAzLzIwMjYuLi5VU0QuSAEAAADetgEAAwAAAAAANQYA5M173gg2R2I5znveCDVDSVEuTllTRTpJQk0uSVFfUFJFX09QRU5fQ09TVC4xOTkwLjA2LzAzLzIwMjYuLi5VU0QuSAEAAADetgEAAwAAAAAANQYA5M173gj3H2I5znveCDdDSVEuTllTRTpJQk0uSVFfR0FJTl9JTlZFU1RfUkVWLjE5OTAuMDYvMDMvMjAyNi4uLlVTRC5IAQAAAN62AQADAAAAAAA1BgDkzXveCPcfYjnOe94ILENJUS5OWVNFOklCTS5JUV9DT0dTLjE5OTAuMDYvMDMvMjAyNi4uLlVTRC5IAQAAAN62AQACAAAABTI3MDM4AQgAAAAFAAAAATEBAAAACy0xOTg1OTQ0OTIyAwAAAAMxNjACAAAAAjM0BAAAAAEwBwAAAAgzLzYvMjAy</t>
  </si>
  <si>
    <t>NggAAAAJNi8zMC8yMDIzCQAAAAEwNQYA5M173gj3H2I5znveCDNDSVEuTllTRTpJQk0uSVFfSU5UX0lOVl9JTkMuMTk5MC4wNi8wMy8yMDI2Li4uVVNELkgBAAAA3rYBAAMAAAAAADUGAOTNe94INkdiOc573gg1Q0lRLk5ZU0U6SUJNLklRX0NVUlJFTkNZX0dBSU4uMTk5MC4wNi8wMy8yMDI2Li4uVVNELkgBAAAA3rYBAAIAAAADMzYzAQgAAAAFAAAAATEBAAAACy0xOTg1OTQ0OTIyAwAAAAMxNjACAAAAAjM4BAAAAAEwBwAAAAgzLzYvMjAyNggAAAAJNi8zMC8yMDIzCQAAAAEwNQYA5M173gg2R2I5znveCDNDSVEuTllTRTpJQk0uSVFfRklOX0RJVl9SRVYuMTk5MC4wNi8wMy8yMDI2Li4uVVNELkgBAAAA3rYBAAIAAAADNzI4AQgAAAAFAAAAATEBAAAACy0xOTg1OTQ0OTIyAwAAAAMxNjACAAAAAjUyBAAAAAEwBwAAAAgzLzYvMjAyNggAAAAJNi8zMC8yMDIzCQAAAAEwNQYA5M173gg2R2I5znveCDVDSVEuTllTRTpJQk0uSVFfRVhQTE9SRV9EUklMTC4xOTkwLjA2LzAzLzIwMjYuLi5VU0QuSAEAAADetgEAAwAAAAAANQYA5M173gg2R2I5znveCDdDSVEuTllTRTpJQk0uSVFfQVNTRVRfV1JJVEVET1dOLjE5OTAuMDYvMDMvMjAyNi4uLlVTRC5IAQAAAN62AQADAAAAAAA1BgDkzXveCDZHYjnOe94IQENJUS5OWVNFOklCTS5JUV9ESVNUUklCVVRBQkxFX0NBU0hfU0hBUkUuMTk5MC4wNi8wMy8yMDI2Li4u</t>
  </si>
  <si>
    <t>VVNELkgBAAAA3rYBAAMAAAAAADUGAOTNe94INkdiOc573ggvQ0lRLk5ZU0U6SUJNLklRX05JX05PUk0uMTk5MC4wNi8wMy8yMDI2Li4uVVNELkgBAAAA3rYBAAIAAAAINTA1NC4zNzUBCAAAAAUAAAABMQEAAAALLTE5ODU5NDQ5MjIDAAAAAzE2MAIAAAAENDM3OAQAAAABMAcAAAAIMy82LzIwMjYIAAAACTYvMzAvMjAyMwkAAAABMDUGAOTNe94INkdiOc573gguQ0lRLk5ZU0U6SUJNLklRX0dBX0VYUC4xOTkwLjA2LzAzLzIwMjYuLi5VU0QuSAEAAADetgEAAwAAAAAANQYA5M173gg2R2I5znveCDZDSVEuTllTRTpJQk0uSVFfR1dfSU5UQU5fQU1PUlQuMTk5MC4wNi8wMy8yMDI2Li4uVVNELkgBAAAA3rYBAAMAAAAAADUGAOTNe94INkdiOc573ggwQ0lRLk5ZU0U6SUJNLklRX0VCVF9FWENMLjE5OTAuMDYvMDMvMjAyNi4uLlVTRC5IAQAAAN62AQACAAAABDgwODcBCAAAAAUAAAABMQEAAAALLTE5ODU5NDQ5MjIDAAAAAzE2MAIAAAABNAQAAAABMAcAAAAIMy82LzIwMjYIAAAACTYvMzAvMjAyMwkAAAABMDUGAOTNe94INkdiOc573ggqQ0lRLk5ZU0U6SUJNLklRX0RPLjE5OTAuMDYvMDMvMjAyNi4uLlVTRC5IAQAAAN62AQACAAAABC0xNDUBCAAAAAUAAAABMQEAAAALLTE5ODU5NDQ5MjIDAAAAAzE2MAIAAAACNDAEAAAAATAHAAAACDMvNi8yMDI2CAAAAAk2LzMwLzIwMjMJAAAAATA1BgDkzXveCEluYjnO</t>
  </si>
  <si>
    <t>e94IKkNJUS5OWVNFOklCTS5JUV9QRVJJT0REQVRFLjE5OTAuMDYvMDMvMjAyNgEAAADetgEABQAAAAozMC8wNi8yMDIzAAleYuTNe94ISW5iOc573ggvQ0lRLk5ZU0U6SUJNLklRX1BFUklPRExFTkdUSF9JUy4xOTkwLjA2LzAzLzIwMjYBAAAA3rYBAAEAAAACMTIANQYA5M173ghJbmI5znveCDNDSVEuTllTRTpJQk0uSVFfRUJJVF9FUV9JTkMuMTk5MC4wNi8wMy8yMDI2Li4uVVNELkgBAAAA3rYBAAIAAAAEODUzOQEIAAAABQAAAAExAQAAAAstMTk4NTk0NDkyMgMAAAADMTYwAgAAAAUyMTY3NQQAAAABMAcAAAAIMy82LzIwMjYIAAAACTYvMzAvMjAyMwkAAAABMDUGAOTNe94ISW5iOc573ggxQ0lRLk5ZU0U6SUJNLklRX0RBX0VCSVREQS4xOTkwLjA2LzAzLzIwMjYuLi5VU0QuSAEAAADetgEAAgAAAAQzMzAzAQgAAAAFAAAAATEBAAAACy0xOTg1OTQ0OTIyAwAAAAMxNjACAAAABDIyMDYEAAAAATAHAAAACDMvNi8yMDI2CAAAAAk2LzMwLzIwMjMJAAAAATA1BgDkzXveCEluYjnOe94IMkNJUS5OWVNFOklCTS5JUV9DT01NT05fRElWLjE5OTAuMDYvMDMvMjAyNi4uLlVTRC5IAQAAAN62AQACAAAABDU5OTIANQYA5M173ghJbmI5znveCDxDSVEuTllTRTpJQk0uSVFfSU1QQUlSTUVOVF9HV19TVVBQTEUuMTk5MC4wNi8wMy8yMDI2Li4uVVNELkgBAAAA3rYBAAMAAAAAADUGAOTNe94ISW5iOc573gg4Q0lR</t>
  </si>
  <si>
    <t>Lk5ZU0U6SUJNLklRX0dBSU5fQkFSR0FJTl9BQ1EuMTk5MC4wNi8wMy8yMDI2Li4uVVNELkgBAAAA3rYBAAMAAAAAADUGAOTNe94ISW5iOc573gg5Q0lRLk5ZU0U6SUJNLklRX0NIQU5HRV9VTkVBUk5fUkVWLjE5OTAuMDYvMDMvMjAyNi4uLlVTRC5IAQAAAN62AQADAAAAAAA1BgDkzXveCEluYjnOe94INkNJUS5OWVNFOklCTS5JUV9TUEVDSUFMX0RJVl9DRi4xOTkwLjA2LzAzLzIwMjYuLi5VU0QuSAEAAADetgEAAwAAAAAANQYA5M173ghJbmI5znveCDVDSVEuTllTRTpJQk0uSVFfRUJJVERBX0VRX0lOQy4xOTkwLjA2LzAzLzIwMjYuLi5VU0QuSAEAAADetgEAAgAAAAUxMjk5NAEIAAAABQAAAAExAQAAAAstMTk4NTk0NDkyMgMAAAADMTYwAgAAAAUyMTY3NwQAAAABMAcAAAAIMy82LzIwMjYIAAAACTYvMzAvMjAyMwkAAAABMDUGAOTNe94IP5ViOc573gg1Q0lRLk5ZU0U6SUJNLklRX0VCSVRfRVhDTF9TQkMuMTk5MC4wNi8wMy8yMDI2Li4uVVNELkgBAAAA3rYBAAIAAAAEOTU5NQEIAAAABQAAAAExAQAAAAstMTk4NTk0NDkyMgMAAAADMTYwAgAAAAUyNDEzNAQAAAABMAcAAAAIMy82LzIwMjYIAAAACTYvMzAvMjAyMwkAAAABMDUGAOTNe94IP5ViOc573gg0Q0lRLk5ZU0U6SUJNLklRX0VCSVRBX0VRX0lOQy4xOTkwLjA2LzAzLzIwMjYuLi5VU0QuSAEAAADetgEAAgAAAAUxMDEzOQEIAAAABQAAAAEx</t>
  </si>
  <si>
    <t>AQAAAAstMTk4NTk0NDkyMgMAAAADMTYwAgAAAAUyMTY3NgQAAAABMAcAAAAIMy82LzIwMjYIAAAACTYvMzAvMjAyMwkAAAABMDUGAOTNe94IP5ViOc573gg/Q0lRLk5ZU0U6SUJNLklRX09USEVSX0ZJTkFOQ0VfQUNUX1NVUFBMLjE5OTAuMDYvMDMvMjAyNi4uLlVTRC5IAQAAAN62AQACAAAAAzIwNwEIAAAABQAAAAExAQAAAAstMTk4NTk0NDkyMgMAAAADMTYwAgAAAAQyMDUwBAAAAAEwBwAAAAgzLzYvMjAyNggAAAAJNi8zMC8yMDIzCQAAAAEwNQYA5M173ghJbmI5znveCDFDSVEuTllTRTpJQk0uSVFfVE9UQUxfUkVWLjE5OTAuMDYvMDMvMjAyNi4uLlVTRC5IAQAAAN62AQACAAAABTYwNTI1AQgAAAAFAAAAATEBAAAACy0xOTg1OTQ0OTIyAwAAAAMxNjACAAAAAjI4BAAAAAEwBwAAAAgzLzYvMjAyNggAAAAJNi8zMC8yMDIzCQAAAAEwNQYA5M173ghJbmI5znveCCxDSVEuTllTRTpJQk0uSVFfQkFTSUNfV0VJR0hULjE5OTAuMDYvMDMvMjAyNgEAAADetgEAAgAAAAo5MDYuODEzMTkzADUGAOTNe94IP5ViOc573gg2Q0lRLk5ZU0U6SUJNLklRX0VCSVRBX0VYQ0xfU0JDLjE5OTAuMDYvMDMvMjAyNi4uLlVTRC5IAQAAAN62AQACAAAABTExMTk1AQgAAAAFAAAAATEBAAAACy0xOTg1OTQ0OTIyAwAAAAMxNjACAAAABTI0MTM2BAAAAAEwBwAAAAgzLzYvMjAyNggAAAAJNi8zMC8yMDIzCQAAAAEwNQYA5M17</t>
  </si>
  <si>
    <t>3gg/lWI5znveCDpDSVEuTllTRTpJQk0uSVFfQVNfUkVQT1JURURfRUJJVERBLjE5OTAuMDYvMDMvMjAyNi4uLlVTRC5IAQAAAN62AQADAAAAAAA1BgDkzXveCD+VYjnOe94IQUNJUS5OWVNFOklCTS5JUV9FQVJOSU5HX1BBUkVOVF9FWENMX0VYVFJBLjE5OTAuMDYvMDMvMjAyNi4uLlVTRC5IAQAAAN62AQACAAAABDIxNzABCAAAAAUAAAABMQEAAAALLTE5ODU5NDQ5MjIDAAAAAzE2MAIAAAAFNDE1OTYEAAAAATAHAAAACDMvNi8yMDI2CAAAAAk2LzMwLzIwMjMJAAAAATA1BgDkzXveCD+VYjnOe94IOENJUS5OWVNFOklCTS5JUV9JTlRfRVhQX0lOQ0xfQ0FQLjE5OTAuMDYvMDMvMjAyNi4uLlVTRC5IAQAAAN62AQACAAAABDE0MDgBCAAAAAUAAAABMQEAAAALLTE5ODU5NDQ5MjIDAAAAAzE2MAIAAAAFMjE4NjEEAAAAATAHAAAACDMvNi8yMDI2CAAAAAk2LzMwLzIwMjMJAAAAATA1BgDkzXveCD+VYjnOe94IPkNJUS5OWVNFOklCTS5JUV9BTk5VX0RJU1RSSUJVVElPTl9VTklULjE5OTAuMDYvMDMvMjAyNi4uLlVTRC5IAQAAAN62AQADAAAAAAA1BgDkzXveCEq8YjnOe94INkNJUS5OWVNFOklCTS5JUV9TVE9DS19CQVNFRF9DRi4xOTkwLjA2LzAzLzIwMjYuLi5VU0QuSAEAAADetgEAAgAAAAQxMDU1AQgAAAAFAAAAATEBAAAACy0xOTg1OTQ0OTIyAwAAAAMxNjACAAAABDIxMjcEAAAAATAHAAAACDMvNi8y</t>
  </si>
  <si>
    <t>MDI2CAAAAAk2LzMwLzIwMjMJAAAAATA1BgDkzXveCD+VYjnOe94INkNJUS5OWVNFOklCTS5JUV9DSEFOR0VfSU5DX1RBWC4xOTkwLjA2LzAzLzIwMjYuLi5VU0QuSAEAAADetgEAAwAAAAAANQYA5M173gg/lWI5znveCCtDSVEuTllTRTpJQk0uSVFfUkVWLjE5OTAuMDYvMDMvMjAyNi4uLlVTRC5IAQAAAN62AQACAAAABTU5Nzk3AQgAAAAFAAAAATEBAAAACy0xOTg1OTQ0OTIyAwAAAAMxNjACAAAAAzExMgQAAAABMAcAAAAIMy82LzIwMjYIAAAACTYvMzAvMjAyMwkAAAABMDUGAOTNe94IP5ViOc573gg3Q0lRLk5ZU0U6SUJNLklRX0dBSU5fQVNTRVRTX1JFVi4xOTkwLjA2LzAzLzIwMjYuLi5VU0QuSAEAAADetgEAAwAAAAAANQYA5M173gg/lWI5znveCDNDSVEuTllTRTpJQk0uSVFfU1RPQ0tfQkFTRUQuMTk5MC4wNi8wMy8yMDI2Li4uVVNELkgBAAAA3rYBAAMAAAAAADUGAOTNe94ISrxiOc573ggyQ0lRLk5ZU0U6SUJNLklRX09USEVSX09QRVIuMTk5MC4wNi8wMy8yMDI2Li4uVVNELkgBAAAA3rYBAAIAAAAELTc4MQEIAAAABQAAAAExAQAAAAstMTk4NTk0NDkyMgMAAAADMTYwAgAAAAMyNjAEAAAAATAHAAAACDMvNi8yMDI2CAAAAAk2LzMwLzIwMjMJAAAAATA1BgDkzXveCEq8YjnOe94ILkNJUS5OWVNFOklCTS5JUV9NRVJHRVIuMTk5MC4wNi8wMy8yMDI2Li4uVVNELkgBAAAA3rYBAAIAAAADLTE5</t>
  </si>
  <si>
    <t>AQgAAAAFAAAAATEBAAAACy0xOTg1OTQ0OTIyAwAAAAMxNjACAAAAAjgwBAAAAAEwBwAAAAgzLzYvMjAyNggAAAAJNi8zMC8yMDIzCQAAAAEwNQYA5M173ghKvGI5znveCDJDSVEuTllTRTpJQk0uSVFfTklfQ09NUEFOWS4xOTkwLjA2LzAzLzIwMjYuLi5VU0QuSAEAAADetgEAAgAAAAQyMDI1AQgAAAAFAAAAATEBAAAACy0xOTg1OTQ0OTIyAwAAAAMxNjACAAAABTQxNTcxBAAAAAEwBwAAAAgzLzYvMjAyNggAAAAJNi8zMC8yMDIzCQAAAAEwNQYA5M173ghKvGI5znveCDZDSVEuTllTRTpJQk0uSVFfRUJJVERBUl9FUV9JTkMuMTk5MC4wNi8wMy8yMDI2Li4uVVNELkgBAAAA3rYBAAMAAAAAADUGAOTNe94ISrxiOc573gg3Q0lRLk5ZU0U6SUJNLklRX0lOVEVSRVNUX0lOQ09NRS4xOTkwLjA2LzAzLzIwMjYuLi5VU0QuSAEAAADetgEAAgAAAAM0ODcBCAAAAAUAAAABMQEAAAALLTE5ODU5NDQ5MjIDAAAAAzE2MAIAAAADMjEwBAAAAAEwBwAAAAgzLzYvMjAyNggAAAAJNi8zMC8yMDIzCQAAAAEwNQYA5M173ghKvGI5znveCCtDSVEuTllTRTpJQk0uSVFfRElDLjE5OTAuMDYvMDMvMjAyNi4uLlVTRC5IAQAAAN62AQADAAAAAAA1BgDkzXveCEq8YjnOe94ILENJUS5OWVNFOklCTS5JUV9DQUxDX1RZUEVfSVMuMTk5MC4wNi8wMy8yMDI2AQAAAN62AQADAAAAA0xUTQA1BgDkzXveCEq8YjnOe94INENJUS5OWVNF</t>
  </si>
  <si>
    <t>OklCTS5JUV9NQUlOVF9SRVBBSVIuMTk5MC4wNi8wMy8yMDI2Li4uVVNELkgBAAAA3rYBAAMAAAAAADUGAOTNe94ISrxiOc573gg/Q0lRLk5ZU0U6SUJNLklRX1NBTEFSSUVTX09USEVSX0JFTkVGSVRTLjE5OTAuMDYvMDMvMjAyNi4uLlVTRC5IAQAAAN62AQADAAAAAAA1BgDkzXveCEq8YjnOe94IO0NJUS5OWVNFOklCTS5JUV9PVEhFUl9VTlVTVUFMX1NVUFBMLjE5OTAuMDYvMDMvMjAyNi4uLlVTRC5IAQAAAN62AQACAAAABS01ODk0AQgAAAAFAAAAATEBAAAACy0xOTg1OTQ0OTIyAwAAAAMxNjACAAAAAjg3BAAAAAEwBwAAAAgzLzYvMjAyNggAAAAJNi8zMC8yMDIzCQAAAAEwNQYA5M173giM5WI5znveCDZDSVEuTllTRTpJQk0uSVFfRElMVVRfRVBTX0VYQ0wuMTk5MC4wNi8wMy8yMDI2Li4uVVNELkgBAAAA3rYBAAIAAAAIMi4zNjM3OTIBCAAAAAUAAAABMQEAAAALLTE5ODU5NDQ5MjIDAAAAAzE2MAIAAAADMTQyBAAAAAEwBwAAAAgzLzYvMjAyNggAAAAJNi8zMC8yMDIzCQAAAAEwNQYA5M173giM5WI5znveCD9DSVEuTllTRTpJQk0uSVFfRVhDSVNFX1RBWEVTX0VYQ0xfU0FMRVMuMTk5MC4wNi8wMy8yMDI2Li4uVVNELkgBAAAA3rYBAAMAAAAAADUGAOTNe94IjOViOc573gg7Q0lRLk5ZU0U6SUJNLklRX0xFR0FMX1NFVFRMRV9TVVBQTEUuMTk5MC4wNi8wMy8yMDI2Li4uVVNELkgBAAAA3rYBAAMA</t>
  </si>
  <si>
    <t>AAAAADUGAOTNe94ISrxiOc573gg5Q0lRLk5ZU0U6SUJNLklRX0NBU0hfVEFYRVNfSU5WRVNULjE5OTAuMDYvMDMvMjAyNi4uLlVTRC5IAQAAAN62AQADAAAAAAA1BgDkzXveCEq8YjnOe94IM0NJUS5OWVNFOklCTS5JUV9GSU5fRElWX0VYUC4xOTkwLjA2LzAzLzIwMjYuLi5VU0QuSAEAAADetgEAAgAAAAM0MTUBCAAAAAUAAAABMQEAAAALLTE5ODU5NDQ5MjIDAAAAAzE2MAIAAAACNTEEAAAAATAHAAAACDMvNi8yMDI2CAAAAAk2LzMwLzIwMjMJAAAAATA1BgDkzXveCIzlYjnOe94IQENJUS5OWVNFOklCTS5JUV9PVEhFUl9OT05fT1BFUl9FWFBfU1VQUEwuMTk5MC4wNi8wMy8yMDI2Li4uVVNELkgBAAAA3rYBAAIAAAACOTcBCAAAAAUAAAABMQEAAAALLTE5ODU5NDQ5MjIDAAAAAzE2MAIAAAACODUEAAAAATAHAAAACDMvNi8yMDI2CAAAAAk2LzMwLzIwMjMJAAAAATA1BgDkzXveCIzlYjnOe94IL0NJUS5OWVNFOklCTS5JUV9FRkZFQ1RfVEFYX1JBVEUuMTk5MC4wNi8wMy8yMDI2AQAAAN62AQADAAAAAk5NAQgAAAAFAAAAATEBAAAACy0xOTg1OTQ0OTIyAwAAAAMxNjACAAAABDQzNzYEAAAAATAHAAAACDMvNi8yMDI2CAAAAAk2LzMwLzIwMjMJAAAAATA1BgDkzXveCIzlYjnOe94INUNJUS5OWVNFOklCTS5JUV9BSVJDUkFGVF9SRU5ULjE5OTAuMDYvMDMvMjAyNi4uLlVTRC5IAQAAAN62AQADAAAAAAA1</t>
  </si>
  <si>
    <t>BgDkzXveCIzlYjnOe94INkNJUS5OWVNFOklCTS5JUV9TVE9DS19CQVNFRF9TTS4xOTkwLjA2LzAzLzIwMjYuLi5VU0QuSAEAAADetgEAAwAAAAAANQYA5M173giM5WI5znveCDBDSVEuTllTRTpJQk0uSVFfT1BFUl9JTkMuMTk5MC4wNi8wMy8yMDI2Li4uVVNELkgBAAAA3rYBAAIAAAAEODUzOQEIAAAABQAAAAExAQAAAAstMTk4NTk0NDkyMgMAAAADMTYwAgAAAAIyMQQAAAABMAcAAAAIMy82LzIwMjYIAAAACTYvMzAvMjAyMwkAAAABMDUGAOTNe94IlwxjOc573ggqQ0lRLk5ZU0U6SUJNLklRX05JLjE5OTAuMDYvMDMvMjAyNi4uLlVTRC5IAQAAAN62AQACAAAABDIwMjUBCAAAAAUAAAABMQEAAAALLTE5ODU5NDQ5MjIDAAAAAzE2MAIAAAACMTUEAAAAATAHAAAACDMvNi8yMDI2CAAAAAk2LzMwLzIwMjMJAAAAATA1BgDkzXveCIzlYjnOe94IMENJUS5OWVNFOklCTS5JUV9FUFNfTk9STS4xOTkwLjA2LzAzLzIwMjYuLi5VU0QuSAEAAADetgEAAgAAAAg1LjU3Mzc3NwEIAAAABQAAAAExAQAAAAstMTk4NTk0NDkyMgMAAAADMTYwAgAAAAQ0Mzc5BAAAAAEwBwAAAAgzLzYvMjAyNggAAAAJNi8zMC8yMDIzCQAAAAEwNQYA5M173giM5WI5znveCDpDSVEuTllTRTpJQk0uSVFfUkVTVFJVQ1RVUkVfU1VQUExFLjE5OTAuMDYvMDMvMjAyNi4uLlVTRC5IAQAAAN62AQADAAAAAAA1BgDkzXveCIzlYjnOe94IN0NJ</t>
  </si>
  <si>
    <t>US5OWVNFOklCTS5JUV9DQVNIX0FDUVVJUkVfQ0YuMTk5MC4wNi8wMy8yMDI2Li4uVVNELkgBAAAA3rYBAAIAAAAFLTE3NDYBCAAAAAUAAAABMQEAAAALLTE5ODU5NDQ5MjIDAAAAAzE2MAIAAAAEMjA1NwQAAAABMAcAAAAIMy82LzIwMjYIAAAACTYvMzAvMjAyMwkAAAABMDUGAOTNe94IjOViOc573gg1Q0lRLk5ZU0U6SUJNLklRX0NPTU1PTl9ESVZfQ0YuMTk5MC4wNi8wMy8yMDI2Li4uVVNELkgBAAAA3rYBAAIAAAAFLTU5OTIBCAAAAAUAAAABMQEAAAALLTE5ODU5NDQ5MjIDAAAAAzE2MAIAAAAEMjA3NAQAAAABMAcAAAAIMy82LzIwMjYIAAAACTYvMzAvMjAyMwkAAAABMDUGAOTNe94IlwxjOc573ggzQ0lRLk5ZU0U6SUJNLklRX0lOU19ESVZfUkVWLjE5OTAuMDYvMDMvMjAyNi4uLlVTRC5IAQAAAN62AQADAAAAAAA1BgDkzXveCJcMYznOe94INkNJUS5OWVNFOklCTS5JUV9QUk9WX0JBRF9ERUJUUy4xOTkwLjA2LzAzLzIwMjYuLi5VU0QuSAEAAADetgEAAwAAAAAANQYA5M173giXDGM5znveCC5DSVEuTllTRTpJQk0uSVFfUkRfRVhQLjE5OTAuMDYvMDMvMjAyNi4uLlVTRC5IAQAAAN62AQACAAAABDY1NTcBCAAAAAUAAAABMQEAAAALLTE5ODU5NDQ5MjIDAAAAAzE2MAIAAAADMTAwBAAAAAEwBwAAAAgzLzYvMjAyNggAAAAJNi8zMC8yMDIzCQAAAAEwNQYA5M173giXDGM5znveCDNDSVEuTllTRTpJ</t>
  </si>
  <si>
    <t>Qk0uSVFfUkVTVFJVQ1RVUkUuMTk5MC4wNi8wMy8yMDI2Li4uVVNELkgBAAAA3rYBAAIAAAAELTM5MwEIAAAABQAAAAExAQAAAAstMTk4NTk0NDkyMgMAAAADMTYwAgAAAAI5OAQAAAABMAcAAAAIMy82LzIwMjYIAAAACTYvMzAvMjAyMwkAAAABMDUGAOTNe94IlwxjOc573ggvQ0lRLk5ZU0U6SUJNLklRX0lOQ19UQVguMTk5MC4wNi8wMy8yMDI2Li4uVVNELkgBAAAA3rYBAAIAAAAELTMwMQEIAAAABQAAAAExAQAAAAstMTk4NTk0NDkyMgMAAAADMTYwAgAAAAI3NQQAAAABMAcAAAAIMy82LzIwMjYIAAAACTYvMzAvMjAyMwkAAAABMDUGAOTNe94IlwxjOc573ghBQ0lRLk5ZU0U6SUJNLklRX0RJU1RSSUJVVEFCTEVfQ0FTSF9TSEFSRVNfRElMVVRFRC4xOTkwLjA2LzAzLzIwMjYBAAAA3rYBAAMAAAAAAC6qU+TNe94IlwxjOc573ggtQ0lRLk5ZU0U6SUJNLklRX0ZJTElOR0RBVEVfSVMuMTk5MC4wNi8wMy8yMDI2AQAAAN62AQAFAAAACjMwLzA3LzIwMjQANQYA5M173giXDGM5znveCDZDSVEuTllTRTpJQk0uSVFfTkVUX1JFTlRBTF9FWFAuMTk5MC4wNi8wMy8yMDI2Li4uVVNELkgBAAAA3rYBAAMAAAAAADUGAOTNe94IlwxjOc573gg8Q0lRLk5ZU0U6SUJNLklRX05FR0FUSVZFX0dXX0FNT1JUX0FULjE5OTAuMDYvMDMvMjAyNi4uLlVTRC5IAQAAAN62AQADAAAAAAA1BgDkzXveCJcMYznOe94IOkNJUS5O</t>
  </si>
  <si>
    <t>WVNFOklCTS5JUV9BU1NFVF9XUklURURPV05fQ0YuMTk5MC4wNi8wMy8yMDI2Li4uVVNELkgBAAAA3rYBAAMAAAAAADUGAOTNe94IiTNjOc573gg9Q0lRLk5ZU0U6SUJNLklRX0VCSVREQV9MRUFTRV9BREpVU1RFRC4xOTkwLjA2LzAzLzIwMjYuLi5VU0QuSAEAAADetgEAAgAAAAUxMjk5NAEIAAAABQAAAAExAQAAAAstMTk4NTk0NDkyMgMAAAADMTYwAgAAAAU0ODk5MwQAAAABMAcAAAAIMy82LzIwMjYIAAAACTYvMzAvMjAyMwkAAAABMDUGAOTNe94IiTNjOc573ghAQ0lRLk5ZU0U6SUJNLklRX0lNUFVUX09QRVJfTEVBU0VfSU5UX0VYUC4xOTkwLjA2LzAzLzIwMjYuLi5VU0QuSAEAAADetgEAAwAAAAAANQYA5M173giJM2M5znveCDNDSVEuTllTRTpJQk0uSVFfT1RIRVJfQU1PUlQuMTk5MC4wNi8wMy8yMDI2Li4uVVNELkgBAAAA3rYBAAIAAAADNjQ4AQgAAAAFAAAAATEBAAAACy0xOTg1OTQ0OTIyAwAAAAMxNjACAAAABDIwMTQEAAAAATAHAAAACDMvNi8yMDI2CAAAAAk2LzMwLzIwMjMJAAAAATA1BgDkzXveCJcMYznOe94IMUNJUS5OWVNFOklCTS5JUV9DSEFOR0VfQVIuMTk5MC4wNi8wMy8yMDI2Li4uVVNELkgBAAAA3rYBAAIAAAAELTUzOQEIAAAABQAAAAExAQAAAAstMTk4NTk0NDkyMgMAAAADMTYwAgAAAAQyMDE4BAAAAAEwBwAAAAgzLzYvMjAyNggAAAAJNi8zMC8yMDIzCQAAAAEwNQYA5M17</t>
  </si>
  <si>
    <t>3giXDGM5znveCDZDSVEuTllTRTpJQk0uSVFfQ0hBTkdFX0RFRl9UQVguMTk5MC4wNi8wMy8yMDI2Li4uVVNELkgBAAAA3rYBAAMAAAAAADUGAOTNe94IcEdjOc573gg1Q0lRLk5ZU0U6SUJNLklRX05JX0FWQUlMX0lOQ0wuMTk5MC4wNi8wMy8yMDI2Li4uVVNELkgBAAAA3rYBAAIAAAAEMjAyNQEIAAAABQAAAAExAQAAAAstMTk4NTk0NDkyMgMAAAADMTYwAgAAAAIxNgQAAAABMAcAAAAIMy82LzIwMjYIAAAACTYvMzAvMjAyMwkAAAABMDUGAOTNe94IcEdjOc573gguQ0lRLk5ZU0U6SUJNLklRX0VCSVREQS4xOTkwLjA2LzAzLzIwMjYuLi5VU0QuSAEAAADetgEAAgAAAAUxMTg0MgEIAAAABQAAAAExAQAAAAstMTk4NTk0NDkyMgMAAAADMTYwAgAAAAQ0MDUxBAAAAAEwBwAAAAgzLzYvMjAyNggAAAAJNi8zMC8yMDIzCQAAAAEwNQYA5M173giJM2M5znveCElDSVEuTllTRTpJQk0uSVFfRUJJVERBX0VRX0lOQ19FWENMX09QRVJfTEVBU0VfQURKLjE5OTAuMDYvMDMvMjAyNi4uLlVTRC5IAQAAAN62AQACAAAABTExODQyAQgAAAAFAAAAATEBAAAACy0xOTg1OTQ0OTIyAwAAAAMxNjACAAAABTQ4OTg3BAAAAAEwBwAAAAgzLzYvMjAyNggAAAAJNi8zMC8yMDIzCQAAAAEwNQYA5M173giJM2M5znveCDdDSVEuTllTRTpJQk0uSVFfRklOX0RJVl9JTlRfRVhQLjE5OTAuMDYvMDMvMjAyNi4uLlVTRC5IAQAAAN62</t>
  </si>
  <si>
    <t>AQADAAAAAAA1BgDkzXveCIkzYznOe94INENJUS5OWVNFOklCTS5JUV9MRUdBTF9TRVRUTEUuMTk5MC4wNi8wMy8yMDI2Li4uVVNELkgBAAAA3rYBAAMAAAAAADUGAOTNe94IcEdjOc573gg9Q0lRLk5ZU0U6SUJNLklRX0VCSVRBX0VRX0lOQ19FWENMX1NCQy4xOTkwLjA2LzAzLzIwMjYuLi5VU0QuSAEAAADetgEAAgAAAAUxMTE5NQEIAAAABQAAAAExAQAAAAstMTk4NTk0NDkyMgMAAAADMTYwAgAAAAUyNDEzMgQAAAABMAcAAAAIMy82LzIwMjYIAAAACTYvMzAvMjAyMwkAAAABMDUGAOTNe94IcEdjOc573gg/Q0lRLk5ZU0U6SUJNLklRX0VCSVREQVJfRVFfSU5DX0VYQ0xfU0JDLjE5OTAuMDYvMDMvMjAyNi4uLlVTRC5IAQAAAN62AQADAAAAAAA1BgDkzXveCHBHYznOe94INENJUS5OWVNFOklCTS5JUV9FQklUREFfQ0FQRVguMTk5MC4wNi8wMy8yMDI2Li4uVVNELkgBAAAA3rYBAAIAAAAFMTA0NTIBCAAAAAUAAAABMQEAAAALLTE5ODU5NDQ5MjIDAAAAAzE2MAIAAAAFMzUzNzkEAAAAATAHAAAACDMvNi8yMDI2CAAAAAk2LzMwLzIwMjMJAAAAATA1BgDkzXveCHBHYznOe94INkNJUS5OWVNFOklCTS5JUV9NSU5JTVVNX1JFTlRBTC4xOTkwLjA2LzAzLzIwMjYuLi5VU0QuSAEAAADetgEAAwAAAAAANQYA5M173ghwR2M5znveCEJDSVEuTllTRTpJQk0uSVFfREVQUkVDSUFUSU9OX1JFTlRBTF9BU1NFVFMu</t>
  </si>
  <si>
    <t>MTk5MC4wNi8wMy8yMDI2Li4uVVNELkgBAAAA3rYBAAMAAAAAADUGAOTNe94IQFtjOc573ggzQ0lRLk5ZU0U6SUJNLklRX0RBX1NVUFBMX0NGLjE5OTAuMDYvMDMvMjAyNi4uLlVTRC5IAQAAAN62AQACAAAABDIyMDMBCAAAAAUAAAABMQEAAAALLTE5ODU5NDQ5MjIDAAAAAzE2MAIAAAAEMjE3MQQAAAABMAcAAAAIMy82LzIwMjYIAAAACTYvMzAvMjAyMwkAAAABMDUGAOTNe94IQFtjOc573ggwQ0lRLk5ZU0U6SUJNLklRX0xPQU5TX0NGLjE5OTAuMDYvMDMvMjAyNi4uLlVTRC5IAQAAAN62AQADAAAAAAA1BgDkzXveCEBbYznOe94IM0NJUS5OWVNFOklCTS5JUV9QUkVGX0RJVl9DRi4xOTkwLjA2LzAzLzIwMjYuLi5VU0QuSAEAAADetgEAAwAAAAAANQYA5M173ghAW2M5znveCDVDSVEuTllTRTpJQk0uSVFfSU1QQUlSTUVOVF9HVy4xOTkwLjA2LzAzLzIwMjYuLi5VU0QuSAEAAADetgEAAwAAAAAANQYA5M173ghAW2M5znveCDZDSVEuTllTRTpJQk0uSVFfQkFTSUNfRVBTX0lOQ0wuMTk5MC4wNi8wMy8yMDI2Li4uVVNELkgBAAAA3rYBAAIAAAAIMi4yMzMwOTQBCAAAAAUAAAABMQEAAAALLTE5ODU5NDQ5MjIDAAAAAzE2MAIAAAABOQQAAAABMAcAAAAIMy82LzIwMjYIAAAACTYvMzAvMjAyMwkAAAABMDUGAOTNe94ImYJjOc573ggqQ0lRLk5ZU0U6SUJNLklRX1NBTUVfU1RPUkUuMTk5MC4wNi8wMy8yMDI2</t>
  </si>
  <si>
    <t>AQAAAN62AQADAAAAAAA1BgDkzXveCJmCYznOe94IP0NJUS5OWVNFOklCTS5JUV9FWENJU0VfVEFYRVNfSU5DTF9TQUxFUy4xOTkwLjA2LzAzLzIwMjYuLi5VU0QuSAEAAADetgEAAwAAAAAANQYA5M173ghAW2M5znveCDpDSVEuTllTRTpJQk0uSVFfQ1VSUl9GT1JFSUdOX1RBWEVTLjE5OTAuMDYvMDMvMjAyNi4uLlVTRC5IAQAAAN62AQACAAAABDE2NzYBCAAAAAUAAAABMQEAAAALLTE5ODU5NDQ5MjIDAAAAAzE2MAIAAAAEMzAzMAQAAAABMAcAAAAIMy82LzIwMjYIAAAACTYvMzAvMjAyMwkAAAABMDUGAOTNe94IQFtjOc573gg/Q0lRLk5ZU0U6SUJNLklRX0RFRkVSUkVEX0RPTUVTVElDX1RBWEVTLjE5OTAuMDYvMDMvMjAyNi4uLlVTRC5IAQAAAN62AQACAAAABS0zMTMxAQgAAAAFAAAAATEBAAAACy0xOTg1OTQ0OTIyAwAAAAMxNjACAAAABDMwNTQEAAAAATAHAAAACDMvNi8yMDI2CAAAAAk2LzMwLzIwMjMJAAAAATA1BgDkzXveCEBbYznOe94IPENJUS5OWVNFOklCTS5JUV9ERUZFUlJFRF9UQVhFU19UT1RBTC4xOTkwLjA2LzAzLzIwMjYuLi5VU0QuSAEAAADetgEAAgAAAAUtMjg3OQEIAAAABQAAAAExAQAAAAstMTk4NTk0NDkyMgMAAAADMTYwAgAAAAUzNTM4NQQAAAABMAcAAAAIMy82LzIwMjYIAAAACTYvMzAvMjAyMwkAAAABMDUGAOTNe94IkZhjOc573gg/Q0lRLk5ZU0U6SUJNLklRX0dBSU5f</t>
  </si>
  <si>
    <t>QkFSR0FJTl9BQ1FfU1VQUExFLjE5OTAuMDYvMDMvMjAyNi4uLlVTRC5IAQAAAN62AQADAAAAAAA7QQDkzXveCJGYYznOe94IKkNJUS5OWVNFOklCTS5JUV9QRVJJT0REQVRFLjE5ODkuMDYvMDMvMjAyNgEAAADetgEABQAAAAozMS8wMy8yMDIzADtBAOTNe94ImYJjOc573ggwQ0lRLk5ZU0U6SUJNLklRX0VQU181WVJfQU5OX0NBR1IuMTk5MC4wNi8wMy8yMDI2AQAAAN62AQACAAAACC0xNy41NTIxAQgAAAAFAAAAATEBAAAACy0xOTg1OTQ0OTIyAwAAAAMxNjACAAAABDQyMzkEAAAAATAHAAAACDMvNi8yMDI2CAAAAAk2LzMwLzIwMjMJAAAAATBVGEXkzXveCJZeVDnOe94IMUNJUS5OWVNFOklCTS5JUV9OSV8xWVJfQU5OX0dST1dUSC4xOTkwLjA2LzAzLzIwMjYBAAAA3rYBAAIAAAAILTYzLjc2MTcBCAAAAAUAAAABMQEAAAALLTE5ODU5NDQ5MjIDAAAAAzE2MAIAAAAENDE5OQQAAAABMAcAAAAIMy82LzIwMjYIAAAACTYvMzAvMjAyMwkAAAABMFUYReTNe94Ill5UOc573ggxQ0lRLk5ZU0U6SUJNLklRX0dQXzFZUl9BTk5fR1JPV1RILjE5OTAuMDYvMDMvMjAyNgEAAADetgEAAgAAAAYyLjYwMjkBCAAAAAUAAAABMQEAAAALLTE5ODU5NDQ5MjIDAAAAAzE2MAIAAAAENDE5NQQAAAABMAcAAAAIMy82LzIwMjYIAAAACTYvMzAvMjAyMwkAAAABMFUYReTNe94ICTdUOc573ggzQ0lRLk5ZU0U6SUJNLklRX0VC</t>
  </si>
  <si>
    <t>SVREQV8zWVJfQU5OX0NBR1IuMTk5MC4wNi8wMy8yMDI2AQAAAN62AQACAAAABy04LjczMTEBCAAAAAUAAAABMQEAAAALLTE5ODU5NDQ5MjIDAAAAAzE2MAIAAAAENDIyMgQAAAABMAcAAAAIMy82LzIwMjYIAAAACTYvMzAvMjAyMwkAAAABMFUYReTNe94ICTdUOc573ghIQ0lRLk5ZU0U6SUJNLklRX1RPVEFMX0RFQlRfRUJJVERBX0VYQ0xfT1BFUl9MRUFTRVNfQ0FQRVguMTk5MC4wNi8wMy8yMDI2AQAAAN62AQACAAAACDUuNzY5NjEzAQgAAAAFAAAAATEBAAAACy0xOTg1OTQ0OTIyAwAAAAMxNjACAAAABTQ5MTgzBAAAAAEwBwAAAAgzLzYvMjAyNggAAAAJNi8zMC8yMDIzCQAAAAEwVRhF5M173ggJN1Q5znveCC5DSVEuTllTRTpJQk0uSVFfTFRfREVCVF9FUVVJVFkuMTk5MC4wNi8wMy8yMDI2AQAAAN62AQACAAAACDIzNi41MjczAQgAAAAFAAAAATEBAAAACy0xOTg1OTQ0OTIyAwAAAAMxNjACAAAABDQwODUEAAAAATAHAAAACDMvNi8yMDI2CAAAAAk2LzMwLzIwMjMJAAAAATBVGEXkzXveCJZeVDnOe94IK0NJUS5OWVNFOklCTS5JUV9BU1NFVF9UVVJOUy4xOTkwLjA2LzAzLzIwMjYBAAAA3rYBAAIAAAAIMC40NjYwODYBCAAAAAUAAAABMQEAAAALLTE5ODU5NDQ5MjIDAAAAAzE2MAIAAAAENDE3NwQAAAABMAcAAAAIMy82LzIwMjYIAAAACTYvMzAvMjAyMwkAAAABMFUYReTNe94Ill5UOc573ggrQ0lR</t>
  </si>
  <si>
    <t>Lk5ZU0U6SUJNLklRX0VCSVRfTUFSR0lOLjE5OTAuMDYvMDMvMjAyNgEAAADetgEAAgAAAAcxNC4xMDgyAQgAAAAFAAAAATEBAAAACy0xOTg1OTQ0OTIyAwAAAAMxNjACAAAABDQwNTMEAAAAATAHAAAACDMvNi8yMDI2CAAAAAk2LzMwLzIwMjMJAAAAATBVGEXkzXveCJZeVDnOe94IS0NJUS5OWVNFOklCTS5JUV9JTlRFUkVTVF9QRU5BTFRJRVNfUkVDT0dfQlNfUFJFX1RBWC4xOTkwLjA2LzAzLzIwMjYuLi5VU0QuSAEAAADetgEAAwAAAAAAVRhF5M173giWXlQ5znveCE1DSVEuTllTRTpJQk0uSVFfVFJBTlNfSU1QQUNUX0ZJTl80OF9SRVRBSU5FRF9FQVJOSU5HUy4xOTkwLjA2LzAzLzIwMjYuLi5VU0QuSAEAAADetgEAAwAAAAAAVRhF5M173giWXlQ5znveCDpDSVEuTllTRTpJQk0uSVFfVEFYX0JFTkVGSVRfQ0ZfMVlSLjE5OTAuMDYvMDMvMjAyNi4uLlVTRC5IAQAAAN62AQADAAAAAABVGEXkzXveCJZeVDnOe94IOUNJUS5OWVNFOklCTS5JUV9OT0xfQ0ZfQUZURVJfRklWRS4xOTkwLjA2LzAzLzIwMjYuLi5VU0QuSAEAAADetgEAAwAAAAAAVRhF5M173giWXlQ5znveCDJDSVEuTllTRTpJQk0uSVFfTk9MX0NGXzNZUi4xOTkwLjA2LzAzLzIwMjYuLi5VU0QuSAEAAADetgEAAwAAAAAAVRhF5M173giWXlQ5znveCD1DSVEuTllTRTpJQk0uSVFfVkFMVUVfQ1VTVE9NRVJfQVNTRVRTLjE5OTAuMDYvMDMv</t>
  </si>
  <si>
    <t>MjAyNi4uLlVTRC5IAQAAAN62AQADAAAAAABVGEXkzXveCJZeVDnOe94IN0NJUS5OWVNFOklCTS5JUV9NVVRVQUxfRlVORF9CT1AuMTk5MC4wNi8wMy8yMDI2Li4uVVNELkgBAAAA3rYBAAMAAAAAAFUYReTNe94Ill5UOc573ggzQ0lRLk5ZU0U6SUJNLklRX0FVTV9PVEhFUl9DVVNUT01FUlMuMTk5MC4wNi8wMy8yMDI2AQAAAN62AQADAAAAAABVGEXkzXveCJZeVDnOe94IOkNJUS5OWVNFOklCTS5JUV9BVU1fUFJJVkFURV9FUVVJVFkuMTk5MC4wNi8wMy8yMDI2Li4uVVNELkgBAAAA3rYBAAMAAAAAAFUYReTNe94Ill5UOc573gg+Q0lRLk5ZU0U6SUJNLklRX0FVTV9NT05FWV9NQVJLRVRfRlVORFMuMTk5MC4wNi8wMy8yMDI2Li4uVVNELkgBAAAA3rYBAAMAAAAAAFUYReTNe94Ill5UOc573ggxQ0lRLk5ZU0U6SUJNLklRX0VCSVRfNVlSX0FOTl9DQUdSLjE5OTAuMDYvMDMvMjAyNgEAAADetgEAAgAAAActNi4wNzU3AQgAAAAFAAAAATEBAAAACy0xOTg1OTQ0OTIyAwAAAAMxNjACAAAABDQyMzYEAAAAATAHAAAACDMvNi8yMDI2CAAAAAk2LzMwLzIwMjMJAAAAATBVGEXkzXveCJZeVDnOe94INUNJUS5OWVNFOklCTS5JUV9FQklUREFfMVlSX0FOTl9HUk9XVEguMTk5MC4wNi8wMy8yMDI2AQAAAN62AQACAAAABy0yLjYwNzIBCAAAAAUAAAABMQEAAAALLTE5ODU5NDQ5MjIDAAAAAzE2MAIAAAAENDE5NgQA</t>
  </si>
  <si>
    <t>AAABMAcAAAAIMy82LzIwMjYIAAAACTYvMzAvMjAyMwkAAAABMFUYReTNe94Ill5UOc573ghBQ0lRLk5ZU0U6SUJNLklRX0VCSVREQV9FWENMX09QRVJfTEVBU0VTX0NBUEVYX0lOVC4xOTkwLjA2LzAzLzIwMjYBAAAA3rYBAAIAAAAHNy40NzEwNQEIAAAABQAAAAExAQAAAAstMTk4NTk0NDkyMgMAAAADMTYwAgAAAAU0OTE3NAQAAAABMAcAAAAIMy82LzIwMjYIAAAACTYvMzAvMjAyMwkAAAABMFUYReTNe94IY5lUOc573ggqQ0lRLk5ZU0U6SUJNLklRX0VCSVREQV9JTlQuMTk5MC4wNi8wMy8yMDI2AQAAAN62AQACAAAACDkuMjg4MDYyAQgAAAAFAAAAATEBAAAACy0xOTg1OTQ0OTIyAwAAAAMxNjACAAAABDQxOTAEAAAAATAHAAAACDMvNi8yMDI2CAAAAAk2LzMwLzIwMjMJAAAAATBVGEXkzXveCGOZVDnOe94ILUNJUS5OWVNFOklCTS5JUV9DVVJSRU5UX1JBVElPLjE5OTAuMDYvMDMvMjAyNgEAAADetgEAAgAAAAgxLjA1OTgyMgEIAAAABQAAAAExAQAAAAstMTk4NTk0NDkyMgMAAAADMTYwAgAAAAQ0MDMwBAAAAAEwBwAAAAgzLzYvMjAyNggAAAAJNi8zMC8yMDIzCQAAAAEwVRhF5M173ghjmVQ5znveCC1DSVEuTllTRTpJQk0uSVFfUkVUVVJOX0FTU0VUUy4xOTkwLjA2LzAzLzIwMjYBAAAA3rYBAAIAAAAGNC4xMDk3AQgAAAAFAAAAATEBAAAACy0xOTg1OTQ0OTIyAwAAAAMxNjACAAAABDQxNzgEAAAA</t>
  </si>
  <si>
    <t>ATAHAAAACDMvNi8yMDI2CAAAAAk2LzMwLzIwMjMJAAAAATBVGEXkzXveCGOZVDnOe94IMUNJUS5OWVNFOklCTS5JUV9FQklUXzNZUl9BTk5fQ0FHUi4xOTkwLjA2LzAzLzIwMjYBAAAA3rYBAAIAAAAHLTEuNTMyOAEIAAAABQAAAAExAQAAAAstMTk4NTk0NDkyMgMAAAADMTYwAgAAAAQ0MjIzBAAAAAEwBwAAAAgzLzYvMjAyNggAAAAJNi8zMC8yMDIzCQAAAAEwVRhF5M173ghjmVQ5znveCDZDSVEuTllTRTpJQk0uSVFfVE9UQUxfUkVWXzNZUl9BTk5fQ0FHUi4xOTkwLjA2LzAzLzIwMjYBAAAA3rYBAAIAAAAGLTcuMTAzAQgAAAAFAAAAATEBAAAACy0xOTg1OTQ0OTIyAwAAAAMxNjACAAAABDQyMjAEAAAAATAHAAAACDMvNi8yMDI2CAAAAAk2LzMwLzIwMjMJAAAAATBVGEXkzXveCGOZVDnOe94IQENJUS5OWVNFOklCTS5JUV9ORVRfREVCVF9FQklUREFfRVhDTF9PUEVSX0xFQVNFUy4xOTkwLjA2LzAzLzIwMjYBAAAA3rYBAAIAAAAIMy43MTYwOTUBCAAAAAUAAAABMQEAAAALLTE5ODU5NDQ5MjIDAAAAAzE2MAIAAAAFNDkxNzUEAAAAATAHAAAACDMvNi8yMDI2CAAAAAk2LzMwLzIwMjMJAAAAATBVGEXkzXveCGOZVDnOe94IMUNJUS5OWVNFOklCTS5JUV9UT1RBTF9ERUJUX0VRVUlUWS4xOTkwLjA2LzAzLzIwMjYBAAAA3rYBAAIAAAAIMjcwLjc3MzYBCAAAAAUAAAABMQEAAAALLTE5ODU5NDQ5MjIDAAAA</t>
  </si>
  <si>
    <t>AzE2MAIAAAAENDAzNAQAAAABMAcAAAAIMy82LzIwMjYIAAAACTYvMzAvMjAyMwkAAAABMFUYReTNe94IY5lUOc573ggpQ0lRLk5ZU0U6SUJNLklRX05JX01BUkdJTi4xOTkwLjA2LzAzLzIwMjYBAAAA3rYBAAIAAAAGMy4zNDU3AQgAAAAFAAAAATEBAAAACy0xOTg1OTQ0OTIyAwAAAAMxNjACAAAABDQwOTQEAAAAATAHAAAACDMvNi8yMDI2CAAAAAk2LzMwLzIwMjMJAAAAATBVGEXkzXveCGOZVDnOe94ITUNJUS5OWVNFOklCTS5JUV9JTlRFUkVTVF9QRU5BTFRJRVNfUkVDT0dfQlNfQUZURVJfVEFYLjE5OTAuMDYvMDMvMjAyNi4uLlVTRC5IAQAAAN62AQADAAAAAABVGEXkzXveCGOZVDnOe94IS0NJUS5OWVNFOklCTS5JUV9JTlRFUkVTVF9QRU5BTFRJRVNfUkVDT0dfSVNfUFJFX1RBWC4xOTkwLjA2LzAzLzIwMjYuLi5VU0QuSAEAAADetgEAAwAAAAAAVRhF5M173giM1VQ5znveCE9DSVEuTllTRTpJQk0uSVFfVFJBTlNfSU1QQUNUX0ZJTl80OF9DVVJSRU5UX0xJQUJJTElUSUVTLjE5OTAuMDYvMDMvMjAyNi4uLlVTRC5IAQAAAN62AQADAAAAAABVGEXkzXveCIzVVDnOe94IOUNJUS5OWVNFOklCTS5JUV9DQVBfTE9TU19DRl9UT1RBTC4xOTkwLjA2LzAzLzIwMjYuLi5VU0QuSAEAAADetgEAAwAAAAAAVRhF5M173gg/wVQ5znveCDJDSVEuTllTRTpJQk0uSVFfTk9MX0NGXzRZUi4xOTkwLjA2LzAzLzIw</t>
  </si>
  <si>
    <t>MjYuLi5VU0QuSAEAAADetgEAAwAAAAAAVRhF5M173ghjmVQ5znveCC9DSVEuTllTRTpJQk0uSVFfR1BfNVlSX0FOTl9DQUdSLjE5OTAuMDYvMDMvMjAyNgEAAADetgEAAgAAAActMi40NzAzAQgAAAAFAAAAATEBAAAACy0xOTg1OTQ0OTIyAwAAAAMxNjACAAAABDQyMzQEAAAAATAHAAAACDMvNi8yMDI2CAAAAAk2LzMwLzIwMjMJAAAAATBVGEXkzXveCGOZVDnOe94IOENJUS5OWVNFOklCTS5JUV9UT1RBTF9SRVZfMVlSX0FOTl9HUk9XVEguMTk5MC4wNi8wMy8yMDI2AQAAAN62AQACAAAABjEuNDE5MgEIAAAABQAAAAExAQAAAAstMTk4NTk0NDkyMgMAAAADMTYwAgAAAAQ0MTk0BAAAAAEwBwAAAAgzLzYvMjAyNggAAAAJNi8zMC8yMDIzCQAAAAEwVRhF5M173giM1VQ5znveCDtDSVEuTllTRTpJQk0uSVFfRUJJVERBX0VYQ0xfT1BFUl9MRUFTRVNfSU5ULjE5OTAuMDYvMDMvMjAyNgEAAADetgEAAgAAAAg4LjQ2NDYxNwEIAAAABQAAAAExAQAAAAstMTk4NTk0NDkyMgMAAAADMTYwAgAAAAU0OTE3MwQAAAABMAcAAAAIMy82LzIwMjYIAAAACTYvMzAvMjAyMwkAAAABMFUYReTNe94IjNVUOc573ggrQ0lRLk5ZU0U6SUJNLklRX1FVSUNLX1JBVElPLjE5OTAuMDYvMDMvMjAyNgEAAADetgEAAgAAAAgwLjg4NDk5OQEIAAAABQAAAAExAQAAAAstMTk4NTk0NDkyMgMAAAADMTYwAgAAAAQ0MTIxBAAAAAEwBwAA</t>
  </si>
  <si>
    <t>AAgzLzYvMjAyNggAAAAJNi8zMC8yMDIzCQAAAAEwVRhF5M173giM1VQ5znveCChDSVEuTllTRTpJQk0uSVFfQVJfVFVSTlMuMTk5MC4wNi8wMy8yMDI2AQAAAN62AQACAAAACDkuNTUzNzYyAQgAAAAFAAAAATEBAAAACy0xOTg1OTQ0OTIyAwAAAAMxNjACAAAABDQwMDEEAAAAATAHAAAACDMvNi8yMDI2CAAAAAk2LzMwLzIwMjMJAAAAATBVGEXkzXveCIzVVDnOe94ISENJUS5OWVNFOklCTS5JUV9SRURVQ1RJT05fVEFYX1BPU0lUSU9OX1BSSU9SX1lSUy4xOTkwLjA2LzAzLzIwMjYuLi5VU0QuSAEAAADetgEAAwAAAAAAVRhF5M173giM1VQ5znveCEFDSVEuTllTRTpJQk0uSVFfVEFYX0JFTkVGSVRfQ0ZfQUZURVJfRklWRS4xOTkwLjA2LzAzLzIwMjYuLi5VU0QuSAEAAADetgEAAwAAAAAAVRhF5M173gg7/VQ5znveCDdDSVEuTllTRTpJQk0uSVFfQ0FQX0xPU1NfQ0ZfMllSLjE5OTAuMDYvMDMvMjAyNi4uLlVTRC5IAQAAAN62AQADAAAAAABVGEXkzXveCDv9VDnOe94INENJUS5OWVNFOklCTS5JUV9OT0xfQ0ZfVE9UQUwuMTk5MC4wNi8wMy8yMDI2Li4uVVNELkgBAAAA3rYBAAMAAAAAAFUYReTNe94IO/1UOc573gg/Q0lRLk5ZU0U6SUJNLklRX0FTU0VUU19PUEVSX0xFQVNFX0dST1NTLjE5OTAuMDYvMDMvMjAyNi4uLlVTRC5IAQAAAN62AQADAAAAAABVGEXkzXveCIzVVDnOe94IRkNJUS5OWVNFOklC</t>
  </si>
  <si>
    <t>TS5JUV9NVVRVQUxfRlVORF9BQ1FVSVNJVElPTlNfT1RIRVIuMTk5MC4wNi8wMy8yMDI2Li4uVVNELkgBAAAA3rYBAAMAAAAAAFUYReTNe94IjNVUOc573ggvQ0lRLk5ZU0U6SUJNLklRX0dQXzNZUl9BTk5fQ0FHUi4xOTkwLjA2LzAzLzIwMjYBAAAA3rYBAAIAAAAHLTIuODM5NAEIAAAABQAAAAExAQAAAAstMTk4NTk0NDkyMgMAAAADMTYwAgAAAAQ0MjIxBAAAAAEwBwAAAAgzLzYvMjAyNggAAAAJNi8zMC8yMDIzCQAAAAEwVRhF5M173gjcEVU5znveCDdDSVEuTllTRTpJQk0uSVFfVE9UQUxfREVCVF9FQklUREFfQ0FQRVguMTk5MC4wNi8wMy8yMDI2AQAAAN62AQACAAAACDUuMTk2ODI4AQgAAAAFAAAAATEBAAAACy0xOTg1OTQ0OTIyAwAAAAMxNjACAAAABTIzMzEzBAAAAAEwBwAAAAgzLzYvMjAyNggAAAAJNi8zMC8yMDIzCQAAAAEwVRhF5M173gg7/VQ5znveCEJDSVEuTllTRTpJQk0uSVFfVE9UQUxfREVCVF9FQklUREFfRVhDTF9PUEVSX0xFQVNFUy4xOTkwLjA2LzAzLzIwMjYBAAAA3rYBAAIAAAAINS4wOTIzODMBCAAAAAUAAAABMQEAAAALLTE5ODU5NDQ5MjIDAAAAAzE2MAIAAAAFNDg5OTQEAAAAATAHAAAACDMvNi8yMDI2CAAAAAk2LzMwLzIwMjMJAAAAATBVGEXkzXveCDv9VDnOe94IMENJUS5OWVNFOklCTS5JUV9EQVlTX1BBWUFCTEVfT1VULjE5OTAuMDYvMDMvMjAyNgEAAADetgEAAgAA</t>
  </si>
  <si>
    <t>AAk1MC41NTE0MDUBCAAAAAUAAAABMQEAAAALLTE5ODU5NDQ5MjIDAAAAAzE2MAIAAAAENDE4MwQAAAABMAcAAAAIMy82LzIwMjYIAAAACTYvMzAvMjAyMwkAAAABMFUYReTNe94IO/1UOc573ggtQ0lRLk5ZU0U6SUJNLklRX0VCSVREQV9NQVJHSU4uMTk5MC4wNi8wMy8yMDI2AQAAAN62AQACAAAABzE5LjU2NTQBCAAAAAUAAAABMQEAAAALLTE5ODU5NDQ5MjIDAAAAAzE2MAIAAAAENDA0NwQAAAABMAcAAAAIMy82LzIwMjYIAAAACTYvMzAvMjAyMwkAAAABMFUYReTNe94IO/1UOc573ghNQ0lRLk5ZU0U6SUJNLklRX0lOVEVSRVNUX1BFTkFMVElFU19SRUNPR19JU19BRlRFUl9UQVguMTk5MC4wNi8wMy8yMDI2Li4uVVNELkgBAAAA3rYBAAMAAAAAAFUYReTNe94I3BFVOc573ghTQ0lRLk5ZU0U6SUJNLklRX1RSQU5TX0lNUEFDVF9GSU5fNDhfTk9OX0NVUlJFTlRfTElBQklMSVRJRVMuMTk5MC4wNi8wMy8yMDI2Li4uVVNELkgBAAAA3rYBAAMAAAAAAFUYReTNe94I3BFVOc573ghKQ0lRLk5ZU0U6SUJNLklRX1RSQU5TX0lNUEFDVF9GSU5fNDhfQ1VSUkVOVF9BU1NFVFMuMTk5MC4wNi8wMy8yMDI2Li4uVVNELkgBAAAA3rYBAAMAAAAAAFUYReTNe94I3BFVOc573gg+Q0lRLk5ZU0U6SUJNLklRX0NBUF9MT1NTX0NGX0FGVEVSX0ZJVkUuMTk5MC4wNi8wMy8yMDI2Li4uVVNELkgBAAAA3rYBAAMAAAAAAFUY</t>
  </si>
  <si>
    <t>ReTNe94I3BFVOc573ggyQ0lRLk5ZU0U6SUJNLklRX05PTF9DRl8yWVIuMTk5MC4wNi8wMy8yMDI2Li4uVVNELkgBAAAA3rYBAAMAAAAAAFUYReTNe94I3BFVOc573ghDQ0lRLk5ZU0U6SUJNLklRX0FTU0VUU19VTkRFUl9BRE1JTklTVFJBVElPTi4xOTkwLjA2LzAzLzIwMjYuLi5VU0QuSAEAAADetgEAAwAAAAAAVRhF5M173gjcEVU5znveCDNDSVEuTllTRTpJQk0uSVFfRUJJVERBXzVZUl9BTk5fQ0FHUi4xOTkwLjA2LzAzLzIwMjYBAAAA3rYBAAIAAAAHLTYuMTE3NwEIAAAABQAAAAExAQAAAAstMTk4NTk0NDkyMgMAAAADMTYwAgAAAAQ0MjM1BAAAAAEwBwAAAAgzLzYvMjAyNggAAAAJNi8zMC8yMDIzCQAAAAEwVRhF5M173gjcEVU5znveCDBDSVEuTllTRTpJQk0uSVFfRVBTXzNZUl9BTk5fQ0FHUi4xOTkwLjA2LzAzLzIwMjYBAAAA3rYBAAIAAAAILTM1LjUxNTYBCAAAAAUAAAABMQEAAAALLTE5ODU5NDQ5MjIDAAAAAzE2MAIAAAAENDIyNgQAAAABMAcAAAAIMy82LzIwMjYIAAAACTYvMzAvMjAyMwkAAAABMFUYReTNe94I3BFVOc573gg6Q0lRLk5ZU0U6SUJNLklRX1RPVEFMX1JFVl9FTVBMT1lFRS4xOTkwLjA2LzAzLzIwMjYuLi5VU0QuSAEAAADetgEAAwAAAAAAVRhF5M173gjcEVU5znveCChDSVEuTllTRTpJQk0uSVFfRUJJVF9JTlQuMTk5MC4wNi8wMy8yMDI2AQAAAN62AQACAAAACDYuMTAz</t>
  </si>
  <si>
    <t>NjQ1AQgAAAAFAAAAATEBAAAACy0xOTg1OTQ0OTIyAwAAAAMxNjACAAAABDQxODkEAAAAATAHAAAACDMvNi8yMDI2CAAAAAk2LzMwLzIwMjMJAAAAATBVGEXkzXveCNwRVTnOe94IL0NJUS5OWVNFOklCTS5JUV9JTlZFTlRPUllfVFVSTlMuMTk5MC4wNi8wMy8yMDI2AQAAAN62AQACAAAACTE2Ljk4MzY2OAEIAAAABQAAAAExAQAAAAstMTk4NTk0NDkyMgMAAAADMTYwAgAAAAQ0MDgyBAAAAAEwBwAAAAgzLzYvMjAyNggAAAAJNi8zMC8yMDIzCQAAAAEwVRhF5M173gjcEVU5znveCEtDSVEuTllTRTpJQk0uSVFfQ0hBTkdFX1VOUkVDT0dfVEFYX0JFTkVGSVRfMV9ZUl9NQVguMTk5MC4wNi8wMy8yMDI2Li4uVVNELkgBAAAA3rYBAAMAAAAAAFUYReTNe94I3BFVOc573ghJQ0lRLk5ZU0U6SUJNLklRX1JFRFVDVElPTl9UQVhfUE9TSVRJT05fQ1VSUkVOVF9ZUi4xOTkwLjA2LzAzLzIwMjYuLi5VU0QuSAEAAADetgEAAwAAAAAAVRhF5M173gjcEVU5znveCDpDSVEuTllTRTpJQk0uSVFfVEFYX0JFTkVGSVRfQ0ZfNFlSLjE5OTAuMDYvMDMvMjAyNi4uLlVTRC5IAQAAAN62AQADAAAAAABVGEXkzXveCNwRVTnOe94IL0NJUS5OWVNFOklCTS5JUV9OT0xfQ0ZfTUFYX1lFQVIuMTk5MC4wNi8wMy8yMDI2AQAAAN62AQADAAAAAABVGEXkzXveCJdPVTnOe94IQENJUS5OWVNFOklCTS5JUV9DQVBJVEFMSVpFRF9JTlRF</t>
  </si>
  <si>
    <t>UkVTVF9CT1AuMTk5MC4wNi8wMy8yMDI2Li4uVVNELkgBAAAA3rYBAAMAAAAAAFUYReTNe94Il09VOc573gg+Q0lRLk5ZU0U6SUJNLklRX0FTU0VUU19DQVBfTEVBU0VfR1JPU1MuMTk5MC4wNi8wMy8yMDI2Li4uVVNELkgBAAAA3rYBAAMAAAAAAFUYReTNe94I3BFVOc573gg9Q0lRLk5ZU0U6SUJNLklRX01VVFVBTF9GVU5EX05FVF9TQUxFUy4xOTkwLjA2LzAzLzIwMjYuLi5VU0QuSAEAAADetgEAAwAAAAAAVRhF5M173gjcEVU5znveCDJDSVEuTllTRTpJQk0uSVFfRVBTXzFZUl9BTk5fR1JPV1RILjE5OTAuMDYvMDMvMjAyNgEAAADetgEAAgAAAAgtNjEuODMzNQEIAAAABQAAAAExAQAAAAstMTk4NTk0NDkyMgMAAAADMTYwAgAAAAQ0MjAwBAAAAAEwBwAAAAgzLzYvMjAyNggAAAAJNi8zMC8yMDIzCQAAAAEwVRhF5M173gjcEVU5znveCC9DSVEuTllTRTpJQk0uSVFfTkVUX0RFQlRfRUJJVERBLjE5OTAuMDYvMDMvMjAyNgEAAADetgEAAgAAAAgzLjM4NjYzOQEIAAAABQAAAAExAQAAAAstMTk4NTk0NDkyMgMAAAADMTYwAgAAAAQ0MTkzBAAAAAEwBwAAAAgzLzYvMjAyNggAAAAJNi8zMC8yMDIzCQAAAAEwVRhF5M173giXT1U5znveCC9DSVEuTllTRTpJQk0uSVFfQ0FTSF9DT05WRVJTSU9OLjE5OTAuMDYvMDMvMjAyNgEAAADetgEAAgAAAAg5LjE0NDM0NQEIAAAABQAAAAExAQAAAAstMTk4NTk0NDky</t>
  </si>
  <si>
    <t>MgMAAAADMTYwAgAAAAQ0MTg0BAAAAAEwBwAAAAgzLzYvMjAyNggAAAAJNi8zMC8yMDIzCQAAAAEwVRhF5M173giXT1U5znveCEVDSVEuTllTRTpJQk0uSVFfVU5SRUNPR19UQVhfQkVORUZJVF9PVEhFUl9BREouMTk5MC4wNi8wMy8yMDI2Li4uVVNELkgBAAAA3rYBAAMAAAAAAFUYReTNe94Il09VOc573gg8Q0lRLk5ZU0U6SUJNLklRX1RBWF9CRU5FRklUX0NGX1RPVEFMLjE5OTAuMDYvMDMvMjAyNi4uLlVTRC5IAQAAAN62AQADAAAAAABVGEXkzXveCJdPVTnOe94IN0NJUS5OWVNFOklCTS5JUV9DQVBfTE9TU19DRl80WVIuMTk5MC4wNi8wMy8yMDI2Li4uVVNELkgBAAAA3rYBAAMAAAAAAFUYReTNe94Il09VOc573ghLQ0lRLk5ZU0U6SUJNLklRX09QRUJfT0JMSUdBVElPTl9BQ0NVTVVMQVRFRF9GT1JFSUdOLjE5OTAuMDYvMDMvMjAyNi4uLlVTRC5IAQAAAN62AQADAAAAAABVGEXkzXveCJdPVTnOe94IRkNJUS5OWVNFOklCTS5JUV9VTlJFQ09HX1RBWF9CRU5FRklUX0JFR19QRVJJT0QuMTk5MC4wNi8wMy8yMDI2Li4uVVNELkgBAAAA3rYBAAMAAAAAAFUYReTNe94Il09VOc573ggzQ0lRLk5ZU0U6SUJNLklRX09SR0FOSUNfR1JPV1RIX1JBVEUuMTk5MC4wNi8wMy8yMDI2AQAAAN62AQADAAAAAABVGEXkzXveCJdPVTnOe94IQkNJUS5OWVNFOklCTS5JUV9BVU1fQUNRVUlTSVRJT05TX1RSQU5TRkVS</t>
  </si>
  <si>
    <t>Uy4xOTkwLjA2LzAzLzIwMjYuLi5VU0QuSAEAAADetgEAAwAAAAAAVRhF5M173giXT1U5znveCEBDSVEuTllTRTpJQk0uSVFfT1BFQl9FWFBfUkFURV9SRVRVUk5fTUFYX0ZPUkVJR04uMTk5MC4wNi8wMy8yMDI2AQAAAN62AQADAAAAAABVGEXkzXveCJdPVTnOe94IQUNJUS5OWVNFOklCTS5JUV9MQVBTRV9TVEFUVVRFX0xJTUlUQVRJT05TLjE5OTAuMDYvMDMvMjAyNi4uLlVTRC5IAQAAAN62AQADAAAAAABVGEXkzXveCPx2VTnOe94IOUNJUS5OWVNFOklCTS5JUV9BVU1fT1RIRVJfQ0xJRU5UUy4xOTkwLjA2LzAzLzIwMjYuLi5VU0QuSAEAAADetgEAAwAAAAAAVRhF5M173gj8dlU5znveCDBDSVEuTllTRTpJQk0uSVFfRUJJVERBX0NBUEVYX0lOVC4xOTkwLjA2LzAzLzIwMjYBAAAA3rYBAAIAAAAIOC4yOTQ0OTYBCAAAAAUAAAABMQEAAAALLTE5ODU5NDQ5MjIDAAAAAzE2MAIAAAAENDE5MQQAAAABMAcAAAAIMy82LzIwMjYIAAAACTYvMzAvMjAyMwkAAAABMFUYReTNe94I/HZVOc573gg3Q0lRLk5ZU0U6SUJNLklRX0NBUF9MT1NTX0NGXzNZUi4xOTkwLjA2LzAzLzIwMjYuLi5VU0QuSAEAAADetgEAAwAAAAAAVRhF5M173gj8dlU5znveCDNDSVEuTllTRTpJQk0uSVFfQVVNX0FWRVJBR0UuMTk5MC4wNi8wMy8yMDI2Li4uVVNELkgBAAAA3rYBAAMAAAAAAFUYReTNe94I/HZVOc573ghKQ0lRLk5ZU0U6</t>
  </si>
  <si>
    <t>SUJNLklRX09QRUJfQVNTRVRTX09USEVSX1BMQU5fQURKX0ZPUkVJR04uMTk5MC4wNi8wMy8yMDI2Li4uVVNELkgBAAAA3rYBAAMAAAAAAFUYReTNe94I/HZVOc573ghOQ0lRLk5ZU0U6SUJNLklRX09QRUJfT0JMSUdBVElPTl9PVEhFUl9QTEFOX0FESl9GT1JFSUdOLjE5OTAuMDYvMDMvMjAyNi4uLlVTRC5IAQAAAN62AQADAAAAAABVGEXkzXveCPx2VTnOe94IVkNJUS5OWVNFOklCTS5JUV9PUEVCX09CTElHQVRJT05fRU1QTE9ZRUVfQ09OVFJJQlVUSU9OU19GT1JFSUdOLjE5OTAuMDYvMDMvMjAyNi4uLlVTRC5IAQAAAN62AQADAAAAAABVGEXkzXveCPx2VTnOe94ITENJUS5OWVNFOklCTS5JUV9BVU1fTUFSS0VUX0FQUFJFQ0lBVElPTl9ERVBSRUNJQVRJT04uMTk5MC4wNi8wMy8yMDI2Li4uVVNELkgBAAAA3rYBAAMAAAAAAFUYReTNe94I/HZVOc573gg3Q0lRLk5ZU0U6SUJNLklRX0FVTV9GRUVfRUFSTklORy4xOTkwLjA2LzAzLzIwMjYuLi5VU0QuSAEAAADetgEAAwAAAAAAVRhF5M173gj8dlU5znveCD5DSVEuTllTRTpJQk0uSVFfQVVNX0ZJWEVEX0lOQ09NRV9GVU5EUy4xOTkwLjA2LzAzLzIwMjYuLi5VU0QuSAEAAADetgEAAwAAAAAAVRhF5M173ggEnlU5znveCD5DSVEuTllTRTpJQk0uSVFfT1BFQl9CRU5FRklUX0lORk9fREFURV9GT1JFSUdOLjE5OTAuMDYvMDMvMjAyNgEAAADetgEAAwAA</t>
  </si>
  <si>
    <t>AAAAVRhF5M173ggEnlU5znveCERDSVEuTllTRTpJQk0uSVFfT1BFQl9FU1RfQkVORUZJVF80WVJfRk9SRUlHTi4xOTkwLjA2LzAzLzIwMjYuLi5VU0QuSAEAAADetgEAAwAAAAAAVRhF5M173gj8dlU5znveCD1DSVEuTllTRTpJQk0uSVFfVEFYX0JFTkVGSVRfQ0ZfTk9fRVhQLjE5OTAuMDYvMDMvMjAyNi4uLlVTRC5IAQAAAN62AQADAAAAAABVGEXkzXveCPx2VTnOe94IQENJUS5OWVNFOklCTS5JUV9DQVBJVEFMSVpFRF9JTlRFUkVTVF9FT1AuMTk5MC4wNi8wMy8yMDI2Li4uVVNELkgBAAAA3rYBAAMAAAAAAFUYReTNe94I1LFVOc573gg7Q0lRLk5ZU0U6SUJNLklRX0FVTV9JTlNUSVRVVElPTkFMX0NVU1RPTUVSUy4xOTkwLjA2LzAzLzIwMjYBAAAA3rYBAAMAAAAAAFUYReTNe94IBJ5VOc573ghIQ0lRLk5ZU0U6SUJNLklRX09QRUJfSU5DUkVBU0VfRUZGRUNUX1BCT19GT1JFSUdOLjE5OTAuMDYvMDMvMjAyNi4uLlVTRC5IAQAAAN62AQADAAAAAABVGEXkzXveCASeVTnOe94IPUNJUS5OWVNFOklCTS5JUV9PUEVCX0JSRUFLRE9XTl9QQ1RfRVFfRk9SRUlHTi4xOTkwLjA2LzAzLzIwMjYBAAAA3rYBAAMAAAAAAFUYReTNe94IBJ5VOc573ghNQ0lRLk5ZU0U6SUJNLklRX01VVFVBTF9GVU5EX0FQUFJFQ0lBVElPTl9ERVBSRUNJQVRJT04uMTk5MC4wNi8wMy8yMDI2Li4uVVNELkgBAAAA3rYBAAMAAAAA</t>
  </si>
  <si>
    <t>AFUYReTNe94IBJ5VOc573gg5Q0lRLk5ZU0U6SUJNLklRX01VVFVBTF9GVU5EX1NBTEVTLjE5OTAuMDYvMDMvMjAyNi4uLlVTRC5IAQAAAN62AQADAAAAAABVGEXkzXveCNSxVTnOe94IOUNJUS5OWVNFOklCTS5JUV9BVU1fSU5TVElUVVRJT05BTC4xOTkwLjA2LzAzLzIwMjYuLi5VU0QuSAEAAADetgEAAwAAAAAAVRhF5M173gjUsVU5znveCDpDSVEuTllTRTpJQk0uSVFfT1BFQl9PVEhFUl9GT1JFSUdOLjE5OTAuMDYvMDMvMjAyNi4uLlVTRC5IAQAAAN62AQADAAAAAABVGEXkzXveCNSxVTnOe94IQUNJUS5OWVNFOklCTS5JUV9PUEVCX0lOVEFOX0FTU0VUU19GT1JFSUdOLjE5OTAuMDYvMDMvMjAyNi4uLlVTRC5IAQAAAN62AQADAAAAAABVGEXkzXveCNSxVTnOe94IQ0NJUS5OWVNFOklCTS5JUV9TRVRUTEVNRU5UU19UQVhfQVVUSE9SSVRJRVMuMTk5MC4wNi8wMy8yMDI2Li4uVVNELkgBAAAA3rYBAAMAAAAAAFUYReTNe94I1LFVOc573ggvQ0lRLk5ZU0U6SUJNLklRX0FVTV9FT1AuMTk5MC4wNi8wMy8yMDI2Li4uVVNELkgBAAAA3rYBAAMAAAAAAFUYReTNe94I1LFVOc573ggzQ0lRLk5ZU0U6SUJNLklRX0FVTV9UT1RBTF9DVVNUT01FUlMuMTk5MC4wNi8wMy8yMDI2AQAAAN62AQADAAAAAABVGEXkzXveCNSxVTnOe94IR0NJUS5OWVNFOklCTS5JUV9PUEVCX0VTVF9CRU5FRklUX0FGVEVSNV9GT1JF</t>
  </si>
  <si>
    <t>SUdOLjE5OTAuMDYvMDMvMjAyNi4uLlVTRC5IAQAAAN62AQADAAAAAABVGEXkzXveCNSxVTnOe94IPUNJUS5OWVNFOklCTS5JUV9PUEVCX0FDVF9ORVhUX0ZPUkVJR04uMTk5MC4wNi8wMy8yMDI2Li4uVVNELkgBAAAA3rYBAAMAAAAAAFUYReTNe94I1LFVOc573ghAQ0lRLk5ZU0U6SUJNLklRX09QRUJfRVhQX1JBVEVfUkVUVVJOX01JTl9GT1JFSUdOLjE5OTAuMDYvMDMvMjAyNgEAAADetgEAAwAAAAAAVRhF5M173gjUsVU5znveCEZDSVEuTllTRTpJQk0uSVFfQ0FQSVRBTElaRURfSU5URVJFU1RfT1RIRVJfQURKLjE5OTAuMDYvMDMvMjAyNi4uLlVTRC5IAQAAAN62AQADAAAAAABVGEXkzXveCEPZVTnOe94IPkNJUS5OWVNFOklCTS5JUV9BU1NFVFNfT1BFUl9MRUFTRV9ERVBSLjE5OTAuMDYvMDMvMjAyNi4uLlVTRC5IAQAAAN62AQADAAAAAABVGEXkzXveCEPZVTnOe94INENJUS5OWVNFOklCTS5JUV9BVU1fT1VURkxPV1MuMTk5MC4wNi8wMy8yMDI2Li4uVVNELkgBAAAA3rYBAAMAAAAAAFUYReTNe94IQ9lVOc573ggxQ0lRLk5ZU0U6SUJNLklRX0FVTV9PVEhFUi4xOTkwLjA2LzAzLzIwMjYuLi5VU0QuSAEAAADetgEAAwAAAAAAVRhF5M173gjUsVU5znveCD5DSVEuTllTRTpJQk0uSVFfT1BFQl9MVF9BU1NFVFNfRk9SRUlHTi4xOTkwLjA2LzAzLzIwMjYuLi5VU0QuSAEAAADetgEAAwAAAAAAVRhF</t>
  </si>
  <si>
    <t>5M173gjUsVU5znveCERDSVEuTllTRTpJQk0uSVFfT1BFQl9FU1RfQkVORUZJVF8xWVJfRk9SRUlHTi4xOTkwLjA2LzAzLzIwMjYuLi5VU0QuSAEAAADetgEAAwAAAAAAVRhF5M173ghD2VU5znveCENDSVEuTllTRTpJQk0uSVFfT1BFQl9BTVRfUkVDT0dfTkVYVF9GT1JFSUdOLjE5OTAuMDYvMDMvMjAyNi4uLlVTRC5IAQAAAN62AQADAAAAAABVGEXkzXveCEPZVTnOe94IRUNJUS5OWVNFOklCTS5JUV9PUEVCX0NJX1BSSU9SX1NFUlZJQ0VfRk9SRUlHTi4xOTkwLjA2LzAzLzIwMjYuLi5VU0QuSAEAAADetgEAAwAAAAAAVRhF5M173ghD2VU5znveCElDSVEuTllTRTpJQk0uSVFfT1BFQl9PQkxJR0FUSU9OX1BST0pFQ1RFRF9GT1JFSUdOLjE5OTAuMDYvMDMvMjAyNi4uLlVTRC5IAQAAAN62AQADAAAAAABVGEXkzXveCEPZVTnOe94IPkNJUS5OWVNFOklCTS5JUV9PUEVCX09USEVSX0FESl9GT1JFSUdOLjE5OTAuMDYvMDMvMjAyNi4uLlVTRC5IAQAAAN62AQADAAAAAABVGEXkzXveCEPZVTnOe94IRkNJUS5OWVNFOklCTS5JUV9PUEVCX0NJX09USEVSX01JU0NfQURKX0ZPUkVJR04uMTk5MC4wNi8wMy8yMDI2Li4uVVNELkgBAAAA3rYBAAMAAAAAAFUYReTNe94ILABWOc573ghDQ0lRLk5ZU0U6SUJNLklRX09QRUJfUkFURV9DT01QX0lOQ1JFQVNFX01JTl9GT1JFSUdOLjE5OTAuMDYvMDMvMjAyNgEAAADe</t>
  </si>
  <si>
    <t>tgEAAwAAAAAAVRhF5M173ggsAFY5znveCElDSVEuTllTRTpJQk0uSVFfT1BFQl9BU1NFVFNfQkVORUZJVFNfUEFJRF9GT1JFSUdOLjE5OTAuMDYvMDMvMjAyNi4uLlVTRC5IAQAAAN62AQADAAAAAABVGEXkzXveCEPZVTnOe94IP0NJUS5OWVNFOklCTS5JUV9PUEVCX0VYUF9SRVRVUk5fRk9SRUlHTi4xOTkwLjA2LzAzLzIwMjYuLi5VU0QuSAEAAADetgEAAwAAAAAAVRhF5M173ghD2VU5znveCFRDSVEuTllTRTpJQk0uSVFfUEVOU0lPTl9RVUFSVF9BRERMX0NPTlRSSUJVVElPTlNfRVhQX0ZPUkVJR04uMTk5MC4wNi8wMy8yMDI2Li4uVVNELkgBAAAA3rYBAAMAAAAAAFUYReTNe94IQ9lVOc573ghEQ0lRLk5ZU0U6SUJNLklRX1BFTlNJT05fUFJFUEFJRF9DT1NUX0ZPUkVJR04uMTk5MC4wNi8wMy8yMDI2Li4uVVNELkgBAAAA3rYBAAMAAAAAAFUYReTNe94ILABWOc573gg0Q0lRLk5ZU0U6SUJNLklRX1JFVFVSTl9DT01NT05fRVFVSVRZLjE5OTAuMDYvMDMvMjAyNgEAAADetgEAAgAAAAcxMC40MzAxAQgAAAAFAAAAATEBAAAACy0xOTg1OTQ0OTIyAwAAAAMxNjACAAAABTMzMzIwBAAAAAEwBwAAAAgzLzYvMjAyNggAAAAJNi8zMC8yMDIzCQAAAAEwVRhF5M173ggsAFY5znveCDpDSVEuTllTRTpJQk0uSVFfQ0FQX0xPU1NfQ0ZfTk9fRVhQLjE5OTAuMDYvMDMvMjAyNi4uLlVTRC5IAQAAAN62AQADAAAA</t>
  </si>
  <si>
    <t>AABVGEXkzXveCCwAVjnOe94IN0NJUS5OWVNFOklCTS5JUV9DQVBfTE9TU19DRl8xWVIuMTk5MC4wNi8wMy8yMDI2Li4uVVNELkgBAAAA3rYBAAMAAAAAAFUYReTNe94ILABWOc573gg2Q0lRLk5ZU0U6SUJNLklRX05VTUJFUl9UUkFERVNfRVhFQ1VURUQuMTk5MC4wNi8wMy8yMDI2AQAAAN62AQADAAAAAABVGEXkzXveCCwAVjnOe94INENJUS5OWVNFOklCTS5JUV9BVU1fUkVUQUlMX0NVU1RPTUVSUy4xOTkwLjA2LzAzLzIwMjYBAAAA3rYBAAMAAAAAAFUYReTNe94ILABWOc573gg3Q0lRLk5ZU0U6SUJNLklRX0FVTV9SRUFMX0VTVEFURS4xOTkwLjA2LzAzLzIwMjYuLi5VU0QuSAEAAADetgEAAwAAAAAAVRhF5M173ggsAFY5znveCDhDSVEuTllTRTpJQk0uSVFfQVVNX0VRVUlUWV9GVU5EUy4xOTkwLjA2LzAzLzIwMjYuLi5VU0QuSAEAAADetgEAAwAAAAAAVRhF5M173ggsAFY5znveCDxDSVEuTllTRTpJQk0uSVFfT1BFQl9MVF9MSUFCX0ZPUkVJR04uMTk5MC4wNi8wMy8yMDI2Li4uVVNELkgBAAAA3rYBAAMAAAAAAFUYReTNe94ILABWOc573ghFQ0lRLk5ZU0U6SUJNLklRX09QRUJfUEJPX0FTU1VNRURfUkFURV9SRVRfTUFYX0ZPUkVJR04uMTk5MC4wNi8wMy8yMDI2AQAAAN62AQADAAAAAABVGEXkzXveCCwAVjnOe94IR0NJUS5OWVNFOklCTS5JUV9PUEVCX09CTElHQVRJT05fQ1VSVEFJTF9GT1JF</t>
  </si>
  <si>
    <t>SUdOLjE5OTAuMDYvMDMvMjAyNi4uLlVTRC5IAQAAAN62AQADAAAAAABVGEXkzXveCHYnVjnOe94ILkNJUS5OWVNFOklCTS5JUV9EQVlTX1NBTEVTX09VVC4xOTkwLjA2LzAzLzIwMjYBAAAA3rYBAAIAAAAIMzguMjA0NTUBCAAAAAUAAAABMQEAAAALLTE5ODU5NDQ5MjIDAAAAAzE2MAIAAAAENDA0MgQAAAABMAcAAAAIMy82LzIwMjYIAAAACTYvMzAvMjAyMwkAAAABMFUYReTNe94IdidWOc573ggtQ0lRLk5ZU0U6SUJNLklRX1JFVFVSTl9FUVVJVFkuMTk5MC4wNi8wMy8yMDI2AQAAAN62AQACAAAABzEwLjM5NTkBCAAAAAUAAAABMQEAAAALLTE5ODU5NDQ5MjIDAAAAAzE2MAIAAAAENDEyOAQAAAABMAcAAAAIMy82LzIwMjYIAAAACTYvMzAvMjAyMwkAAAABMFUYReTNe94IdidWOc573ghDQ0lRLk5ZU0U6SUJNLklRX0FERF9UQVhfUE9TSVRJT05TX1BSSU9SX1lSUy4xOTkwLjA2LzAzLzIwMjYuLi5VU0QuSAEAAADetgEAAwAAAAAAVRhF5M173gh2J1Y5znveCDBDSVEuTllTRTpJQk0uSVFfQ0ZPX0NVUlJFTlRfTElBQi4xOTkwLjA2LzAzLzIwMjYBAAAA3rYBAAIAAAAIMC4zNzc2MzMBCAAAAAUAAAABMQEAAAALLTE5ODU5NDQ5MjIDAAAAAzE2MAIAAAAENDE4NQQAAAABMAcAAAAIMy82LzIwMjYIAAAACTYvMzAvMjAyMwkAAAABMFUYReTNe94IdidWOc573ghFQ0lRLk5ZU0U6SUJNLklRX1RSQU5TX0lN</t>
  </si>
  <si>
    <t>UEFDVF9GSU5fNDhfTFRfQVNTRVRTLjE5OTAuMDYvMDMvMjAyNi4uLlVTRC5IAQAAAN62AQADAAAAAABVGEXkzXveCHYnVjnOe94IOkNJUS5OWVNFOklCTS5JUV9UQVhfQkVORUZJVF9DRl81WVIuMTk5MC4wNi8wMy8yMDI2Li4uVVNELkgBAAAA3rYBAAMAAAAAAFUYReTNe94IdidWOc573ggkQ0lRLk5ZU0U6SUJNLklRX0RBUlQuMTk5MC4wNi8wMy8yMDI2AQAAAN62AQADAAAAAABVGEXkzXveCHYnVjnOe94IVUNJUS5OWVNFOklCTS5JUV9PUEVCX0lOQ1JFQVNFX0VGRkVDVF9TRVJWSUNFX0lOVF9DT1NUX0ZPUkVJR04uMTk5MC4wNi8wMy8yMDI2Li4uVVNELkgBAAAA3rYBAAMAAAAAAFUYReTNe94IdidWOc573ghBQ0lRLk5ZU0U6SUJNLklRX09QRUJfQUNDUlVFRF9MSUFCX0ZPUkVJR04uMTk5MC4wNi8wMy8yMDI2Li4uVVNELkgBAAAA3rYBAAMAAAAAAFUYReTNe94IdidWOc573ghHQ0lRLk5ZU0U6SUJNLklRX09QRUJfUEJPX1JBVEVfQ09NUF9JTkNSRUFTRV9NQVhfRk9SRUlHTi4xOTkwLjA2LzAzLzIwMjYBAAAA3rYBAAMAAAAAAFUYReTNe94IcU5WOc573ghBQ0lRLk5ZU0U6SUJNLklRX09QRUJfQlJFQUtET1dOX0VRX0ZPUkVJR04uMTk5MC4wNi8wMy8yMDI2Li4uVVNELkgBAAAA3rYBAAMAAAAAAFUYReTNe94IcU5WOc573gguQ0lRLk5ZU0U6SUJNLklRX1JFVFVSTl9DQVBJVEFMLjE5OTAuMDYv</t>
  </si>
  <si>
    <t>MDMvMjAyNgEAAADetgEAAgAAAAY2Ljg2NzQBCAAAAAUAAAABMQEAAAALLTE5ODU5NDQ5MjIDAAAAAzE2MAIAAAAENDM2MwQAAAABMAcAAAAIMy82LzIwMjYIAAAACTYvMzAvMjAyMwkAAAABMFUYReTNe94IdidWOc573ggzQ0lRLk5ZU0U6SUJNLklRX0FVTV9JTkZMT1dTLjE5OTAuMDYvMDMvMjAyNi4uLlVTRC5IAQAAAN62AQADAAAAAABVGEXkzXveCHYnVjnOe94IM0NJUS5OWVNFOklCTS5JUV9BVU1fRk9SRUlHTi4xOTkwLjA2LzAzLzIwMjYuLi5VU0QuSAEAAADetgEAAwAAAAAAVRhF5M173gh2J1Y5znveCFVDSVEuTllTRTpJQk0uSVFfT1BFQl9ERUNSRUFTRV9FRkZFQ1RfU0VSVklDRV9JTlRfQ09TVF9GT1JFSUdOLjE5OTAuMDYvMDMvMjAyNi4uLlVTRC5IAQAAAN62AQADAAAAAABVGEXkzXveCHFOVjnOe94IRENJUS5OWVNFOklCTS5JUV9PUEVCX0VTVF9CRU5FRklUXzVZUl9GT1JFSUdOLjE5OTAuMDYvMDMvMjAyNi4uLlVTRC5IAQAAAN62AQADAAAAAABVGEXkzXveCHFOVjnOe94IP0NJUS5OWVNFOklCTS5JUV9PUEVCX0FTU0VUU19CRUdfRk9SRUlHTi4xOTkwLjA2LzAzLzIwMjYuLi5VU0QuSAEAAADetgEAAwAAAAAAVRhF5M173ghxTlY5znveCEdDSVEuTllTRTpJQk0uSVFfQUNDT1VOVF9DT0RFX0lOVEVSRVNUX1BFTkFMVElFUy4xOTkwLjA2LzAzLzIwMjYuLi5VU0QuSAEAAADetgEAAwAA</t>
  </si>
  <si>
    <t>AAAAVRhF5M173ghxTlY5znveCEZDSVEuTllTRTpJQk0uSVFfQ0FQSVRBTElaRURfSU5URVJFU1RfV1JJVEVfT0ZGLjE5OTAuMDYvMDMvMjAyNi4uLlVTRC5IAQAAAN62AQADAAAAAABVGEXkzXveCHFOVjnOe94IQENJUS5OWVNFOklCTS5JUV9BVU1fQ0FTSF9GTE9XU19ESVZJREVORFMuMTk5MC4wNi8wMy8yMDI2Li4uVVNELkgBAAAA3rYBAAMAAAAAAFUYReTNe94IcU5WOc573ghHQ0lRLk5ZU0U6SUJNLklRX09QRUJfSEVBTFRIX0NPU1RfVFJFTkRfVUxUSU1BVEVfRk9SRUlHTi4xOTkwLjA2LzAzLzIwMjYBAAAA3rYBAAMAAAAAAFUYReTNe94IcU5WOc573ghDQ0lRLk5ZU0U6SUJNLklRX09QRUJfQUNDVU1fT1RIRVJfQ0lfRk9SRUlHTi4xOTkwLjA2LzAzLzIwMjYuLi5VU0QuSAEAAADetgEAAwAAAAAAVRhF5M173ghxTlY5znveCERDSVEuTllTRTpJQk0uSVFfT1BFQl9UUkFOU0lUSU9OX05FWFRfRk9SRUlHTi4xOTkwLjA2LzAzLzIwMjYuLi5VU0QuSAEAAADetgEAAwAAAAAAVRhF5M173ghxTlY5znveCENDSVEuTllTRTpJQk0uSVFfT1BFQl9SQVRFX0NPTVBfSU5DUkVBU0VfTUFYX0ZPUkVJR04uMTk5MC4wNi8wMy8yMDI2AQAAAN62AQADAAAAAABVGEXkzXveCHFOVjnOe94IQ0NJUS5OWVNFOklCTS5JUV9PUEVCX09CTElHQVRJT05fQkVHX0ZPUkVJR04uMTk5MC4wNi8wMy8yMDI2Li4uVVNELkgB</t>
  </si>
  <si>
    <t>AAAA3rYBAAMAAAAAAFUYReTNe94IiHVWOc573gg/Q0lRLk5ZU0U6SUJNLklRX09QRUJfVE9UQUxfQ09TVF9GT1JFSUdOLjE5OTAuMDYvMDMvMjAyNi4uLlVTRC5IAQAAAN62AQADAAAAAABVGEXkzXveCIh1VjnOe94IRkNJUS5OWVNFOklCTS5JUV9VTlJFQ09HX1RBWF9CRU5FRklUX0VORF9QRVJJT0QuMTk5MC4wNi8wMy8yMDI2Li4uVVNELkgBAAAA3rYBAAMAAAAAAFUYReTNe94IiHVWOc573ghAQ0lRLk5ZU0U6SUJNLklRX0NBUElUQUxJWkVEX0lOVEVSRVNUX0VYUC4xOTkwLjA2LzAzLzIwMjYuLi5VU0QuSAEAAADetgEAAwAAAAAAVRhF5M173ghxTlY5znveCDlDSVEuTllTRTpJQk0uSVFfQVZHX1JFVl9QRVJfVFJBREUuMTk5MC4wNi8wMy8yMDI2Li4uVVNELkgBAAAA3rYBAAMAAAAAAFUYReTNe94IcU5WOc573ggyQ0lRLk5ZU0U6SUJNLklRX0FVTV9SRVRBSUwuMTk5MC4wNi8wMy8yMDI2Li4uVVNELkgBAAAA3rYBAAMAAAAAAFUYReTNe94IiHVWOc573ghFQ0lRLk5ZU0U6SUJNLklRX09QRUJfUEJPX0FTU1VNRURfUkFURV9SRVRfTUlOX0ZPUkVJR04uMTk5MC4wNi8wMy8yMDI2AQAAAN62AQADAAAAAABVGEXkzXveCIh1VjnOe94IQkNJUS5OWVNFOklCTS5JUV9PUEVCX0NJX1RSQU5TSVRJT05fRk9SRUlHTi4xOTkwLjA2LzAzLzIwMjYuLi5VU0QuSAEAAADetgEAAwAAAAAAVRhF5M173giIdVY5</t>
  </si>
  <si>
    <t>znveCDpDSVEuTllTRTpJQk0uSVFfT1BFQl9ESVNDX1JBVEVfTUFYX0ZPUkVJR04uMTk5MC4wNi8wMy8yMDI2AQAAAN62AQADAAAAAABVGEXkzXveCIh1VjnOe94IU0NJUS5OWVNFOklCTS5JUV9PUEVCX09CTElHQVRJT05fQUNUVUFSSUFMX0dBSU5fTE9TU19GT1JFSUdOLjE5OTAuMDYvMDMvMjAyNi4uLlVTRC5IAQAAAN62AQADAAAAAABVGEXkzXveCIh1VjnOe94IVENJUS5OWVNFOklCTS5JUV9QRU5TSU9OX1FVQVJUX0VNUExPWUVSX0NPTlRSSUJVVElPTlNfRk9SRUlHTi4xOTkwLjA2LzAzLzIwMjYuLi5VU0QuSAEAAADetgEAAwAAAAAAZD9F5M173giIdVY5znveCEpDSVEuTllTRTpJQk0uSVFfUEVOU0lPTl9FU1RfQkVORUZJVF9BRlRFUjVfRk9SRUlHTi4xOTkwLjA2LzAzLzIwMjYuLi5VU0QuSAEAAADetgEAAwAAAAAAZD9F5M173giIdVY5znveCEdDSVEuTllTRTpJQk0uSVFfUEVOU0lPTl9FU1RfQkVORUZJVF8zWVJfRk9SRUlHTi4xOTkwLjA2LzAzLzIwMjYuLi5VU0QuSAEAAADetgEAAwAAAAAAZD9F5M173giIdVY5znveCEVDSVEuTllTRTpJQk0uSVFfUEVOU0lPTl9DSV9UUkFOU0lUSU9OX0ZPUkVJR04uMTk5MC4wNi8wMy8yMDI2Li4uVVNELkgBAAAA3rYBAAMAAAAAAGQ/ReTNe94IiHVWOc573ghGQ0lRLk5ZU0U6SUJNLklRX1BFTlNJT05fUkFURV9DT01QX0lOQ1JFQVNFX01BWF9GT1JF</t>
  </si>
  <si>
    <t>SUdOLjE5OTAuMDYvMDMvMjAyNgEAAADetgEAAwAAAAAAZD9F5M173giIdVY5znveCFVDSVEuTllTRTpJQk0uSVFfUEVOU0lPTl9BU1NFVFNfUEFSVElDSVBfQ09OVFJJQlVUSU9OU19GT1JFSUdOLjE5OTAuMDYvMDMvMjAyNi4uLlVTRC5IAQAAAN62AQADAAAAAABkP0XkzXveCIicVjnOe94IUENJUS5OWVNFOklCTS5JUV9QRU5TSU9OX09CTElHQVRJT05fSU5URVJFU1RfQ09TVF9GT1JFSUdOLjE5OTAuMDYvMDMvMjAyNi4uLlVTRC5IAQAAAN62AQADAAAAAABkP0XkzXveCIicVjnOe94IX0NJUS5OWVNFOklCTS5JUV9QRU5TSU9OX09CTElHQVRJT05fVE9UQUxfQ09TVF9JTkNMX1NVUFBMRV9QTEFOU19GT1JFSUdOLjE5OTAuMDYvMDMvMjAyNi4uLlVTRC5IAQAAAN62AQADAAAAAABkP0XkzXveCIicVjnOe94IOkNJUS5OWVNFOklCTS5JUV9PUEVCX09USEVSX0FESl9ET00uMTk5MC4wNi8wMy8yMDI2Li4uVVNELkgBAAAA3rYBAAMAAAAAAGQ/ReTNe94IiJxWOc573ghAQ0lRLk5ZU0U6SUJNLklRX09QRUJfRVNUX0JFTkVGSVRfM1lSX0RPTS4xOTkwLjA2LzAzLzIwMjYuLi5VU0QuSAEAAADetgEAAwAAAAAAZD9F5M173giInFY5znveCD5DSVEuTllTRTpJQk0uSVFfT1BFQl9DSV9UUkFOU0lUSU9OX0RPTS4xOTkwLjA2LzAzLzIwMjYuLi5VU0QuSAEAAADetgEAAwAAAAAAZD9F5M173giInFY5znveCEBD</t>
  </si>
  <si>
    <t>SVEuTllTRTpJQk0uSVFfT1BFQl9CUkVBS0RPV05fT1RIRVJfRE9NLjE5OTAuMDYvMDMvMjAyNi4uLlVTRC5IAQAAAN62AQADAAAAAABkP0XkzXveCIicVjnOe94IN0NJUS5OWVNFOklCTS5JUV9DQVBfTE9TU19DRl81WVIuMTk5MC4wNi8wMy8yMDI2Li4uVVNELkgBAAAA3rYBAAMAAAAAAGQ/ReTNe94IiJxWOc573gg3Q0lRLk5ZU0U6SUJNLklRX1RBWF9CRU5FRklUX0NGX01BWF9ZRUFSLjE5OTAuMDYvMDMvMjAyNgEAAADetgEAAwAAAAAAZD9F5M173giInFY5znveCEVDSVEuTllTRTpJQk0uSVFfT1BFQl9DSV9ORVRfQU1UX1JFQ09HX0ZPUkVJR04uMTk5MC4wNi8wMy8yMDI2Li4uVVNELkgBAAAA3rYBAAMAAAAAAGQ/ReTNe94IiJxWOc573ghEQ0lRLk5ZU0U6SUJNLklRX09QRUJfT0JMSUdBVElPTl9QQUlEX0ZPUkVJR04uMTk5MC4wNi8wMy8yMDI2Li4uVVNELkgBAAAA3rYBAAMAAAAAAGQ/ReTNe94Iq8NWOc573ghNQ0lRLk5ZU0U6SUJNLklRX1BFTlNJT05fT0JMSUdBVElPTl9UT1RBTF9DT1NUX0ZPUkVJR04uMTk5MC4wNi8wMy8yMDI2Li4uVVNELkgBAAAA3rYBAAMAAAAAAGQ/ReTNe94Iq8NWOc573ghCQ0lRLk5ZU0U6SUJNLklRX09QRUJfSEVBTFRIX0NPU1RfVFJFTkRfSU5JVElBTF9ET00uMTk5MC4wNi8wMy8yMDI2AQAAAN62AQADAAAAAABkP0XkzXveCKvDVjnOe94IPUNJUS5OWVNFOklC</t>
  </si>
  <si>
    <t>TS5JUV9PUEVCX0FDQ1JVRURfTElBQl9ET00uMTk5MC4wNi8wMy8yMDI2Li4uVVNELkgBAAAA3rYBAAMAAAAAAGQ/ReTNe94IiJxWOc573ghBQ0lRLk5ZU0U6SUJNLklRX09QRUJfUEJPX0FTU1VNRURfUkFURV9SRVRfTUlOX0RPTS4xOTkwLjA2LzAzLzIwMjYBAAAA3rYBAAMAAAAAAGQ/ReTNe94IiJxWOc573gg/Q0lRLk5ZU0U6SUJNLklRX09QRUJfUkFURV9DT01QX0lOQ1JFQVNFX01JTl9ET00uMTk5MC4wNi8wMy8yMDI2AQAAAN62AQADAAAAAABkP0XkzXveCKvDVjnOe94IR0NJUS5OWVNFOklCTS5JUV9PUEVCX09CTElHQVRJT05fQUNDVU1VTEFURURfRE9NLjE5OTAuMDYvMDMvMjAyNi4uLlVTRC5IAQAAAN62AQADAAAAAABkP0XkzXveCKvDVjnOe94ISENJUS5OWVNFOklCTS5JUV9PUEVCX1NVUFBMRV9QTEFOU19UT1RBTF9DT1NUX0RPTS4xOTkwLjA2LzAzLzIwMjYuLi5VU0QuSAEAAADetgEAAwAAAAAAZD9F5M173girw1Y5znveCDtDSVEuTllTRTpJQk0uSVFfT1BFQl9FWFBfUkVUVVJOX0RPTS4xOTkwLjA2LzAzLzIwMjYuLi5VU0QuSAEAAADetgEAAwAAAAAAZD9F5M173girw1Y5znveCEJDSVEuTllTRTpJQk0uSVFfUEVOU0lPTl9BQ0NVTV9PVEhFUl9DSV9ET00uMTk5MC4wNi8wMy8yMDI2Li4uVVNELkgBAAAA3rYBAAMAAAAAAGQ/ReTNe94Iq8NWOc573gg9Q0lRLk5ZU0U6SUJNLklRX05F</t>
  </si>
  <si>
    <t>VF9ORVdfQ0xJRU5UX0FTU0VUUy4xOTkwLjA2LzAzLzIwMjYuLi5VU0QuSAEAAADetgEAAwAAAAAAZD9F5M173git6lY5znveCEBDSVEuTllTRTpJQk0uSVFfQVVNX05FVF9JTkZMT1dTX09VVEZMT1dTLjE5OTAuMDYvMDMvMjAyNi4uLlVTRC5IAQAAAN62AQADAAAAAABkP0XkzXveCKvDVjnOe94IQUNJUS5OWVNFOklCTS5JUV9PUEVCX1BSRVBBSURfQ09TVF9GT1JFSUdOLjE5OTAuMDYvMDMvMjAyNi4uLlVTRC5IAQAAAN62AQADAAAAAABkP0XkzXveCKvDVjnOe94IUkNJUS5OWVNFOklCTS5JUV9PUEVCX0FTU0VUU19QQVJUSUNJUF9DT05UUklCVVRJT05TX0ZPUkVJR04uMTk5MC4wNi8wMy8yMDI2Li4uVVNELkgBAAAA3rYBAAMAAAAAAGQ/ReTNe94Iq8NWOc573ghZQ0lRLk5ZU0U6SUJNLklRX1BFTlNJT05fT0JMSUdBVElPTl9FTVBMT1lFRV9DT05UUklCVVRJT05TX0ZPUkVJR04uMTk5MC4wNi8wMy8yMDI2Li4uVVNELkgBAAAA3rYBAAMAAAAAAGQ/ReTNe94Iq8NWOc573gg2Q0lRLk5ZU0U6SUJNLklRX09QRUJfT1RIRVJfRE9NLjE5OTAuMDYvMDMvMjAyNi4uLlVTRC5IAQAAAN62AQADAAAAAABkP0XkzXveCK3qVjnOe94IOkNJUS5OWVNFOklCTS5JUV9BVU1fSElHSF9ORVRfV09SVEguMTk5MC4wNi8wMy8yMDI2Li4uVVNELkgBAAAA3rYBAAMAAAAAAGQ/ReTNe94IrepWOc573ghBQ0lRLk5ZU0U6</t>
  </si>
  <si>
    <t>SUJNLklRX09QRUJfQlJFQUtET1dOX0ZJX0ZPUkVJR04uMTk5MC4wNi8wMy8yMDI2Li4uVVNELkgBAAAA3rYBAAMAAAAAAGQ/ReTNe94IrepWOc573ghAQ0lRLk5ZU0U6SUJNLklRX1BFTlNJT05fQUNUX05FWFRfRk9SRUlHTi4xOTkwLjA2LzAzLzIwMjYuLi5VU0QuSAEAAADetgEAAwAAAAAAZD9F5M173git6lY5znveCENDSVEuTllTRTpJQk0uSVFfUEVOU0lPTl9CUkVBS0RPV05fUENUX09USEVSX0ZPUkVJR04uMTk5MC4wNi8wMy8yMDI2AQAAAN62AQADAAAAAABkP0XkzXveCK3qVjnOe94ITUNJUS5OWVNFOklCTS5JUV9QRU5TSU9OX0FTU0VUU19PVEhFUl9QTEFOX0FESl9GT1JFSUdOLjE5OTAuMDYvMDMvMjAyNi4uLlVTRC5IAQAAAN62AQADAAAAAABkP0XkzXveCK3qVjnOe94IUUNJUS5OWVNFOklCTS5JUV9QRU5TSU9OX09CTElHQVRJT05fT1RIRVJfUExBTl9BREpfRk9SRUlHTi4xOTkwLjA2LzAzLzIwMjYuLi5VU0QuSAEAAADetgEAAwAAAAAAZD9F5M173git6lY5znveCENDSVEuTllTRTpJQk0uSVFfT1BFQl9QQk9fUkFURV9DT01QX0lOQ1JFQVNFX01BWF9ET00uMTk5MC4wNi8wMy8yMDI2AQAAAN62AQADAAAAAABkP0XkzXveCK3qVjnOe94IQUNJUS5OWVNFOklCTS5JUV9PUEVCX0NJX1BSSU9SX1NFUlZJQ0VfRE9NLjE5OTAuMDYvMDMvMjAyNi4uLlVTRC5IAQAAAN62AQADAAAAAABkP0Xk</t>
  </si>
  <si>
    <t>zXveCK3qVjnOe94IPENJUS5OWVNFOklCTS5JUV9PUEVCX0JSRUFLRE9XTl9QQ1RfT1RIRVJfRE9NLjE5OTAuMDYvMDMvMjAyNgEAAADetgEAAwAAAAAAZD9F5M173git6lY5znveCDtDSVEuTllTRTpJQk0uSVFfT1BFQl9BU1NFVFNfQUNRX0RPTS4xOTkwLjA2LzAzLzIwMjYuLi5VU0QuSAEAAADetgEAAwAAAAAAZD9F5M173git6lY5znveCFFDSVEuTllTRTpJQk0uSVFfT1BFQl9UT1RBTF9DT1NUX0lOQ0xfU1VQUExFX1BMQU5TX0ZPUkVJR04uMTk5MC4wNi8wMy8yMDI2Li4uVVNELkgBAAAA3rYBAAMAAAAAAGQ/ReTNe94IrepWOc573gg/Q0lRLk5ZU0U6SUJNLklRX09QRUJfT1RIRVJfQ09TVF9GT1JFSUdOLjE5OTAuMDYvMDMvMjAyNi4uLlVTRC5IAQAAAN62AQADAAAAAABkP0XkzXveCK3qVjnOe94IQUNJUS5OWVNFOklCTS5JUV9PUEVCX1NFUlZJQ0VfQ09TVF9GT1JFSUdOLjE5OTAuMDYvMDMvMjAyNi4uLlVTRC5IAQAAAN62AQADAAAAAABkP0XkzXveCK3qVjnOe94IUENJUS5OWVNFOklCTS5JUV9QRU5TSU9OX0VTVF9DT05UUklCVVRJT05TX05FWFRZUl9GT1JFSUdOLjE5OTAuMDYvMDMvMjAyNi4uLlVTRC5IAQAAAN62AQADAAAAAABkP0XkzXveCKIlVznOe94IR0NJUS5OWVNFOklCTS5JUV9QRU5TSU9OX0VTVF9CRU5FRklUXzRZUl9GT1JFSUdOLjE5OTAuMDYvMDMvMjAyNi4uLlVTRC5IAQAA</t>
  </si>
  <si>
    <t>AN62AQADAAAAAABkP0XkzXveCKIlVznOe94IPUNJUS5OWVNFOklCTS5JUV9QRU5TSU9OX0RJU0NPVU5UX1JBVEVfRk9SRUlHTi4xOTkwLjA2LzAzLzIwMjYBAAAA3rYBAAMAAAAAAGQ/ReTNe94IrepWOc573ghGQ0lRLk5ZU0U6SUJNLklRX1BFTlNJT05fT0JMSUdBVElPTl9ST0FfRk9SRUlHTi4xOTkwLjA2LzAzLzIwMjYuLi5VU0QuSAEAAADetgEAAwAAAAAAZD9F5M173git6lY5znveCENDSVEuTllTRTpJQk0uSVFfT1BFQl9FU1RfQkVORUZJVF9BRlRFUjVfRE9NLjE5OTAuMDYvMDMvMjAyNi4uLlVTRC5IAQAAAN62AQADAAAAAABkP0XkzXveCK3qVjnOe94IQ0NJUS5OWVNFOklCTS5JUV9PUEVCX0FTU0VUU19DVVJUQUlMX0ZPUkVJR04uMTk5MC4wNi8wMy8yMDI2Li4uVVNELkgBAAAA3rYBAAMAAAAAAGQ/ReTNe94IoiVXOc573ghNQ0lRLk5ZU0U6SUJNLklRX09QRUJfT0JMSUdBVElPTl9JTlRFUkVTVF9DT1NUX0ZPUkVJR04uMTk5MC4wNi8wMy8yMDI2Li4uVVNELkgBAAAA3rYBAAMAAAAAAGQ/ReTNe94IoiVXOc573ghHQ0lRLk5ZU0U6SUJNLklRX1BFTlNJT05fRVNUX0JFTkVGSVRfMllSX0ZPUkVJR04uMTk5MC4wNi8wMy8yMDI2Li4uVVNELkgBAAAA3rYBAAMAAAAAAGQ/ReTNe94IoiVXOc573ghEQ0lRLk5ZU0U6SUJNLklRX1BFTlNJT05fQlJFQUtET1dOX1JFX0ZPUkVJR04uMTk5MC4wNi8w</t>
  </si>
  <si>
    <t>My8yMDI2Li4uVVNELkgBAAAA3rYBAAMAAAAAAGQ/ReTNe94IoiVXOc573ghCQ0lRLk5ZU0U6SUJNLklRX1BFTlNJT05fQVNTRVRTX0JFR19GT1JFSUdOLjE5OTAuMDYvMDMvMjAyNi4uLlVTRC5IAQAAAN62AQADAAAAAABkP0XkzXveCKIlVznOe94IT0NJUS5OWVNFOklCTS5JUV9QRU5TSU9OX09CTElHQVRJT05fU0VSVklDRV9DT1NUX0ZPUkVJR04uMTk5MC4wNi8wMy8yMDI2Li4uVVNELkgBAAAA3rYBAAMAAAAAAGQ/ReTNe94IoiVXOc573ghEQ0lRLk5ZU0U6SUJNLklRX1BFTlNJT05fU0VSVklDRV9DT1NUX0ZPUkVJR04uMTk5MC4wNi8wMy8yMDI2Li4uVVNELkgBAAAA3rYBAAMAAAAAAGQ/ReTNe94IoiVXOc573ghDQ0lRLk5ZU0U6SUJNLklRX09QRUJfSEVBTFRIX0NPU1RfVFJFTkRfVUxUSU1BVEVfRE9NLjE5OTAuMDYvMDMvMjAyNgEAAADetgEAAwAAAAAAZD9F5M173giiJVc5znveCDNDSVEuTllTRTpJQk0uSVFfT1BFQl9DTF9ET00uMTk5MC4wNi8wMy8yMDI2Li4uVVNELkgBAAAA3rYBAAMAAAAAAGQ/ReTNe94IoiVXOc573gg2Q0lRLk5ZU0U6SUJNLklRX09QRUJfRElTQ19SQVRFX01JTl9ET00uMTk5MC4wNi8wMy8yMDI2AQAAAN62AQADAAAAAABkP0XkzXveCKIlVznOe94ISkNJUS5OWVNFOklCTS5JUV9PUEVCX09CTElHQVRJT05fT1RIRVJfUExBTl9BREpfRE9NLjE5OTAuMDYvMDMvMjAy</t>
  </si>
  <si>
    <t>Ni4uLlVTRC5IAQAAAN62AQADAAAAAABkP0XkzXveCBNNVznOe94IO0NJUS5OWVNFOklCTS5JUV9PUEVCX09USEVSX0NPU1RfRE9NLjE5OTAuMDYvMDMvMjAyNi4uLlVTRC5IAQAAAN62AQADAAAAAABkP0XkzXveCBNNVznOe94ISkNJUS5OWVNFOklCTS5JUV9QRU5TSU9OX1VORlVOREVEX0FERExfTUlOX0xJQUJfRE9NLjE5OTAuMDYvMDMvMjAyNi4uLlVTRC5IAQAAAN62AQADAAAAAABkP0XkzXveCBNNVznOe94IQENJUS5OWVNFOklCTS5JUV9QRU5TSU9OX0FDQ1JVRURfTElBQl9ET00uMTk5MC4wNi8wMy8yMDI2Li4uVVNELkgBAAAA3rYBAAMAAAAAAGQ/ReTNe94IoiVXOc573gg3Q0lRLk5ZU0U6SUJNLklRX01VVFVBTF9GVU5EX0VPUC4xOTkwLjA2LzAzLzIwMjYuLi5VU0QuSAEAAADetgEAAwAAAAAAZD9F5M173giiJVc5znveCEpDSVEuTllTRTpJQk0uSVFfUEVOU0lPTl9QQk9fUkFURV9DT01QX0lOQ1JFQVNFX01BWF9GT1JFSUdOLjE5OTAuMDYvMDMvMjAyNgEAAADetgEAAwAAAAAAZD9F5M173ggTTVc5znveCEhDSVEuTllTRTpJQk0uSVFfUEVOU0lPTl9DSV9ORVRfQU1UX1JFQ09HX0ZPUkVJR04uMTk5MC4wNi8wMy8yMDI2Li4uVVNELkgBAAAA3rYBAAMAAAAAAGQ/ReTNe94IE01XOc573ghCQ0lRLk5ZU0U6SUJNLklRX1BFTlNJT05fQVNTRVRTX0FDUV9GT1JFSUdOLjE5OTAuMDYvMDMvMjAy</t>
  </si>
  <si>
    <t>Ni4uLlVTRC5IAQAAAN62AQADAAAAAABkP0XkzXveCBNNVznOe94IOkNJUS5OWVNFOklCTS5JUV9UQVhfQkVORUZJVF9DRl8yWVIuMTk5MC4wNi8wMy8yMDI2Li4uVVNELkgBAAAA3rYBAAMAAAAAAGQ/ReTNe94IE01XOc573ghGQ0lRLk5ZU0U6SUJNLklRX09QRUJfSEVBTFRIX0NPU1RfVFJFTkRfSU5JVElBTF9GT1JFSUdOLjE5OTAuMDYvMDMvMjAyNgEAAADetgEAAwAAAAAAZD9F5M173ggTTVc5znveCD9DSVEuTllTRTpJQk0uSVFfT1BFQl9BU1NFVFNfQUNRX0ZPUkVJR04uMTk5MC4wNi8wMy8yMDI2Li4uVVNELkgBAAAA3rYBAAMAAAAAAGQ/ReTNe94I8nNXOc573ghMQ0lRLk5ZU0U6SUJNLklRX09QRUJfU1VQUExFX1BMQU5TX1RPVEFMX0NPU1RfRk9SRUlHTi4xOTkwLjA2LzAzLzIwMjYuLi5VU0QuSAEAAADetgEAAwAAAAAAZD9F5M173ggTTVc5znveCEZDSVEuTllTRTpJQk0uSVFfUEVOU0lPTl9SQVRFX0NPTVBfSU5DUkVBU0VfTUlOX0ZPUkVJR04uMTk5MC4wNi8wMy8yMDI2AQAAAN62AQADAAAAAABkP0XkzXveCBNNVznOe94ITENJUS5OWVNFOklCTS5JUV9QRU5TSU9OX0FTU0VUU19CRU5FRklUU19QQUlEX0ZPUkVJR04uMTk5MC4wNi8wMy8yMDI2Li4uVVNELkgBAAAA3rYBAAMAAAAAAGQ/ReTNe94IE01XOc573ghIQ0lRLk5ZU0U6SUJNLklRX09QRUJfSU5DUkVBU0VfRUZGRUNUX1BCT19G</t>
  </si>
  <si>
    <t>T1JFSUdOLjE5OTEuMDYvMDMvMjAyNi4uLlVTRC5IAQAAAN62AQADAAAAAACYR1PkzXveCFkyRznOe94IPUNJUS5OWVNFOklCTS5JUV9PUEVCX0JSRUFLRE9XTl9QQ1RfRklfRk9SRUlHTi4xOTkxLjA2LzAzLzIwMjYBAAAA3rYBAAMAAAAAAJhHU+TNe94IBGtHOc573ghEQ0lRLk5ZU0U6SUJNLklRX09QRUJfT0JMSUdBVElPTl9QQUlEX0ZPUkVJR04uMTk5MS4wNi8wMy8yMDI2Li4uVVNELkgBAAAA3rYBAAMAAAAAAJhHU+TNe94IBGtHOc573gg5Q0lRLk5ZU0U6SUJNLklRX01VVFVBTF9GVU5EX1NBTEVTLjE5OTEuMDYvMDMvMjAyNi4uLlVTRC5IAQAAAN62AQADAAAAAACYR1PkzXveCARrRznOe94IP0NJUS5OWVNFOklCTS5JUV9PUEVCX0FNVF9SRUNPR19ORVhUX0RPTS4xOTkwLjA2LzAzLzIwMjYuLi5VU0QuSAEAAADetgEAAwAAAAAAmEdT5M173ggTTVc5znveCClDSVEuTllTRTpJQk0uSVFfTklfTUFSR0lOLjE5OTEuMDYvMDMvMjAyNgEAAADetgEAAgAAAAYxMS4zMTkBCAAAAAUAAAABMQEAAAALLTE5NzExNzUyODcDAAAAAzE2MAIAAAAENDA5NAQAAAABMAcAAAAIMy82LzIwMjYIAAAACTkvMzAvMjAyMwkAAAABMJhHU+TNe94IBGtHOc573gg2Q0lRLk5ZU0U6SUJNLklRX09QRUJfRElTQ19SQVRFX01BWF9ET00uMTk5MC4wNi8wMy8yMDI2AQAAAN62AQADAAAAAACYR1PkzXveCPJzVznOe94IM0NJ</t>
  </si>
  <si>
    <t>US5OWVNFOklCTS5JUV9BVU1fQVZFUkFHRS4xOTkxLjA2LzAzLzIwMjYuLi5VU0QuSAEAAADetgEAAwAAAAAAmEdT5M173ggEa0c5znveCEZDSVEuTllTRTpJQk0uSVFfT1BFQl9BU1NFVFNfT1RIRVJfUExBTl9BREpfRE9NLjE5OTAuMDYvMDMvMjAyNi4uLlVTRC5IAQAAAN62AQADAAAAAACYR1PkzXveCPJzVznOe94IP0NJUS5OWVNFOklCTS5JUV9PUEVCX09CTElHQVRJT05fQUNRX0RPTS4xOTkwLjA2LzAzLzIwMjYuLi5VU0QuSAEAAADetgEAAwAAAAAAmEdT5M173gjyc1c5znveCEdDSVEuTllTRTpJQk0uSVFfUEVOU0lPTl9ORVRfQVNTRVRfUkVDT0dfRk9SRUlHTi4xOTkwLjA2LzAzLzIwMjYuLi5VU0QuSAEAAADetgEAAwAAAAAAmEdT5M173gjyc1c5znveCEVDSVEuTllTRTpJQk0uSVFfUEVOU0lPTl9VTlJFQ09HX1BSSU9SX0ZPUkVJR04uMTk5MC4wNi8wMy8yMDI2Li4uVVNELkgBAAAA3rYBAAMAAAAAAJhHU+TNe94I8nNXOc573gg/Q0lRLk5ZU0U6SUJNLklRX1BFTlNJT05fTFRfTElBQl9GT1JFSUdOLjE5OTAuMDYvMDMvMjAyNi4uLlVTRC5IAQAAAN62AQADAAAAAACYR1PkzXveCKeHVznOe94IQENJUS5OWVNFOklCTS5JUV9QRU5TSU9OX0JSRUFLRE9XTl9QQ1RfUkVfRk9SRUlHTi4xOTkwLjA2LzAzLzIwMjYBAAAA3rYBAAMAAAAAAJhHU+TNe94Ip4dXOc573gg4Q0lRLk5ZU0U6SUJNLklR</t>
  </si>
  <si>
    <t>X09QRUJfTFRfTElBQl9ET00uMTk5MC4wNi8wMy8yMDI2Li4uVVNELkgBAAAA3rYBAAMAAAAAAJhHU+TNe94Ip4dXOc573ghAQ0lRLk5ZU0U6SUJNLklRX09QRUJfRVNUX0JFTkVGSVRfMllSX0RPTS4xOTkwLjA2LzAzLzIwMjYuLi5VU0QuSAEAAADetgEAAwAAAAAAmEdT5M173ginh1c5znveCDdDSVEuTllTRTpJQk0uSVFfT1BFQl9DSV9BQ1RfRE9NLjE5OTAuMDYvMDMvMjAyNi4uLlVTRC5IAQAAAN62AQADAAAAAACYR1PkzXveCKeHVznOe94INkNJUS5OWVNFOklCTS5JUV9BVU1fTkVUX0NIQU5HRS4xOTkwLjA2LzAzLzIwMjYuLi5VU0QuSAEAAADetgEAAwAAAAAAmEdT5M173ginh1c5znveCEhDSVEuTllTRTpJQk0uSVFfT1BFQl9ERUNSRUFTRV9FRkZFQ1RfUEJPX0ZPUkVJR04uMTk5MC4wNi8wMy8yMDI2Li4uVVNELkgBAAAA3rYBAAMAAAAAAJhHU+TNe94Ip4dXOc573gg3Q0lRLk5ZU0U6SUJNLklRX09QRUJfQ0xfRk9SRUlHTi4xOTkwLjA2LzAzLzIwMjYuLi5VU0QuSAEAAADetgEAAwAAAAAAmEdT5M173ginh1c5znveCDpDSVEuTllTRTpJQk0uSVFfT1BFQl9ESVNDX1JBVEVfTUlOX0ZPUkVJR04uMTk5MC4wNi8wMy8yMDI2AQAAAN62AQADAAAAAACYR1PkzXveCKeHVznOe94IUkNJUS5OWVNFOklCTS5JUV9PUEVCX0FTU0VUU19FTVBMT1lFUl9DT05UUklCVVRJT05TX0ZPUkVJR04uMTk5MC4w</t>
  </si>
  <si>
    <t>Ni8wMy8yMDI2Li4uVVNELkgBAAAA3rYBAAMAAAAAAJhHU+TNe94Ip4dXOc573ghMQ0lRLk5ZU0U6SUJNLklRX09QRUJfT0JMSUdBVElPTl9TRVJWSUNFX0NPU1RfRk9SRUlHTi4xOTkwLjA2LzAzLzIwMjYuLi5VU0QuSAEAAADetgEAAwAAAAAApVtT5M173gjyrlc5znveCEdDSVEuTllTRTpJQk0uSVFfUEVOU0lPTl9FU1RfQkVORUZJVF8xWVJfRk9SRUlHTi4xOTkwLjA2LzAzLzIwMjYuLi5VU0QuSAEAAADetgEAAwAAAAAApVtT5M173gjyrlc5znveCD5DSVEuTllTRTpJQk0uSVFfUEVOU0lPTl9DSV9BQ1RfRk9SRUlHTi4xOTkwLjA2LzAzLzIwMjYuLi5VU0QuSAEAAADetgEAAwAAAAAApVtT5M173ginh1c5znveCEpDSVEuTllTRTpJQk0uSVFfUEVOU0lPTl9PQkxJR0FUSU9OX0NVUlRBSUxfRk9SRUlHTi4xOTkwLjA2LzAzLzIwMjYuLi5VU0QuSAEAAADetgEAAwAAAAAApVtT5M173ginh1c5znveCERDSVEuTllTRTpJQk0uSVFfT1BFQl9JTkNSRUFTRV9FRkZFQ1RfUEJPX0RPTS4xOTkwLjA2LzAzLzIwMjYuLi5VU0QuSAEAAADetgEAAwAAAAAApVtT5M173ginh1c5znveCDlDSVEuTllTRTpJQk0uSVFfT1BFQl9BQ1RfTkVYVF9ET00uMTk5MC4wNi8wMy8yMDI2Li4uVVNELkgBAAAA3rYBAAMAAAAAAKVbU+TNe94I8q5XOc573gg8Q0lRLk5ZU0U6SUJNLklRX09QRUJfRVhQX1JBVEVfUkVUVVJOX01B</t>
  </si>
  <si>
    <t>WF9ET00uMTk5MC4wNi8wMy8yMDI2AQAAAN62AQADAAAAAAClW1PkzXveCPKuVznOe94ITkNJUS5OWVNFOklCTS5JUV9PUEVCX0FTU0VUU19FTVBMT1lFUl9DT05UUklCVVRJT05TX0RPTS4xOTkwLjA2LzAzLzIwMjYuLi5VU0QuSAEAAADetgEAAwAAAAAApVtT5M173gjyrlc5znveCEhDSVEuTllTRTpJQk0uSVFfT1BFQl9PQkxJR0FUSU9OX1NFUlZJQ0VfQ09TVF9ET00uMTk5MC4wNi8wMy8yMDI2Li4uVVNELkgBAAAA3rYBAAMAAAAAAKVbU+TNe94I8q5XOc573gg9Q0lRLk5ZU0U6SUJNLklRX1BFTlNJT05fQkVORUZJVF9JTkZPX0RBVEVfRE9NLjE5OTAuMDYvMDMvMjAyNgEAAADetgEAAwAAAAAApVtT5M173gjyrlc5znveCDtDSVEuTllTRTpJQk0uSVFfUEVOU0lPTl9MVF9MSUFCX0RPTS4xOTkwLjA2LzAzLzIwMjYuLi5VU0QuSAEAAADetgEAAwAAAAAApVtT5M173gjyrlc5znveCEZDSVEuTllTRTpJQk0uSVFfUEVOU0lPTl9QQk9fUkFURV9DT01QX0lOQ1JFQVNFX01BWF9ET00uMTk5MC4wNi8wMy8yMDI2AQAAAN62AQADAAAAAAClW1PkzXveCPKuVznOe94IQ0NJUS5OWVNFOklCTS5JUV9QRU5TSU9OX0JSRUFLRE9XTl9PVEhFUl9ET00uMTk5MC4wNi8wMy8yMDI2Li4uVVNELkgBAAAA3rYBAAMAAAAAAKVbU+TNe94I8q5XOc573ghAQ0lRLk5ZU0U6SUJNLklRX09QRUJfQlJFQUtET1dOX1BDVF9P</t>
  </si>
  <si>
    <t>VEhFUl9GT1JFSUdOLjE5OTAuMDYvMDMvMjAyNgEAAADetgEAAwAAAAAApVtT5M173gjyrlc5znveCDVDSVEuTllTRTpJQk0uSVFfTk9MX0NGX05PX0VYUC4xOTkwLjA2LzAzLzIwMjYuLi5VU0QuSAEAAADetgEAAwAAAAAApVtT5M173ggA1lc5znveCERDSVEuTllTRTpJQk0uSVFfT1BFQl9FU1RfQkVORUZJVF8zWVJfRk9SRUlHTi4xOTkwLjA2LzAzLzIwMjYuLi5VU0QuSAEAAADetgEAAwAAAAAApVtT5M173ggA1lc5znveCDtDSVEuTllTRTpJQk0uSVFfT1BFQl9DSV9BQ1RfRk9SRUlHTi4xOTkwLjA2LzAzLzIwMjYuLi5VU0QuSAEAAADetgEAAwAAAAAApVtT5M173gjyrlc5znveCEZDSVEuTllTRTpJQk0uSVFfUEVOU0lPTl9BQ0NVTV9PVEhFUl9DSV9GT1JFSUdOLjE5OTAuMDYvMDMvMjAyNi4uLlVTRC5IAQAAAN62AQADAAAAAAClW1PkzXveCPKuVznOe94IRENJUS5OWVNFOklCTS5JUV9QRU5TSU9OX0FDQ1JVRURfTElBQl9GT1JFSUdOLjE5OTAuMDYvMDMvMjAyNi4uLlVTRC5IAQAAAN62AQADAAAAAAClW1PkzXveCPKuVznOe94ISENJUS5OWVNFOklCTS5JUV9QRU5TSU9OX1BCT19BU1NVTUVEX1JBVEVfUkVUX01JTl9GT1JFSUdOLjE5OTAuMDYvMDMvMjAyNgEAAADetgEAAwAAAAAApVtT5M173ggA1lc5znveCEVDSVEuTllTRTpJQk0uSVFfUEVOU0lPTl9BU1NFVFNfRlhfQURKX0ZPUkVJR04u</t>
  </si>
  <si>
    <t>MTk5MC4wNi8wMy8yMDI2Li4uVVNELkgBAAAA3rYBAAMAAAAAAKVbU+TNe94IANZXOc573ghAQ0lRLk5ZU0U6SUJNLklRX09QRUJfTkVUX0FTU0VUX1JFQ09HX0RPTS4xOTkwLjA2LzAzLzIwMjYuLi5VU0QuSAEAAADetgEAAwAAAAAApVtT5M173ggA1lc5znveCEFDSVEuTllTRTpJQk0uSVFfT1BFQl9DSV9ORVRfQU1UX1JFQ09HX0RPTS4xOTkwLjA2LzAzLzIwMjYuLi5VU0QuSAEAAADetgEAAwAAAAAApVtT5M173ggA1lc5znveCD1DSVEuTllTRTpJQk0uSVFfT1BFQl9CUkVBS0RPV05fUENUX1JFX0ZPUkVJR04uMTk5MC4wNi8wMy8yMDI2AQAAAN62AQADAAAAAAClW1PkzXveCADWVznOe94IO0NJUS5OWVNFOklCTS5JUV9PUEVCX0FTU0VUU19GT1JFSUdOLjE5OTAuMDYvMDMvMjAyNi4uLlVTRC5IAQAAAN62AQADAAAAAAClW1PkzXveCADWVznOe94ISUNJUS5OWVNFOklCTS5JUV9PUEVCX0FTU0VUU19BQ1RVQUxfUkVUVVJOX0ZPUkVJR04uMTk5MC4wNi8wMy8yMDI2Li4uVVNELkgBAAAA3rYBAAMAAAAAAKVbU+TNe94IANZXOc573ghDQ0lRLk5ZU0U6SUJNLklRX09QRUJfT0JMSUdBVElPTl9BQ1FfRk9SRUlHTi4xOTkwLjA2LzAzLzIwMjYuLi5VU0QuSAEAAADetgEAAwAAAAAApVtT5M173ggA1lc5znveCEFDSVEuTllTRTpJQk0uSVFfUEVOU0lPTl9CRU5FRklUX0lORk9fREFURV9GT1JFSUdOLjE5</t>
  </si>
  <si>
    <t>OTAuMDYvMDMvMjAyNgEAAADetgEAAwAAAAAApVtT5M173ggA1lc5znveCD1DSVEuTllTRTpJQk0uSVFfUEVOU0lPTl9PVEhFUl9GT1JFSUdOLjE5OTAuMDYvMDMvMjAyNi4uLlVTRC5IAQAAAN62AQADAAAAAAClW1PkzXveCBD9VznOe94IOkNJUS5OWVNFOklCTS5JUV9QRU5TSU9OX0NMX0ZPUkVJR04uMTk5MC4wNi8wMy8yMDI2Li4uVVNELkgBAAAA3rYBAAMAAAAAAKVbU+TNe94IEP1XOc573ghAQ0lRLk5ZU0U6SUJNLklRX1BFTlNJT05fUkFURV9DT01QX0dST1dUSF9GT1JFSUdOLjE5OTAuMDYvMDMvMjAyNgEAAADetgEAAwAAAAAApVtT5M173ggQ/Vc5znveCFpDSVEuTllTRTpJQk0uSVFfUEVOU0lPTl9PQkxJR0FUSU9OX1NVUFBMRV9QTEFOU19UT1RBTF9DT1NUX0ZPUkVJR04uMTk5MC4wNi8wMy8yMDI2Li4uVVNELkgBAAAA3rYBAAMAAAAAAKVbU+TNe94IEP1XOc573gg5Q0lRLk5ZU0U6SUJNLklRX09QRUJfQlJFQUtET1dOX1BDVF9FUV9ET00uMTk5MC4wNi8wMy8yMDI2AQAAAN62AQADAAAAAAClW1PkzXveCADWVznOe94IP0NJUS5OWVNFOklCTS5JUV9PUEVCX1JBVEVfQ09NUF9JTkNSRUFTRV9NQVhfRE9NLjE5OTAuMDYvMDMvMjAyNgEAAADetgEAAwAAAAAApVtT5M173ggQ/Vc5znveCDtDSVEuTllTRTpJQk0uSVFfT1BFQl9BU1NFVFNfQkVHX0RPTS4xOTkwLjA2LzAzLzIwMjYuLi5VU0Qu</t>
  </si>
  <si>
    <t>SAEAAADetgEAAwAAAAAApVtT5M173ggQ/Vc5znveCE1DSVEuTllTRTpJQk0uSVFfT1BFQl9UT1RBTF9DT1NUX0lOQ0xfU1VQUExFX1BMQU5TX0RPTS4xOTkwLjA2LzAzLzIwMjYuLi5VU0QuSAEAAADetgEAAwAAAAAApVtT5M173ggQ/Vc5znveCDlDSVEuTllTRTpJQk0uSVFfUEVOU0lPTl9PVEhFUl9ET00uMTk5MC4wNi8wMy8yMDI2Li4uVVNELkgBAAAA3rYBAAMAAAAAAKVbU+TNe94IEP1XOc573gg9Q0lRLk5ZU0U6SUJNLklRX1BFTlNJT05fTFRfQVNTRVRTX0RPTS4xOTkwLjA2LzAzLzIwMjYuLi5VU0QuSAEAAADetgEAAwAAAAAApVtT5M173ggQ/Vc5znveCDJDSVEuTllTRTpJQk0uSVFfTk9MX0NGXzFZUi4xOTkwLjA2LzAzLzIwMjYuLi5VU0QuSAEAAADetgEAAwAAAAAApVtT5M173ggQ/Vc5znveCEhDSVEuTllTRTpJQk0uSVFfUEVOU0lPTl9DSV9QUklPUl9TRVJWSUNFX0ZPUkVJR04uMTk5MC4wNi8wMy8yMDI2Li4uVVNELkgBAAAA3rYBAAMAAAAAAKVbU+TNe94IEP1XOc573ghDQ0lRLk5ZU0U6SUJNLklRX1BFTlNJT05fRVhQX1JBVEVfUkVUVVJOX01JTl9GT1JFSUdOLjE5OTAuMDYvMDMvMjAyNgEAAADetgEAAwAAAAAApVtT5M173ggQ/Vc5znveCFZDSVEuTllTRTpJQk0uSVFfUEVOU0lPTl9PQkxJR0FUSU9OX0FDVFVBUklBTF9HQUlOX0xPU1NfRk9SRUlHTi4xOTkwLjA2LzAzLzIwMjYu</t>
  </si>
  <si>
    <t>Li5VU0QuSAEAAADetgEAAwAAAAAApVtT5M173ggQ/Vc5znveCD1DSVEuTllTRTpJQk0uSVFfQVVNX09USEVSX0FESlVTVE1FTlRTLjE5OTAuMDYvMDMvMjAyNi4uLlVTRC5IAQAAAN62AQADAAAAAAClW1PkzXveCBD9VznOe94IRENJUS5OWVNFOklCTS5JUV9PUEVCX0JSRUFLRE9XTl9PVEhFUl9GT1JFSUdOLjE5OTAuMDYvMDMvMjAyNi4uLlVTRC5IAQAAAN62AQADAAAAAAClW1PkzXveCCEkWDnOe94IR0NJUS5OWVNFOklCTS5JUV9QRU5TSU9OX1RSQU5TSVRJT05fTkVYVF9GT1JFSUdOLjE5OTAuMDYvMDMvMjAyNi4uLlVTRC5IAQAAAN62AQADAAAAAAClW1PkzXveCCEkWDnOe94IQENJUS5OWVNFOklCTS5JUV9PUEVCX0VTVF9CRU5FRklUXzFZUl9ET00uMTk5MC4wNi8wMy8yMDI2Li4uVVNELkgBAAAA3rYBAAMAAAAAAKVbU+TNe94IISRYOc573gg9Q0lRLk5ZU0U6SUJNLklRX09QRUJfQlJFQUtET1dOX0VRX0RPTS4xOTkwLjA2LzAzLzIwMjYuLi5VU0QuSAEAAADetgEAAwAAAAAApVtT5M173gghJFg5znveCDtDSVEuTllTRTpJQk0uSVFfQVVNX05PTl9GRUVfRUFSTklORy4xOTkwLjA2LzAzLzIwMjYuLi5VU0QuSAEAAADetgEAAwAAAAAApVtT5M173gghJFg5znveCEJDSVEuTllTRTpJQk0uSVFfT1BFQl9BU1NFVFNfRlhfQURKX0ZPUkVJR04uMTk5MC4wNi8wMy8yMDI2Li4uVVNELkgBAAAA3rYB</t>
  </si>
  <si>
    <t>AAMAAAAAAKVbU+TNe94IISRYOc573ghGQ0lRLk5ZU0U6SUJNLklRX09QRUJfT0JMSUdBVElPTl9GWF9BREpfRk9SRUlHTi4xOTkwLjA2LzAzLzIwMjYuLi5VU0QuSAEAAADetgEAAwAAAAAApVtT5M173gghJFg5znveCE5DSVEuTllTRTpJQk0uSVFfUEVOU0lPTl9VTkZVTkRFRF9BRERMX01JTl9MSUFCX0ZPUkVJR04uMTk5MC4wNi8wMy8yMDI2Li4uVVNELkgBAAAA3rYBAAMAAAAAAKVbU+TNe94IISRYOc573ghBQ0lRLk5ZU0U6SUJNLklRX1BFTlNJT05fT1RIRVJfQURKX0ZPUkVJR04uMTk5MC4wNi8wMy8yMDI2Li4uVVNELkgBAAAA3rYBAAMAAAAAAKVbU+TNe94IISRYOc573ghHQ0lRLk5ZU0U6SUJNLklRX1BFTlNJT05fRVNUX0JFTkVGSVRfNVlSX0ZPUkVJR04uMTk5MC4wNi8wMy8yMDI2Li4uVVNELkgBAAAA3rYBAAMAAAAAAKVbU+TNe94IISRYOc573ghHQ0lRLk5ZU0U6SUJNLklRX1BFTlNJT05fQlJFQUtET1dOX09USEVSX0ZPUkVJR04uMTk5MC4wNi8wMy8yMDI2Li4uVVNELkgBAAAA3rYBAAMAAAAAAKVbU+TNe94IU0tYOc573ghEQ0lRLk5ZU0U6SUJNLklRX09QRUJfTkVUX0FTU0VUX1JFQ09HX0ZPUkVJR04uMTk5MC4wNi8wMy8yMDI2Li4uVVNELkgBAAAA3rYBAAMAAAAAAKVbU+TNe94IU0tYOc573ghHQ0lRLk5ZU0U6SUJNLklRX09QRUJfUFJJT1JfU0VSVklDRV9ORVhUX0ZPUkVJR04u</t>
  </si>
  <si>
    <t>MTk5MC4wNi8wMy8yMDI2Li4uVVNELkgBAAAA3rYBAAMAAAAAAKVbU+TNe94IISRYOc573gg5Q0lRLk5ZU0U6SUJNLklRX0FTU0VUX01BTkFHRURfR1JPV1RIX1JBVEUuMTk5MC4wNi8wMy8yMDI2AQAAAN62AQADAAAAAAClW1PkzXveCCEkWDnOe94INENJUS5OWVNFOklCTS5JUV9BVU1fRE9NRVNUSUMuMTk5MC4wNi8wMy8yMDI2Li4uVVNELkgBAAAA3rYBAAMAAAAAAKVbU+TNe94IISRYOc573ghEQ0lRLk5ZU0U6SUJNLklRX1BFTlNJT05fSU5UQU5fQVNTRVRTX0ZPUkVJR04uMTk5MC4wNi8wMy8yMDI2Li4uVVNELkgBAAAA3rYBAAMAAAAAAKVbU+TNe94Ie2RYOc573ghOQ0lRLk5ZU0U6SUJNLklRX09QRUJfQVNTRVRTX1BBUlRJQ0lQX0NPTlRSSUJVVElPTlNfRE9NLjE5OTAuMDYvMDMvMjAyNi4uLlVTRC5IAQAAAN62AQADAAAAAAClW1PkzXveCHtkWDnOe94IRkNJUS5OWVNFOklCTS5JUV9QRU5TSU9OX1BSSU9SX1NFUlZJQ0VfTkVYVF9ET00uMTk5MC4wNi8wMy8yMDI2Li4uVVNELkgBAAAA3rYBAAMAAAAAAKVbU+TNe94IU0tYOc573gg+Q0lRLk5ZU0U6SUJNLklRX09QRUJfVU5SRUNPR19QUklPUl9ET00uMTk5MC4wNi8wMy8yMDI2Li4uVVNELkgBAAAA3rYBAAMAAAAAAKVbU+TNe94IU0tYOc573ghAQ0lRLk5ZU0U6SUJNLklRX09QRUJfRVNUX0JFTkVGSVRfNFlSX0RPTS4xOTkwLjA2LzAzLzIw</t>
  </si>
  <si>
    <t>MjYuLi5VU0QuSAEAAADetgEAAwAAAAAApVtT5M173ghTS1g5znveCEFDSVEuTllTRTpJQk0uSVFfUEVOU0lPTl9VTlJFQ09HX1BSSU9SX0RPTS4xOTkwLjA2LzAzLzIwMjYuLi5VU0QuSAEAAADetgEAAwAAAAAApVtT5M173ghceFg5znveCENDSVEuTllTRTpJQk0uSVFfUEVOU0lPTl9FU1RfQkVORUZJVF81WVJfRE9NLjE5OTAuMDYvMDMvMjAyNi4uLlVTRC5IAQAAAN62AQADAAAAAAClW1PkzXveCHtkWDnOe94IQ0NJUS5OWVNFOklCTS5JUV9QRU5TSU9OX0VTVF9CRU5FRklUXzNZUl9ET00uMTk5MC4wNi8wMy8yMDI2Li4uVVNELkgBAAAA3rYBAAMAAAAAAKVbU+TNe94Ie2RYOc573ghFQ0lRLk5ZU0U6SUJNLklRX1BFTlNJT05fQ0lfT1RIRVJfTUlTQ19BREpfRE9NLjE5OTAuMDYvMDMvMjAyNi4uLlVTRC5IAQAAAN62AQADAAAAAAClW1PkzXveCHtkWDnOe94IPENJUS5OWVNFOklCTS5JUV9QRU5TSU9OX0JSRUFLRE9XTl9QQ1RfRklfRE9NLjE5OTAuMDYvMDMvMjAyNgEAAADetgEAAwAAAAAApVtT5M173gh7ZFg5znveCD5DSVEuTllTRTpJQk0uSVFfUEVOU0lPTl9ESVNDT1VOVF9SQVRFX0RPTUVTVElDLjE5OTAuMDYvMDMvMjAyNgEAAADetgEAAwAAAAAApVtT5M173ghceFg5znveCElDSVEuTllTRTpJQk0uSVFfUEVOU0lPTl9DSV9PVEhFUl9NSVNDX0FESl9GT1JFSUdOLjE5OTAuMDYvMDMvMjAy</t>
  </si>
  <si>
    <t>Ni4uLlVTRC5IAQAAAN62AQADAAAAAAClW1PkzXveCFx4WDnOe94ITENJUS5OWVNFOklCTS5JUV9QRU5TSU9OX0FTU0VUU19BQ1RVQUxfUkVUVVJOX0ZPUkVJR04uMTk5MC4wNi8wMy8yMDI2Li4uVVNELkgBAAAA3rYBAAMAAAAAAKVbU+TNe94IXHhYOc573ghQQ0lRLk5ZU0U6SUJNLklRX1BFTlNJT05fUVVBUlRfQURETF9DT05UUklCVVRJT05TX0VYUF9ET00uMTk5MC4wNi8wMy8yMDI2Li4uVVNELkgBAAAA3rYBAAMAAAAAAKVbU+TNe94IXHhYOc573ghDQ0lRLk5ZU0U6SUJNLklRX09QRUJfT0JMSUdBVElPTl9DVVJUQUlMX0RPTS4xOTkwLjA2LzAzLzIwMjYuLi5VU0QuSAEAAADetgEAAwAAAAAApVtT5M173ghceFg5znveCENDSVEuTllTRTpJQk0uSVFfUEVOU0lPTl9FU1RfQkVORUZJVF8xWVJfRE9NLjE5OTAuMDYvMDMvMjAyNi4uLlVTRC5IAQAAAN62AQADAAAAAAClW1PkzXveCGGNWDnOe94ISUNJUS5OWVNFOklCTS5JUV9QRU5TSU9OX0FTU0VUU19PVEhFUl9QTEFOX0FESl9ET00uMTk5MC4wNi8wMy8yMDI2Li4uVVNELkgBAAAA3rYBAAMAAAAAAKVbU+TNe94IYY1YOc573ghBQ0lRLk5ZU0U6SUJNLklRX1BFTlNJT05fQVNTRVRTX0ZYX0FESl9ET00uMTk5MC4wNi8wMy8yMDI2Li4uVVNELkgBAAAA3rYBAAMAAAAAAKVbU+TNe94IYY1YOc573ghGQ0lRLk5ZU0U6SUJNLklRX1BFTlNJT05fQU1U</t>
  </si>
  <si>
    <t>X1JFQ09HX05FWFRfRk9SRUlHTi4xOTkwLjA2LzAzLzIwMjYuLi5VU0QuSAEAAADetgEAAwAAAAAApVtT5M173ghhjVg5znveCEJDSVEuTllTRTpJQk0uSVFfUEVOU0lPTl9FWFBfUkVUVVJOX0ZPUkVJR04uMTk5MC4wNi8wMy8yMDI2Li4uVVNELkgBAAAA3rYBAAMAAAAAAKVbU+TNe94IXHhYOc573gg6Q0lRLk5ZU0U6SUJNLklRX09QRUJfTFRfQVNTRVRTX0RPTS4xOTkwLjA2LzAzLzIwMjYuLi5VU0QuSAEAAADetgEAAwAAAAAApVtT5M173gi3oVg5znveCD1DSVEuTllTRTpJQk0uSVFfT1BFQl9CUkVBS0RPV05fRklfRE9NLjE5OTAuMDYvMDMvMjAyNi4uLlVTRC5IAQAAAN62AQADAAAAAAClW1PkzXveCLehWDnOe94INkNJUS5OWVNFOklCTS5JUV9QRU5TSU9OX0NMX0RPTS4xOTkwLjA2LzAzLzIwMjYuLi5VU0QuSAEAAADetgEAAwAAAAAApVtT5M173ghhjVg5znveCEBDSVEuTllTRTpJQk0uSVFfUEVOU0lPTl9QUkVQQUlEX0NPU1RfRE9NLjE5OTAuMDYvMDMvMjAyNi4uLlVTRC5IAQAAAN62AQADAAAAAAClW1PkzXveCGGNWDnOe94IOUNJUS5OWVNFOklCTS5JUV9QRU5TSU9OX0JFTkVGSVRfSU5GT19EQVRFLjE5OTAuMDYvMDMvMjAyNgEAAADetgEAAwAAAAAApVtT5M173givtlg5znveCEJDSVEuTllTRTpJQk0uSVFfT1BFQl9JTlRFUkVTVF9DT1NUX0ZPUkVJR04uMTk5MC4wNi8wMy8yMDI2Li4u</t>
  </si>
  <si>
    <t>VVNELkgBAAAA3rYBAAMAAAAAAKVbU+TNe94It6FYOc573ghGQ0lRLk5ZU0U6SUJNLklRX1BFTlNJT05fT0JMSUdBVElPTl9BQ1FfRk9SRUlHTi4xOTkwLjA2LzAzLzIwMjYuLi5VU0QuSAEAAADetgEAAwAAAAAApVtT5M173gi3oVg5znveCD1DSVEuTllTRTpJQk0uSVFfT1BFQl9QUkVQQUlEX0NPU1RfRE9NLjE5OTAuMDYvMDMvMjAyNi4uLlVTRC5IAQAAAN62AQADAAAAAAClW1PkzXveCLehWDnOe94IQENJUS5OWVNFOklCTS5JUV9PUEVCX1RSQU5TSVRJT05fTkVYVF9ET00uMTk5MC4wNi8wMy8yMDI2Li4uVVNELkgBAAAA3rYBAAMAAAAAAKVbU+TNe94It6FYOc573gg5Q0lRLk5ZU0U6SUJNLklRX09QRUJfQlJFQUtET1dOX1BDVF9SRV9ET00uMTk5MC4wNi8wMy8yMDI2AQAAAN62AQADAAAAAAClW1PkzXveCK+2WDnOe94IPENJUS5OWVNFOklCTS5JUV9PUEVCX0VYUF9SQVRFX1JFVFVSTl9NSU5fRE9NLjE5OTAuMDYvMDMvMjAyNgEAAADetgEAAwAAAAAApVtT5M173givtlg5znveCD9DSVEuTllTRTpJQk0uSVFfT1BFQl9PQkxJR0FUSU9OX0JFR19ET00uMTk5MC4wNi8wMy8yMDI2Li4uVVNELkgBAAAA3rYBAAMAAAAAAKVbU+TNe94Ir7ZYOc573gg8Q0lRLk5ZU0U6SUJNLklRX1BFTlNJT05fQlJFQUtET1dOX1BDVF9SRV9ET00uMTk5MC4wNi8wMy8yMDI2AQAAAN62AQADAAAAAAClW1PkzXveCK+2</t>
  </si>
  <si>
    <t>WDnOe94IQENJUS5OWVNFOklCTS5JUV9QRU5TSU9OX0JSRUFLRE9XTl9QQ1RfRVFfRk9SRUlHTi4xOTkwLjA2LzAzLzIwMjYBAAAA3rYBAAMAAAAAAKVbU+TNe94Ir7ZYOc573ghRQ0lRLk5ZU0U6SUJNLklRX09QRUJfSU5DUkVBU0VfRUZGRUNUX1NFUlZJQ0VfSU5UX0NPU1RfRE9NLjE5OTAuMDYvMDMvMjAyNi4uLlVTRC5IAQAAAN62AQADAAAAAAClW1PkzXveCJHLWDnOe94IQENJUS5OWVNFOklCTS5JUV9QRU5TSU9OX0lOVEFOX0FTU0VUU19ET00uMTk5MC4wNi8wMy8yMDI2Li4uVVNELkgBAAAA3rYBAAMAAAAAAKVbU+TNe94IkctYOc573ghEQ0lRLk5ZU0U6SUJNLklRX1BFTlNJT05fQ0lfTkVUX0FNVF9SRUNPR19ET00uMTk5MC4wNi8wMy8yMDI2Li4uVVNELkgBAAAA3rYBAAMAAAAAAKVbU+TNe94IkctYOc573gg+Q0lRLk5ZU0U6SUJNLklRX1BFTlNJT05fQVNTRVRTX0FDUV9ET00uMTk5MC4wNi8wMy8yMDI2Li4uVVNELkgBAAAA3rYBAAMAAAAAAKVbU+TNe94IkctYOc573ghEQ0lRLk5ZU0U6SUJNLklRX1BFTlNJT05fQlJFQUtET1dOX0ZJX0ZPUkVJR04uMTk5MC4wNi8wMy8yMDI2Li4uVVNELkgBAAAA3rYBAAMAAAAAAKVbU+TNe94Ir7ZYOc573gg/Q0lRLk5ZU0U6SUJNLklRX09QRUJfQUNDVU1fT1RIRVJfQ0lfRE9NLjE5OTAuMDYvMDMvMjAyNi4uLlVTRC5IAQAAAN62AQADAAAAAAClW1Pk</t>
  </si>
  <si>
    <t>zXveCKDfWDnOe94IQ0NJUS5OWVNFOklCTS5JUV9PUEVCX1BCT19SQVRFX0NPTVBfSU5DUkVBU0VfTUlOX0RPTS4xOTkwLjA2LzAzLzIwMjYBAAAA3rYBAAMAAAAAAKVbU+TNe94IoN9YOc573gg7Q0lRLk5ZU0U6SUJNLklRX09QRUJfVE9UQUxfQ09TVF9ET00uMTk5MC4wNi8wMy8yMDI2Li4uVVNELkgBAAAA3rYBAAMAAAAAAKVbU+TNe94IoN9YOc573ghQQ0lRLk5ZU0U6SUJNLklRX1BFTlNJT05fUVVBUlRfRU1QTE9ZRVJfQ09OVFJJQlVUSU9OU19ET00uMTk5MC4wNi8wMy8yMDI2Li4uVVNELkgBAAAA3rYBAAMAAAAAAKVbU+TNe94IoN9YOc573ghDQ0lRLk5ZU0U6SUJNLklRX1BFTlNJT05fRVNUX0JFTkVGSVRfNFlSX0RPTS4xOTkwLjA2LzAzLzIwMjYuLi5VU0QuSAEAAADetgEAAwAAAAAApVtT5M173giRy1g5znveCENDSVEuTllTRTpJQk0uSVFfUEVOU0lPTl9FU1RfQkVORUZJVF8yWVJfRE9NLjE5OTAuMDYvMDMvMjAyNi4uLlVTRC5IAQAAAN62AQADAAAAAAClW1PkzXveCJb2WDnOe94IPENJUS5OWVNFOklCTS5JUV9QRU5TSU9OX0JSRUFLRE9XTl9QQ1RfRVFfRE9NLjE5OTAuMDYvMDMvMjAyNgEAAADetgEAAwAAAAAApVtT5M173giW9lg5znveCERDSVEuTllTRTpJQk0uSVFfUEVOU0lPTl9CUkVBS0RPV05fRVFfRk9SRUlHTi4xOTkwLjA2LzAzLzIwMjYuLi5VU0QuSAEAAADetgEAAwAAAAAA</t>
  </si>
  <si>
    <t>pVtT5M173gig31g5znveCD5DSVEuTllTRTpJQk0uSVFfUEVOU0lPTl9BU1NFVFNfRk9SRUlHTi4xOTkwLjA2LzAzLzIwMjYuLi5VU0QuSAEAAADetgEAAwAAAAAApVtT5M173gig31g5znveCEVDSVEuTllTRTpJQk0uSVFfT1BFQl9BU1NFVFNfQUNUVUFMX1JFVFVSTl9ET00uMTk5MC4wNi8wMy8yMDI2Li4uVVNELkgBAAAA3rYBAAMAAAAAAKVbU+TNe94IoN9YOc573ghAQ0lRLk5ZU0U6SUJNLklRX09QRUJfT0JMSUdBVElPTl9QQUlEX0RPTS4xOTkwLjA2LzAzLzIwMjYuLi5VU0QuSAEAAADetgEAAwAAAAAApVtT5M173giW9lg5znveCEFDSVEuTllTRTpJQk0uSVFfUEVOU0lPTl9DSV9UUkFOU0lUSU9OX0RPTS4xOTkwLjA2LzAzLzIwMjYuLi5VU0QuSAEAAADetgEAAwAAAAAApVtT5M173giW9lg5znveCDlDSVEuTllTRTpJQk0uSVFfUEVOU0lPTl9ESVNDX1JBVEVfTUFYX0RPTS4xOTkwLjA2LzAzLzIwMjYBAAAA3rYBAAMAAAAAAKVbU+TNe94IlvZYOc573ghDQ0lRLk5ZU0U6SUJNLklRX1BFTlNJT05fRVhQX1JFVFVSTl9ET01FU1RJQy4xOTkwLjA2LzAzLzIwMjYuLi5VU0QuSAEAAADetgEAAwAAAAAApVtT5M173giW9lg5znveCE1DSVEuTllTRTpJQk0uSVFfUEVOU0lPTl9PQkxJR0FUSU9OX09USEVSX1BMQU5fQURKX0RPTS4xOTkwLjA2LzAzLzIwMjYuLi5VU0QuSAEAAADetgEAAwAAAAAApVtT</t>
  </si>
  <si>
    <t>5M173giW9lg5znveCElDSVEuTllTRTpJQk0uSVFfUEVOU0lPTl9PQkxJR0FUSU9OX09USEVSX0NPU1RfRE9NLjE5OTAuMDYvMDMvMjAyNi4uLlVTRC5IAQAAAN62AQADAAAAAAClW1PkzXveCKcKWTnOe94INENJUS5OWVNFOklCTS5JUV9PUEVCX0xUX0xJQUIuMTk5MC4wNi8wMy8yMDI2Li4uVVNELkgBAAAA3rYBAAMAAAAAAKVbU+TNe94IpwpZOc573gg7Q0lRLk5ZU0U6SUJNLklRX09QRUJfQUNDVU1fT1RIRVJfQ0kuMTk5MC4wNi8wMy8yMDI2Li4uVVNELkgBAAAA3rYBAAMAAAAAAKVbU+TNe94IpwpZOc573ghFQ0lRLk5ZU0U6SUJNLklRX1BFTlNJT05fSU5URVJFU1RfQ09TVF9GT1JFSUdOLjE5OTAuMDYvMDMvMjAyNi4uLlVTRC5IAQAAAN62AQADAAAAAAClW1PkzXveCKcKWTnOe94IPUNJUS5OWVNFOklCTS5JUV9PUEVCX0JSRUFLRE9XTl9QQ1RfRklfRk9SRUlHTi4xOTkwLjA2LzAzLzIwMjYBAAAA3rYBAAMAAAAAAKVbU+TNe94IpwpZOc573ghDQ0lRLk5ZU0U6SUJNLklRX1BFTlNJT05fRVhQX1JBVEVfUkVUVVJOX01BWF9GT1JFSUdOLjE5OTAuMDYvMDMvMjAyNgEAAADetgEAAwAAAAAApVtT5M173ghSH1k5znveCD1DSVEuTllTRTpJQk0uSVFfUEVOU0lPTl9ESVNDX1JBVEVfTUFYX0ZPUkVJR04uMTk5MC4wNi8wMy8yMDI2AQAAAN62AQADAAAAAAClW1PkzXveCFIfWTnOe94IRENJUS5OWVNF</t>
  </si>
  <si>
    <t>OklCTS5JUV9PUEVCX0RFQ1JFQVNFX0VGRkVDVF9QQk9fRE9NLjE5OTAuMDYvMDMvMjAyNi4uLlVTRC5IAQAAAN62AQADAAAAAAClW1PkzXveCFIfWTnOe94IQkNJUS5OWVNFOklCTS5JUV9PUEVCX0NJX09USEVSX01JU0NfQURKX0RPTS4xOTkwLjA2LzAzLzIwMjYuLi5VU0QuSAEAAADetgEAAwAAAAAApVtT5M173ghSH1k5znveCEFDSVEuTllTRTpJQk0uSVFfUEVOU0lPTl9MVF9BU1NFVFNfRk9SRUlHTi4xOTkwLjA2LzAzLzIwMjYuLi5VU0QuSAEAAADetgEAAwAAAAAApVtT5M173ginClk5znveCEpDSVEuTllTRTpJQk0uSVFfUEVOU0lPTl9QQk9fUkFURV9DT01QX0lOQ1JFQVNFX01JTl9GT1JFSUdOLjE5OTAuMDYvMDMvMjAyNgEAAADetgEAAwAAAAAApVtT5M173gj6M1k5znveCE5DSVEuTllTRTpJQk0uSVFfUEVOU0lPTl9BQ0NVTVVMQVRFRF9PQkxJR0FUSU9OX0ZPUkVJR04uMTk5MC4wNi8wMy8yMDI2Li4uVVNELkgBAAAA3rYBAAMAAAAAAKVbU+TNe94I+jNZOc573ghJQ0lRLk5ZU0U6SUJNLklRX1BFTlNJT05fT0JMSUdBVElPTl9GWF9BREpfRk9SRUlHTi4xOTkwLjA2LzAzLzIwMjYuLi5VU0QuSAEAAADetgEAAwAAAAAApVtT5M173gj6M1k5znveCEBDSVEuTllTRTpJQk0uSVFfT1BFQl9FU1RfQkVORUZJVF81WVJfRE9NLjE5OTAuMDYvMDMvMjAyNi4uLlVTRC5IAQAAAN62AQADAAAAAACl</t>
  </si>
  <si>
    <t>W1PkzXveCFIfWTnOe94ITENJUS5OWVNFOklCTS5JUV9QRU5TSU9OX09CTElHQVRJT05fUFJPSkVDVEVEX0ZPUkVJR04uMTk5MC4wNi8wMy8yMDI2Li4uVVNELkgBAAAA3rYBAAMAAAAAAKVbU+TNe94IUh9ZOc573ghRQ0lRLk5ZU0U6SUJNLklRX09QRUJfREVDUkVBU0VfRUZGRUNUX1NFUlZJQ0VfSU5UX0NPU1RfRE9NLjE5OTAuMDYvMDMvMjAyNi4uLlVTRC5IAQAAAN62AQADAAAAAAClW1PkzXveCIRIWTnOe94IPUNJUS5OWVNFOklCTS5JUV9PUEVCX0lOVEFOX0FTU0VUU19ET00uMTk5MC4wNi8wMy8yMDI2Li4uVVNELkgBAAAA3rYBAAMAAAAAAKVbU+TNe94IhEhZOc573gg9Q0lRLk5ZU0U6SUJNLklRX09QRUJfU0VSVklDRV9DT1NUX0RPTS4xOTkwLjA2LzAzLzIwMjYuLi5VU0QuSAEAAADetgEAAwAAAAAApVtT5M173giESFk5znveCERDSVEuTllTRTpJQk0uSVFfUEVOU0lPTl9DSV9QUklPUl9TRVJWSUNFX0RPTS4xOTkwLjA2LzAzLzIwMjYuLi5VU0QuSAEAAADetgEAAwAAAAAApVtT5M173giESFk5znveCDdDSVEuTllTRTpJQk0uSVFfT1BFQl9BU1NFVFNfRE9NLjE5OTAuMDYvMDMvMjAyNi4uLlVTRC5IAQAAAN62AQADAAAAAAClW1PkzXveCPozWTnOe94IRkNJUS5OWVNFOklCTS5JUV9QRU5TSU9OX0VTVF9CRU5FRklUX0FGVEVSNV9ET00uMTk5MC4wNi8wMy8yMDI2Li4uVVNELkgBAAAA3rYB</t>
  </si>
  <si>
    <t>AAMAAAAAAKVbU+TNe94INV1ZOc573ghKQ0lRLk5ZU0U6SUJNLklRX1BFTlNJT05fUFJJT1JfU0VSVklDRV9ORVhUX0ZPUkVJR04uMTk5MC4wNi8wMy8yMDI2Li4uVVNELkgBAAAA3rYBAAMAAAAAAKVbU+TNe94INV1ZOc573gg9Q0lRLk5ZU0U6SUJNLklRX1BFTlNJT05fRElTQ19SQVRFX01JTl9GT1JFSUdOLjE5OTAuMDYvMDMvMjAyNgEAAADetgEAAwAAAAAAKYNT5M173gg1XVk5znveCEdDSVEuTllTRTpJQk0uSVFfUEVOU0lPTl9PQkxJR0FUSU9OX1BBSURfRk9SRUlHTi4xOTkwLjA2LzAzLzIwMjYuLi5VU0QuSAEAAADetgEAAwAAAAAAKYNT5M173gg1XVk5znveCEZDSVEuTllTRTpJQk0uSVFfUEVOU0lPTl9PQkxJR0FUSU9OX0JFR19GT1JFSUdOLjE5OTAuMDYvMDMvMjAyNi4uLlVTRC5IAQAAAN62AQADAAAAAAApg1PkzXveCIRIWTnOe94IPUNJUS5OWVNFOklCTS5JUV9QRU5TSU9OX09USEVSX0FESl9ET00uMTk5MC4wNi8wMy8yMDI2Li4uVVNELkgBAAAA3rYBAAMAAAAAACmDU+TNe94IkXFZOc573ghIQ0lRLk5ZU0U6SUJNLklRX1BFTlNJT05fUEJPX0FTU1VNRURfUkFURV9SRVRfTUFYX0ZPUkVJR04uMTk5MC4wNi8wMy8yMDI2AQAAAN62AQADAAAAAAApg1PkzXveCJFxWTnOe94ITUNJUS5OWVNFOklCTS5JUV9QRU5TSU9OX09CTElHQVRJT05fT1RIRVJfQ09TVF9GT1JFSUdOLjE5OTAuMDYv</t>
  </si>
  <si>
    <t>MDMvMjAyNi4uLlVTRC5IAQAAAN62AQADAAAAAAApg1PkzXveCJFxWTnOe94IQkNJUS5OWVNFOklCTS5JUV9PUEVCX09CTElHQVRJT05fRlhfQURKX0RPTS4xOTkwLjA2LzAzLzIwMjYuLi5VU0QuSAEAAADetgEAAwAAAAAAKYNT5M173gg1XVk5znveCERDSVEuTllTRTpJQk0uSVFfUEVOU0lPTl9QQk9fQVNTVU1FRF9SQVRFX1JFVF9NSU5fRE9NLjE5OTAuMDYvMDMvMjAyNgEAAADetgEAAwAAAAAAKYNT5M173gg1XVk5znveCEBDSVEuTllTRTpJQk0uSVFfUEVOU0lPTl9CUkVBS0RPV05fRklfRE9NLjE5OTAuMDYvMDMvMjAyNi4uLlVTRC5IAQAAAN62AQADAAAAAAApg1PkzXveCKuFWTnOe94IQkNJUS5OWVNFOklCTS5JUV9QRU5TSU9OX1JBVEVfQ09NUF9JTkNSRUFTRV9NQVhfRE9NLjE5OTAuMDYvMDMvMjAyNgEAAADetgEAAwAAAAAAKYNT5M173girhVk5znveCFFDSVEuTllTRTpJQk0uSVFfUEVOU0lPTl9BU1NFVFNfUEFSVElDSVBfQ09OVFJJQlVUSU9OU19ET00uMTk5MC4wNi8wMy8yMDI2Li4uVVNELkgBAAAA3rYBAAMAAAAAACmDU+TNe94IkXFZOc573gg+Q0lRLk5ZU0U6SUJNLklRX1BFTlNJT05fQVNTRVRTX0JFR19ET00uMTk5MC4wNi8wMy8yMDI2Li4uVVNELkgBAAAA3rYBAAMAAAAAACmDU+TNe94IkXFZOc573ghGQ0lRLk5ZU0U6SUJNLklRX1BFTlNJT05fQVNTRVRTX0NVUlRBSUxfRk9S</t>
  </si>
  <si>
    <t>RUlHTi4xOTkwLjA2LzAzLzIwMjYuLi5VU0QuSAEAAADetgEAAwAAAAAAKYNT5M173giRcVk5znveCDpDSVEuTllTRTpJQk0uSVFfT1BFQl9CRU5FRklUX0lORk9fREFURV9ET00uMTk5MC4wNi8wMy8yMDI2AQAAAN62AQADAAAAAAApg1PkzXveCHCaWTnOe94IQ0NJUS5OWVNFOklCTS5JUV9PUEVCX1BSSU9SX1NFUlZJQ0VfTkVYVF9ET00uMTk5MC4wNi8wMy8yMDI2Li4uVVNELkgBAAAA3rYBAAMAAAAAACmDU+TNe94Iq4VZOc573ghSQ0lRLk5ZU0U6SUJNLklRX09QRUJfT0JMSUdBVElPTl9FTVBMT1lFRV9DT05UUklCVVRJT05TX0RPTS4xOTkwLjA2LzAzLzIwMjYuLi5VU0QuSAEAAADetgEAAwAAAAAAKYNT5M173girhVk5znveCExDSVEuTllTRTpJQk0uSVFfUEVOU0lPTl9FU1RfQ09OVFJJQlVUSU9OU19ORVhUWVJfRE9NLjE5OTAuMDYvMDMvMjAyNi4uLlVTRC5IAQAAAN62AQADAAAAAAApg1PkzXveCKuFWTnOe94IQ0NJUS5OWVNFOklCTS5JUV9QRU5TSU9OX1RSQU5TSVRJT05fTkVYVF9ET00uMTk5MC4wNi8wMy8yMDI2Li4uVVNELkgBAAAA3rYBAAMAAAAAACmDU+TNe94IcJpZOc573ghAQ0lRLk5ZU0U6SUJNLklRX1BFTlNJT05fQlJFQUtET1dOX1BDVF9GSV9GT1JFSUdOLjE5OTAuMDYvMDMvMjAyNgEAAADetgEAAwAAAAAAKYNT5M173ghwmlk5znveCFVDSVEuTllTRTpJQk0uSVFfUEVOU0lP</t>
  </si>
  <si>
    <t>Tl9BU1NFVFNfRU1QTE9ZRVJfQ09OVFJJQlVUSU9OU19GT1JFSUdOLjE5OTAuMDYvMDMvMjAyNi4uLlVTRC5IAQAAAN62AQADAAAAAAApg1PkzXveCHCaWTnOe94IPUNJUS5OWVNFOklCTS5JUV9PUEVCX0JSRUFLRE9XTl9SRV9ET00uMTk5MC4wNi8wMy8yMDI2Li4uVVNELkgBAAAA3rYBAAMAAAAAACmDU+TNe94IcJpZOc573ghWQ0lRLk5ZU0U6SUJNLklRX1BFTlNJT05fT0JMSUdBVElPTl9TVVBQTEVfUExBTlNfVE9UQUxfQ09TVF9ET00uMTk5MC4wNi8wMy8yMDI2Li4uVVNELkgBAAAA3rYBAAMAAAAAACmDU+TNe94IcJpZOc573ghAQ0lRLk5ZU0U6SUJNLklRX09QRUJfSU5DUkVBU0VfRUZGRUNUX1BCTy4xOTkwLjA2LzAzLzIwMjYuLi5VU0QuSAEAAADetgEAAwAAAAAAKYNT5M173gh0rlk5znveCD1DSVEuTllTRTpJQk0uSVFfT1BFQl9DSV9ORVRfQU1UX1JFQ09HLjE5OTAuMDYvMDMvMjAyNi4uLlVTRC5IAQAAAN62AQADAAAAAAApg1PkzXveCHSuWTnOe94IOENJUS5OWVNFOklCTS5JUV9PUEVCX0VYUF9SQVRFX1JFVFVSTl9NSU4uMTk5MC4wNi8wMy8yMDI2AQAAAN62AQADAAAAAAApg1PkzXveCHSuWTnOe94ISkNJUS5OWVNFOklCTS5JUV9PUEVCX0FTU0VUU19QQVJUSUNJUF9DT05UUklCVVRJT05TLjE5OTAuMDYvMDMvMjAyNi4uLlVTRC5IAQAAAN62AQADAAAAAAApg1PkzXveCHSuWTnOe94I</t>
  </si>
  <si>
    <t>QUNJUS5OWVNFOklCTS5JUV9QRU5TSU9OX1JBVEVfQ09NUF9HUk9XVEhfRE9NRVNUSUMuMTk5MC4wNi8wMy8yMDI2AQAAAN62AQADAAAAAAApg1PkzXveCHSuWTnOe94IQ0NJUS5OWVNFOklCTS5JUV9QRU5TSU9OX09CTElHQVRJT05fUEFJRF9ET00uMTk5MC4wNi8wMy8yMDI2Li4uVVNELkgBAAAA3rYBAAMAAAAAACmDU+TNe94IgMNZOc573gg/Q0lRLk5ZU0U6SUJNLklRX09QRUJfSEVBTFRIX0NPU1RfVFJFTkRfVUxUSU1BVEUuMTk5MC4wNi8wMy8yMDI2AQAAAN62AQADAAAAAAApg1PkzXveCIDDWTnOe94IQENJUS5OWVNFOklCTS5JUV9PUEVCX0RFQ1JFQVNFX0VGRkVDVF9QQk8uMTk5MC4wNi8wMy8yMDI2Li4uVVNELkgBAAAA3rYBAAMAAAAAACmDU+TNe94IgMNZOc573gg8Q0lRLk5ZU0U6SUJNLklRX09QRUJfRVNUX0JFTkVGSVRfMllSLjE5OTAuMDYvMDMvMjAyNi4uLlVTRC5IAQAAAN62AQADAAAAAAApg1PkzXveCHSuWTnOe94IOUNJUS5OWVNFOklCTS5JUV9PUEVCX0JSRUFLRE9XTl9FUS4xOTkwLjA2LzAzLzIwMjYuLi5VU0QuSAEAAADetgEAAwAAAAAAKYNT5M173gh0rlk5znveCERDSVEuTllTRTpJQk0uSVFfT1BFQl9PQkxJR0FUSU9OX1NFUlZJQ0VfQ09TVC4xOTkwLjA2LzAzLzIwMjYuLi5VU0QuSAEAAADetgEAAwAAAAAAKYNT5M173giv2Fk5znveCEhDSVEuTllTRTpJQk0uSVFfUEVO</t>
  </si>
  <si>
    <t>U0lPTl9FU1RfQ09OVFJJQlVUSU9OU19ORVhUWVIuMTk5MC4wNi8wMy8yMDI2Li4uVVNELkgBAAAA3rYBAAMAAAAAACmDU+TNe94Ir9hZOc573ghCQ0lRLk5ZU0U6SUJNLklRX1BFTlNJT05fRVNUX0JFTkVGSVRfQUZURVI1LjE5OTAuMDYvMDMvMjAyNi4uLlVTRC5IAQAAAN62AQADAAAAAAApg1PkzXveCIDDWTnOe94IQkNJUS5OWVNFOklCTS5JUV9QRU5TSU9OX1BSSU9SX1NFUlZJQ0VfTkVYVC4xOTkwLjA2LzAzLzIwMjYuLi5VU0QuSAEAAADetgEAAwAAAAAAKYNT5M173giAw1k5znveCD1DSVEuTllTRTpJQk0uSVFfUEVOU0lPTl9DSV9UUkFOU0lUSU9OLjE5OTAuMDYvMDMvMjAyNi4uLlVTRC5IAQAAAN62AQADAAAAAAApg1PkzXveCIDDWTnOe94IPkNJUS5OWVNFOklCTS5JUV9QRU5TSU9OX1JBVEVfQ09NUF9JTkNSRUFTRV9NQVguMTk5MC4wNi8wMy8yMDI2AQAAAN62AQADAAAAAAApg1PkzXveCK/YWTnOe94IOkNJUS5OWVNFOklCTS5JUV9QRU5TSU9OX0FTU0VUU19CRUcuMTk5MC4wNi8wMy8yMDI2Li4uVVNELkgBAAAA3rYBAAMAAAAAACmDU+TNe94Ir9hZOc573gg5Q0lRLk5ZU0U6SUJNLklRX1BFTlNJT05fVE9UQUxfRVhQLjE5OTAuMDYvMDMvMjAyNi4uLlVTRC5IAQAAAN62AQADAAAAAAApg1PkzXveCK/YWTnOe94ILkNJUS5OWVNFOklCTS5JUV9SRVNUQVRFTUVOVF9CUy4xOTkwLjA2LzAz</t>
  </si>
  <si>
    <t>LzIwMjYBAAAA3rYBAAMAAAACTkMAKYNT5M173giv2Fk5znveCDdDSVEuTllTRTpJQk0uSVFfSU5URVJDT01QQU5ZX0NMLjE5OTAuMDYvMDMvMjAyNi4uLlVTRC5IAQAAAN62AQADAAAAAAApg1PkzXveCK/YWTnOe94ISENJUS5OWVNFOklCTS5JUV9QRU5TSU9OX0FTU0VUU19CRU5FRklUU19QQUlEX0RPTS4xOTkwLjA2LzAzLzIwMjYuLi5VU0QuSAEAAADetgEAAwAAAAAAKYNT5M173gi87Vk5znveCEhDSVEuTllTRTpJQk0uSVFfUEVOU0lPTl9PQkxJR0FUSU9OX1BST0pFQ1RFRF9ET00uMTk5MC4wNi8wMy8yMDI2Li4uVVNELkgBAAAA3rYBAAMAAAAAACmDU+TNe94IvO1ZOc573ghCQ0lRLk5ZU0U6SUJNLklRX1BFTlNJT05fT0JMSUdBVElPTl9CRUdfRE9NLjE5OTAuMDYvMDMvMjAyNi4uLlVTRC5IAQAAAN62AQADAAAAAAApg1PkzXveCLztWTnOe94IP0NJUS5OWVNFOklCTS5JUV9PUEVCX1BCT19SQVRFX0NPTVBfSU5DUkVBU0VfTUFYLjE5OTAuMDYvMDMvMjAyNgEAAADetgEAAwAAAAAAKYNT5M173gi87Vk5znveCDpDSVEuTllTRTpJQk0uSVFfT1BFQl9DSV9UUkFOU0lUSU9OLjE5OTAuMDYvMDMvMjAyNi4uLlVTRC5IAQAAAN62AQADAAAAAAApg1PkzXveCLztWTnOe94IO0NJUS5OWVNFOklCTS5JUV9PUEVCX09CTElHQVRJT05fQUNRLjE5OTAuMDYvMDMvMjAyNi4uLlVTRC5IAQAAAN62AQADAAAA</t>
  </si>
  <si>
    <t>AAApg1PkzXveCIgCWjnOe94IPENJUS5OWVNFOklCTS5JUV9QRU5TSU9OX0FDVF9ORVhUX0RPTS4xOTkwLjA2LzAzLzIwMjYuLi5VU0QuSAEAAADetgEAAwAAAAAAKYNT5M173giIAlo5znveCEJDSVEuTllTRTpJQk0uSVFfUEVOU0lPTl9SQVRFX0NPTVBfSU5DUkVBU0VfTUlOX0RPTS4xOTkwLjA2LzAzLzIwMjYBAAAA3rYBAAMAAAAAACmDU+TNe94IiAJaOc573ghIQ0lRLk5ZU0U6SUJNLklRX1BFTlNJT05fQVNTRVRTX0FDVFVBTF9SRVRVUk5fRE9NLjE5OTAuMDYvMDMvMjAyNi4uLlVTRC5IAQAAAN62AQADAAAAAAApg1PkzXveCIgCWjnOe94IO0NJUS5OWVNFOklCTS5JUV9PUEVCX1JBVEVfQ09NUF9JTkNSRUFTRV9NSU4uMTk5MC4wNi8wMy8yMDI2AQAAAN62AQADAAAAAAApg1PkzXveCLztWTnOe94IQUNJUS5OWVNFOklCTS5JUV9PUEVCX0FTU0VUU19BQ1RVQUxfUkVUVVJOLjE5OTAuMDYvMDMvMjAyNi4uLlVTRC5IAQAAAN62AQADAAAAAAApg1PkzXveCFcXWjnOe94IN0NJUS5OWVNFOklCTS5JUV9QT1NUX1JFVElSRV9FWFAuMTk5MC4wNi8wMy8yMDI2Li4uVVNELkgBAAAA3rYBAAMAAAAAACmDU+TNe94IVxdaOc573ghAQ0lRLk5ZU0U6SUJNLklRX1BFTlNJT05fQlJFQUtET1dOX0VRX0RPTS4xOTkwLjA2LzAzLzIwMjYuLi5VU0QuSAEAAADetgEAAwAAAAAAKYNT5M173giIAlo5znveCDVDSVEu</t>
  </si>
  <si>
    <t>TllTRTpJQk0uSVFfT1BFQl9CUkVBS0RPV05fUENUX1JFLjE5OTAuMDYvMDMvMjAyNgEAAADetgEAAwAAAAAAKYNT5M173giIAlo5znveCEZDSVEuTllTRTpJQk0uSVFfUEVOU0lPTl9QQk9fUkFURV9DT01QX0lOQ1JFQVNFX01JTl9ET00uMTk5MC4wNi8wMy8yMDI2AQAAAN62AQADAAAAAAApg1PkzXveCIgCWjnOe94IQkNJUS5OWVNFOklCTS5JUV9QRU5TSU9OX0FTU0VUU19DVVJUQUlMX0RPTS4xOTkwLjA2LzAzLzIwMjYuLi5VU0QuSAEAAADetgEAAwAAAAAAKYNT5M173ghHK1o5znveCEBDSVEuTllTRTpJQk0uSVFfUEVOU0lPTl9TRVJWSUNFX0NPU1RfRE9NLjE5OTAuMDYvMDMvMjAyNi4uLlVTRC5IAQAAAN62AQADAAAAAAApg1PkzXveCFcXWjnOe94INkNJUS5OWVNFOklCTS5JUV9PUEVCX09USEVSX0FESi4xOTkwLjA2LzAzLzIwMjYuLi5VU0QuSAEAAADetgEAAwAAAAAAKYNT5M173ghXF1o5znveCDRDSVEuTllTRTpJQk0uSVFfQVVNX09VVEZMT1dTLjE5OTEuMDYvMDMvMjAyNi4uLlVTRC5IAQAAAN62AQADAAAAAACYR1PkzXveCBehRznOe94IMkNJUS5OWVNFOklCTS5JUV9PUEVCX09USEVSLjE5OTAuMDYvMDMvMjAyNi4uLlVTRC5IAQAAAN62AQADAAAAAAApg1PkzXveCFcXWjnOe94IL0NJUS5OWVNFOklCTS5JUV9PUEVCX0NMLjE5OTAuMDYvMDMvMjAyNi4uLlVTRC5IAQAAAN62AQADAAAA</t>
  </si>
  <si>
    <t>AAApg1PkzXveCFcXWjnOe94IP0NJUS5OWVNFOklCTS5JUV9PUEVCX1BSSU9SX1NFUlZJQ0VfTkVYVC4xOTkwLjA2LzAzLzIwMjYuLi5VU0QuSAEAAADetgEAAwAAAAAAKYNT5M173ghHK1o5znveCEFDSVEuTllTRTpJQk0uSVFfT1BFQl9BU1NFVFNfQkVORUZJVFNfUEFJRC4xOTkwLjA2LzAzLzIwMjYuLi5VU0QuSAEAAADetgEAAwAAAAAAKYNT5M173ghHK1o5znveCD9DSVEuTllTRTpJQk0uSVFfUEVOU0lPTl9ORVRfQVNTRVRfUkVDT0cuMTk5MC4wNi8wMy8yMDI2Li4uVVNELkgBAAAA3rYBAAMAAAAAACmDU+TNe94IRytaOc573gg/Q0lRLk5ZU0U6SUJNLklRX1BFTlNJT05fRVNUX0JFTkVGSVRfNFlSLjE5OTAuMDYvMDMvMjAyNi4uLlVTRC5IAQAAAN62AQADAAAAAAApg1PkzXveCEcrWjnOe94IQUNJUS5OWVNFOklCTS5JUV9QRU5TSU9OX0NJX09USEVSX01JU0NfQURKLjE5OTAuMDYvMDMvMjAyNi4uLlVTRC5IAQAAAN62AQADAAAAAAApg1PkzXveCEcrWjnOe94IO0NJUS5OWVNFOklCTS5JUV9QRU5TSU9OX0VYUF9SQVRFX1JFVFVSTl9NSU4uMTk5MC4wNi8wMy8yMDI2AQAAAN62AQADAAAAAAApg1PkzXveCEcrWjnOe94INUNJUS5OWVNFOklCTS5JUV9QRU5TSU9OX0RJU0NfUkFURV9NQVguMTk5MC4wNi8wMy8yMDI2AQAAAN62AQADAAAAAAApg1PkzXveCEcrWjnOe94IT0NJUS5OWVNFOklCTS5J</t>
  </si>
  <si>
    <t>UV9PUEVCX09CTElHQVRJT05fQUNUVUFSSUFMX0dBSU5fTE9TU19ET00uMTk5MC4wNi8wMy8yMDI2Li4uVVNELkgBAAAA3rYBAAMAAAAAACmDU+TNe94IRytaOc573gg/Q0lRLk5ZU0U6SUJNLklRX1BFTlNJT05fRVhQX1JBVEVfUkVUVVJOX01BWF9ET00uMTk5MC4wNi8wMy8yMDI2AQAAAN62AQADAAAAAAApg1PkzXveCEcrWjnOe94IQkNJUS5OWVNFOklCTS5JUV9QRU5TSU9OX09CTElHQVRJT05fUk9BX0RPTS4xOTkwLjA2LzAzLzIwMjYuLi5VU0QuSAEAAADetgEAAwAAAAAAKYNT5M173ghHK1o5znveCDxDSVEuTllTRTpJQk0uSVFfT1BFQl9FU1RfQkVORUZJVF8zWVIuMTk5MC4wNi8wMy8yMDI2Li4uVVNELkgBAAAA3rYBAAMAAAAAACmDU+TNe94IpFJaOc573ggyQ0lRLk5ZU0U6SUJNLklRX09QRUJfRElTQ19SQVRFX01JTi4xOTkwLjA2LzAzLzIwMjYBAAAA3rYBAAMAAAAAACmDU+TNe94IpFJaOc573gg3Q0lRLk5ZU0U6SUJNLklRX09QRUJfVE9UQUxfQ09TVC4xOTkwLjA2LzAzLzIwMjYuLi5VU0QuSAEAAADetgEAAwAAAAAAKYNT5M173gikUlo5znveCENDSVEuTllTRTpJQk0uSVFfUEVOU0lPTl9ORVRfQVNTRVRfUkVDT0dfRE9NLjE5OTAuMDYvMDMvMjAyNi4uLlVTRC5IAQAAAN62AQADAAAAAAApg1PkzXveCKRSWjnOe94ITUNJUS5OWVNFOklCTS5JUV9PUEVCX0lOQ1JFQVNFX0VGRkVDVF9T</t>
  </si>
  <si>
    <t>RVJWSUNFX0lOVF9DT1NULjE5OTAuMDYvMDMvMjAyNi4uLlVTRC5IAQAAAN62AQADAAAAAAApg1PkzXveCEcrWjnOe94IPkNJUS5OWVNFOklCTS5JUV9PUEVCX0NJX09USEVSX01JU0NfQURKLjE5OTAuMDYvMDMvMjAyNi4uLlVTRC5IAQAAAN62AQADAAAAAAApg1PkzXveCKRSWjnOe94INUNJUS5OWVNFOklCTS5JUV9PUEVCX0JSRUFLRE9XTl9QQ1RfRVEuMTk5MC4wNi8wMy8yMDI2AQAAAN62AQADAAAAAAApg1PkzXveCKRSWjnOe94ITkNJUS5OWVNFOklCTS5JUV9PUEVCX09CTElHQVRJT05fRU1QTE9ZRUVfQ09OVFJJQlVUSU9OUy4xOTkwLjA2LzAzLzIwMjYuLi5VU0QuSAEAAADetgEAAwAAAAAAKYNT5M173gikUlo5znveCDlDSVEuTllTRTpJQk0uSVFfUEVOU0lPTl9MVF9BU1NFVFMuMTk5MC4wNi8wMy8yMDI2Li4uVVNELkgBAAAA3rYBAAMAAAAAACmDU+TNe94IpFJaOc573ghAQ0lRLk5ZU0U6SUJNLklRX1BFTlNJT05fUEJPX0FTU1VNRURfUkFURV9SRVRfTUFYLjE5OTAuMDYvMDMvMjAyNgEAAADetgEAAwAAAAAAKYNT5M173gikUlo5znveCD9DSVEuTllTRTpJQk0uSVFfUEVOU0lPTl9UUkFOU0lUSU9OX05FWFQuMTk5MC4wNi8wMy8yMDI2Li4uVVNELkgBAAAA3rYBAAMAAAAAACmDU+TNe94Is3laOc573gg4Q0lRLk5ZU0U6SUJNLklRX1BFTlNJT05fQlJFQUtET1dOX1BDVF9SRS4xOTkwLjA2</t>
  </si>
  <si>
    <t>LzAzLzIwMjYBAAAA3rYBAAMAAAAAACmDU+TNe94Is3laOc573gg9Q0lRLk5ZU0U6SUJNLklRX1BFTlNJT05fQVNTRVRTX0ZYX0FESi4xOTkwLjA2LzAzLzIwMjYuLi5VU0QuSAEAAADetgEAAwAAAAAAKYNT5M173gikUlo5znveCE5DSVEuTllTRTpJQk0uSVFfUEVOU0lPTl9PQkxJR0FUSU9OX0FDVFVBUklBTF9HQUlOX0xPU1MuMTk5MC4wNi8wMy8yMDI2Li4uVVNELkgBAAAA3rYBAAMAAAAAACmDU+TNe94IpFJaOc573ggnQ0lRLk5ZU0U6SUJNLklRX0dBQVBfQlMuMTk5MC4wNi8wMy8yMDI2AQAAAN62AQADAAAAB1VTIEdBQVAAKYNT5M173gizeVo5znveCDZDSVEuTllTRTpJQk0uSVFfQUNDVU1fQU1PUlRfR1cuMTk5MC4wNi8wMy8yMDI2Li4uVVNELkgBAAAA3rYBAAMAAAAAACmDU+TNe94Is3laOc573gg+Q0lRLk5ZU0U6SUJNLklRX09QRUJfSU5URVJFU1RfQ09TVF9ET00uMTk5MC4wNi8wMy8yMDI2Li4uVVNELkgBAAAA3rYBAAMAAAAAACmDU+TNe94Is3laOc573gg8Q0lRLk5ZU0U6SUJNLklRX09QRUJfRVNUX0JFTkVGSVRfMVlSLjE5OTAuMDYvMDMvMjAyNi4uLlVTRC5IAQAAAN62AQADAAAAAAApg1PkzXveCLN5WjnOe94ISkNJUS5OWVNFOklCTS5JUV9PUEVCX0FTU0VUU19FTVBMT1lFUl9DT05UUklCVVRJT05TLjE5OTAuMDYvMDMvMjAyNi4uLlVTRC5IAQAAAN62AQADAAAAAAApg1PkzXve</t>
  </si>
  <si>
    <t>CLN5WjnOe94ISUNJUS5OWVNFOklCTS5JUV9PUEVCX09CTElHQVRJT05fSU5URVJFU1RfQ09TVF9ET00uMTk5MC4wNi8wMy8yMDI2Li4uVVNELkgBAAAA3rYBAAMAAAAAACmDU+TNe94Is3laOc573ghEQ0lRLk5ZU0U6SUJNLklRX1BFTlNJT05fUEJPX0FTU1VNRURfUkFURV9SRVRfTUFYX0RPTS4xOTkwLjA2LzAzLzIwMjYBAAAA3rYBAAMAAAAAACmDU+TNe94Is3laOc573gg/Q0lRLk5ZU0U6SUJNLklRX09QRUJfUEJPX1JBVEVfQ09NUF9JTkNSRUFTRV9NSU4uMTk5MC4wNi8wMy8yMDI2AQAAAN62AQADAAAAAAApg1PkzXveCLN5WjnOe94IOENJUS5OWVNFOklCTS5JUV9PUEVCX0JSRUFLRE9XTl9QQ1RfT1RIRVIuMTk5MC4wNi8wMy8yMDI2AQAAAN62AQADAAAAAAApg1PkzXveCLN5WjnOe94IQkNJUS5OWVNFOklCTS5JUV9PUEVCX0FTU0VUU19PVEhFUl9QTEFOX0FESi4xOTkwLjA2LzAzLzIwMjYuLi5VU0QuSAEAAADetgEAAwAAAAAAKYNT5M173gizeVo5znveCD5DSVEuTllTRTpJQk0uSVFfT1BFQl9PQkxJR0FUSU9OX0ZYX0FESi4xOTkwLjA2LzAzLzIwMjYuLi5VU0QuSAEAAADetgEAAwAAAAAAKYNT5M173gjBoFo5znveCDdDSVEuTllTRTpJQk0uSVFfT1BFQl9FWFBfUkVUVVJOLjE5OTAuMDYvMDMvMjAyNi4uLlVTRC5IAQAAAN62AQADAAAAAAApg1PkzXveCMGgWjnOe94IN0NJUS5OWVNFOklC</t>
  </si>
  <si>
    <t>TS5JUV9QRU5TSU9OX1VWX0xJQUIuMTk5MC4wNi8wMy8yMDI2Li4uVVNELkgBAAAA3rYBAAMAAAAAACmDU+TNe94IwaBaOc573gg9Q0lRLk5ZU0U6SUJNLklRX1BFTlNJT05fVU5SRUNPR19QUklPUi4xOTkwLjA2LzAzLzIwMjYuLi5VU0QuSAEAAADetgEAAwAAAAAAKYNT5M173gjBoFo5znveCD9DSVEuTllTRTpJQk0uSVFfUEVOU0lPTl9FU1RfQkVORUZJVF8yWVIuMTk5MC4wNi8wMy8yMDI2Li4uVVNELkgBAAAA3rYBAAMAAAAAACmDU+TNe94IwaBaOc573ghAQ0lRLk5ZU0U6SUJNLklRX1BFTlNJT05fQ0lfUFJJT1JfU0VSVklDRS4xOTkwLjA2LzAzLzIwMjYuLi5VU0QuSAEAAADetgEAAwAAAAAAKYNT5M173gjBoFo5znveCD5DSVEuTllTRTpJQk0uSVFfUEVOU0lPTl9SQVRFX0NPTVBfSU5DUkVBU0VfTUlOLjE5OTAuMDYvMDMvMjAyNgEAAADetgEAAwAAAAAAKYNT5M173gjBoFo5znveCEZDSVEuTllTRTpJQk0uSVFfUEVOU0lPTl9BQ0NVTVVMQVRFRF9PQkxJR0FUSU9OLjE5OTAuMDYvMDMvMjAyNi4uLlVTRC5IAQAAAN62AQADAAAAAAApg1PkzXveCMGgWjnOe94IQkNJUS5OWVNFOklCTS5JUV9QRU5TSU9OX09CTElHQVRJT05fQ1VSVEFJTC4xOTkwLjA2LzAzLzIwMjYuLi5VU0QuSAEAAADetgEAAwAAAAAAKYNT5M173gjBoFo5znveCD9DSVEuTllTRTpJQk0uSVFfT1BFQl9BU1NFVFNfQ1VSVEFJ</t>
  </si>
  <si>
    <t>TF9ET00uMTk5MC4wNi8wMy8yMDI2Li4uVVNELkgBAAAA3rYBAAMAAAAAACmDU+TNe94IwaBaOc573gg6Q0lRLk5ZU0U6SUJNLklRX1BFTlNJT05fQ0lfQUNUX0RPTS4xOTkwLjA2LzAzLzIwMjYuLi5VU0QuSAEAAADetgEAAwAAAAAAKYNT5M173gii0Fo5znveCD1DSVEuTllTRTpJQk0uSVFfT1BFQl9DSV9QUklPUl9TRVJWSUNFLjE5OTAuMDYvMDMvMjAyNi4uLlVTRC5IAQAAAN62AQADAAAAAAApg1PkzXveCKLQWjnOe94IN0NJUS5OWVNFOklCTS5JUV9PUEVCX0FTU0VUU19CRUcuMTk5MC4wNi8wMy8yMDI2Li4uVVNELkgBAAAA3rYBAAMAAAAAACmDU+TNe94IotBaOc573gg5Q0lRLk5ZU0U6SUJNLklRX09QRUJfU0VSVklDRV9DT1NULjE5OTAuMDYvMDMvMjAyNi4uLlVTRC5IAQAAAN62AQADAAAAAAApg1PkzXveCKLQWjnOe94IQUNJUS5OWVNFOklCTS5JUV9PUEVCX1BCT19BU1NVTUVEX1JBVEVfUkVUX01BWF9ET00uMTk5MC4wNi8wMy8yMDI2AQAAAN62AQADAAAAAAApg1PkzXveCKLQWjnOe94IP0NJUS5OWVNFOklCTS5JUV9QRU5TSU9OX0VYUF9SQVRFX1JFVFVSTl9NSU5fRE9NLjE5OTAuMDYvMDMvMjAyNgEAAADetgEAAwAAAAAAKYNT5M173gii0Fo5znveCEJDSVEuTllTRTpJQk0uSVFfUEVOU0lPTl9PQkxJR0FUSU9OX0FDUV9ET00uMTk5MC4wNi8wMy8yMDI2Li4uVVNELkgBAAAA3rYBAAMA</t>
  </si>
  <si>
    <t>AAAAACmDU+TNe94IotBaOc573gg/Q0lRLk5ZU0U6SUJNLklRX1BFTlNJT05fQlJFQUtET1dOX1BDVF9PVEhFUl9ET00uMTk5MC4wNi8wMy8yMDI2AQAAAN62AQADAAAAAAApg1PkzXveCKLQWjnOe94ITENJUS5OWVNFOklCTS5JUV9QRU5TSU9OX09CTElHQVRJT05fSU5URVJFU1RfQ09TVF9ET00uMTk5MC4wNi8wMy8yMDI2Li4uVVNELkgBAAAA3rYBAAMAAAAAACmDU+TNe94IotBaOc573gg2Q0lRLk5ZU0U6SUJNLklRX09QRUJfTFRfQVNTRVRTLjE5OTAuMDYvMDMvMjAyNi4uLlVTRC5IAQAAAN62AQADAAAAAAApg1PkzXveCKLQWjnOe94IOUNJUS5OWVNFOklCTS5JUV9PUEVCX0lOVEFOX0FTU0VUUy4xOTkwLjA2LzAzLzIwMjYuLi5VU0QuSAEAAADetgEAAwAAAAAAKYNT5M173gii0Fo5znveCDVDSVEuTllTRTpJQk0uSVFfT1BFQl9CUkVBS0RPV05fUENUX0ZJLjE5OTAuMDYvMDMvMjAyNgEAAADetgEAAwAAAAAAKYNT5M173gii0Fo5znveCDlDSVEuTllTRTpJQk0uSVFfT1BFQl9CUkVBS0RPV05fUENUX0ZJX0RPTS4xOTkwLjA2LzAzLzIwMjYBAAAA3rYBAAMAAAAAACmDU+TNe94IotBaOc573gg5Q0lRLk5ZU0U6SUJNLklRX09QRUJfUFJFUEFJRF9DT1NULjE5OTAuMDYvMDMvMjAyNi4uLlVTRC5IAQAAAN62AQADAAAAAAApg1PkzXveCKLQWjnOe94IPENJUS5OWVNFOklCTS5JUV9PUEVCX1RSQU5T</t>
  </si>
  <si>
    <t>SVRJT05fTkVYVC4xOTkwLjA2LzAzLzIwMjYuLi5VU0QuSAEAAADetgEAAwAAAAAAKYNT5M173gii0Fo5znveCDxDSVEuTllTRTpJQk0uSVFfT1BFQl9CUkVBS0RPV05fT1RIRVIuMTk5MC4wNi8wMy8yMDI2Li4uVVNELkgBAAAA3rYBAAMAAAAAACmDU+TNe94IXgtbOc573ggzQ0lRLk5ZU0U6SUJNLklRX09QRUJfQVNTRVRTLjE5OTAuMDYvMDMvMjAyNi4uLlVTRC5IAQAAAN62AQADAAAAAAApg1PkzXveCF4LWznOe94IQUNJUS5OWVNFOklCTS5JUV9PUEVCX09CTElHQVRJT05fUFJPSkVDVEVELjE5OTAuMDYvMDMvMjAyNi4uLlVTRC5IAQAAAN62AQADAAAAAAApg1PkzXveCKLQWjnOe94IOUNJUS5OWVNFOklCTS5JUV9QRU5TSU9OX09USEVSX0FESi4xOTkwLjA2LzAzLzIwMjYuLi5VU0QuSAEAAADetgEAAwAAAAAAKYNT5M173gii0Fo5znveCEVDSVEuTllTRTpJQk0uSVFfT1BFQl9PQkxJR0FUSU9OX1BST0pFQ1RFRF9ET00uMTk5MC4wNi8wMy8yMDI2Li4uVVNELkgBAAAA3rYBAAMAAAAAACmDU+TNe94IotBaOc573ghSQ0lRLk5ZU0U6SUJNLklRX1BFTlNJT05fT0JMSUdBVElPTl9BQ1RVQVJJQUxfR0FJTl9MT1NTX0RPTS4xOTkwLjA2LzAzLzIwMjYuLi5VU0QuSAEAAADetgEAAwAAAAAAKYNT5M173gheC1s5znveCDxDSVEuTllTRTpJQk0uSVFfT1BFQl9FU1RfQkVORUZJVF81WVIuMTk5MC4wNi8w</t>
  </si>
  <si>
    <t>My8yMDI2Li4uVVNELkgBAAAA3rYBAAMAAAAAACmDU+TNe94IXgtbOc573gg3Q0lRLk5ZU0U6SUJNLklRX09QRUJfT1RIRVJfQ09TVC4xOTkwLjA2LzAzLzIwMjYuLi5VU0QuSAEAAADetgEAAwAAAAAAKYNT5M173gheC1s5znveCDpDSVEuTllTRTpJQk0uSVFfUEVOU0lPTl9BU1NFVFNfRE9NLjE5OTAuMDYvMDMvMjAyNi4uLlVTRC5IAQAAAN62AQADAAAAAAApg1PkzXveCF4LWznOe94IW0NJUS5OWVNFOklCTS5JUV9QRU5TSU9OX09CTElHQVRJT05fVE9UQUxfQ09TVF9JTkNMX1NVUFBMRV9QTEFOU19ET00uMTk5MC4wNi8wMy8yMDI2Li4uVVNELkgBAAAA3rYBAAMAAAAAACmDU+TNe94IXgtbOc573ghJQ0lRLk5ZU0U6SUJNLklRX1BFTlNJT05fT0JMSUdBVElPTl9UT1RBTF9DT1NUX0RPTS4xOTkwLjA2LzAzLzIwMjYuLi5VU0QuSAEAAADetgEAAwAAAAAAKYNT5M173gifMls5znveCE1DSVEuTllTRTpJQk0uSVFfT1BFQl9ERUNSRUFTRV9FRkZFQ1RfU0VSVklDRV9JTlRfQ09TVC4xOTkwLjA2LzAzLzIwMjYuLi5VU0QuSAEAAADetgEAAwAAAAAAKYNT5M173gifMls5znveCDhDSVEuTllTRTpJQk0uSVFfT1BFQl9FWFBfUkFURV9SRVRVUk5fTUFYLjE5OTAuMDYvMDMvMjAyNgEAAADetgEAAwAAAAAAKYNT5M173gheC1s5znveCD5DSVEuTllTRTpJQk0uSVFfT1BFQl9BU1NFVFNfRlhfQURKX0RPTS4x</t>
  </si>
  <si>
    <t>OTkwLjA2LzAzLzIwMjYuLi5VU0QuSAEAAADetgEAAwAAAAAAKYNT5M173gheC1s5znveCD5DSVEuTllTRTpJQk0uSVFfT1BFQl9IRUFMVEhfQ09TVF9UUkVORF9JTklUSUFMLjE5OTAuMDYvMDMvMjAyNgEAAADetgEAAwAAAAAAKYNT5M173gheC1s5znveCDlDSVEuTllTRTpJQk0uSVFfT1BFQl9CUkVBS0RPV05fRkkuMTk5MC4wNi8wMy8yMDI2Li4uVVNELkgBAAAA3rYBAAMAAAAAACmDU+TNe94InzJbOc573gg7Q0lRLk5ZU0U6SUJNLklRX09QRUJfQVNTRVRTX0NVUlRBSUwuMTk5MC4wNi8wMy8yMDI2Li4uVVNELkgBAAAA3rYBAAMAAAAAACmDU+TNe94InzJbOc573gg/Q0lRLk5ZU0U6SUJNLklRX09QRUJfT0JMSUdBVElPTl9DVVJUQUlMLjE5OTAuMDYvMDMvMjAyNi4uLlVTRC5IAQAAAN62AQADAAAAAAApg1PkzXveCJ8yWznOe94IRUNJUS5OWVNFOklCTS5JUV9PUEVCX0FTU0VUU19CRU5FRklUU19QQUlEX0RPTS4xOTkwLjA2LzAzLzIwMjYuLi5VU0QuSAEAAADetgEAAwAAAAAAKYNT5M173gifMls5znveCEVDSVEuTllTRTpJQk0uSVFfUEVOU0lPTl9PQkxJR0FUSU9OX0ZYX0FESl9ET00uMTk5MC4wNi8wMy8yMDI2Li4uVVNELkgBAAAA3rYBAAMAAAAAACmDU+TNe94InzJbOc573gg9Q0lRLk5ZU0U6SUJNLklRX09QRUJfUEJPX0FTU1VNRURfUkFURV9SRVRfTUFYLjE5OTAuMDYvMDMvMjAyNgEA</t>
  </si>
  <si>
    <t>AADetgEAAwAAAAAAKYNT5M173girWVs5znveCDtDSVEuTllTRTpJQk0uSVFfT1BFQl9SQVRFX0NPTVBfSU5DUkVBU0VfTUFYLjE5OTAuMDYvMDMvMjAyNgEAAADetgEAAwAAAAAAKYNT5M173girWVs5znveCDpDSVEuTllTRTpJQk0uSVFfT1BFQl9JTlRFUkVTVF9DT1NULjE5OTAuMDYvMDMvMjAyNi4uLlVTRC5IAQAAAN62AQADAAAAAAApg1PkzXveCKtZWznOe94INUNJUS5OWVNFOklCTS5JUV9QRU5TSU9OX09USEVSLjE5OTAuMDYvMDMvMjAyNi4uLlVTRC5IAQAAAN62AQADAAAAAAApg1PkzXveCKtZWznOe94IP0NJUS5OWVNFOklCTS5JUV9QRU5TSU9OX0VTVF9CRU5FRklUXzFZUi4xOTkwLjA2LzAzLzIwMjYuLi5VU0QuSAEAAADetgEAAwAAAAAAKYNT5M173gifMls5znveCDlDSVEuTllTRTpJQk0uSVFfUEVOU0lPTl9ESVNDX1JBVEVfTUlOX0RPTS4xOTkwLjA2LzAzLzIwMjYBAAAA3rYBAAMAAAAAACmDU+TNe94Iq1lbOc573ghLQ0lRLk5ZU0U6SUJNLklRX1BFTlNJT05fT0JMSUdBVElPTl9TRVJWSUNFX0NPU1RfRE9NLjE5OTAuMDYvMDMvMjAyNi4uLlVTRC5IAQAAAN62AQADAAAAAAApg1PkzXveCKtZWznOe94IO0NJUS5OWVNFOklCTS5JUV9PUEVCX0FNVF9SRUNPR19ORVhULjE5OTAuMDYvMDMvMjAyNi4uLlVTRC5IAQAAAN62AQADAAAAAAApg1PkzXveCKtZWznOe94IM0NJUS5OWVNFOklC</t>
  </si>
  <si>
    <t>TS5JUV9PUEVCX0NJX0FDVC4xOTkwLjA2LzAzLzIwMjYuLi5VU0QuSAEAAADetgEAAwAAAAAAKYNT5M173girWVs5znveCENDSVEuTllTRTpJQk0uSVFfT1BFQl9PQkxJR0FUSU9OX0FDQ1VNVUxBVEVELjE5OTAuMDYvMDMvMjAyNi4uLlVTRC5IAQAAAN62AQADAAAAAAApg1PkzXveCKtZWznOe94IO0NJUS5OWVNFOklCTS5JUV9PUEVCX09CTElHQVRJT05fQkVHLjE5OTAuMDYvMDMvMjAyNi4uLlVTRC5IAQAAAN62AQADAAAAAAApg1PkzXveCKtZWznOe94IT0NJUS5OWVNFOklCTS5JUV9QRU5TSU9OX0FDQ1VNVUxBVEVEX09CTElHQVRJT05fRE9NRVNUSUMuMTk5MC4wNi8wMy8yMDI2Li4uVVNELkgBAAAA3rYBAAMAAAAAACmDU+TNe94Iq1lbOc573ghVQ0lRLk5ZU0U6SUJNLklRX1BFTlNJT05fT0JMSUdBVElPTl9FTVBMT1lFRV9DT05UUklCVVRJT05TX0RPTS4xOTkwLjA2LzAzLzIwMjYuLi5VU0QuSAEAAADetgEAAwAAAAAAKYNT5M173girWVs5znveCDZDSVEuTllTRTpJQk0uSVFfT1BFQl9CRU5FRklUX0lORk9fREFURS4xOTkwLjA2LzAzLzIwMjYBAAAA3rYBAAMAAAAAACmDU+TNe94Iq1lbOc573gg6Q0lRLk5ZU0U6SUJNLklRX09QRUJfQVNTRVRTX0ZYX0FESi4xOTkwLjA2LzAzLzIwMjYuLi5VU0QuSAEAAADetgEAAwAAAAAAKYNT5M173gi9gFs5znveCExDSVEuTllTRTpJQk0uSVFfUEVOU0lP</t>
  </si>
  <si>
    <t>Tl9RVUFSVF9BRERMX0NPTlRSSUJVVElPTlNfRVhQLjE5OTAuMDYvMDMvMjAyNi4uLlVTRC5IAQAAAN62AQADAAAAAAApg1PkzXveCL2AWznOe94IPENJUS5OWVNFOklCTS5JUV9QRU5TSU9OX0FDQ1JVRURfTElBQi4xOTkwLjA2LzAzLzIwMjYuLi5VU0QuSAEAAADetgEAAwAAAAAAKYNT5M173gi9gFs5znveCD9DSVEuTllTRTpJQk0uSVFfUEVOU0lPTl9FU1RfQkVORUZJVF81WVIuMTk5MC4wNi8wMy8yMDI2Li4uVVNELkgBAAAA3rYBAAMAAAAAACmDU+TNe94IvYBbOc573ghAQ0lRLk5ZU0U6SUJNLklRX1BFTlNJT05fQ0lfTkVUX0FNVF9SRUNPRy4xOTkwLjA2LzAzLzIwMjYuLi5VU0QuSAEAAADetgEAAwAAAAAAKYNT5M173gi9gFs5znveCEJDSVEuTllTRTpJQk0uSVFfUEVOU0lPTl9BTVRfUkVDT0dfTkVYVF9ET00uMTk5MC4wNi8wMy8yMDI2Li4uVVNELkgBAAAA3rYBAAMAAAAAACmDU+TNe94IvYBbOc573ghAQ0lRLk5ZU0U6SUJNLklRX1BFTlNJT05fQlJFQUtET1dOX1JFX0RPTS4xOTkwLjA2LzAzLzIwMjYuLi5VU0QuSAEAAADetgEAAwAAAAAAKYNT5M173gi9gFs5znveCFFDSVEuTllTRTpJQk0uSVFfUEVOU0lPTl9BU1NFVFNfRU1QTE9ZRVJfQ09OVFJJQlVUSU9OU19ET00uMTk5MC4wNi8wMy8yMDI2Li4uVVNELkgBAAAA3rYBAAMAAAAAACmDU+TNe94IvYBbOc573ghGQ0lRLk5ZU0U6SUJN</t>
  </si>
  <si>
    <t>LklRX1BFTlNJT05fT0JMSUdBVElPTl9DVVJUQUlMX0RPTS4xOTkwLjA2LzAzLzIwMjYuLi5VU0QuSAEAAADetgEAAwAAAAAAKYNT5M173gi9gFs5znveCDlDSVEuTllTRTpJQk0uSVFfT1BFQl9BQ0NSVUVEX0xJQUIuMTk5MC4wNi8wMy8yMDI2Li4uVVNELkgBAAAA3rYBAAMAAAAAACmDU+TNe94IvYBbOc573gg/Q0lRLk5ZU0U6SUJNLklRX09QRUJfRVNUX0JFTkVGSVRfQUZURVI1LjE5OTAuMDYvMDMvMjAyNi4uLlVTRC5IAQAAAN62AQADAAAAAAApg1PkzXveCMynWznOe94INUNJUS5OWVNFOklCTS5JUV9PUEVCX0FDVF9ORVhULjE5OTAuMDYvMDMvMjAyNi4uLlVTRC5IAQAAAN62AQADAAAAAAApg1PkzXveCMynWznOe94IOUNJUS5OWVNFOklCTS5JUV9PUEVCX0JSRUFLRE9XTl9SRS4xOTkwLjA2LzAzLzIwMjYuLi5VU0QuSAEAAADetgEAAwAAAAAAKYNT5M173gjMp1s5znveCDJDSVEuTllTRTpJQk0uSVFfT1BFQl9ESVNDX1JBVEVfTUFYLjE5OTAuMDYvMDMvMjAyNgEAAADetgEAAwAAAAAAKYNT5M173gi9gFs5znveCEFDSVEuTllTRTpJQk0uSVFfUEVOU0lPTl9JTlRFUkVTVF9DT1NUX0RPTS4xOTkwLjA2LzAzLzIwMjYuLi5VU0QuSAEAAADetgEAAwAAAAAAKYNT5M173gi9gFs5znveCDxDSVEuTllTRTpJQk0uSVFfT1BFQl9ORVRfQVNTRVRfUkVDT0cuMTk5MC4wNi8wMy8yMDI2Li4uVVNELkgB</t>
  </si>
  <si>
    <t>AAAA3rYBAAMAAAAAACmDU+TNe94IcLtbOc573gg6Q0lRLk5ZU0U6SUJNLklRX09QRUJfVU5SRUNPR19QUklPUi4xOTkwLjA2LzAzLzIwMjYuLi5VU0QuSAEAAADetgEAAwAAAAAAKYNT5M173ghwu1s5znveCDxDSVEuTllTRTpJQk0uSVFfT1BFQl9FU1RfQkVORUZJVF80WVIuMTk5MC4wNi8wMy8yMDI2Li4uVVNELkgBAAAA3rYBAAMAAAAAACmDU+TNe94IzKdbOc573ghGQ0lRLk5ZU0U6SUJNLklRX09QRUJfT0JMSUdBVElPTl9PVEhFUl9QTEFOX0FESi4xOTkwLjA2LzAzLzIwMjYuLi5VU0QuSAEAAADetgEAAwAAAAAAKYNT5M173gjMp1s5znveCERDSVEuTllTRTpJQk0uSVFfT1BFQl9TVVBQTEVfUExBTlNfVE9UQUxfQ09TVC4xOTkwLjA2LzAzLzIwMjYuLi5VU0QuSAEAAADetgEAAwAAAAAAKYNT5M173gjMp1s5znveCDJDSVEuTllTRTpJQk0uSVFfUEVOU0lPTl9DTC4xOTkwLjA2LzAzLzIwMjYuLi5VU0QuSAEAAADetgEAAwAAAAAAKYNT5M173ghwu1s5znveCEJDSVEuTllTRTpJQk0uSVFfUEVOU0lPTl9QQk9fUkFURV9DT01QX0lOQ1JFQVNFX01JTi4xOTkwLjA2LzAzLzIwMjYBAAAA3rYBAAMAAAAAACmDU+TNe94IcLtbOc573gg8Q0lRLk5ZU0U6SUJNLklRX1BFTlNJT05fQlJFQUtET1dOX1JFLjE5OTAuMDYvMDMvMjAyNi4uLlVTRC5IAQAAAN62AQADAAAAAAApg1PkzXveCHC7WznOe94INkNJ</t>
  </si>
  <si>
    <t>US5OWVNFOklCTS5JUV9QRU5TSU9OX0FTU0VUUy4xOTkwLjA2LzAzLzIwMjYuLi5VU0QuSAEAAADetgEAAwAAAAAAKYNT5M173ghwu1s5znveCDdDSVEuTllTRTpJQk0uSVFfT1BFQl9BU1NFVFNfQUNRLjE5OTAuMDYvMDMvMjAyNi4uLlVTRC5IAQAAAN62AQADAAAAAAApg1PkzXveCHC7WznOe94IS0NJUS5OWVNFOklCTS5JUV9PUEVCX09CTElHQVRJT05fQUNUVUFSSUFMX0dBSU5fTE9TUy4xOTkwLjA2LzAzLzIwMjYuLi5VU0QuSAEAAADetgEAAwAAAAAAKYNT5M173gjI4ls5znveCDhDSVEuTllTRTpJQk0uSVFfUEVOU0lPTl9BQ1RfTkVYVC4xOTkwLjA2LzAzLzIwMjYuLi5VU0QuSAEAAADetgEAAwAAAAAAKYNT5M173gjI4ls5znveCDxDSVEuTllTRTpJQk0uSVFfUEVOU0lPTl9TRVJWSUNFX0NPU1QuMTk5MC4wNi8wMy8yMDI2Li4uVVNELkgBAAAA3rYBAAMAAAAAACmDU+TNe94IyOJbOc573ggvQ0lRLk5ZU0U6SUJNLklRX0ZJTElOR19DVVJSRU5DWS4xOTkwLjA2LzAzLzIwMjYBAAAA3rYBAAMAAAADVVNEAC6qU+TNe94Izs5hOc573ghBQ0lRLk5ZU0U6SUJNLklRX0RFUklWQVRJVkVfQVNTRVRTX0NVUlJFTlQuMTk5MC4wNi8wMy8yMDI2Li4uVVNELkgBAAAA3rYBAAIAAAADMzY5AQgAAAAFAAAAATEBAAAACy0xOTg1OTQ0OTIyAwAAAAMxNjACAAAABDExMDkEAAAAATAHAAAACDMvNi8yMDI2CAAA</t>
  </si>
  <si>
    <t>AAk2LzMwLzIwMjMJAAAAATApg1PkzXveCHC7WznOe94IPkNJUS5OWVNFOklCTS5JUV9DT05USU5HRU5UX0xJQUJJTElUSUVTLjE5OTAuMDYvMDMvMjAyNi4uLlVTRC5IAQAAAN62AQADAAAAAAApg1PkzXveCMjiWznOe94IPENJUS5OWVNFOklCTS5JUV9QRU5TSU9OX1BSRVBBSURfQ09TVC4xOTkwLjA2LzAzLzIwMjYuLi5VU0QuSAEAAADetgEAAwAAAAAAKYNT5M173gjI4ls5znveCDVDSVEuTllTRTpJQk0uSVFfUEVOU0lPTl9ESVNDX1JBVEVfTUlOLjE5OTAuMDYvMDMvMjAyNgEAAADetgEAAwAAAAAAKYNT5M173gjI4ls5znveCD5DSVEuTllTRTpJQk0uSVFfUEVOU0lPTl9BU1NFVFNfQ1VSVEFJTC4xOTkwLjA2LzAzLzIwMjYuLi5VU0QuSAEAAADetgEAAwAAAAAAKYNT5M173gjI4ls5znveCERDSVEuTllTRTpJQk0uSVFfUEVOU0lPTl9BU1NFVFNfQkVORUZJVFNfUEFJRC4xOTkwLjA2LzAzLzIwMjYuLi5VU0QuSAEAAADetgEAAwAAAAAAKYNT5M173gjI4ls5znveCEFDSVEuTllTRTpJQk0uSVFfUEVOU0lPTl9PQkxJR0FUSU9OX0ZYX0FESi4xOTkwLjA2LzAzLzIwMjYuLi5VU0QuSAEAAADetgEAAwAAAAAAKYNT5M173ghMEFw5znveCEdDSVEuTllTRTpJQk0uSVFfUEVOU0lPTl9PQkxJR0FUSU9OX1NFUlZJQ0VfQ09TVC4xOTkwLjA2LzAzLzIwMjYuLi5VU0QuSAEAAADetgEAAwAAAAAAKYNT5M17</t>
  </si>
  <si>
    <t>3ghMEFw5znveCD5DSVEuTllTRTpJQk0uSVFfUEVOU0lPTl9PQkxJR0FUSU9OX1JPQS4xOTkwLjA2LzAzLzIwMjYuLi5VU0QuSAEAAADetgEAAwAAAAAAKYNT5M173gjI4ls5znveCCxDSVEuTllTRTpJQk0uSVFfQ0FMQ19UWVBFX0JTLjE5OTAuMDYvMDMvMjAyNgEAAADetgEAAwAAAANSVVAAKYNT5M173gjI4ls5znveCD1DSVEuTllTRTpJQk0uSVFfREVCVF9FUVVJVl9PUEVSX0xFQVNFLjE5OTAuMDYvMDMvMjAyNi4uLlVTRC5IAQAAAN62AQADAAAAAAApg1PkzXveCMjiWznOe94IOkNJUS5OWVNFOklCTS5JUV9GSU5fRElWX0NBU0hfRVFVSVYuMTk5MC4wNi8wMy8yMDI2Li4uVVNELkgBAAAA3rYBAAMAAAAAACmDU+TNe94ITBBcOc573ghNQ0lRLk5ZU0U6SUJNLklRX0xJQUJJTElUSUVTX05FVFRJTkdfT1RIRVJfQURKVVNUTUVOVFMuMTk5MC4wNi8wMy8yMDI2Li4uVVNELkgBAAAA3rYBAAMAAAAAACmDU+TNe94ITBBcOc573ghJQ0lRLk5ZU0U6SUJNLklRX0dFTkVSQUxfUEFSVE5FUl9NSU5PUklUWV9JTlRFUkVTVC4xOTkwLjA2LzAzLzIwMjYuLi5VU0QuSAEAAADetgEAAwAAAAAAKYNT5M173ghMEFw5znveCDFDSVEuTllTRTpJQk0uSVFfQlVJTERJTkdTLjE5OTAuMDYvMDMvMjAyNi4uLlVTRC5IAQAAAN62AQADAAAAAAApg1PkzXveCEwQXDnOe94IMUNJUS5OWVNFOklCTS5JUV9UT1RBTF9DQVAu</t>
  </si>
  <si>
    <t>MTk5MC4wNi8wMy8yMDI2Li4uVVNELkgBAAAA3rYBAAIAAAAFODI1NzUBCAAAAAUAAAABMQEAAAALLTE5ODU5NDQ5MjIDAAAAAzE2MAIAAAAENDE3NQQAAAABMAcAAAAIMy82LzIwMjYIAAAACTYvMzAvMjAyMwkAAAABMCmDU+TNe94ITBBcOc573gg+Q0lRLk5ZU0U6SUJNLklRX1RPVEFMX0RFQlRfTk9OX0NVUlJFTlQuMTk5MC4wNi8wMy8yMDI2Li4uVVNELkgBAAAA3rYBAAIAAAAFNTI2NzcBCAAAAAUAAAABMQEAAAALLTE5ODU5NDQ5MjIDAAAAAzE2MAIAAAAFMjUyMjQEAAAAATAHAAAACDMvNi8yMDI2CAAAAAk2LzMwLzIwMjMJAAAAATApg1PkzXveCGo3XDnOe94IOENJUS5OWVNFOklCTS5JUV9QRU5TSU9OX0JSRUFLRE9XTl9QQ1RfRVEuMTk5MC4wNi8wMy8yMDI2AQAAAN62AQADAAAAAAApg1PkzXveCGo3XDnOe94IQ0NJUS5OWVNFOklCTS5JUV9ERVJJVkFUSVZFX0xJQUJfTk9OX0NVUlJFTlQuMTk5MC4wNi8wMy8yMDI2Li4uVVNELkgBAAAA3rYBAAIAAAADNTUxAQgAAAAFAAAAATEBAAAACy0xOTg1OTQ0OTIyAwAAAAMxNjACAAAABTQwNDE5BAAAAAEwBwAAAAgzLzYvMjAyNggAAAAJNi8zMC8yMDIzCQAAAAEwKYNT5M173ghMEFw5znveCEVDSVEuTllTRTpJQk0uSVFfUEVOU0lPTl9PQkxJR0FUSU9OX1RPVEFMX0NPU1QuMTk5MC4wNi8wMy8yMDI2Li4uVVNELkgBAAAA3rYBAAMAAAAAACmDU+TN</t>
  </si>
  <si>
    <t>e94ITBBcOc573ggsQ0lRLk5ZU0U6SUJNLklRX0FVRElUT1JfTkFNRS4xOTkwLjA2LzAzLzIwMjYBAAAA3rYBAAMAAAAAACmDU+TNe94ITBBcOc573gg7Q0lRLk5ZU0U6SUJNLklRX1RPVEFMX0RFQlRfRVhDTF9GSU4uMTk5MC4wNi8wMy8yMDI2Li4uVVNELkgBAAAA3rYBAAIAAAAFNjAzMDQBCAAAAAUAAAABMQEAAAALLTE5ODU5NDQ5MjIDAAAAAzE2MAIAAAAFMjE4NjAEAAAAATAHAAAACDMvNi8yMDI2CAAAAAk2LzMwLzIwMjMJAAAAATApg1PkzXveCGo3XDnOe94ILUNJUS5OWVNFOklCTS5JUV9BVkdfRU1QTE9ZRUVTLjE5OTAuMDYvMDMvMjAyNgEAAADetgEAAwAAAAAAKYNT5M173ghqN1w5znveCDZDSVEuTllTRTpJQk0uSVFfQVNTRVRTX0xFVkVMXzMuMTk5MC4wNi8wMy8yMDI2Li4uVVNELkgBAAAA3rYBAAMAAAAAACmDU+TNe94IajdcOc573ghDQ0lRLk5ZU0U6SUJNLklRX0ZJTl9ESVZfTUlOT1JJVFlfSU5UX1JFREVFTS4xOTkwLjA2LzAzLzIwMjYuLi5VU0QuSAEAAADetgEAAwAAAAAAKYNT5M173ghqN1w5znveCCtDSVEuTllTRTpJQk0uSVFfQ0lQLjE5OTAuMDYvMDMvMjAyNi4uLlVTRC5IAQAAAN62AQADAAAAAAApg1PkzXveCGo3XDnOe94INUNJUS5OWVNFOklCTS5JUV9FUVVJVFlfTUVUSE9ELjE5OTAuMDYvMDMvMjAyNi4uLlVTRC5IAQAAAN62AQADAAAAAAApg1PkzXveCGo3XDnOe94I</t>
  </si>
  <si>
    <t>OkNJUS5OWVNFOklCTS5JUV9UQlZfU0hBUkVfUkVQT1JURUQuMTk5MC4wNi8wMy8yMDI2Li4uVVNELkgBAAAA3rYBAAMAAAAAACmDU+TNe94IajdcOc573gg5Q0lRLk5ZU0U6SUJNLklRX1RPVEFMX09QRVJfTEVBU0VTLjE5OTAuMDYvMDMvMjAyNi4uLlVTRC5IAQAAAN62AQACAAAABDI4MjgBCAAAAAUAAAABMQEAAAALLTE5ODU5NDQ5MjIDAAAAAzE2MAIAAAAFNDg5NzgEAAAAATAHAAAACDMvNi8yMDI2CAAAAAk2LzMwLzIwMjMJAAAAATApg1PkzXveCGo3XDnOe94IQ0NJUS5OWVNFOklCTS5JUV9SVUFfQ0FQSVRBTF9MRUFTRV9BQ0NVTV9ERVAuMTk5MC4wNi8wMy8yMDI2Li4uVVNELkgBAAAA3rYBAAMAAAAAACmDU+TNe94IajdcOc573gg1Q0lRLk5ZU0U6SUJNLklRX1JVQV9BQ0NVTV9ERVAuMTk5MC4wNi8wMy8yMDI2Li4uVVNELkgBAAAA3rYBAAMAAAAAACmDU+TNe94IajdcOc573gg0Q0lRLk5ZU0U6SUJNLklRX1BSRUZfQ09OVkVSVC4xOTkwLjA2LzAzLzIwMjYuLi5VU0QuSAEAAADetgEAAwAAAAAAKYNT5M173ghqN1w5znveCDZDSVEuTllTRTpJQk0uSVFfT1RIRVJfQ0xfU1VQUEwuMTk5MC4wNi8wMy8yMDI2Li4uVVNELkgBAAAA3rYBAAIAAAADMjc0AQgAAAAFAAAAATEBAAAACy0xOTg1OTQ0OTIyAwAAAAMxNjACAAAABDEwNTcEAAAAATAHAAAACDMvNi8yMDI2CAAAAAk2LzMwLzIwMjMJAAAA</t>
  </si>
  <si>
    <t>ATApg1PkzXveCGo3XDnOe94INkNJUS5OWVNFOklCTS5JUV9ERUZfQ0hBUkdFU19MVC4xOTkwLjA2LzAzLzIwMjYuLi5VU0QuSAEAAADetgEAAgAAAAM4OTcBCAAAAAUAAAABMQEAAAALLTE5ODU5NDQ5MjIDAAAAAzE2MAIAAAAEMTAyNQQAAAABMAcAAAAIMy82LzIwMjYIAAAACTYvMzAvMjAyMwkAAAABMCmDU+TNe94IajdcOc573gg7Q0lRLk5ZU0U6SUJNLklRX0lOVEVSQ09NUEFOWV9OT05fQ0EuMTk5MC4wNi8wMy8yMDI2Li4uVVNELkgBAAAA3rYBAAMAAAAAACmDU+TNe94IajdcOc573gg9Q0lRLk5ZU0U6SUJNLklRX09QRUJfUEJPX0FTU1VNRURfUkFURV9SRVRfTUlOLjE5OTAuMDYvMDMvMjAyNgEAAADetgEAAwAAAAAAKYNT5M173ghqN1w5znveCEVDSVEuTllTRTpJQk0uSVFfT1BFQl9PQkxJR0FUSU9OX0lOVEVSRVNUX0NPU1QuMTk5MC4wNi8wMy8yMDI2Li4uVVNELkgBAAAA3rYBAAMAAAAAACmDU+TNe94I5HVcOc573ggxQ0lRLk5ZU0U6SUJNLklRX0lOVEFOX05FVC4xOTkwLjA2LzAzLzIwMjYuLi5VU0QuSAEAAADetgEAAgAAAAUxMDQ5NgEIAAAABQAAAAExAQAAAAstMTk4NTk0NDkyMgMAAAADMTYwAgAAAAU0ODk2MgQAAAABMAcAAAAIMy82LzIwMjYIAAAACTYvMzAvMjAyMwkAAAABMCmDU+TNe94I5HVcOc573gg0Q0lRLk5ZU0U6SUJNLklRX0dXX0lOVEFOX05FVC4xOTkwLjA2LzAzLzIw</t>
  </si>
  <si>
    <t>MjYuLi5VU0QuSAEAAADetgEAAwAAAAAAKYNT5M173gjkdVw5znveCDlDSVEuTllTRTpJQk0uSVFfRklOX0RJVl9TVF9JTlZFU1QuMTk5MC4wNi8wMy8yMDI2Li4uVVNELkgBAAAA3rYBAAMAAAAAACmDU+TNe94IajdcOc573gg+Q0lRLk5ZU0U6SUJNLklRX0xJQUJJTElUSUVTX0ZBSVJfVkFMVUUuMTk5MC4wNi8wMy8yMDI2Li4uVVNELkgBAAAA3rYBAAIAAAAFNDgwNzUAKYNT5M173ghqN1w5znveCDtDSVEuTllTRTpJQk0uSVFfTElBQklMSVRJRVNfTEVWRUxfMi4xOTkwLjA2LzAzLzIwMjYuLi5VU0QuSAEAAADetgEAAgAAAAU0ODA3NQApg1PkzXveCOR1XDnOe94IRUNJUS5OWVNFOklCTS5JUV9HRU5FUkFMX1BBUlRORVJfQ09NTU9OX0VRVUlUWS4xOTkwLjA2LzAzLzIwMjYuLi5VU0QuSAEAAADetgEAAwAAAAAAKYNT5M173gjkdVw5znveCDFDSVEuTllTRTpJQk0uSVFfT1RIRVJfSU5WLjE5OTAuMDYvMDMvMjAyNi4uLlVTRC5IAQAAAN62AQADAAAAAAApg1PkzXveCOR1XDnOe94IMENJUS5OWVNFOklCTS5JUV9ORVRfREVCVC4xOTkwLjA2LzAzLzIwMjYuLi5VU0QuSAEAAADetgEAAgAAAAU0NDAwNgEIAAAABQAAAAExAQAAAAstMTk4NTk0NDkyMgMAAAADMTYwAgAAAAQ0MzY0BAAAAAEwBwAAAAgzLzYvMjAyNggAAAAJNi8zMC8yMDIzCQAAAAEwKYNT5M173gjkdVw5znveCEBDSVEuTllTRTpJQk0u</t>
  </si>
  <si>
    <t>SVFfUEVOU0lPTl9QQk9fQVNTVU1FRF9SQVRFX1JFVF9NSU4uMTk5MC4wNi8wMy8yMDI2AQAAAN62AQADAAAAAAApg1PkzXveCOR1XDnOe94IO0NJUS5OWVNFOklCTS5JUV9JTlRFUkNPTVBBTllfTk9OX0NMLjE5OTAuMDYvMDMvMjAyNi4uLlVTRC5IAQAAAN62AQADAAAAAAApg1PkzXveCOR1XDnOe94IPENJUS5OWVNFOklCTS5JUV9ERVJJVkFUSVZFX0FTU0VUU19MVC4xOTkwLjA2LzAzLzIwMjYuLi5VU0QuSAEAAADetgEAAgAAAAE4AQgAAAAFAAAAATEBAAAACy0xOTg1OTQ0OTIyAwAAAAMxNjACAAAABDExMTAEAAAAATAHAAAACDMvNi8yMDI2CAAAAAk2LzMwLzIwMjMJAAAAATApg1PkzXveCOR1XDnOe94IQUNJUS5OWVNFOklCTS5JUV9ERVJJVkFUSVZFX1RSQURJTkdfQVNTRVRTLjE5OTAuMDYvMDMvMjAyNi4uLlVTRC5IAQAAAN62AQADAAAAAAApg1PkzXveCOR1XDnOe94INUNJUS5OWVNFOklCTS5JUV9PUkRFUl9CQUNLTE9HLjE5OTAuMDYvMDMvMjAyNi4uLlVTRC5IAQAAAN62AQADAAAAAAApg1PkzXveCOR1XDnOe94IQ0NJUS5OWVNFOklCTS5JUV9SRVNUUklDVEVEX0NBU0hfTk9OX0NVUlJFTlQuMTk5MC4wNi8wMy8yMDI2Li4uVVNELkgBAAAA3rYBAAMAAAAAACmDU+TNe94I5HVcOc573ggvQ0lRLk5ZU0U6SUJNLklRX1RPVEFMX0VNUExPWUVFUy4xOTkwLjA2LzAzLzIwMjYBAAAA3rYBAAMA</t>
  </si>
  <si>
    <t>AAAAACmDU+TNe94I5HVcOc573gg2Q0lRLk5ZU0U6SUJNLklRX0FTU0VUU19MRVZFTF8xLjE5OTAuMDYvMDMvMjAyNi4uLlVTRC5IAQAAAN62AQACAAAAAzM5OQApg1PkzXveCOR1XDnOe94IO0NJUS5OWVNFOklCTS5JUV9QRU5TSU9OX0VYUF9SQVRFX1JFVFVSTl9NQVguMTk5MC4wNi8wMy8yMDI2AQAAAN62AQADAAAAAAApg1PkzXveCOR1XDnOe94IQENJUS5OWVNFOklCTS5JUV9QRU5TSU9OX0FNVF9SRUNPR19QRVJJT0QuMTk5MC4wNi8wMy8yMDI2Li4uVVNELkgBAAAA3rYBAAMAAAAAACmDU+TNe94I5HVcOc573gg/Q0lRLk5ZU0U6SUJNLklRX0RFUklWQVRJVkVfTElBQl9DVVJSRU5ULjE5OTAuMDYvMDMvMjAyNi4uLlVTRC5IAQAAAN62AQACAAAAAzI3NAEIAAAABQAAAAExAQAAAAstMTk4NTk0NDkyMgMAAAADMTYwAgAAAAU0MDQxNwQAAAABMAcAAAAIMy82LzIwMjYIAAAACTYvMzAvMjAyMwkAAAABMCmDU+TNe94I5HVcOc573gg6Q0lRLk5ZU0U6SUJNLklRX0ZJTl9ESVZfREVCVF9UT1RBTC4xOTkwLjA2LzAzLzIwMjYuLi5VU0QuSAEAAADetgEAAgAAAAUxMDU1MQEIAAAABQAAAAExAQAAAAstMTk4NTk0NDkyMgMAAAADMTYwAgAAAAUyNDUxNgQAAAABMAcAAAAIMy82LzIwMjYIAAAACTYvMzAvMjAyMwkAAAABMCmDU+TNe94INbNcOc573gg7Q0lRLk5ZU0U6SUJNLklRX0xJQUJJTElUSUVTX0xF</t>
  </si>
  <si>
    <t>VkVMXzMuMTk5MC4wNi8wMy8yMDI2Li4uVVNELkgBAAAA3rYBAAMAAAAAACmDU+TNe94INbNcOc573ghDQ0lRLk5ZU0U6SUJNLklRX0dFTkVSQUxfUEFSVE5FUl9QUkVGX0VRVUlUWS4xOTkwLjA2LzAzLzIwMjYuLi5VU0QuSAEAAADetgEAAwAAAAAAKYNT5M173gg1s1w5znveCEFDSVEuTllTRTpJQk0uSVFfRklOX0RJVl9NSU5PUklUWV9JTlRFUkVTVC4xOTkwLjA2LzAzLzIwMjYuLi5VU0QuSAEAAADetgEAAwAAAAAAKYNT5M173gg1s1w5znveCC9DSVEuTllTRTpJQk0uSVFfV0lQX0lOVi4xOTkwLjA2LzAzLzIwMjYuLi5VU0QuSAEAAADetgEAAgAAAAQxMzI3AQgAAAAFAAAAATEBAAAACy0xOTg1OTQ0OTIyAwAAAAMxNjACAAAABDMyMTkEAAAAATAHAAAACDMvNi8yMDI2CAAAAAk2LzMwLzIwMjMJAAAAATApg1PkzXveCDWzXDnOe94IOkNJUS5OWVNFOklCTS5JUV9UT1RBTF9ERUJUX0NVUlJFTlQuMTk5MC4wNi8wMy8yMDI2Li4uVVNELkgBAAAA3rYBAAIAAAAENzYyNwEIAAAABQAAAAExAQAAAAstMTk4NTk0NDkyMgMAAAADMTYwAgAAAAUyNTIyMwQAAAABMAcAAAAIMy82LzIwMjYIAAAACTYvMzAvMjAyMwkAAAABMCmDU+TNe94INbNcOc573gg+Q0lRLk5ZU0U6SUJNLklRX1RPVEFMX0RFQlRfRVhDTF9MRUFTRVMuMTk5MC4wNi8wMy8yMDI2Li4uVVNELkgBAAAA3rYBAAIAAAAFNTcyMDgBCAAAAAUA</t>
  </si>
  <si>
    <t>AAABMQEAAAALLTE5ODU5NDQ5MjIDAAAAAzE2MAIAAAAFNDg5OTIEAAAAATAHAAAACDMvNi8yMDI2CAAAAAk2LzMwLzIwMjMJAAAAATApg1PkzXveCDWzXDnOe94IPUNJUS5OWVNFOklCTS5JUV9HUFBFX0VYQ0xfT1BFUl9MRUFTRVMuMTk5MC4wNi8wMy8yMDI2Li4uVVNELkgBAAAA3rYBAAIAAAAFMTg1ODgBCAAAAAUAAAABMQEAAAALLTE5ODU5NDQ5MjIDAAAAAzE2MAIAAAAFNDg5NzQEAAAAATAHAAAACDMvNi8yMDI2CAAAAAk2LzMwLzIwMjMJAAAAATApg1PkzXveCDWzXDnOe94IQUNJUS5OWVNFOklCTS5JUV9SVUFfT1BFUkFUSU5HX0xFQVNFX0dST1NTLjE5OTAuMDYvMDMvMjAyNi4uLlVTRC5IAQAAAN62AQACAAAABDI2NTMBCAAAAAUAAAABMQEAAAALLTE5ODU5NDQ5MjIDAAAAAzE2MAIAAAAFNDgzNzcEAAAAATAHAAAACDMvNi8yMDI2CAAAAAk2LzMwLzIwMjMJAAAAATApg1PkzXveCDWzXDnOe94IKkNJUS5OWVNFOklCTS5JUV9SRS4xOTkwLjA2LzAzLzIwMjYuLi5VU0QuSAEAAADetgEAAgAAAAYxNDkzMTgBCAAAAAUAAAABMQEAAAALLTE5ODU5NDQ5MjIDAAAAAzE2MAIAAAAEMTIyMgQAAAABMAcAAAAIMy82LzIwMjYIAAAACTYvMzAvMjAyMwkAAAABMCmDU+TNe94INbNcOc573gg3Q0lRLk5ZU0U6SUJNLklRX0ZJTl9ESVZfTElBQl9MVC4xOTkwLjA2LzAzLzIwMjYuLi5VU0QuSAEAAADetgEA</t>
  </si>
  <si>
    <t>AwAAAAAAKYNT5M173gg1s1w5znveCC9DSVEuTllTRTpJQk0uSVFfU1RfREVCVC4xOTkwLjA2LzAzLzIwMjYuLi5VU0QuSAEAAADetgEAAgAAAAE1AQgAAAAFAAAAATEBAAAACy0xOTg1OTQ0OTIyAwAAAAMxNjACAAAABDEwNDYEAAAAATAHAAAACDMvNi8yMDI2CAAAAAk2LzMwLzIwMjMJAAAAATApg1PkzXveCDWzXDnOe94IRkNJUS5OWVNFOklCTS5JUV9QRU5TSU9OX1VORlVOREVEX0FERExfTUlOX0xJQUIuMTk5MC4wNi8wMy8yMDI2Li4uVVNELkgBAAAA3rYBAAMAAAAAACmDU+TNe94INbNcOc573gg2Q0lRLk5ZU0U6SUJNLklRX1BFTlNJT05fQ0lfQUNULjE5OTAuMDYvMDMvMjAyNi4uLlVTRC5IAQAAAN62AQADAAAAAAApg1PkzXveCDWzXDnOe94IPkNJUS5OWVNFOklCTS5JUV9QRU5TSU9OX0FDQ1VNX09USEVSX0NJLjE5OTAuMDYvMDMvMjAyNi4uLlVTRC5IAQAAAN62AQADAAAAAAApg1PkzXveCDWzXDnOe94IRENJUS5OWVNFOklCTS5JUV9QRU5TSU9OX0FTU0VUU19BQ1RVQUxfUkVUVVJOLjE5OTAuMDYvMDMvMjAyNi4uLlVTRC5IAQAAAN62AQADAAAAAAApg1PkzXveCJ3wXDnOe94IUUNJUS5OWVNFOklCTS5JUV9QRU5TSU9OX09CTElHQVRJT05fRU1QTE9ZRUVfQ09OVFJJQlVUSU9OUy4xOTkwLjA2LzAzLzIwMjYuLi5VU0QuSAEAAADetgEAAwAAAAAAKYNT5M173gid8Fw5znveCDdDSVEuTllT</t>
  </si>
  <si>
    <t>RTpJQk0uSVFfSU5URVJDT01QQU5ZX0NBLjE5OTAuMDYvMDMvMjAyNi4uLlVTRC5IAQAAAN62AQADAAAAAAApg1PkzXveCJ3wXDnOe94IPENJUS5OWVNFOklCTS5JUV9QRU5TSU9OX0JSRUFLRE9XTl9GSS4xOTkwLjA2LzAzLzIwMjYuLi5VU0QuSAEAAADetgEAAwAAAAAAKYNT5M173gid8Fw5znveCC5DSVEuTllTRTpJQk0uSVFfR1dfTkVULjE5OTAuMDYvMDMvMjAyNi4uLlVTRC5IAQAAAN62AQACAAAABTU2Mzg1AQgAAAAFAAAAATEBAAAACy0xOTg1OTQ0OTIyAwAAAAMxNjACAAAABTQ4OTYwBAAAAAEwBwAAAAgzLzYvMjAyNggAAAAJNi8zMC8yMDIzCQAAAAEwKYNT5M173gid8Fw5znveCD1DSVEuTllTRTpJQk0uSVFfQURWQU5DRVNfRk9SX1NVUFBMSUVTLjE5OTAuMDYvMDMvMjAyNi4uLlVTRC5IAQAAAN62AQADAAAAAAApg1PkzXveCMMiXTnOe94IQkNJUS5OWVNFOklCTS5JUV9QRU5TSU9OX1BCT19SQVRFX0NPTVBfSU5DUkVBU0VfTUFYLjE5OTAuMDYvMDMvMjAyNgEAAADetgEAAwAAAAAAKYNT5M173gid8Fw5znveCEdDSVEuTllTRTpJQk0uSVFfUEVOU0lPTl9DT05UUklCVVRJT05fVE9UQUxfQ09TVC4xOTkwLjA2LzAzLzIwMjYuLi5VU0QuSAEAAADetgEAAwAAAAAAKYNT5M173gid8Fw5znveCEBDSVEuTllTRTpJQk0uSVFfQUNDVU1fQU1PUlRfSU5UQU5fQVNTRVRTLjE5OTAuMDYvMDMvMjAy</t>
  </si>
  <si>
    <t>Ni4uLlVTRC5IAQAAAN62AQACAAAABS01NjI0AQgAAAAFAAAAATEBAAAACy0xOTg1OTQ0OTIyAwAAAAMxNjACAAAABTI0MzMxBAAAAAEwBwAAAAgzLzYvMjAyNggAAAAJNi8zMC8yMDIzCQAAAAEwKYNT5M173gid8Fw5znveCD1DSVEuTllTRTpJQk0uSVFfRklOX0RJVl9MVF9ERUJUX1RPVEFMLjE5OTAuMDYvMDMvMjAyNi4uLlVTRC5IAQAAAN62AQACAAAABTEwNTUxAQgAAAAFAAAAATEBAAAACy0xOTg1OTQ0OTIyAwAAAAMxNjACAAAABTI0NTE1BAAAAAEwBwAAAAgzLzYvMjAyNggAAAAJNi8zMC8yMDIzCQAAAAEwKYNT5M173gid8Fw5znveCDxDSVEuTllTRTpJQk0uSVFfUEVOU0lPTl9JTlRBTl9BU1NFVFMuMTk5MC4wNi8wMy8yMDI2Li4uVVNELkgBAAAA3rYBAAMAAAAAACmDU+TNe94IcDZdOc573gg4Q0lRLk5ZU0U6SUJNLklRX1BFTlNJT05fQlJFQUtET1dOX1BDVF9GSS4xOTkwLjA2LzAzLzIwMjYBAAAA3rYBAAMAAAAAACmDU+TNe94IcDZdOc573gg6Q0lRLk5ZU0U6SUJNLklRX1BFTlNJT05fQVNTRVRTX0FDUS4xOTkwLjA2LzAzLzIwMjYuLi5VU0QuSAEAAADetgEAAwAAAAAAKYNT5M173gjDIl05znveCE1DSVEuTllTRTpJQk0uSVFfUEVOU0lPTl9BU1NFVFNfUEFSVElDSVBfQ09OVFJJQlVUSU9OUy4xOTkwLjA2LzAzLzIwMjYuLi5VU0QuSAEAAADetgEAAwAAAAAAKYNT5M173gjDIl05znve</t>
  </si>
  <si>
    <t>CD5DSVEuTllTRTpJQk0uSVFfUEVOU0lPTl9PQkxJR0FUSU9OX0JFRy4xOTkwLjA2LzAzLzIwMjYuLi5VU0QuSAEAAADetgEAAwAAAAAAKYNT5M173gjDIl05znveCDxDSVEuTllTRTpJQk0uSVFfV0FSUkFOVFlfTElBQklMSVRJRVMuMTk5MC4wNi8wMy8yMDI2Li4uVVNELkgBAAAA3rYBAAMAAAAAACmDU+TNe94IdEtdOc573ghEQ0lRLk5ZU0U6SUJNLklRX1BFTlNJT05fT0JMSUdBVElPTl9QUk9KRUNURUQuMTk5MC4wNi8wMy8yMDI2Li4uVVNELkgBAAAA3rYBAAMAAAAAACmDU+TNe94IdEtdOc573gg/Q0lRLk5ZU0U6SUJNLklRX1BFTlNJT05fT0JMSUdBVElPTl9QQUlELjE5OTAuMDYvMDMvMjAyNi4uLlVTRC5IAQAAAN62AQADAAAAAAApg1PkzXveCHRLXTnOe94IP0NJUS5OWVNFOklCTS5JUV9QRU5TSU9OX0VTVF9CRU5FRklUXzNZUi4xOTkwLjA2LzAzLzIwMjYuLi5VU0QuSAEAAADetgEAAwAAAAAAKYNT5M173ghwNl05znveCEhDSVEuTllTRTpJQk0uSVFfUEVOU0lPTl9PQkxJR0FUSU9OX0lOVEVSRVNUX0NPU1QuMTk5MC4wNi8wMy8yMDI2Li4uVVNELkgBAAAA3rYBAAMAAAAAACmDU+TNe94IcDZdOc573ghFQ0lRLk5ZU0U6SUJNLklRX1BFTlNJT05fT0JMSUdBVElPTl9PVEhFUl9DT1NULjE5OTAuMDYvMDMvMjAyNi4uLlVTRC5IAQAAAN62AQADAAAAAAApg1PkzXveCHRLXTnOe94IO0NJUS5O</t>
  </si>
  <si>
    <t>WVNFOklCTS5JUV9MVF9ERUJUX0RFUklWQVRJVkVTLjE5OTAuMDYvMDMvMjAyNi4uLlVTRC5IAQAAAN62AQADAAAAAAApg1PkzXveCHRLXTnOe94IPENJUS5OWVNFOklCTS5JUV9QRU5TSU9OX0JSRUFLRE9XTl9FUS4xOTkwLjA2LzAzLzIwMjYuLi5VU0QuSAEAAADetgEAAwAAAAAAKYNT5M173gh0S105znveCD5DSVEuTllTRTpJQk0uSVFfUEVOU0lPTl9PQkxJR0FUSU9OX0FDUS4xOTkwLjA2LzAzLzIwMjYuLi5VU0QuSAEAAADetgEAAwAAAAAAKYNT5M173gh0S105znveCD1DSVEuTllTRTpJQk0uSVFfRklOX0RJVl9TVF9ERUJUX1RPVEFMLjE5OTAuMDYvMDMvMjAyNi4uLlVTRC5IAQAAAN62AQADAAAAAAApg1PkzXveCHRLXTnOe94IMkNJUS5OWVNFOklCTS5JUV9BVkdfVEVNUF9FTVBMT1lFRVMuMTk5MC4wNi8wMy8yMDI2AQAAAN62AQADAAAAAAApg1PkzXveCLFyXTnOe94ISENJUS5OWVNFOklCTS5JUV9BU1NFVFNfTkVUVElOR19PVEhFUl9BREpVU1RNRU5UUy4xOTkwLjA2LzAzLzIwMjYuLi5VU0QuSAEAAADetgEAAwAAAAAAKYNT5M173gixcl05znveCExDSVEuTllTRTpJQk0uSVFfUEVOU0lPTl9RVUFSVF9FTVBMT1lFUl9DT05UUklCVVRJT05TLjE5OTAuMDYvMDMvMjAyNi4uLlVTRC5IAQAAAN62AQADAAAAAAApg1PkzXveCLFyXTnOe94IRUNJUS5OWVNFOklCTS5JUV9QRU5TSU9OX0FTU0VU</t>
  </si>
  <si>
    <t>U19PVEhFUl9QTEFOX0FESi4xOTkwLjA2LzAzLzIwMjYuLi5VU0QuSAEAAADetgEAAwAAAAAAKYNT5M173gixcl05znveCDdDSVEuTllTRTpJQk0uSVFfUEVOU0lPTl9MVF9MSUFCLjE5OTAuMDYvMDMvMjAyNi4uLlVTRC5IAQAAAN62AQADAAAAAAApg1PkzXveCLFyXTnOe94IUkNJUS5OWVNFOklCTS5JUV9QRU5TSU9OX09CTElHQVRJT05fU1VQUExFX1BMQU5TX1RPVEFMX0NPU1QuMTk5MC4wNi8wMy8yMDI2Li4uVVNELkgBAAAA3rYBAAMAAAAAACmDU+TNe94IuZldOc573ggvQ0lRLk5ZU0U6SUJNLklRX0FVRElUT1JfT1BJTklPTi4xOTkwLjA2LzAzLzIwMjYBAAAA3rYBAAMAAAAAACmDU+TNe94IuZldOc573gg6Q0lRLk5ZU0U6SUJNLklRX0xUX01BUktfU0VDVVJJVElFUy4xOTkwLjA2LzAzLzIwMjYuLi5VU0QuSAEAAADetgEAAwAAAAAAKYNT5M173gixcl05znveCDBDSVEuTllTRTpJQk0uSVFfR1JPU1NfR1cuMTk5MC4wNi8wMy8yMDI2Li4uVVNELkgBAAAA3rYBAAMAAAAAACmDU+TNe94IsXJdOc573gg7Q0lRLk5ZU0U6SUJNLklRX1NUX0RFQlRfREVSSVZBVElWRVMuMTk5MC4wNi8wMy8yMDI2Li4uVVNELkgBAAAA3rYBAAMAAAAAACmDU+TNe94IsXJdOc573gg6Q0lRLk5ZU0U6SUJNLklRX0RFQlRfRVFVSVZfTkVUX1BCTy4xOTkwLjA2LzAzLzIwMjYuLi5VU0QuSAEAAADetgEAAwAAAAAAKYNT</t>
  </si>
  <si>
    <t>5M173gi5mV05znveCEdDSVEuTllTRTpJQk0uSVFfRkFJUl9WQUxVRV9DSEFOR0VfSU5DTF9FQVJOSU5HUy4xOTkwLjA2LzAzLzIwMjYuLi5VU0QuSAEAAADetgEAAwAAAAAAKYNT5M173gi5mV05znveCEtDSVEuTllTRTpJQk0uSVFfTElRVUlEQVRJT05fVkFMVUVfUFJFRkVSUkVEX0NPTlZFUlQuMTk5MC4wNi8wMy8yMDI2Li4uVVNELkgBAAAA3rYBAAMAAAAAACmDU+TNe94IuZldOc573ggwQ0lRLk5ZU0U6SUJNLklRX1NPRlRXQVJFLjE5OTAuMDYvMDMvMjAyNi4uLlVTRC5IAQAAAN62AQADAAAAAAApg1PkzXveCLmZXTnOe94ILENJUS5OWVNFOklCTS5JUV9MQU5ELjE5OTAuMDYvMDMvMjAyNi4uLlVTRC5IAQAAAN62AQADAAAAAAApg1PkzXveCLmZXTnOe94IPENJUS5OWVNFOklCTS5JUV9PUEVCX09CTElHQVRJT05fUEFJRC4xOTkwLjA2LzAzLzIwMjYuLi5VU0QuSAEAAADetgEAAwAAAAAAKYNT5M173gjLwF05znveCD9DSVEuTllTRTpJQk0uSVFfUEVOU0lPTl9CUkVBS0RPV05fT1RIRVIuMTk5MC4wNi8wMy8yMDI2Li4uVVNELkgBAAAA3rYBAAMAAAAAACmDU+TNe94Iy8BdOc573gg7Q0lRLk5ZU0U6SUJNLklRX1BFTlNJT05fQlJFQUtET1dOX1BDVF9PVEhFUi4xOTkwLjA2LzAzLzIwMjYBAAAA3rYBAAMAAAAAACmDU+TNe94Iy8BdOc573ghJQ0lRLk5ZU0U6SUJNLklRX1BFTlNJT05fT0JMSUdB</t>
  </si>
  <si>
    <t>VElPTl9PVEhFUl9QTEFOX0FESi4xOTkwLjA2LzAzLzIwMjYuLi5VU0QuSAEAAADetgEAAwAAAAAAKYNT5M173gjLwF05znveCDpDSVEuTllTRTpJQk0uSVFfR1JPU1NfSU5UQU5fQVNTRVRTLjE5OTAuMDYvMDMvMjAyNi4uLlVTRC5IAQAAAN62AQACAAAABTE1MjA1AQgAAAAFAAAAATEBAAAACy0xOTg1OTQ0OTIyAwAAAAMxNjACAAAABTI0MjkzBAAAAAEwBwAAAAgzLzYvMjAyNggAAAAJNi8zMC8yMDIzCQAAAAEwKYNT5M173gi5mV05znveCE1DSVEuTllTRTpJQk0uSVFfUEVOU0lPTl9BU1NFVFNfRU1QTE9ZRVJfQ09OVFJJQlVUSU9OUy4xOTkwLjA2LzAzLzIwMjYuLi5VU0QuSAEAAADetgEAAwAAAAAAKYNT5M173ghx6l05znveCCpDSVEuTllTRTpJQk0uSVFfSU5WX01FVEhPRC4xOTkwLjA2LzAzLzIwMjYBAAAA3rYBAAMAAAAAACmDU+TNe94Iy8BdOc573ggyQ0lRLk5ZU0U6SUJNLklRX0NBU0hfU0hBUkUuMTk5MC4wNi8wMy8yMDI2Li4uVVNELkgBAAAA3rYBAAIAAAAJMTAuMzExNjc0AQgAAAAFAAAAATEBAAAACy0xOTg1OTQ0OTIyAwAAAAMxNjACAAAABDQzODEEAAAAATAHAAAACDMvNi8yMDI2CAAAAAk2LzMwLzIwMjMJAAAAATApg1PkzXveCMvAXTnOe94IQ0NJUS5OWVNFOklCTS5JUV9UT1RBTF9ERUJUX0VYQ0xfT1BFUl9MRUFTRVMuMTk5MC4wNi8wMy8yMDI2Li4uVVNELkgBAAAA3rYBAAIA</t>
  </si>
  <si>
    <t>AAAFNTc0NzYBCAAAAAUAAAABMQEAAAALLTE5ODU5NDQ5MjIDAAAAAzE2MAIAAAAFNDg5ODIEAAAAATAHAAAACDMvNi8yMDI2CAAAAAk2LzMwLzIwMjMJAAAAATApg1PkzXveCMvAXTnOe94IOENJUS5OWVNFOklCTS5JUV9MT05HX1RFUk1fTEVBU0VTLjE5OTAuMDYvMDMvMjAyNi4uLlVTRC5IAQAAAN62AQACAAAABDIyNTQBCAAAAAUAAAABMQEAAAALLTE5ODU5NDQ5MjIDAAAAAzE2MAIAAAAEMTE4MwQAAAABMAcAAAAIMy82LzIwMjYIAAAACTYvMzAvMjAyMwkAAAABMCmDU+TNe94Iy8BdOc573ggwQ0lRLk5ZU0U6SUJNLklRX1RPVEFMX0NMLjE5OTAuMDYvMDMvMjAyNi4uLlVTRC5IAQAAAN62AQACAAAABTMyNTEzAQgAAAAFAAAAATEBAAAACy0xOTg1OTQ0OTIyAwAAAAMxNjACAAAABDEwMDkEAAAAATAHAAAACDMvNi8yMDI2CAAAAAk2LzMwLzIwMjMJAAAAATApg1PkzXveCHHqXTnOe94IM0NJUS5OWVNFOklCTS5JUV9NQUlOVF9DQVBFWC4xOTkwLjA2LzAzLzIwMjYuLi5VU0QuSAEAAADetgEAAwAAAAAAKYNT5M173ghx6l05znveCDpDSVEuTllTRTpJQk0uSVFfQ0FTSF9JTlRFUkVTVF9PUEVSLjE5OTAuMDYvMDMvMjAyNi4uLlVTRC5IAQAAAN62AQADAAAAAAApg1PkzXveCHHqXTnOe94IQUNJUS5OWVNFOklCTS5JUV9HV19JTlRBTl9BTU9SVF9QQVJUSUFMX0NGLjE5OTAuMDYvMDMvMjAyNi4uLlVT</t>
  </si>
  <si>
    <t>RC5IAQAAAN62AQADAAAAAAApg1PkzXveCHHqXTnOe94ILUNJUS5OWVNFOklCTS5JUV9GSUxJTkdEQVRFX0NGLjE5OTAuMDYvMDMvMjAyNgEAAADetgEABQAAAAozMC8wNy8yMDI0ACmDU+TNe94IcepdOc573gg5Q0lRLk5ZU0U6SUJNLklRX0JWX1NIQVJFX1JFUE9SVEVELjE5OTAuMDYvMDMvMjAyNi4uLlVTRC5IAQAAAN62AQADAAAAAAApg1PkzXveCHHqXTnOe94IN0NJUS5OWVNFOklCTS5JUV9MT0FOU19SRUNFSVZfTFQuMTk5MC4wNi8wMy8yMDI2Li4uVVNELkgBAAAA3rYBAAMAAAAAACmDU+TNe94IcepdOc573ggxQ0lRLk5ZU0U6SUJNLklRX05VTUJFUl9BRFJIT0xERVJTLjE5OTAuMDYvMDMvMjAyNgEAAADetgEAAwAAAAAAKYNT5M173ghx6l05znveCEZDSVEuTllTRTpJQk0uSVFfVE9UQUxfR0VORVJBTF9QQVJUTkVSX0lOVEVSRVNULjE5OTAuMDYvMDMvMjAyNi4uLlVTRC5IAQAAAN62AQADAAAAAAApg1PkzXveCHHqXTnOe94INENJUS5OWVNFOklCTS5JUV9UT1RBTF9FUVVJVFkuMTk5MC4wNi8wMy8yMDI2Li4uVVNELkgBAAAA3rYBAAIAAAAFMjIyNzEBCAAAAAUAAAABMQEAAAALLTE5ODU5NDQ5MjIDAAAAAzE2MAIAAAAEMTI3NQQAAAABMAcAAAAIMy82LzIwMjYIAAAACTYvMzAvMjAyMwkAAAABMCmDU+TNe94IcxFeOc573gg7Q0lRLk5ZU0U6SUJNLklRX1RPVEFMX0NPTU1PTl9FUVVJVFku</t>
  </si>
  <si>
    <t>MTk5MC4wNi8wMy8yMDI2Li4uVVNELkgBAAAA3rYBAAIAAAAFMjIyMDEBCAAAAAUAAAABMQEAAAALLTE5ODU5NDQ5MjIDAAAAAzE2MAIAAAAEMTAwNgQAAAABMAcAAAAIMy82LzIwMjYIAAAACTYvMzAvMjAyMwkAAAABMCmDU+TNe94IcxFeOc573ggvQ0lRLk5ZU0U6SUJNLklRX1BFTlNJT04uMTk5MC4wNi8wMy8yMDI2Li4uVVNELkgBAAAA3rYBAAIAAAAEOTM4NQEIAAAABQAAAAExAQAAAAstMTk4NTk0NDkyMgMAAAADMTYwAgAAAAQxMjEzBAAAAAEwBwAAAAgzLzYvMjAyNggAAAAJNi8zMC8yMDIzCQAAAAEwKYNT5M173ghzEV45znveCDRDSVEuTllTRTpJQk0uSVFfVE9UQUxfQVNTRVRTLjE5OTAuMDYvMDMvMjAyNi4uLlVTRC5IAQAAAN62AQACAAAABjEzMjIxMwEIAAAABQAAAAExAQAAAAstMTk4NTk0NDkyMgMAAAADMTYwAgAAAAQxMDA3BAAAAAEwBwAAAAgzLzYvMjAyNggAAAAJNi8zMC8yMDIzCQAAAAEwKYNT5M173ghzEV45znveCDlDSVEuTllTRTpJQk0uSVFfRklOX0RJVl9BU1NFVFNfTFQuMTk5MC4wNi8wMy8yMDI2Li4uVVNELkgBAAAA3rYBAAMAAAAAACmDU+TNe94IcxFeOc573ggzQ0lRLk5ZU0U6SUJNLklRX09USEVSX0lOVEFOLjE5OTAuMDYvMDMvMjAyNi4uLlVTRC5IAQAAAN62AQACAAAABTEwNDk2AQgAAAAFAAAAATEBAAAACy0xOTg1OTQ0OTIyAwAAAAMxNjACAAAABDEwNDAEAAAA</t>
  </si>
  <si>
    <t>ATAHAAAACDMvNi8yMDI2CAAAAAk2LzMwLzIwMjMJAAAAATApg1PkzXveCHMRXjnOe94INkNJUS5OWVNFOklCTS5JUV9MT0FOU19GT1JfU0FMRS4xOTkwLjA2LzAzLzIwMjYuLi5VU0QuSAEAAADetgEAAwAAAAAAKYNT5M173ghzEV45znveCDZDSVEuTllTRTpJQk0uSVFfU1RfTk9URV9SRUNFSVYuMTk5MC4wNi8wMy8yMDI2Li4uVVNELkgBAAAA3rYBAAMAAAAAACmDU+TNe94IcxFeOc573ghFQ0lRLk5ZU0U6SUJNLklRX1RPVEFMX0RFQlRfUkVQQUlEX0VYQ0xfTEVBU0VTLjE5OTAuMDYvMDMvMjAyNi4uLlVTRC5IAQAAAN62AQACAAAABS02MDk1AQgAAAAFAAAAATEBAAAACy0xOTg1OTQ0OTIyAwAAAAMxNjACAAAABTQ4OTg2BAAAAAEwBwAAAAgzLzYvMjAyNggAAAAJNi8zMC8yMDIzCQAAAAEwKYNT5M173ghzEV45znveCDxDSVEuTllTRTpJQk0uSVFfQ0hBTkdFX0RFRl9UQVhfVE9UQUwuMTk5MC4wNi8wMy8yMDI2Li4uVVNELkgBAAAA3rYBAAIAAAAFLTI3MjYBCAAAAAUAAAABMQEAAAALLTE5ODU5NDQ5MjIDAAAAAzE2MAIAAAAFMzA5MjQEAAAAATAHAAAACDMvNi8yMDI2CAAAAAk2LzMwLzIwMjMJAAAAATApg1PkzXveCHMRXjnOe94IN0NJUS5OWVNFOklCTS5JUV9DQVNIX1RBWEVTX09QRVIuMTk5MC4wNi8wMy8yMDI2Li4uVVNELkgBAAAA3rYBAAMAAAAAACmDU+TNe94I3DheOc573ggzQ0lRLk5Z</t>
  </si>
  <si>
    <t>U0U6SUJNLklRX0FSX1VOQklMTEVELjE5OTAuMDYvMDMvMjAyNi4uLlVTRC5IAQAAAN62AQACAAAAAzQ0NwEIAAAABQAAAAExAQAAAAstMTk4NTk0NDkyMgMAAAADMTYwAgAAAAU0NTQyMAQAAAABMAcAAAAIMy82LzIwMjYIAAAACTYvMzAvMjAyMwkAAAABMCmDU+TNe94I3DheOc573ggxQ0lRLk5ZU0U6SUJNLklRX1JVQV9HUk9TUy4xOTkwLjA2LzAzLzIwMjYuLi5VU0QuSAEAAADetgEAAwAAAAAAKYNT5M173gjcOF45znveCD1DSVEuTllTRTpJQk0uSVFfUEVOU0lPTl9JTlRFUkVTVF9DT1NULjE5OTAuMDYvMDMvMjAyNi4uLlVTRC5IAQAAAN62AQADAAAAAAApg1PkzXveCHMRXjnOe94INkNJUS5OWVNFOklCTS5JUV9BU1NFVFNfTEVWRUxfMi4xOTkwLjA2LzAzLzIwMjYuLi5VU0QuSAEAAADetgEAAgAAAAUxMTY2NAApg1PkzXveCNw4XjnOe94IPUNJUS5OWVNFOklCTS5JUV9UT1RBTF9PVVRTVEFORElOR19GSUxJTkdfREFURS4xOTkwLjA2LzAzLzIwMjYBAAAA3rYBAAIAAAAJOTExLjAwNjI0AQQAAAAFAAAAATUBAAAACy0xOTg1OTQ0OTIyAgAAAAUyNDE1MwYAAAABMCmDU+TNe94I3DheOc573gg0Q0lRLk5ZU0U6SUJNLklRX1RPVEFMX0xFQVNFUy4xOTkwLjA2LzAzLzIwMjYuLi5VU0QuSAEAAADetgEAAgAAAAQzMDk2AQgAAAAFAAAAATEBAAAACy0xOTg1OTQ0OTIyAwAAAAMxNjACAAAABTQ4OTc5</t>
  </si>
  <si>
    <t>BAAAAAEwBwAAAAgzLzYvMjAyNggAAAAJNi8zMC8yMDIzCQAAAAEwKYNT5M173gjcOF45znveCElDSVEuTllTRTpJQk0uSVFfTFRfUE9SVElPTl9PUEVSX0xFQVNFX0xJQUJJTElUSUVTLjE5OTAuMDYvMDMvMjAyNi4uLlVTRC5IAQAAAN62AQACAAAABDE5ODYBCAAAAAUAAAABMQEAAAALLTE5ODU5NDQ5MjIDAAAAAzE2MAIAAAAFNDgzODMEAAAAATAHAAAACDMvNi8yMDI2CAAAAAk2LzMwLzIwMjMJAAAAATApg1PkzXveCNw4XjnOe94IL0NJUS5OWVNFOklCTS5JUV9SVUFfTkVULjE5OTAuMDYvMDMvMjAyNi4uLlVTRC5IAQAAAN62AQADAAAAAAApg1PkzXveCNw4XjnOe94INUNJUS5OWVNFOklCTS5JUV9PVEhFUl9MSUFCX0xULjE5OTAuMDYvMDMvMjAyNi4uLlVTRC5IAQAAAN62AQACAAAABTEyMTAzAQgAAAAFAAAAATEBAAAACy0xOTg1OTQ0OTIyAwAAAAMxNjACAAAABDEwNjIEAAAAATAHAAAACDMvNi8yMDI2CAAAAAk2LzMwLzIwMjMJAAAAATApg1PkzXveCMdfXjnOe94INkNJUS5OWVNFOklCTS5JUV9PVEhFUl9DQV9TVVBQTC4xOTkwLjA2LzAzLzIwMjYuLi5VU0QuSAEAAADetgEAAgAAAAQxMzczAQgAAAAFAAAAATEBAAAACy0xOTg1OTQ0OTIyAwAAAAMxNjACAAAABDEwNTUEAAAAATAHAAAACDMvNi8yMDI2CAAAAAk2LzMwLzIwMjMJAAAAATApg1PkzXveCMdfXjnOe94IMkNJUS5OWVNFOklCTS5J</t>
  </si>
  <si>
    <t>UV9DQVNIX0VRVUlWLjE5OTAuMDYvMDMvMjAyNi4uLlVTRC5IAQAAAN62AQACAAAABDkzOTQBCAAAAAUAAAABMQEAAAALLTE5ODU5NDQ5MjIDAAAAAzE2MAIAAAAEMTA5NgQAAAABMAcAAAAIMy82LzIwMjYIAAAACTYvMzAvMjAyMwkAAAABMCmDU+TNe94Ix19eOc573ggsQ0lRLk5ZU0U6SUJNLklRX0NBTENfVFlQRV9DRi4xOTkwLjA2LzAzLzIwMjYBAAAA3rYBAAMAAAADTFRNACmDU+TNe94Ix19eOc573gg9Q0lRLk5ZU0U6SUJNLklRX1JFU1RSSUNURURfQ0FTSF9UT1RBTC4xOTkwLjA2LzAzLzIwMjYuLi5VU0QuSAEAAADetgEAAgAAAAIzMQEIAAAABQAAAAExAQAAAAstMTk4NTk0NDkyMgMAAAADMTYwAgAAAAUyNDE5MgQAAAABMAcAAAAIMy82LzIwMjYIAAAACTYvMzAvMjAyMwkAAAABMCmDU+TNe94Ix19eOc573ghUQ0lRLk5ZU0U6SUJNLklRX0ZJTkFOQ0lOR19PQkxJR19OT05fQ1VSUkVOVF9FWENMX09QRVJfTEVBU0VTLjE5OTAuMDYvMDMvMjAyNi4uLlVTRC5IAQAAAN62AQACAAAABTUwNjkxAQgAAAAFAAAAATEBAAAACy0xOTg1OTQ0OTIyAwAAAAMxNjACAAAABTQ4OTgxBAAAAAEwBwAAAAgzLzYvMjAyNggAAAAJNi8zMC8yMDIzCQAAAAEwKYNT5M173gjHX145znveCDxDSVEuTllTRTpJQk0uSVFfRklOX0RJVl9MSUFCX0NVUlJFTlQuMTk5MC4wNi8wMy8yMDI2Li4uVVNELkgBAAAA3rYBAAMA</t>
  </si>
  <si>
    <t>AAAAACmDU+TNe94Ix19eOc573gg/Q0lRLk5ZU0U6SUJNLklRX01JTk9SSVRZX0lOVF9SRURFRU1fVE9ULjE5OTAuMDYvMDMvMjAyNi4uLlVTRC5IAQAAAN62AQADAAAAAAApg1PkzXveCMdfXjnOe94IN0NJUS5OWVNFOklCTS5JUV9ORVRfV09SS0lOR19DQVAuMTk5MC4wNi8wMy8yMDI2Li4uVVNELkgBAAAA3rYBAAIAAAAFLTY3MjYBCAAAAAUAAAABMQEAAAALLTE5ODU5NDQ5MjIDAAAAAzE2MAIAAAAEMTMxMQQAAAABMAcAAAAIMy82LzIwMjYIAAAACTYvMzAvMjAyMwkAAAABMCmDU+TNe94Ix19eOc573ggwQ0lRLk5ZU0U6SUJNLklRX0JWX1NIQVJFLjE5OTAuMDYvMDMvMjAyNi4uLlVTRC5IAQAAAN62AQACAAAACTI0LjM2OTc1NgEIAAAABQAAAAExAQAAAAstMTk4NTk0NDkyMgMAAAADMTYwAgAAAAQ0MDIwBAAAAAEwBwAAAAgzLzYvMjAyNggAAAAJNi8zMC8yMDIzCQAAAAEwKYNT5M173gjHX145znveCC5DSVEuTllTRTpJQk0uSVFfQ09NTU9OLjE5OTAuMDYvMDMvMjAyNi4uLlVTRC5IAQAAAN62AQACAAAABTU4OTYzAQgAAAAFAAAAATEBAAAACy0xOTg1OTQ0OTIyAwAAAAMxNjACAAAABDExMDMEAAAAATAHAAAACDMvNi8yMDI2CAAAAAk2LzMwLzIwMjMJAAAAATApg1PkzXveCPyGXjnOe94IP0NJUS5OWVNFOklCTS5JUV9FTVBMT1lFRVNfVU5ERVJfVU5JT05fQ09OVFJBQ1RTLjE5OTAuMDYvMDMv</t>
  </si>
  <si>
    <t>MjAyNgEAAADetgEAAwAAAAAAKYNT5M173gj8hl45znveCD9DSVEuTllTRTpJQk0uSVFfTUlOT1JJVFlfSU5URVJFU1RfVE9UQUwuMTk5MC4wNi8wMy8yMDI2Li4uVVNELkgBAAAA3rYBAAIAAAACNzABCAAAAAUAAAABMQEAAAALLTE5ODU5NDQ5MjIDAAAAAzE2MAIAAAAEMTMxMgQAAAABMAcAAAAIMy82LzIwMjYIAAAACTYvMzAvMjAyMwkAAAABMCmDU+TNe94I/IZeOc573gg+Q0lRLk5ZU0U6SUJNLklRX0RFRl9UQVhfQVNTRVRTX0NVUlJFTlQuMTk5MC4wNi8wMy8yMDI2Li4uVVNELkgBAAAA3rYBAAMAAAAAACmDU+TNe94I/IZeOc573ghKQ0lRLk5ZU0U6SUJNLklRX0xJUVVJREFUSU9OX1ZBTFVFX1BSRUZFUlJFRF9SRURFRU0uMTk5MC4wNi8wMy8yMDI2Li4uVVNELkgBAAAA3rYBAAMAAAAAACmDU+TNe94I/IZeOc573gg+Q0lRLk5ZU0U6SUJNLklRX05BVFVSQUxfUkVTT1VSQ0VTX0NPU1QuMTk5MC4wNi8wMy8yMDI2Li4uVVNELkgBAAAA3rYBAAMAAAAAACmDU+TNe94I/IZeOc573ggwQ0lRLk5ZU0U6SUJNLklRX0dXX0lOVEFOLjE5OTAuMDYvMDMvMjAyNi4uLlVTRC5IAQAAAN62AQACAAAABTY2ODgxAQgAAAAFAAAAATEBAAAACy0xOTg1OTQ0OTIyAwAAAAMxNjACAAAABTM1MzgxBAAAAAEwBwAAAAgzLzYvMjAyNggAAAAJNi8zMC8yMDIzCQAAAAEwKYNT5M173gj8hl45znveCD1DSVEuTllTRTpJ</t>
  </si>
  <si>
    <t>Qk0uSVFfTlBQRV9FWENMX09QRVJfTEVBU0VTLjE5OTAuMDYvMDMvMjAyNi4uLlVTRC5IAQAAAN62AQACAAAABDU0NDMBCAAAAAUAAAABMQEAAAALLTE5ODU5NDQ5MjIDAAAAAzE2MAIAAAAFNDg5NzYEAAAAATAHAAAACDMvNi8yMDI2CAAAAAk2LzMwLzIwMjMJAAAAATApg1PkzXveCPyGXjnOe94INENJUS5OWVNFOklCTS5JUV9PVEhFUl9FUVVJVFkuMTk5MC4wNi8wMy8yMDI2Li4uVVNELkgBAAAA3rYBAAIAAAAGLTE2NDk5AQgAAAAFAAAAATEBAAAACy0xOTg1OTQ0OTIyAwAAAAMxNjACAAAABDEwMjgEAAAAATAHAAAACDMvNi8yMDI2CAAAAAk2LzMwLzIwMjMJAAAAATApg1PkzXveCPyGXjnOe94IN0NJUS5OWVNFOklCTS5JUV9GSU5fRElWX0RFQlRfTFQuMTk5MC4wNi8wMy8yMDI2Li4uVVNELkgBAAAA3rYBAAMAAAAAACmDU+TNe94I/IZeOc573ggvQ0lRLk5ZU0U6SUJNLklRX0xUX0RFQlQuMTk5MC4wNi8wMy8yMDI2Li4uVVNELkgBAAAA3rYBAAIAAAAFNTA0MjMBCAAAAAUAAAABMQEAAAALLTE5ODU5NDQ5MjIDAAAAAzE2MAIAAAAEMTA0OQQAAAABMAcAAAAIMy82LzIwMjYIAAAACTYvMzAvMjAyMwkAAAABMCmDU+TNe94I/IZeOc573ggtQ0lRLk5ZU0U6SUJNLklRX0FSX0xULjE5OTAuMDYvMDMvMjAyNi4uLlVTRC5IAQAAAN62AQADAAAAAAApg1PkzXveCPyGXjnOe94IJ0NJUS5OWVNFOklCTS5J</t>
  </si>
  <si>
    <t>UV9HQUFQX0NGLjE5OTAuMDYvMDMvMjAyNgEAAADetgEAAwAAAAAAKYNT5M173gj8hl45znveCDdDSVEuTllTRTpJQk0uSVFfTkVUX0RFQlRfSVNTVUVELjE5OTAuMDYvMDMvMjAyNi4uLlVTRC5IAQAAAN62AQACAAAABDY5NTYBCAAAAAUAAAABMQEAAAALLTE5ODU5NDQ5MjIDAAAAAzE2MAIAAAAEMjAwMwQAAAABMAcAAAAIMy82LzIwMjYIAAAACTYvMzAvMjAyMwkAAAABMCmDU+TNe94I/IZeOc573ggzQ0lRLk5ZU0U6SUJNLklRX0xFVkVSRURfRkNGLjE5OTAuMDYvMDMvMjAyNi4uLlVTRC5IAQAAAN62AQACAAAABzEwMDc0LjUBCAAAAAUAAAABMQEAAAALLTE5ODU5NDQ5MjIDAAAAAzE2MAIAAAAENDQyMgQAAAABMAcAAAAIMy82LzIwMjYIAAAACTYvMzAvMjAyMwkAAAABMCmDU+TNe94I/IZeOc573ghDQ0lRLk5ZU0U6SUJNLklRX1NBTEVfUFJPQ0VFRFNfUkVOVEFMX0FTU0VUUy4xOTkwLjA2LzAzLzIwMjYuLi5VU0QuSAEAAADetgEAAwAAAAAAKYNT5M173gjEwV45znveCDJDSVEuTllTRTpJQk0uSVFfQ09NTU9OX1JFUC4xOTkwLjA2LzAzLzIwMjYuLi5VU0QuSAEAAADetgEAAgAAAAQtMzMyAQgAAAAFAAAAATEBAAAACy0xOTg1OTQ0OTIyAwAAAAMxNjACAAAABDIxNjQEAAAAATAHAAAACDMvNi8yMDI2CAAAAAk2LzMwLzIwMjMJAAAAATApg1PkzXveCMTBXjnOe94IO0NJUS5OWVNFOklCTS5JUV9T</t>
  </si>
  <si>
    <t>QUxFX1JFQUxfRVNUQVRFX0NGLjE5OTAuMDYvMDMvMjAyNi4uLlVTRC5IAQAAAN62AQADAAAAAAApg1PkzXveCMTBXjnOe94IM0NJUS5OWVNFOklCTS5JUV9TQUxFX1BQRV9DRi4xOTkwLjA2LzAzLzIwMjYuLi5VU0QuSAEAAADetgEAAgAAAAI0NgEIAAAABQAAAAExAQAAAAstMTk4NTk0NDkyMgMAAAADMTYwAgAAAAQyMDQyBAAAAAEwBwAAAAgzLzYvMjAyNggAAAAJNi8zMC8yMDIzCQAAAAEwKYNT5M173gjEwV45znveCDlDSVEuTllTRTpJQk0uSVFfUFJPVl9CQURfREVCVFNfQ0YuMTk5MC4wNi8wMy8yMDI2Li4uVVNELkgBAAAA3rYBAAMAAAAAACmDU+TNe94IxMFeOc573gg5Q0lRLk5ZU0U6SUJNLklRX0dXX0lOVEFOX0FNT1JUX0NGLjE5OTAuMDYvMDMvMjAyNi4uLlVTRC5IAQAAAN62AQACAAAABDE2MDABCAAAAAUAAAABMQEAAAALLTE5ODU5NDQ5MjIDAAAAAzE2MAIAAAAEMjE4MgQAAAABMAcAAAAIMy82LzIwMjYIAAAACTYvMzAvMjAyMwkAAAABMC6qU+TNe94IxMFeOc573gg5Q0lRLk5ZU0U6SUJNLklRX1NUT0NLX0JBU0VEX1RPVEFMLjE5OTAuMDYvMDMvMjAyNi4uLlVTRC5IAQAAAN62AQACAAAABDEwNTYBCAAAAAUAAAABMQEAAAALLTE5ODU5NDQ5MjIDAAAAAzE2MAIAAAAFMjQwMzQEAAAAATAHAAAACDMvNi8yMDI2CAAAAAk2LzMwLzIwMjMJAAAAATAuqlPkzXveCMTBXjnOe94ILkNJUS5O</t>
  </si>
  <si>
    <t>WVNFOklCTS5JUV9DT1NUX0JPUlJPV0lORy4xOTkwLjA2LzAzLzIwMjYBAAAA3rYBAAIAAAAGMi40NjEzAQgAAAAFAAAAATEBAAAACy0xOTg1OTQ0OTIyAwAAAAMxNjACAAAABTIxNjgxBAAAAAEwBwAAAAgzLzYvMjAyNggAAAAJNi8zMC8yMDIzCQAAAAEwLqpT5M173gjEwV45znveCC9DSVEuTllTRTpJQk0uSVFfUkFXX0lOVi4xOTkwLjA2LzAzLzIwMjYuLi5VU0QuSAEAAADetgEAAwAAAAAALqpT5M173gjEwV45znveCDFDSVEuTllTRTpJQk0uSVFfVEJWX1NIQVJFLjE5OTAuMDYvMDMvMjAyNi4uLlVTRC5IAQAAAN62AQACAAAACi00OS4wNDQ2NjkBCAAAAAUAAAABMQEAAAALLTE5ODU5NDQ5MjIDAAAAAzE2MAIAAAAENDE1NgQAAAABMAcAAAAIMy82LzIwMjYIAAAACTYvMzAvMjAyMwkAAAABMC6qU+TNe94I+eheOc573ghAQ0lRLk5ZU0U6SUJNLklRX0ZJTkFOQ0VfTEVBU0VTX0xPTkdfVEVSTS4xOTkwLjA2LzAzLzIwMjYuLi5VU0QuSAEAAADetgEAAgAAAAMyNjgBCAAAAAUAAAABMQEAAAALLTE5ODU5NDQ5MjIDAAAAAzE2MAIAAAAFNDg5OTEEAAAAATAHAAAACDMvNi8yMDI2CAAAAAk2LzMwLzIwMjMJAAAAATAuqlPkzXveCPnoXjnOe94IOENJUS5OWVNFOklCTS5JUV9GSU5fRElWX0xPQU5TX0xULjE5OTAuMDYvMDMvMjAyNi4uLlVTRC5IAQAAAN62AQACAAAABDUyMjEBCAAAAAUAAAABMQEAAAAL</t>
  </si>
  <si>
    <t>LTE5ODU5NDQ5MjIDAAAAAzE2MAIAAAAEMTAzMwQAAAABMAcAAAAIMy82LzIwMjYIAAAACTYvMzAvMjAyMwkAAAABMC6qU+TNe94I+eheOc573ggsQ0lRLk5ZU0U6SUJNLklRX05QUEUuMTk5MC4wNi8wMy8yMDI2Li4uVVNELkgBAAAA3rYBAAIAAAAEODA5NgEIAAAABQAAAAExAQAAAAstMTk4NTk0NDkyMgMAAAADMTYwAgAAAAQxMDA0BAAAAAEwBwAAAAgzLzYvMjAyNggAAAAJNi8zMC8yMDIzCQAAAAEwLqpT5M173gj56F45znveCC1DSVEuTllTRTpJQk0uSVFfRklMSU5HREFURV9CUy4xOTkwLjA2LzAzLzIwMjYBAAAA3rYBAAUAAAAKMzAvMDcvMjAyNAAuqlPkzXveCPnoXjnOe94ITkNJUS5OWVNFOklCTS5JUV9DVVJSRU5UX1BPUlRJT05fT1BFUl9MRUFTRV9MSUFCSUxJVElFUy4xOTkwLjA2LzAzLzIwMjYuLi5VU0QuSAEAAADetgEAAgAAAAM4NDIBCAAAAAUAAAABMQEAAAALLTE5ODU5NDQ5MjIDAAAAAzE2MAIAAAAFNDgzODUEAAAAATAHAAAACDMvNi8yMDI2CAAAAAk2LzMwLzIwMjMJAAAAATAuqlPkzXveCPnoXjnOe94IOUNJUS5OWVNFOklCTS5JUV9UT1RBTF9MSUFCX0VRVUlUWS4xOTkwLjA2LzAzLzIwMjYuLi5VU0QuSAEAAADetgEAAgAAAAYxMzIyMTMBCAAAAAUAAAABMQEAAAALLTE5ODU5NDQ5MjIDAAAAAzE2MAIAAAAEMTAxMwQAAAABMAcAAAAIMy82LzIwMjYIAAAACTYvMzAvMjAyMwkA</t>
  </si>
  <si>
    <t>AAABMC6qU+TNe94I+eheOc573gg5Q0lRLk5ZU0U6SUJNLklRX01JTk9SSVRZX0lOVEVSRVNULjE5OTAuMDYvMDMvMjAyNi4uLlVTRC5IAQAAAN62AQACAAAAAjcwAQgAAAAFAAAAATEBAAAACy0xOTg1OTQ0OTIyAwAAAAMxNjACAAAABDEwNTIEAAAAATAHAAAACDMvNi8yMDI2CAAAAAk2LzMwLzIwMjMJAAAAATAuqlPkzXveCPnoXjnOe94IKkNJUS5OWVNFOklCTS5JUV9BRS4xOTkwLjA2LzAzLzIwMjYuLi5VU0QuSAEAAADetgEAAgAAAAQ2NTYyAQgAAAAFAAAAATEBAAAACy0xOTg1OTQ0OTIyAwAAAAMxNjACAAAABDEwMTYEAAAAATAHAAAACDMvNi8yMDI2CAAAAAk2LzMwLzIwMjMJAAAAATAuqlPkzXveCPnoXjnOe94IKkNJUS5OWVNFOklCTS5JUV9HVy4xOTkwLjA2LzAzLzIwMjYuLi5VU0QuSAEAAADetgEAAgAAAAU1NjM4NQEIAAAABQAAAAExAQAAAAstMTk4NTk0NDkyMgMAAAADMTYwAgAAAAQxMTcxBAAAAAEwBwAAAAgzLzYvMjAyNggAAAAJNi8zMC8yMDIzCQAAAAEwLqpT5M173gj56F45znveCD5DSVEuTllTRTpJQk0uSVFfRklOX0RJVl9BU1NFVFNfQ1VSUkVOVC4xOTkwLjA2LzAzLzIwMjYuLi5VU0QuSAEAAADetgEAAgAAAAM4NjUBCAAAAAUAAAABMQEAAAALLTE5ODU5NDQ5MjIDAAAAAzE2MAIAAAAEMTAyOQQAAAABMAcAAAAIMy82LzIwMjYIAAAACTYvMzAvMjAyMwkAAAABMC6qU+TNe94I</t>
  </si>
  <si>
    <t>gxBfOc573gg0Q0lRLk5ZU0U6SUJNLklRX09USEVSX1JFQ0VJVi4xOTkwLjA2LzAzLzIwMjYuLi5VU0QuSAEAAADetgEAAgAAAAM3OTIBCAAAAAUAAAABMQEAAAALLTE5ODU5NDQ5MjIDAAAAAzE2MAIAAAAEMTIwNgQAAAABMAcAAAAIMy82LzIwMjYIAAAACTYvMzAvMjAyMwkAAAABMC6qU+TNe94IgxBfOc573gg2Q0lRLk5ZU0U6SUJNLklRX1RSQURJTkdfQVNTRVRTLjE5OTAuMDYvMDMvMjAyNi4uLlVTRC5IAQAAAN62AQADAAAAAAAuqlPkzXveCIMQXznOe94IQENJUS5OWVNFOklCTS5JUV9PUEVSQVRJTkdfTEVBU0VfUEFZTUVOVFMuMTk5MC4wNi8wMy8yMDI2Li4uVVNELkgBAAAA3rYBAAMAAAAAAC6qU+TNe94IgxBfOc573gg7Q0lRLk5ZU0U6SUJNLklRX0xJQUJJTElUSUVTX0xFVkVMXzEuMTk5MC4wNi8wMy8yMDI2Li4uVVNELkgBAAAA3rYBAAMAAAAAAC6qU+TNe94I+eheOc573ggzQ0lRLk5ZU0U6SUJNLklRX1dPUktJTkdfQ0FQLjE5OTAuMDYvMDMvMjAyNi4uLlVTRC5IAQAAAN62AQACAAAABDE5NDUBCAAAAAUAAAABMQEAAAALLTE5ODU5NDQ5MjIDAAAAAzE2MAIAAAAENDE2NQQAAAABMAcAAAAIMy82LzIwMjYIAAAACTYvMzAvMjAyMwkAAAABMC6qU+TNe94IdShfOc573ggyQ0lRLk5ZU0U6SUJNLklRX1RPVEFMX0RFQlQuMTk5MC4wNi8wMy8yMDI2Li4uVVNELkgBAAAA3rYBAAIAAAAFNjAz</t>
  </si>
  <si>
    <t>MDQBCAAAAAUAAAABMQEAAAALLTE5ODU5NDQ5MjIDAAAAAzE2MAIAAAAENDE3MwQAAAABMAcAAAAIMy82LzIwMjYIAAAACTYvMzAvMjAyMwkAAAABMC6qU+TNe94IdShfOc573ggsQ0lRLk5ZU0U6SUJNLklRX0dQUEUuMTk5MC4wNi8wMy8yMDI2Li4uVVNELkgBAAAA3rYBAAIAAAAFMjEyNDEBCAAAAAUAAAABMQEAAAALLTE5ODU5NDQ5MjIDAAAAAzE2MAIAAAAEMTE2OQQAAAABMAcAAAAIMy82LzIwMjYIAAAACTYvMzAvMjAyMwkAAAABMC6qU+TNe94IgxBfOc573ggzQ0lRLk5ZU0U6SUJNLklRX1BSRUZfUkVERUVNLjE5OTAuMDYvMDMvMjAyNi4uLlVTRC5IAQAAAN62AQADAAAAAAAuqlPkzXveCIMQXznOe94IO0NJUS5OWVNFOklCTS5JUV9JTkNfVEFYX1BBWV9DVVJSRU5ULjE5OTAuMDYvMDMvMjAyNi4uLlVTRC5IAQAAAN62AQACAAAABDE2MDYBCAAAAAUAAAABMQEAAAALLTE5ODU5NDQ5MjIDAAAAAzE2MAIAAAAEMTA5NAQAAAABMAcAAAAIMy82LzIwMjYIAAAACTYvMzAvMjAyMwkAAAABMC6qU+TNe94IgxBfOc573gg8Q0lRLk5ZU0U6SUJNLklRX0ZJTl9ESVZfREVCVF9DVVJSRU5ULjE5OTAuMDYvMDMvMjAyNi4uLlVTRC5IAQAAAN62AQADAAAAAAAuqlPkzXveCHUoXznOe94IOUNJUS5OWVNFOklCTS5JUV9DVVJSRU5UX1BPUlRfREVCVC4xOTkwLjA2LzAzLzIwMjYuLi5VU0QuSAEAAADetgEAAgAA</t>
  </si>
  <si>
    <t>AAQ2NzgwAQgAAAAFAAAAATEBAAAACy0xOTg1OTQ0OTIyAwAAAAMxNjACAAAABDEyOTcEAAAAATAHAAAACDMvNi8yMDI2CAAAAAk2LzMwLzIwMjMJAAAAATAuqlPkzXveCHUoXznOe94IM0NJUS5OWVNFOklCTS5JUV9QUkVQQUlEX0VYUC4xOTkwLjA2LzAzLzIwMjYuLi5VU0QuSAEAAADetgEAAgAAAAQxOTE0AQgAAAAFAAAAATEBAAAACy0xOTg1OTQ0OTIyAwAAAAMxNjACAAAABDEyMTIEAAAAATAHAAAACDMvNi8yMDI2CAAAAAk2LzMwLzIwMjMJAAAAATAuqlPkzXveCHUoXznOe94ILkNJUS5OWVNFOklCTS5JUV9SRVNUQVRFTUVOVF9DRi4xOTkwLjA2LzAzLzIwMjYBAAAA3rYBAAMAAAACUlMALqpT5M173gh1KF85znveCClDSVEuTllTRTpJQk0uSVFfUEFSVF9USU1FLjE5OTAuMDYvMDMvMjAyNgEAAADetgEAAwAAAAAALqpT5M173gh1KF85znveCFBDSVEuTllTRTpJQk0uSVFfRklOQU5DSU5HX09CTElHX0NVUlJFTlRfRVhDTF9PUEVSX0xFQVNFUy4xOTkwLjA2LzAzLzIwMjYuLi5VU0QuSAEAAADetgEAAgAAAAQ2Nzg1AQgAAAAFAAAAATEBAAAACy0xOTg1OTQ0OTIyAwAAAAMxNjACAAAABTQ4OTgwBAAAAAEwBwAAAAgzLzYvMjAyNggAAAAJNi8zMC8yMDIzCQAAAAEwLqpT5M173gh1KF85znveCDxDSVEuTllTRTpJQk0uSVFfREVGX1RBWF9MSUFCX0NVUlJFTlQuMTk5MC4wNi8wMy8yMDI2Li4uVVNE</t>
  </si>
  <si>
    <t>LkgBAAAA3rYBAAMAAAAAAC6qU+TNe94IdShfOc573gg5Q0lRLk5ZU0U6SUJNLklRX0FTU0VUU19GQUlSX1ZBTFVFLjE5OTAuMDYvMDMvMjAyNi4uLlVTRC5IAQAAAN62AQACAAAABTEyMDYzAC6qU+TNe94IdShfOc573ghOQ0lRLk5ZU0U6SUJNLklRX0xJUVVJREFUSU9OX1ZBTFVFX1BSRUZFUlJFRF9OT05fUkVERUVNLjE5OTAuMDYvMDMvMjAyNi4uLlVTRC5IAQAAAN62AQADAAAAAAAuqlPkzXveCHUoXznOe94IP0NJUS5OWVNFOklCTS5JUV9SVUFfT1BFUkFUSU5HX0xFQVNFX05FVC4xOTkwLjA2LzAzLzIwMjYuLi5VU0QuSAEAAADetgEAAwAAAAAALqpT5M173gh1KF85znveCDBDSVEuTllTRTpJQk0uSVFfVFJFQVNVUlkuMTk5MC4wNi8wMy8yMDI2Li4uVVNELkgBAAAA3rYBAAIAAAAHLTE2OTU4MQEIAAAABQAAAAExAQAAAAstMTk4NTk0NDkyMgMAAAADMTYwAgAAAAQxMjQ4BAAAAAEwBwAAAAgzLzYvMjAyNggAAAAJNi8zMC8yMDIzCQAAAAEwLqpT5M173ggBUF85znveCCxDSVEuTllTRTpJQk0uSVFfQVBJQy4xOTkwLjA2LzAzLzIwMjYuLi5VU0QuSAEAAADetgEAAwAAAAAALqpT5M173ggBUF85znveCDNDSVEuTllTRTpJQk0uSVFfUFJFRl9FUVVJVFkuMTk5MC4wNi8wMy8yMDI2Li4uVVNELkgBAAAA3rYBAAMAAAAAAC6qU+TNe94IAVBfOc573gg2Q0lRLk5ZU0U6SUJNLklRX0NBU0hfU1RfSU5W</t>
  </si>
  <si>
    <t>RVNULjE5OTAuMDYvMDMvMjAyNi4uLlVTRC5IAQAAAN62AQACAAAABTE2Mjk4AQgAAAAFAAAAATEBAAAACy0xOTg1OTQ0OTIyAwAAAAMxNjACAAAABDEwMDIEAAAAATAHAAAACDMvNi8yMDI2CAAAAAk2LzMwLzIwMjMJAAAAATAuqlPkzXveCAFQXznOe94IQ0NJUS5OWVNFOklCTS5JUV9PUEVSQVRJTkdfTEVBU0VfTElBQklMSVRJRVMuMTk5MC4wNi8wMy8yMDI2Li4uVVNELkgBAAAA3rYBAAMAAAAAAC6qU+TNe94IAVBfOc573gg8Q0lRLk5ZU0U6SUJNLklRX1RPVEFMX0ZJTkFOQ0VfTEVBU0VTLjE5OTAuMDYvMDMvMjAyNi4uLlVTRC5IAQAAAN62AQACAAAAAzI2OAEIAAAABQAAAAExAQAAAAstMTk4NTk0NDkyMgMAAAADMTYwAgAAAAU0OTAzMQQAAAABMAcAAAAIMy82LzIwMjYIAAAACTYvMzAvMjAyMwkAAAABMC6qU+TNe94I5HZfOc573gg+Q0lRLk5ZU0U6SUJNLklRX0ZJTkFOQ0VfTEVBU0VTX0NVUlJFTlQuMTk5MC4wNi8wMy8yMDI2Li4uVVNELkgBAAAA3rYBAAMAAAAAAC6qU+TNe94I5HZfOc573gg7Q0lRLk5ZU0U6SUJNLklRX0FEX0VYQ0xfT1BFUl9MRUFTRVMuMTk5MC4wNi8wMy8yMDI2Li4uVVNELkgBAAAA3rYBAAIAAAAGLTEzMTQ1AQgAAAAFAAAAATEBAAAACy0xOTg1OTQ0OTIyAwAAAAMxNjACAAAABTQ4OTc1BAAAAAEwBwAAAAgzLzYvMjAyNggAAAAJNi8zMC8yMDIzCQAAAAEwLqpT5M17</t>
  </si>
  <si>
    <t>3ggBUF85znveCCpDSVEuTllTRTpJQk0uSVFfQVAuMTk5MC4wNi8wMy8yMDI2Li4uVVNELkgBAAAA3rYBAAIAAAAEMzczMgEIAAAABQAAAAExAQAAAAstMTk4NTk0NDkyMgMAAAADMTYwAgAAAAQxMDE4BAAAAAEwBwAAAAgzLzYvMjAyNggAAAAJNi8zMC8yMDIzCQAAAAEwLqpT5M173ggBUF85znveCDdDSVEuTllTRTpJQk0uSVFfT1RIRVJfTFRfQVNTRVRTLjE5OTAuMDYvMDMvMjAyNi4uLlVTRC5IAQAAAN62AQACAAAABDg3NDMBCAAAAAUAAAABMQEAAAALLTE5ODU5NDQ5MjIDAAAAAzE2MAIAAAAEMTA2MAQAAAABMAcAAAAIMy82LzIwMjYIAAAACTYvMzAvMjAyMwkAAAABMC6qU+TNe94IAVBfOc573ggxQ0lRLk5ZU0U6SUJNLklRX0xUX0lOVkVTVC4xOTkwLjA2LzAzLzIwMjYuLi5VU0QuSAEAAADetgEAAgAAAAQxNTc3AQgAAAAFAAAAATEBAAAACy0xOTg1OTQ0OTIyAwAAAAMxNjACAAAABDEwNTQEAAAAATAHAAAACDMvNi8yMDI2CAAAAAk2LzMwLzIwMjMJAAAAATAuqlPkzXveCOR2XznOe94IKkNJUS5OWVNFOklCTS5JUV9BRC4xOTkwLjA2LzAzLzIwMjYuLi5VU0QuSAEAAADetgEAAgAAAAYtMTMxNDUBCAAAAAUAAAABMQEAAAALLTE5ODU5NDQ5MjIDAAAAAzE2MAIAAAAEMTA3NQQAAAABMAcAAAAIMy82LzIwMjYIAAAACTYvMzAvMjAyMwkAAAABMC6qU+TNe94I5HZfOc573gg0Q0lRLk5ZU0U6SUJN</t>
  </si>
  <si>
    <t>LklRX1RPVEFMX1JFQ0VJVi4xOTkwLjA2LzAzLzIwMjYuLi5VU0QuSAEAAADetgEAAgAAAAQ2OTEyAQgAAAAFAAAAATEBAAAACy0xOTg1OTQ0OTIyAwAAAAMxNjACAAAABDEwMDEEAAAAATAHAAAACDMvNi8yMDI2CAAAAAk2LzMwLzIwMjMJAAAAATAuqlPkzXveCOR2XznOe94IO0NJUS5OWVNFOklCTS5JUV9HQUlOX0JBUkdBSU5fQUNRX0NGLjE5OTAuMDYvMDMvMjAyNi4uLlVTRC5IAQAAAN62AQADAAAAAAAuqlPkzXveCOR2XznOe94IQkNJUS5OWVNFOklCTS5JUV9DSEFOR0VfTkVUX1dPUktJTkdfQ0FQSVRBTC4xOTkwLjA2LzAzLzIwMjYuLi5VU0QuSAEAAADetgEAAgAAAAUtMjA4NQEIAAAABQAAAAExAQAAAAstMTk4NTk0NDkyMgMAAAADMTYwAgAAAAQ0NDIxBAAAAAEwBwAAAAgzLzYvMjAyNggAAAAJNi8zMC8yMDIzCQAAAAEwLqpT5M173gjkdl85znveCEBDSVEuTllTRTpJQk0uSVFfQU1PUlRfU09GVFdBUkVfQVNTRVRTX0NGLjE5OTAuMDYvMDMvMjAyNi4uLlVTRC5IAQAAAN62AQACAAAAAzY0OAEIAAAABQAAAAExAQAAAAstMTk4NTk0NDkyMgMAAAADMTYwAgAAAAU0NjAxMQQAAAABMAcAAAAIMy82LzIwMjYIAAAACTYvMzAvMjAyMwkAAAABMC6qU+TNe94IDp5fOc573ggyQ0lRLk5ZU0U6SUJNLklRX05FVF9DSEFOR0UuMTk5MC4wNi8wMy8yMDI2Li4uVVNELkgBAAAA3rYBAAIAAAAEMjE3MAEI</t>
  </si>
  <si>
    <t>AAAABQAAAAExAQAAAAstMTk4NTk0NDkyMgMAAAADMTYwAgAAAAQyMDkzBAAAAAEwBwAAAAgzLzYvMjAyNggAAAAJNi8zMC8yMDIzCQAAAAEwLqpT5M173gjkdl85znveCDJDSVEuTllTRTpJQk0uSVFfQ0FTSF9GSU5BTi4xOTkwLjA2LzAzLzIwMjYuLi5VU0QuSAEAAADetgEAAgAAAAM4MzkBCAAAAAUAAAABMQEAAAALLTE5ODU5NDQ5MjIDAAAAAzE2MAIAAAAEMjAwNAQAAAABMAcAAAAIMy82LzIwMjYIAAAACTYvMzAvMjAyMwkAAAABMC6qU+TNe94I5HZfOc573ggpQ0lRLk5ZU0U6SUJNLklRX0ZVTExfVElNRS4xOTkwLjA2LzAzLzIwMjYBAAAA3rYBAAMAAAAAAC6qU+TNe94I5HZfOc573ghDQ0lRLk5ZU0U6SUJNLklRX0RFRl9UQVhfVkFMVUFUSU9OX0FMTE9XQU5DRS4xOTkwLjA2LzAzLzIwMjYuLi5VU0QuSAEAAADetgEAAwAAAAAALqpT5M173gjkdl85znveCDtDSVEuTllTRTpJQk0uSVFfTUlOT1JJVFlfSU5UX1JFREVFTS4xOTkwLjA2LzAzLzIwMjYuLi5VU0QuSAEAAADetgEAAwAAAAAALqpT5M173ggOnl85znveCDRDSVEuTllTRTpJQk0uSVFfRklOSVNIRURfSU5WLjE5OTAuMDYvMDMvMjAyNi4uLlVTRC5IAQAAAN62AQACAAAAAzE3NAEIAAAABQAAAAExAQAAAAstMTk4NTk0NDkyMgMAAAADMTYwAgAAAAQzMDc1BAAAAAEwBwAAAAgzLzYvMjAyNggAAAAJNi8zMC8yMDIzCQAAAAEwLqpT5M17</t>
  </si>
  <si>
    <t>3ggOnl85znveCC1DSVEuTllTRTpJQk0uSVFfTElGT1IuMTk5MC4wNi8wMy8yMDI2Li4uVVNELkgBAAAA3rYBAAMAAAAAAC6qU+TNe94IDp5fOc573gg4Q0lRLk5ZU0U6SUJNLklRX0FMTE9XX0RPVUJUX0FDQ1QuMTk5MC4wNi8wMy8yMDI2Li4uVVNELkgBAAAA3rYBAAIAAAADMjE3AQgAAAAFAAAAATEBAAAACy0xOTg1OTQ0OTIyAwAAAAMxNjACAAAABDMwMTIEAAAAATAHAAAACDMvNi8yMDI2CAAAAAk2LzMwLzIwMjMJAAAAATAuqlPkzXveCA6eXznOe94IOUNJUS5OWVNFOklCTS5JUV9ERUZfVEFYX0FTU0VUU19MVC4xOTkwLjA2LzAzLzIwMjYuLi5VU0QuSAEAAADetgEAAgAAAAQ2MzQwAQgAAAAFAAAAATEBAAAACy0xOTg1OTQ0OTIyAwAAAAMxNjACAAAABDEwMjYEAAAAATAHAAAACDMvNi8yMDI2CAAAAAk2LzMwLzIwMjMJAAAAATAuqlPkzXveCA6eXznOe94IPUNJUS5OWVNFOklCTS5JUV9GSU5fRElWX0xPQU5TX0NVUlJFTlQuMTk5MC4wNi8wMy8yMDI2Li4uVVNELkgBAAAA3rYBAAIAAAAENTU2NAEIAAAABQAAAAExAQAAAAstMTk4NTk0NDkyMgMAAAADMTYwAgAAAAQxMDMyBAAAAAEwBwAAAAgzLzYvMjAyNggAAAAJNi8zMC8yMDIzCQAAAAEwLqpT5M173ggOnl85znveCDJDSVEuTllTRTpJQk0uSVFfVE9UQUxfTElBQi4xOTkwLjA2LzAzLzIwMjYuLi5VU0QuSAEAAADetgEAAgAAAAYxMDk5NDIB</t>
  </si>
  <si>
    <t>CAAAAAUAAAABMQEAAAALLTE5ODU5NDQ5MjIDAAAAAzE2MAIAAAAEMTI3NgQAAAABMAcAAAAIMy82LzIwMjYIAAAACTYvMzAvMjAyMwkAAAABMC6qU+TNe94IDp5fOc573gg3Q0lRLk5ZU0U6SUJNLklRX0RFRl9UQVhfTElBQl9MVC4xOTkwLjA2LzAzLzIwMjYuLi5VU0QuSAEAAADetgEAAwAAAAAALqpT5M173ggOnl85znveCDVDSVEuTllTRTpJQk0uSVFfVU5FQVJOX1JFVl9MVC4xOTkwLjA2LzAzLzIwMjYuLi5VU0QuSAEAAADetgEAAgAAAAQzMjY0AQgAAAAFAAAAATEBAAAACy0xOTg1OTQ0OTIyAwAAAAMxNjACAAAABDEyNTYEAAAAATAHAAAACDMvNi8yMDI2CAAAAAk2LzMwLzIwMjMJAAAAATAuqlPkzXveCA6eXznOe94IO0NJUS5OWVNFOklCTS5JUV9DVVJSRU5UX1BPUlRfTEVBU0VTLjE5OTAuMDYvMDMvMjAyNi4uLlVTRC5IAQAAAN62AQACAAAAAzg0MgEIAAAABQAAAAExAQAAAAstMTk4NTk0NDkyMgMAAAADMTYwAgAAAAQxMDkwBAAAAAEwBwAAAAgzLzYvMjAyNggAAAAJNi8zMC8yMDIzCQAAAAEwLqpT5M173ggOnl85znveCDBDSVEuTllTRTpJQk0uSVFfVE9UQUxfQ0EuMTk5MC4wNi8wMy8yMDI2Li4uVVNELkgBAAAA3rYBAAIAAAAFMzQ0NTgBCAAAAAUAAAABMQEAAAALLTE5ODU5NDQ5MjIDAAAAAzE2MAIAAAAEMTAwOAQAAAABMAcAAAAIMy82LzIwMjYIAAAACTYvMzAvMjAyMwkAAAABMC6q</t>
  </si>
  <si>
    <t>U+TNe94IJcVfOc573ggxQ0lRLk5ZU0U6SUJNLklRX1NUX0lOVkVTVC4xOTkwLjA2LzAzLzIwMjYuLi5VU0QuSAEAAADetgEAAgAAAAQ2OTA0AQgAAAAFAAAAATEBAAAACy0xOTg1OTQ0OTIyAwAAAAMxNjACAAAABDEwNjkEAAAAATAHAAAACDMvNi8yMDI2CAAAAAk2LzMwLzIwMjMJAAAAATAuqlPkzXveCCXFXznOe94INUNJUS5OWVNFOklCTS5JUV9ET19GSU5BTkNFX0NGLjE5OTAuMDYvMDMvMjAyNi4uLlVTRC5IAQAAAN62AQADAAAAAAAuqlPkzXveCCXFXznOe94IO0NJUS5OWVNFOklCTS5JUV9DQVNIX0lOVEVSRVNUX0ZJTkFOLjE5OTAuMDYvMDMvMjAyNi4uLlVTRC5IAQAAAN62AQADAAAAAAAuqlPkzXveCCXFXznOe94IPkNJUS5OWVNFOklCTS5JUV9DQVNIX0lOVEVSRVNUX1JFQ0VJVkVELjE5OTAuMDYvMDMvMjAyNi4uLlVTRC5IAQAAAN62AQADAAAAAAAuqlPkzXveCA6eXznOe94IO0NJUS5OWVNFOklCTS5JUV9EQV9TVVBQTF9QQVJUSUFMX0NGLjE5OTAuMDYvMDMvMjAyNi4uLlVTRC5IAQAAAN62AQADAAAAAAAuqlPkzXveCCXFXznOe94IRUNJUS5OWVNFOklCTS5JUV9DVVJSRU5UX1BPUlRfREVCVF9ERVJJVkFUSVZFUy4xOTkwLjA2LzAzLzIwMjYuLi5VU0QuSAEAAADetgEAAwAAAAAALqpT5M173gglxV85znveCDlDSVEuTllTRTpJQk0uSVFfVE9UQUxfT1VUU1RBTkRJTkdfQlNfREFURS4x</t>
  </si>
  <si>
    <t>OTkwLjA2LzAzLzIwMjYBAAAA3rYBAAIAAAAJOTExLjAwNjI0AQQAAAAFAAAAATUBAAAACy0xOTg1OTQ0OTIyAgAAAAUyNDE1MgYAAAABMC6qU+TNe94IJcVfOc573gg9Q0lRLk5ZU0U6SUJNLklRX0xFQVNFSE9MRF9JTVBST1ZFTUVOVC4xOTkwLjA2LzAzLzIwMjYuLi5VU0QuSAEAAADetgEAAwAAAAAALqpT5M173gglxV85znveCCtDSVEuTllTRTpJQk0uSVFfVEJWLjE5OTAuMDYvMDMvMjAyNi4uLlVTRC5IAQAAAN62AQACAAAABi00NDY4MAEIAAAABQAAAAExAQAAAAstMTk4NTk0NDkyMgMAAAADMTYwAgAAAAQxMzEwBAAAAAEwBwAAAAgzLzYvMjAyNggAAAAJNi8zMC8yMDIzCQAAAAEwLqpT5M173gglxV85znveCEVDSVEuTllTRTpJQk0uSVFfUlVBX09QRVJBVElOR19MRUFTRV9BQ0NVTV9ERVAuMTk5MC4wNi8wMy8yMDI2Li4uVVNELkgBAAAA3rYBAAMAAAAAAC6qU+TNe94IL+xfOc573gg9Q0lRLk5ZU0U6SUJNLklRX1JVQV9DQVBJVEFMX0xFQVNFX05FVC4xOTkwLjA2LzAzLzIwMjYuLi5VU0QuSAEAAADetgEAAwAAAAAALqpT5M173ggv7F85znveCD9DSVEuTllTRTpJQk0uSVFfUlVBX0NBUElUQUxfTEVBU0VfR1JPU1MuMTk5MC4wNi8wMy8yMDI2Li4uVVNELkgBAAAA3rYBAAMAAAAAAC6qU+TNe94IJcVfOc573ggyQ0lRLk5ZU0U6SUJNLklRX1BSRUZfT1RIRVIuMTk5MC4wNi8wMy8yMDI2Li4u</t>
  </si>
  <si>
    <t>VVNELkgBAAAA3rYBAAMAAAAAAC6qU+TNe94IJcVfOc573ggxQ0lRLk5ZU0U6SUJNLklRX01BQ0hJTkVSWS4xOTkwLjA2LzAzLzIwMjYuLi5VU0QuSAEAAADetgEAAwAAAAAALqpT5M173gglxV85znveCEtDSVEuTllTRTpJQk0uSVFfT1BFUkFUSU5HX0xFQVNFX0xJQUJJTElUSUVTX05PTkNBU0guMTk5MC4wNi8wMy8yMDI2Li4uVVNELkgBAAAA3rYBAAMAAAAAAC6qU+TNe94IL+xfOc573gg2Q0lRLk5ZU0U6SUJNLklRX01JU0NfQURKVVNUX0NGLjE5OTAuMDYvMDMvMjAyNi4uLlVTRC5IAQAAAN62AQADAAAAAAAuqlPkzXveCC/sXznOe94IOkNJUS5OWVNFOklCTS5JUV9DT01NT05fUFJFRl9ESVZfQ0YuMTk5MC4wNi8wMy8yMDI2Li4uVVNELkgBAAAA3rYBAAMAAAAAAC6qU+TNe94IL+xfOc573ggxQ0lRLk5ZU0U6SUJNLklRX0RJVkVTVF9DRi4xOTkwLjA2LzAzLzIwMjYuLi5VU0QuSAEAAADetgEAAgAAAAIxMAEIAAAABQAAAAExAQAAAAstMTk4NTk0NDkyMgMAAAADMTYwAgAAAAQyMDc3BAAAAAEwBwAAAAgzLzYvMjAyNggAAAAJNi8zMC8yMDIzCQAAAAEwLqpT5M173ggv7F85znveCC1DSVEuTllTRTpJQk0uSVFfRE9fQ0YuMTk5MC4wNi8wMy8yMDI2Li4uVVNELkgBAAAA3rYBAAMAAAAAAC6qU+TNe94IL+xfOc573gg7Q0lRLk5ZU0U6SUJNLklRX1RBWF9CRU5FRklUX09QVElPTlMuMTk5MC4wNi8w</t>
  </si>
  <si>
    <t>My8yMDI2Li4uVVNELkgBAAAA3rYBAAMAAAAAAC6qU+TNe94IL+xfOc573ggzQ0lRLk5ZU0U6SUJNLklRX0lQUkRfU1VQUExFLjE5OTAuMDYvMDMvMjAyNi4uLlVTRC5IAQAAAN62AQADAAAAAAAuqlPkzXveCC/sXznOe94IN0NJUS5OWVNFOklCTS5JUV9QUkVGX05PTl9SRURFRU0uMTk5MC4wNi8wMy8yMDI2Li4uVVNELkgBAAAA3rYBAAMAAAAAAC6qU+TNe94IL+xfOc573ggyQ0lRLk5ZU0U6SUJNLklRX0NBU0hfVEFYRVMuMTk5MC4wNi8wMy8yMDI2Li4uVVNELkgBAAAA3rYBAAIAAAAEMTg2NQEIAAAABQAAAAExAQAAAAstMTk4NTk0NDkyMgMAAAADMTYwAgAAAAQzMDUzBAAAAAEwBwAAAAgzLzYvMjAyNggAAAAJNi8zMC8yMDIzCQAAAAEwLqpT5M173ggv7F85znveCDlDSVEuTllTRTpJQk0uSVFfVE9UQUxfREVCVF9JU1NVRUQuMTk5MC4wNi8wMy8yMDI2Li4uVVNELkgBAAAA3rYBAAIAAAAFMTMwNTEBCAAAAAUAAAABMQEAAAALLTE5ODU5NDQ5MjIDAAAAAzE2MAIAAAAEMjE2MQQAAAABMAcAAAAIMy82LzIwMjYIAAAACTYvMzAvMjAyMwkAAAABMC6qU+TNe94IL+xfOc573gg1Q0lRLk5ZU0U6SUJNLklRX1NBTEVfSU5UQU5fQ0YuMTk5MC4wNi8wMy8yMDI2Li4uVVNELkgBAAAA3rYBAAIAAAAELTU5MAEIAAAABQAAAAExAQAAAAstMTk4NTk0NDkyMgMAAAADMTYwAgAAAAQyMDI5BAAAAAEwBwAAAAgz</t>
  </si>
  <si>
    <t>LzYvMjAyNggAAAAJNi8zMC8yMDIzCQAAAAEwLqpT5M173gg6E2A5znveCDFDSVEuTllTRTpJQk0uSVFfSU5WRU5UT1JZLjE5OTAuMDYvMDMvMjAyNi4uLlVTRC5IAQAAAN62AQACAAAABDE1MDEBCAAAAAUAAAABMQEAAAALLTE5ODU5NDQ5MjIDAAAAAzE2MAIAAAAEMTA0MwQAAAABMAcAAAAIMy82LzIwMjYIAAAACTYvMzAvMjAyMwkAAAABMC6qU+TNe94IOhNgOc573gg+Q0lRLk5ZU0U6SUJNLklRX0RBX0NGX0VYQ0xfT1BFUl9MRUFTRVMuMTk5MC4wNi8wMy8yMDI2Li4uVVNELkgBAAAA3rYBAAIAAAAEMzMwMwEIAAAABQAAAAExAQAAAAstMTk4NTk0NDkyMgMAAAADMTYwAgAAAAU0ODk4NQQAAAABMAcAAAAIMy82LzIwMjYIAAAACTYvMzAvMjAyMwkAAAABMC6qU+TNe94IOhNgOc573ggwQ0lRLk5ZU0U6SUJNLklRX1BSRUZfUkVQLjE5OTAuMDYvMDMvMjAyNi4uLlVTRC5IAQAAAN62AQADAAAAAAAuqlPkzXveCDoTYDnOe94INkNJUS5OWVNFOklCTS5JUV9MVF9ERUJUX1JFUEFJRC4xOTkwLjA2LzAzLzIwMjYuLi5VU0QuSAEAAADetgEAAwAAAAAALqpT5M173gg6E2A5znveCDdDSVEuTllTRTpJQk0uSVFfSU5WRVNUX0xPQU5TX0NGLjE5OTAuMDYvMDMvMjAyNi4uLlVTRC5IAQAAAN62AQADAAAAAAAuqlPkzXveCDoTYDnOe94IP0NJUS5OWVNFOklCTS5JUV9TVE9DS19CQVNFRF9DT01QX1BSRVRBWC4x</t>
  </si>
  <si>
    <t>OTkwLjA2LzAzLzIwMjYuLi5VU0QuSAEAAADetgEAAgAAAAQxMDU2AC6qU+TNe94IOhNgOc573gg+Q0lRLk5ZU0U6SUJNLklRX1NUT0NLX09QVElPTlNfQ09NUF9UQVguMTk5MC4wNi8wMy8yMDI2Li4uVVNELkgBAAAA3rYBAAMAAAAAAC6qU+TNe94IOhNgOc573ggqQ0lRLk5ZU0U6SUJNLklRX0ZYLjE5OTAuMDYvMDMvMjAyNi4uLlVTRC5IAQAAAN62AQACAAAAAjIyAQgAAAAFAAAAATEBAAAACy0xOTg1OTQ0OTIyAwAAAAMxNjACAAAABDIxNDQEAAAAATAHAAAACDMvNi8yMDI2CAAAAAk2LzMwLzIwMjMJAAAAATAuqlPkzXveCDoTYDnOe94IM0NJUS5OWVNFOklCTS5JUV9DQVNIX0lOVkVTVC4xOTkwLjA2LzAzLzIwMjYuLi5VU0QuSAEAAADetgEAAgAAAAYtMTA5NjkBCAAAAAUAAAABMQEAAAALLTE5ODU5NDQ5MjIDAAAAAzE2MAIAAAAEMjAwNQQAAAABMAcAAAAIMy82LzIwMjYIAAAACTYvMzAvMjAyMwkAAAABMC6qU+TNe94IOhNgOc573gg2Q0lRLk5ZU0U6SUJNLklRX0dBSU5fQVNTRVRTX0NGLjE5OTAuMDYvMDMvMjAyNi4uLlVTRC5IAQAAAN62AQACAAAABC0yODIBCAAAAAUAAAABMQEAAAALLTE5ODU5NDQ5MjIDAAAAAzE2MAIAAAAEMjAyNgQAAAABMAcAAAAIMy82LzIwMjYIAAAACTYvMzAvMjAyMwkAAAABMC6qU+TNe94IOhNgOc573gg/Q0lRLk5ZU0U6SUJNLklRX1JFU1RSX1NUT0NLX0NPTVBf</t>
  </si>
  <si>
    <t>UFJFVEFYLjE5OTAuMDYvMDMvMjAyNi4uLlVTRC5IAQAAAN62AQADAAAAAAAuqlPkzXveCDoTYDnOe94INkNJUS5OWVNFOklCTS5JUV9TVE9DS19CQVNFRF9BVC4xOTkwLjA2LzAzLzIwMjYuLi5VU0QuSAEAAADetgEAAwAAAAAALqpT5M173gg6E2A5znveCDlDSVEuTllTRTpJQk0uSVFfTkVHQVRJVkVfR1dfQU1PUlQuMTk5MC4wNi8wMy8yMDI2Li4uVVNELkgBAAAA3rYBAAMAAAAAAC6qU+TNe94IOhNgOc573gg0Q0lRLk5ZU0U6SUJNLklRX09USEVSX1JFTlRBTC4xOTkwLjA2LzAzLzIwMjYuLi5VU0QuSAEAAADetgEAAwAAAAAALqpT5M173gg6E2A5znveCC5DSVEuTllTRTpJQk0uSVFfUkVTVEFURU1FTlRfSVMuMTk5MC4wNi8wMy8yMDI2AQAAAN62AQADAAAAAlJDAC6qU+TNe94IGk5gOc573gg7Q0lRLk5ZU0U6SUJNLklRX05PTkNBU0hfUEVOU0lPTl9FWFAuMTk5MC4wNi8wMy8yMDI2Li4uVVNELkgBAAAA3rYBAAMAAAAAAC6qU+TNe94IGk5gOc573gg7Q0lRLk5ZU0U6SUJNLklRX0NVUlJfRE9NRVNUSUNfVEFYRVMuMTk5MC4wNi8wMy8yMDI2Li4uVVNELkgBAAAA3rYBAAIAAAADNTc1AQgAAAAFAAAAATEBAAAACy0xOTg1OTQ0OTIyAwAAAAMxNjACAAAABDMwMjcEAAAAATAHAAAACDMvNi8yMDI2CAAAAAk2LzMwLzIwMjMJAAAAATAuqlPkzXveCDoTYDnOe94IOUNJUS5OWVNFOklCTS5JUV9JTlZF</t>
  </si>
  <si>
    <t>U1RNRU5UX0lOQ09NRS4xOTkwLjA2LzAzLzIwMjYuLi5VU0QuSAEAAADetgEAAwAAAAAALqpT5M173gg6E2A5znveCC9DSVEuTllTRTpJQk0uSVFfRUJJVERBUi4xOTkwLjA2LzAzLzIwMjYuLi5VU0QuSAEAAADetgEAAwAAAAAALqpT5M173gg6E2A5znveCD5DSVEuTllTRTpJQk0uSVFfRUJJVERBX0VRX0lOQ19FWENMX1NCQy4xOTkwLjA2LzAzLzIwMjYuLi5VU0QuSAEAAADetgEAAgAAAAUxMjg5OAEIAAAABQAAAAExAQAAAAstMTk4NTk0NDkyMgMAAAADMTYwAgAAAAUyNDEzMQQAAAABMAcAAAAIMy82LzIwMjYIAAAACTYvMzAvMjAyMwkAAAABMC6qU+TNe94IGk5gOc573ghMQ0lRLk5ZU0U6SUJNLklRX0RJU1RSSUJVVEFCTEVfQ0FTSF9QRVJfU0hBUkVfRElMVVRFRC4xOTkwLjA2LzAzLzIwMjYuLi5VU0QuSAEAAADetgEAAwAAAAAALqpT5M173ggaTmA5znveCDhDSVEuTllTRTpJQk0uSVFfQ0FTSF9UQVhFU19GSU5BTi4xOTkwLjA2LzAzLzIwMjYuLi5VU0QuSAEAAADetgEAAwAAAAAALqpT5M173ggaTmA5znveCD5DSVEuTllTRTpJQk0uSVFfQVNTRVRfV1JJVEVET1dOX1NVUFBMRS4xOTkwLjA2LzAzLzIwMjYuLi5VU0QuSAEAAADetgEAAwAAAAAALqpT5M173ggaTmA5znveCDVDSVEuTllTRTpJQk0uSVFfVU5MRVZFUkVEX0ZDRi4xOTkwLjA2LzAzLzIwMjYuLi5VU0QuSAEAAADetgEAAgAAAAkx</t>
  </si>
  <si>
    <t>MDk0OC44NzUBCAAAAAUAAAABMQEAAAALLTE5ODU5NDQ5MjIDAAAAAzE2MAIAAAAENDQyMwQAAAABMAcAAAAIMy82LzIwMjYIAAAACTYvMzAvMjAyMwkAAAABMC6qU+TNe94IGk5gOc573gg5Q0lRLk5ZU0U6SUJNLklRX0NBU0hfSU5URVJFU1RfTkVULjE5OTAuMDYvMDMvMjAyNi4uLlVTRC5IAQAAAN62AQADAAAAAAAuqlPkzXveCBpOYDnOe94IPUNJUS5OWVNFOklCTS5JUV9DSEFOR0VfVFJBRElOR19BU1NFVFMuMTk5MC4wNi8wMy8yMDI2Li4uVVNELkgBAAAA3rYBAAMAAAAAAC6qU+TNe94IGk5gOc573ggtQ0lRLk5ZU0U6SUJNLklRX05JX0NGLjE5OTAuMDYvMDMvMjAyNi4uLlVTRC5IAQAAAN62AQACAAAABDIwMjUBCAAAAAUAAAABMQEAAAALLTE5ODU5NDQ5MjIDAAAAAzE2MAIAAAAEMjE1MAQAAAABMAcAAAAIMy82LzIwMjYIAAAACTYvMzAvMjAyMwkAAAABMC6qU+TNe94IGk5gOc573gg8Q0lRLk5ZU0U6SUJNLklRX09USEVSX1VOVVNVQUxfU1VQUExFLjE5OTAuMDYvMDMvMjAyNi4uLlVTRC5IAQAAAN62AQADAAAAAAAuqlPkzXveCBpOYDnOe94IMUNJUS5OWVNFOklCTS5JUV9SRF9FWFBfRk4uMTk5MC4wNi8wMy8yMDI2Li4uVVNELkgBAAAA3rYBAAIAAAAENjU1NwEIAAAABQAAAAExAQAAAAstMTk4NTk0NDkyMgMAAAADMTYwAgAAAAQzMTY4BAAAAAEwBwAAAAgzLzYvMjAyNggAAAAJNi8zMC8y</t>
  </si>
  <si>
    <t>MDIzCQAAAAEwLqpT5M173ggaTmA5znveCDlDSVEuTllTRTpJQk0uSVFfRElTVFJJQlVUQUJMRV9DQVNIX1BBWU9VVC4xOTkwLjA2LzAzLzIwMjYBAAAA3rYBAAMAAAAAAC6qU+TNe94IGk5gOc573gg/Q0lRLk5ZU0U6SUJNLklRX0RJU1RSSUJVVEFCTEVfQ0FTSF9TSEFSRVNfQkFTSUMuMTk5MC4wNi8wMy8yMDI2AQAAAN62AQADAAAAAAAuqlPkzXveCOL4YTnOe94IPkNJUS5OWVNFOklCTS5JUV9ERUZFUlJFRF9GT1JFSUdOX1RBWEVTLjE5OTAuMDYvMDMvMjAyNi4uLlVTRC5IAQAAAN62AQACAAAAAzI1MgEIAAAABQAAAAExAQAAAAstMTk4NTk0NDkyMgMAAAADMTYwAgAAAAQzMDU1BAAAAAEwBwAAAAgzLzYvMjAyNggAAAAJNi8zMC8yMDIzCQAAAAEwLqpT5M173ggaTmA5znveCD1DSVEuTllTRTpJQk0uSVFfVE9UQUxfUkVWX0FTX1JFUE9SVEVELjE5OTAuMDYvMDMvMjAyNi4uLlVTRC5IAQAAAN62AQACAAAABTYwNTI1AQgAAAAFAAAAATEBAAAACy0xOTg1OTQ0OTIyAwAAAAMxNjACAAAAAzMzOQQAAAABMAcAAAAIMy82LzIwMjYIAAAACTYvMzAvMjAyMwkAAAABMC6qU+TNe94IGk5gOc573gg8Q0lRLk5ZU0U6SUJNLklRX0VCSVRfRVFfSU5DX0VYQ0xfU0JDLjE5OTAuMDYvMDMvMjAyNi4uLlVTRC5IAQAAAN62AQACAAAABDk1OTUBCAAAAAUAAAABMQEAAAALLTE5ODU5NDQ5MjIDAAAAAzE2MAIAAAAF</t>
  </si>
  <si>
    <t>MjQxMzAEAAAAATAHAAAACDMvNi8yMDI2CAAAAAk2LzMwLzIwMjMJAAAAATAuqlPkzXveCHmJYDnOe94IOUNJUS5OWVNFOklCTS5JUV9TUEVDSUFMX0RJVl9TSEFSRS4xOTkwLjA2LzAzLzIwMjYuLi5VU0QuSAEAAADetgEAAwAAAAAALqpT5M173gh5iWA5znveCDBDSVEuTllTRTpJQk0uSVFfRFJfUkFUSU9fUFJJTUFSWS4xOTkwLjA2LzAzLzIwMjYBAAAA3rYBAAIAAAABMQAuqlPkzXveCHmJYDnOe94INUNJUS5OWVNFOklCTS5JUV9OSV9BVkFJTF9FWENMLjE5OTAuMDYvMDMvMjAyNi4uLlVTRC5IAQAAAN62AQACAAAABDIxNzABCAAAAAUAAAABMQEAAAALLTE5ODU5NDQ5MjIDAAAAAzE2MAIAAAADMzc5BAAAAAEwBwAAAAgzLzYvMjAyNggAAAAJNi8zMC8yMDIzCQAAAAEwLqpT5M173gh5iWA5znveCDJDSVEuTllTRTpJQk0uSVFfSU5TX1NFVFRMRS4xOTkwLjA2LzAzLzIwMjYuLi5VU0QuSAEAAADetgEAAwAAAAAALqpT5M173ggaTmA5znveCDtDSVEuTllTRTpJQk0uSVFfSU5URVJFU1RfSU5WRVNUX0lOQy4xOTkwLjA2LzAzLzIwMjYuLi5VU0QuSAEAAADetgEAAgAAAAM0ODcBCAAAAAUAAAABMQEAAAALLTE5ODU5NDQ5MjIDAAAAAzE2MAIAAAACNjUEAAAAATAHAAAACDMvNi8yMDI2CAAAAAk2LzMwLzIwMjMJAAAAATAuqlPkzXveCHmJYDnOe94IL0NJUS5OWVNFOklCTS5JUV9QRVJJT0RMRU5HVEhf</t>
  </si>
  <si>
    <t>Q0YuMTk5MC4wNi8wMy8yMDI2AQAAAN62AQABAAAAAjEyAC6qU+TNe94IeYlgOc573gg4Q0lRLk5ZU0U6SUJNLklRX0NIQU5HRV9JTlZFTlRPUlkuMTk5MC4wNi8wMy8yMDI2Li4uVVNELkgBAAAA3rYBAAIAAAACNzEBCAAAAAUAAAABMQEAAAALLTE5ODU5NDQ5MjIDAAAAAzE2MAIAAAAEMjA5OQQAAAABMAcAAAAIMy82LzIwMjYIAAAACTYvMzAvMjAyMwkAAAABMC6qU+TNe94IeYlgOc573ggtQ0lRLk5ZU0U6SUJNLklRX0RBX0NGLjE5OTAuMDYvMDMvMjAyNi4uLlVTRC5IAQAAAN62AQACAAAABDM4MDMBCAAAAAUAAAABMQEAAAALLTE5ODU5NDQ5MjIDAAAAAzE2MAIAAAAEMjE2MAQAAAABMAcAAAAIMy82LzIwMjYIAAAACTYvMzAvMjAyMwkAAAABMC6qU+TNe94IeYlgOc573gg4Q0lRLk5ZU0U6SUJNLklRX1NUT0NLX0JBU0VEX0NPTVAuMTk5MC4wNi8wMy8yMDI2Li4uVVNELkgBAAAA3rYBAAIAAAADODA0AC6qU+TNe94IeYlgOc573gg8Q0lRLk5ZU0U6SUJNLklRX1JFU1RSX1NUT0NLX0NPTVBfVEFYLjE5OTAuMDYvMDMvMjAyNi4uLlVTRC5IAQAAAN62AQADAAAAAAAuqlPkzXveCO2wYDnOe94IOUNJUS5OWVNFOklCTS5JUV9TVE9DS19CQVNFRF9PVEhFUi4xOTkwLjA2LzAzLzIwMjYuLi5VU0QuSAEAAADetgEAAwAAAAAALqpT5M173gjtsGA5znveCDVDSVEuTllTRTpJQk0uSVFfTUVSR0VSX1NVUFBM</t>
  </si>
  <si>
    <t>RS4xOTkwLjA2LzAzLzIwMjYuLi5VU0QuSAEAAADetgEAAwAAAAAALqpT5M173gh5iWA5znveCCpDSVEuTllTRTpJQk0uSVFfQVIuMTk5MC4wNi8wMy8yMDI2Li4uVVNELkgBAAAA3rYBAAIAAAAENjEyMAEIAAAABQAAAAExAQAAAAstMTk4NTk0NDkyMgMAAAADMTYwAgAAAAQxMDIxBAAAAAEwBwAAAAgzLzYvMjAyNggAAAAJNi8zMC8yMDIzCQAAAAEwLqpT5M173gh5iWA5znveCDRDSVEuTllTRTpJQk0uSVFfRE9fSU5WRVNUX0NGLjE5OTAuMDYvMDMvMjAyNi4uLlVTRC5IAQAAAN62AQADAAAAAAAuqlPkzXveCHmJYDnOe94INENJUS5OWVNFOklCTS5JUV9BTU9SVF9ESUNfQ0YuMTk5MC4wNi8wMy8yMDI2Li4uVVNELkgBAAAA3rYBAAMAAAAAAC6qU+TNe94I7bBgOc573gg2Q0lRLk5ZU0U6SUJNLklRX1NUX0RFQlRfUkVQQUlELjE5OTAuMDYvMDMvMjAyNi4uLlVTRC5IAQAAAN62AQADAAAAAAAuqlPkzXveCO2wYDnOe94IOkNJUS5OWVNFOklCTS5JUV9JTlZFU1RfU0VDVVJJVFlfQ0YuMTk5MC4wNi8wMy8yMDI2Li4uVVNELkgBAAAA3rYBAAIAAAAFLTczMDABCAAAAAUAAAABMQEAAAALLTE5ODU5NDQ5MjIDAAAAAzE2MAIAAAAEMjAyNwQAAAABMAcAAAAIMy82LzIwMjYIAAAACTYvMzAvMjAyMwkAAAABMC6qU+TNe94I7bBgOc573gg2Q0lRLk5ZU0U6SUJNLklRX09USEVSX09QRVJfQUNULjE5OTAuMDYv</t>
  </si>
  <si>
    <t>MDMvMjAyNi4uLlVTRC5IAQAAAN62AQACAAAABDMxNjcBCAAAAAUAAAABMQEAAAALLTE5ODU5NDQ5MjIDAAAAAzE2MAIAAAAEMjA0NwQAAAABMAcAAAAIMy82LzIwMjYIAAAACTYvMzAvMjAyMwkAAAABMC6qU+TNe94I7bBgOc573ggvQ0lRLk5ZU0U6SUJNLklRX0RFUF9SVUEuMTk5MC4wNi8wMy8yMDI2Li4uVVNELkgBAAAA3rYBAAIAAAADNTAwAQgAAAAFAAAAATEBAAAACy0xOTg1OTQ0OTIyAwAAAAMxNjACAAAABTQ4MzU3BAAAAAEwBwAAAAgzLzYvMjAyNggAAAAJNi8zMC8yMDIzCQAAAAEwLqpT5M173gjtsGA5znveCDlDSVEuTllTRTpJQk0uSVFfVE9UQUxfREVCVF9SRVBBSUQuMTk5MC4wNi8wMy8yMDI2Li4uVVNELkgBAAAA3rYBAAIAAAAFLTYwOTUBCAAAAAUAAAABMQEAAAALLTE5ODU5NDQ5MjIDAAAAAzE2MAIAAAAEMjE2NgQAAAABMAcAAAAIMy82LzIwMjYIAAAACTYvMzAvMjAyMwkAAAABMC6qU+TNe94I7bBgOc573gg8Q0lRLk5ZU0U6SUJNLklRX1NUT0NLX0JBU0VEX0NPTVBfVEFYLjE5OTAuMDYvMDMvMjAyNi4uLlVTRC5IAQAAAN62AQACAAAABC0yNTIALqpT5M173gjtsGA5znveCDpDSVEuTllTRTpJQk0uSVFfU1RPQ0tfT1BUSU9OU19DT01QLjE5OTAuMDYvMDMvMjAyNi4uLlVTRC5IAQAAAN62AQADAAAAAAAuqlPkzXveCO2wYDnOe94IQUNJUS5OWVNFOklCTS5JUV9TVE9DS19PUFRJ</t>
  </si>
  <si>
    <t>T05TX0NPTVBfUFJFVEFYLjE5OTAuMDYvMDMvMjAyNi4uLlVTRC5IAQAAAN62AQADAAAAAAAuqlPkzXveCO2wYDnOe94IQUNJUS5OWVNFOklCTS5JUV9TVE9DS19CQVNFRF9FWFBMT1JFX0RSSUxMLjE5OTAuMDYvMDMvMjAyNi4uLlVTRC5IAQAAAN62AQADAAAAAAAuqlPkzXveCO2wYDnOe94ISUNJUS5OWVNFOklCTS5JUV9MT05HX1RFUk1fREVCVF9SRVBBSURfRVhDTF9MRUFTRVMuMTk5MC4wNi8wMy8yMDI2Li4uVVNELkgBAAAA3rYBAAIAAAAFLTYxMDEBCAAAAAUAAAABMQEAAAALLTE5ODU5NDQ5MjIDAAAAAzE2MAIAAAAFNDg5ODQEAAAAATAHAAAACDMvNi8yMDI2CAAAAAk2LzMwLzIwMjMJAAAAATAuqlPkzXveCKjrYDnOe94IPENJUS5OWVNFOklCTS5JUV9ORUdBVElWRV9HV19BTU9SVF9DRi4xOTkwLjA2LzAzLzIwMjYuLi5VU0QuSAEAAADetgEAAwAAAAAALqpT5M173gio62A5znveCD5DSVEuTllTRTpJQk0uSVFfT1RIRVJfSU5WRVNUX0FDVF9TVVBQTC4xOTkwLjA2LzAzLzIwMjYuLi5VU0QuSAEAAADetgEAAgAAAAExAQgAAAAFAAAAATEBAAAACy0xOTg1OTQ0OTIyAwAAAAMxNjACAAAABDIwNTEEAAAAATAHAAAACDMvNi8yMDI2CAAAAAk2LzMwLzIwMjMJAAAAATAuqlPkzXveCO2wYDnOe94INkNJUS5OWVNFOklCTS5JUV9HQUlOX0lOVkVTVF9DRi4xOTkwLjA2LzAzLzIwMjYuLi5VU0QuSAEA</t>
  </si>
  <si>
    <t>AADetgEAAwAAAAAALqpT5M173gjtsGA5znveCDZDSVEuTllTRTpJQk0uSVFfU1RPQ0tfQkFTRURfUkQuMTk5MC4wNi8wMy8yMDI2Li4uVVNELkgBAAAA3rYBAAIAAAADMjg5AQgAAAAFAAAAATEBAAAACy0xOTg1OTQ0OTIyAwAAAAMxNjACAAAABTIyNjc4BAAAAAEwBwAAAAgzLzYvMjAyNggAAAAJNi8zMC8yMDIzCQAAAAEwLqpT5M173gjtsGA5znveCDNDSVEuTllTRTpJQk0uSVFfUFJFRl9JU1NVRUQuMTk5MC4wNi8wMy8yMDI2Li4uVVNELkgBAAAA3rYBAAMAAAAAAC6qU+TNe94IqOtgOc573gg1Q0lRLk5ZU0U6SUJNLklRX0lOQ19FUVVJVFlfQ0YuMTk5MC4wNi8wMy8yMDI2Li4uVVNELkgBAAAA3rYBAAMAAAAAAC6qU+TNe94IqOtgOc573gg3Q0lRLk5ZU0U6SUJNLklRX1NUT0NLX0JBU0VEX1NHQS4xOTkwLjA2LzAzLzIwMjYuLi5VU0QuSAEAAADetgEAAgAAAAM1OTQBCAAAAAUAAAABMQEAAAALLTE5ODU5NDQ5MjIDAAAAAzE2MAIAAAAFMjI2NzkEAAAAATAHAAAACDMvNi8yMDI2CAAAAAk2LzMwLzIwMjMJAAAAATAuqlPkzXveCKjrYDnOe94IOUNJUS5OWVNFOklCTS5JUV9DT05USU5HRU5UX1JFTlRBTC4xOTkwLjA2LzAzLzIwMjYuLi5VU0QuSAEAAADetgEAAwAAAAAALqpT5M173gio62A5znveCDNDSVEuTllTRTpJQk0uSVFfQURWRVJUSVNJTkcuMTk5MC4wNi8wMy8yMDI2Li4uVVNELkgBAAAA</t>
  </si>
  <si>
    <t>3rYBAAMAAAAAAC6qU+TNe94IqOtgOc573ghHQ0lRLk5ZU0U6SUJNLklRX0RJU1RSSUJVVEFCTEVfQ0FTSF9TVEFOREFSRElaRUQuMTk5MC4wNi8wMy8yMDI2Li4uVVNELkgBAAAA3rYBAAMAAAAAAC6qU+TNe94I8hJhOc573gg8Q0lRLk5ZU0U6SUJNLklRX0NBUElUQUxJWkVEX0lOVEVSRVNULjE5OTAuMDYvMDMvMjAyNi4uLlVTRC5IAQAAAN62AQADAAAAAAAuqlPkzXveCPISYTnOe94ILENJUS5OWVNFOklCTS5JUV9ESUxVVF9XRUlHSFQuMTk5MC4wNi8wMy8yMDI2AQAAAN62AQACAAAACjkxNi41OTk1MzkALqpT5M173gio62A5znveCDxDSVEuTllTRTpJQk0uSVFfTUlOT1JJVFlfSU5URVJFU1RfSVMuMTk5MC4wNi8wMy8yMDI2Li4uVVNELkgBAAAA3rYBAAMAAAAAAC6qU+TNe94IqOtgOc573gg4Q0lRLk5ZU0U6SUJNLklRX1RPVEFMX09USEVSX09QRVIuMTk5MC4wNi8wMy8yMDI2Li4uVVNELkgBAAAA3rYBAAIAAAAFMjQ1MzMBCAAAAAUAAAABMQEAAAALLTE5ODU5NDQ5MjIDAAAAAzE2MAIAAAADMzgwBAAAAAEwBwAAAAgzLzYvMjAyNggAAAAJNi8zMC8yMDIzCQAAAAEwLqpT5M173gio62A5znveCC1DSVEuTllTRTpJQk0uSVFfQ0FQRVguMTk5MC4wNi8wMy8yMDI2Li4uVVNELkgBAAAA3rYBAAIAAAAFLTEzOTABCAAAAAUAAAABMQEAAAALLTE5ODU5NDQ5MjIDAAAAAzE2MAIAAAAEMjAyMQQAAAAB</t>
  </si>
  <si>
    <t>MAcAAAAIMy82LzIwMjYIAAAACTYvMzAvMjAyMwkAAAABMC6qU+TNe94I8hJhOc573gg9Q0lRLk5ZU0U6SUJNLklRX0lNUFVUX09QRVJfTEVBU0VfREVQUi4xOTkwLjA2LzAzLzIwMjYuLi5VU0QuSAEAAADetgEAAwAAAAAALqpT5M173gjyEmE5znveCElDSVEuTllTRTpJQk0uSVFfSU5URVJFU1RfRVhQX0xFQVNFX0xJQUJJTElUWV9ERUJULjE5OTAuMDYvMDMvMjAyNi4uLlVTRC5IAQAAAN62AQADAAAAAAAuqlPkzXveCPISYTnOe94IOkNJUS5OWVNFOklCTS5JUV9VTkVBUk5fUkVWX0NVUlJFTlQuMTk5MC4wNi8wMy8yMDI2Li4uVVNELkgBAAAA3rYBAAIAAAAFMTI3MTIBCAAAAAUAAAABMQEAAAALLTE5ODU5NDQ5MjIDAAAAAzE2MAIAAAAEMTA3NAQAAAABMAcAAAAIMy82LzIwMjYIAAAACTYvMzAvMjAyMwkAAAABMC6qU+TNe94I8hJhOc573ghEQ0lRLk5ZU0U6SUJNLklRX0RBX1NVUFBMX0NGX0VYQ0xfT1BFUl9MRUFTRVMuMTk5MC4wNi8wMy8yMDI2Li4uVVNELkgBAAAA3rYBAAIAAAAEMTcwMwEIAAAABQAAAAExAQAAAAstMTk4NTk0NDkyMgMAAAADMTYwAgAAAAU0ODk4MwQAAAABMAcAAAAIMy82LzIwMjYIAAAACTYvMzAvMjAyMwkAAAABMC6qU+TNe94I8hJhOc573gg4Q0lRLk5ZU0U6SUJNLklRX1JFU1RSX1NUT0NLX0NPTVAuMTk5MC4wNi8wMy8yMDI2Li4uVVNELkgBAAAA3rYBAAMAAAAAAC6q</t>
  </si>
  <si>
    <t>U+TNe94I8hJhOc573gg5Q0lRLk5ZU0U6SUJNLklRX05FVF9SRU5UQUxfRVhQX0ZOLjE5OTAuMDYvMDMvMjAyNi4uLlVTRC5IAQAAAN62AQADAAAAAAAuqlPkzXveCPISYTnOe94ILENJUS5OWVNFOklCTS5JUV9QQVlPVVRfUkFUSU8uMTk5MC4wNi8wMy8yMDI2AQAAAN62AQACAAAACDI5NS45MDEyAQgAAAAFAAAAATEBAAAACy0xOTg1OTQ0OTIyAwAAAAMxNjACAAAABDQzNzcEAAAAATAHAAAACDMvNi8yMDI2CAAAAAk2LzMwLzIwMjMJAAAAATAuqlPkzXveCPISYTnOe94IMkNJUS5OWVNFOklCTS5JUV9DVVJSX1RBWEVTLjE5OTAuMDYvMDMvMjAyNi4uLlVTRC5IAQAAAN62AQACAAAABDIyNTEBCAAAAAUAAAABMQEAAAALLTE5ODU5NDQ5MjIDAAAAAzE2MAIAAAAFMzUzODMEAAAAATAHAAAACDMvNi8yMDI2CAAAAAk2LzMwLzIwMjMJAAAAATAuqlPkzXveCPISYTnOe94IL0NJUS5OWVNFOklCTS5JUV9OSV9TRkFTLjE5OTAuMDYvMDMvMjAyNi4uLlVTRC5IAQAAAN62AQADAAAAAAAuqlPkzXveCKdFYTnOe94INkNJUS5OWVNFOklCTS5JUV9ESUxVVF9FUFNfSU5DTC4xOTkwLjA2LzAzLzIwMjYuLi5VU0QuSAEAAADetgEAAgAAAAgyLjIwNTU5OAEIAAAABQAAAAExAQAAAAstMTk4NTk0NDkyMgMAAAADMTYwAgAAAAE4BAAAAAEwBwAAAAgzLzYvMjAyNggAAAAJNi8zMC8yMDIzCQAAAAEwLqpT5M173ginRWE5</t>
  </si>
  <si>
    <t>znveCDdDSVEuTllTRTpJQk0uSVFfRVhUUkFfQUNDX0lURU1TLjE5OTAuMDYvMDMvMjAyNi4uLlVTRC5IAQAAAN62AQADAAAAAAAuqlPkzXveCKdFYTnOe94IM0NJUS5OWVNFOklCTS5JUV9HQUlOX0lOVkVTVC4xOTkwLjA2LzAzLzIwMjYuLi5VU0QuSAEAAADetgEAAgAAAAI3NQEIAAAABQAAAAExAQAAAAstMTk4NTk0NDkyMgMAAAADMTYwAgAAAAI2MgQAAAABMAcAAAAIMy82LzIwMjYIAAAACTYvMzAvMjAyMwkAAAABMC6qU+TNe94Ip0VhOc573gg8Q0lRLk5ZU0U6SUJNLklRX0NBU0hfSU5URVJFU1RfSU5WRVNULjE5OTAuMDYvMDMvMjAyNi4uLlVTRC5IAQAAAN62AQADAAAAAAAuqlPkzXveCKdFYTnOe94IMUNJUS5OWVNFOklCTS5JUV9DSEFOR0VfQVAuMTk5MC4wNi8wMy8yMDI2Li4uVVNELkgBAAAA3rYBAAIAAAADMjEzAQgAAAAFAAAAATEBAAAACy0xOTg1OTQ0OTIyAwAAAAMxNjACAAAABDIwMTcEAAAAATAHAAAACDMvNi8yMDI2CAAAAAk2LzMwLzIwMjMJAAAAATAuqlPkzXveCFZZYTnOe94INkNJUS5OWVNFOklCTS5JUV9DUkVESVRfTE9TU19DRi4xOTkwLjA2LzAzLzIwMjYuLi5VU0QuSAEAAADetgEAAwAAAAAALqpT5M173ghWWWE5znveCDJDSVEuTllTRTpJQk0uSVFfT0lMX0lNUEFJUi4xOTkwLjA2LzAzLzIwMjYuLi5VU0QuSAEAAADetgEAAwAAAAAALqpT5M173ghWWWE5znveCDhDSVEu</t>
  </si>
  <si>
    <t>TllTRTpJQk0uSVFfU1RPQ0tfQkFTRURfQ09HUy4xOTkwLjA2LzAzLzIwMjYuLi5VU0QuSAEAAADetgEAAgAAAAMxNzMBCAAAAAUAAAABMQEAAAALLTE5ODU5NDQ5MjIDAAAAAzE2MAIAAAAFMjI2NzQEAAAAATAHAAAACDMvNi8yMDI2CAAAAAk2LzMwLzIwMjMJAAAAATAuqlPkzXveCFZZYTnOe94IOUNJUS5OWVNFOklCTS5JUV9JTlNfU0VUVExFX1NVUFBMRS4xOTkwLjA2LzAzLzIwMjYuLi5VU0QuSAEAAADetgEAAwAAAAAALqpT5M173ghWWWE5znveCDdDSVEuTllTRTpJQk0uSVFfU0FMRVNfTUFSS0VUSU5HLjE5OTAuMDYvMDMvMjAyNi4uLlVTRC5IAQAAAN62AQACAAAABDEyODUBCAAAAAUAAAABMQEAAAALLTE5ODU5NDQ5MjIDAAAAAzE2MAIAAAAFMjE1NjEEAAAAATAHAAAACDMvNi8yMDI2CAAAAAk2LzMwLzIwMjMJAAAAATAuqlPkzXveCFZZYTnOe94ISkNJUS5OWVNFOklCTS5JUV9QUk9WX0JBRF9ERUJUU19QQVRJRU5UX1NFUlZJQ0VfUkVWLjE5OTAuMDYvMDMvMjAyNi4uLlVTRC5IAQAAAN62AQADAAAAAAAuqlPkzXveCFZZYTnOe94IOUNJUS5OWVNFOklCTS5JUV9GRUVTX09USEVSX0lOQ09NRS4xOTkwLjA2LzAzLzIwMjYuLi5VU0QuSAEAAADetgEAAwAAAAAALqpT5M173ghWWWE5znveCDJDSVEuTllTRTpJQk0uSVFfSU1QQUlSX09JTC4xOTkwLjA2LzAzLzIwMjYuLi5VU0QuSAEAAADetgEA</t>
  </si>
  <si>
    <t>AwAAAAAALqpT5M173ghWWWE5znveCCpDSVEuTllTRTpJQk0uSVFfR1AuMTk5MC4wNi8wMy8yMDI2Li4uVVNELkgBAAAA3rYBAAIAAAAFMzMwNzIBCAAAAAUAAAABMQEAAAALLTE5ODU5NDQ5MjIDAAAAAzE2MAIAAAACMTAEAAAAATAHAAAACDMvNi8yMDI2CAAAAAk2LzMwLzIwMjMJAAAAATAuqlPkzXveCOGAYTnOe94IMkNJUS5OWVNFOklCTS5JUV9FQVJOSU5HX0NPLjE5OTAuMDYvMDMvMjAyNi4uLlVTRC5IAQAAAN62AQACAAAABDIxNzABCAAAAAUAAAABMQEAAAALLTE5ODU5NDQ5MjIDAAAAAzE2MAIAAAABNwQAAAABMAcAAAAIMy82LzIwMjYIAAAACTYvMzAvMjAyMwkAAAABMC6qU+TNe94I4YBhOc573gg3Q0lRLk5ZU0U6SUJNLklRX09USEVSX1JFVl9TVVBQTC4xOTkwLjA2LzAzLzIwMjYuLi5VU0QuSAEAAADetgEAAgAAAAEwAQgAAAAFAAAAATEBAAAACy0xOTg1OTQ0OTIyAwAAAAMxNjACAAAAAjkwBAAAAAEwBwAAAAgzLzYvMjAyNggAAAAJNi8zMC8yMDIzCQAAAAEwLqpT5M173gjhgGE5znveCDZDSVEuTllTRTpJQk0uSVFfTFRfREVCVF9JU1NVRUQuMTk5MC4wNi8wMy8yMDI2Li4uVVNELkgBAAAA3rYBAAMAAAAAAC6qU+TNe94IVllhOc573ggxQ0lRLk5ZU0U6SUJNLklRX0NBU0hfT1BFUi4xOTkwLjA2LzAzLzIwMjYuLi5VU0QuSAEAAADetgEAAgAAAAUxMjI3OAEIAAAABQAAAAExAQAAAAst</t>
  </si>
  <si>
    <t>MTk4NTk0NDkyMgMAAAADMTYwAgAAAAQyMDA2BAAAAAEwBwAAAAgzLzYvMjAyNggAAAAJNi8zMC8yMDIzCQAAAAEwLqpT5M173gjhgGE5znveCDxDSVEuTllTRTpJQk0uSVFfTUlOT1JJVFlfSU5URVJFU1RfQ0YuMTk5MC4wNi8wMy8yMDI2Li4uVVNELkgBAAAA3rYBAAMAAAAAAC6qU+TNe94I4YBhOc573gg4Q0lRLk5ZU0U6SUJNLklRX0VCSVREQVJfRVhDTF9TQkMuMTk5MC4wNi8wMy8yMDI2Li4uVVNELkgBAAAA3rYBAAMAAAAAAC6qU+TNe94I4YBhOc573ggtQ0lRLk5ZU0U6SUJNLklRX0VCSVRBLjE5OTAuMDYvMDMvMjAyNi4uLlVTRC5IAQAAAN62AQACAAAABTEwMTM5AQgAAAAFAAAAATEBAAAACy0xOTg1OTQ0OTIyAwAAAAMxNjACAAAABjEwMDY4OQQAAAABMAcAAAAIMy82LzIwMjYIAAAACTYvMzAvMjAyMwkAAAABMC6qU+TNe94I4YBhOc573ggsQ0lRLk5ZU0U6SUJNLklRX0VCSVQuMTk5MC4wNi8wMy8yMDI2Li4uVVNELkgBAAAA3rYBAAIAAAAEODUzOQEIAAAABQAAAAExAQAAAAstMTk4NTk0NDkyMgMAAAADMTYwAgAAAAM0MDAEAAAAATAHAAAACDMvNi8yMDI2CAAAAAk2LzMwLzIwMjMJAAAAATAuqlPkzXveCOGAYTnOe94INkNJUS5OWVNFOklCTS5JUV9CQVNJQ19FUFNfRVhDTC4xOTkwLjA2LzAzLzIwMjYuLi5VU0QuSAEAAADetgEAAgAAAAgyLjM5Mjk5NQEIAAAABQAAAAExAQAAAAstMTk4</t>
  </si>
  <si>
    <t>NTk0NDkyMgMAAAADMTYwAgAAAAQzMDY0BAAAAAEwBwAAAAgzLzYvMjAyNggAAAAJNi8zMC8yMDIzCQAAAAEwLqpT5M173giep2E5znveCCxDSVEuTllTRTpJQk0uSVFfSVBSRC4xOTkwLjA2LzAzLzIwMjYuLi5VU0QuSAEAAADetgEAAwAAAAAALqpT5M173giep2E5znveCDhDSVEuTllTRTpJQk0uSVFfTkVUX0lOVEVSRVNUX0VYUC4xOTkwLjA2LzAzLzIwMjYuLi5VU0QuSAEAAADetgEAAgAAAAQtOTEyAQgAAAAFAAAAATEBAAAACy0xOTg1OTQ0OTIyAwAAAAMxNjACAAAAAzM2OAQAAAABMAcAAAAIMy82LzIwMjYIAAAACTYvMzAvMjAyMwkAAAABMC6qU+TNe94InqdhOc573ghBQ0lRLk5ZU0U6SUJNLklRX05PTlJFQ1VSUklOR19JTkNPTUVfVEFYRVMuMTk5MC4wNi8wMy8yMDI2Li4uVVNELkgBAAAA3rYBAAIAAAADMTU3AQgAAAAFAAAAATEBAAAACy0xOTg1OTQ0OTIyAwAAAAMxNjACAAAABTQ4ODM5BAAAAAEwBwAAAAgzLzYvMjAyNggAAAAJNi8zMC8yMDIzCQAAAAEwLqpT5M173giep2E5znveCD9DSVEuTllTRTpJQk0uSVFfTEVBU0VfQURKVVNUTUVOVF9FQklUREEuMTk5MC4wNi8wMy8yMDI2Li4uVVNELkgBAAAA3rYBAAIAAAAEMTE1MgAuqlPkzXveCJ6nYTnOe94IN0NJUS5OWVNFOklCTS5JUV9UT1RBTF9SRVZfU0hBUkUuMTk5MC4wNi8wMy8yMDI2Li4uVVNELkgBAAAA3rYBAAIAAAAJNjYuNzQ0</t>
  </si>
  <si>
    <t>NzI4AQgAAAAFAAAAATEBAAAACy0xOTg1OTQ0OTIyAwAAAAMxNjACAAAABDQzODIEAAAAATAHAAAACDMvNi8yMDI2CAAAAAk2LzMwLzIwMjMJAAAAATAuqlPkzXveCM7OYTnOe94IOUNJUS5OWVNFOklCTS5JUV9UT1RBTF9ESVZfUEFJRF9DRi4xOTkwLjA2LzAzLzIwMjYuLi5VU0QuSAEAAADetgEAAgAAAAUtNTk5MgEIAAAABQAAAAExAQAAAAstMTk4NTk0NDkyMgMAAAADMTYwAgAAAAQyMDIyBAAAAAEwBwAAAAgzLzYvMjAyNggAAAAJNi8zMC8yMDIzCQAAAAEwLqpT5M173gjOzmE5znveCCdDSVEuTllTRTpJQk0uSVFfR0FBUF9JUy4xOTkwLjA2LzAzLzIwMjYBAAAA3rYBAAMAAAAAAC6qU+TNe94Izs5hOc573gg1Q0lRLk5ZU0U6SUJNLklRX0NPTU1PTl9JU1NVRUQuMTk5MC4wNi8wMy8yMDI2Li4uVVNELkgBAAAA3rYBAAMAAAAAAC6qU+TNe94Izs5hOc573gg8Q0lRLk5ZU0U6SUJNLklRX1RPVEFMX1VOVVNVQUxfU1VQUExFLjE5OTAuMDYvMDMvMjAyNi4uLlVTRC5IAQAAAN62AQADAAAAAAAuqlPkzXveCM7OYTnOe94IP0NJUS5OWVNFOklCTS5JUV9FWFBMT1JFX0RSSUxMX0VYUF9UT1RBTC4xOTkwLjA2LzAzLzIwMjYuLi5VU0QuSAEAAADetgEAAwAAAAAALqpT5M173gjOzmE5znveCDpDSVEuTllTRTpJQk0uSVFfRElTVFJJQlVUQUJMRV9DQVNILjE5OTAuMDYvMDMvMjAyNi4uLlVTRC5IAQAAAN62</t>
  </si>
  <si>
    <t>AQADAAAAAAAuqlPkzXveCM7OYTnOe94IMENJUS5OWVNFOklCTS5JUV9ESUxVVF9OSS4xOTkwLjA2LzAzLzIwMjYuLi5VU0QuSAEAAADetgEAAgAAAAsyMTY2LjY1MDg1NgEIAAAABQAAAAExAQAAAAstMTk4NTk0NDkyMgMAAAADMTYwAgAAAAQzNTIyBAAAAAEwBwAAAAgzLzYvMjAyNggAAAAJNi8zMC8yMDIzCQAAAAEwLqpT5M173gjOzmE5znveCDdDSVEuTllTRTpJQk0uSVFfRUJJVERBX0VYQ0xfU0JDLjE5OTAuMDYvMDMvMjAyNi4uLlVTRC5IAQAAAN62AQACAAAABTEyODk4AQgAAAAFAAAAATEBAAAACy0xOTg1OTQ0OTIyAwAAAAMxNjACAAAABTI0MTM1BAAAAAEwBwAAAAgzLzYvMjAyNggAAAAJNi8zMC8yMDIzCQAAAAEwLqpT5M173gjOzmE5znveCDFDSVEuTllTRTpJQk0uSVFfRElWX1NIQVJFLjE5OTAuMDYvMDMvMjAyNi4uLlVTRC5IAQAAAN62AQACAAAABDYuNjEBCAAAAAUAAAABMQEAAAALLTE5ODU5NDQ5MjIDAAAAAzE2MAIAAAAEMzA1OAQAAAABMAcAAAAIMy82LzIwMjYIAAAACTYvMzAvMjAyMwkAAAABMC6qU+TNe94I4vhhOc573gg2Q0lRLk5ZU0U6SUJNLklRX1BSRUZfRElWX09USEVSLjE5OTAuMDYvMDMvMjAyNi4uLlVTRC5IAQAAAN62AQADAAAAAAAuqlPkzXveCOL4YTnOe94IMENJUS5OWVNFOklCTS5JUV9EQV9TVVBQTC4xOTkwLjA2LzAzLzIwMjYuLi5VU0QuSAEAAADetgEAAwAA</t>
  </si>
  <si>
    <t>AAAALqpT5M173gji+GE5znveCDBDSVEuTllTRTpJQk0uSVFfQ0ZfU0hBUkUuMTk5MC4wNi8wMy8yMDI2Li4uVVNELkgBAAAA3rYBAAIAAAAJMTEuMzU2MjUyAQgAAAAFAAAAATEBAAAACy0xOTg1OTQ0OTIyAwAAAAMxNjACAAAABTQzOTIzBAAAAAEwBwAAAAgzLzYvMjAyNggAAAAJNi8zMC8yMDIzCQAAAAEwLqpT5M173gji+GE5znveCEVDSVEuTllTRTpJQk0uSVFfREVQUkVDSUFUSU9OX1JFTlRBTF9BU1NFVFNfQ0YuMTk5MC4wNi8wMy8yMDI2Li4uVVNELkgBAAAA3rYBAAMAAAAAAC6qU+TNe94Izs5hOc573gg2Q0lRLk5ZU0U6SUJNLklRX1NUX0RFQlRfSVNTVUVELjE5OTAuMDYvMDMvMjAyNi4uLlVTRC5IAQAAAN62AQADAAAAAAAuqlPkzXveCOL4YTnOe94INkNJUS5OWVNFOklCTS5JUV9TVE9DS19CQVNFRF9HQS4xOTkwLjA2LzAzLzIwMjYuLi5VU0QuSAEAAADetgEAAwAAAAAALqpT5M173gji+GE5znveCD1DSVEuTllTRTpJQk0uSVFfTkVUX1JFTlRBTF9FWFBfU1VQUExFLjE5OTAuMDYvMDMvMjAyNi4uLlVTRC5IAQAAAN62AQADAAAAAAAuqlPkzXveCOL4YTnOe94IM0NJUS5OWVNFOklCTS5JUV9HQUlOX0FTU0VUUy4xOTkwLjA2LzAzLzIwMjYuLi5VU0QuSAEAAADetgEAAgAAAAIxMwEIAAAABQAAAAExAQAAAAstMTk4NTk0NDkyMgMAAAADMTYwAgAAAAI1NgQAAAABMAcAAAAIMy82LzIwMjYI</t>
  </si>
  <si>
    <t>AAAACTYvMzAvMjAyMwkAAAABMC6qU+TNe94I4vhhOc573gg0Q0lRLk5ZU0U6SUJNLklRX0lOVEVSRVNUX0VYUC4xOTkwLjA2LzAzLzIwMjYuLi5VU0QuSAEAAADetgEAAgAAAAUtMTM5OQEIAAAABQAAAAExAQAAAAstMTk4NTk0NDkyMgMAAAADMTYwAgAAAAI4MgQAAAABMAcAAAAIMy82LzIwMjYIAAAACTYvMzAvMjAyMwkAAAABMC6qU+TNe94I9x9iOc573ggxQ0lRLk5ZU0U6SUJNLklRX1NHQV9TVVBQTC4xOTkwLjA2LzAzLzIwMjYuLi5VU0QuSAEAAADetgEAAgAAAAUxODc1NwEIAAAABQAAAAExAQAAAAstMTk4NTk0NDkyMgMAAAADMTYwAgAAAAMxMDIEAAAAATAHAAAACDMvNi8yMDI2CAAAAAk2LzMwLzIwMjMJAAAAATAuqlPkzXveCPcfYjnOe94IM0NJUS5OWVNFOklCTS5JUV9JTlNfRElWX0VYUC4xOTkwLjA2LzAzLzIwMjYuLi5VU0QuSAEAAADetgEAAwAAAAAALqpT5M173gj3H2I5znveCDJDSVEuTllTRTpJQk0uSVFfREVQUkVfU1VQUC4xOTkwLjA2LzAzLzIwMjYuLi5VU0QuSAEAAADetgEAAwAAAAAALqpT5M173gji+GE5znveCDZDSVEuTllTRTpJQk0uSVFfRElMVVRfRVBTX05PUk0uMTk5MC4wNi8wMy8yMDI2Li4uVVNELkgBAAAA3rYBAAIAAAAINS41MTQyNjcBCAAAAAUAAAABMQEAAAALLTE5ODU5NDQ5MjIDAAAAAzE2MAIAAAAENDM4MAQAAAABMAcAAAAIMy82LzIwMjYIAAAACTYvMzAv</t>
  </si>
  <si>
    <t>MjAyMwkAAAABMC6qU+TNe94I4vhhOc573ggrQ0lRLk5ZU0U6SUJNLklRX0VCVC4xOTkwLjA2LzAzLzIwMjYuLi5VU0QuSAEAAADetgEAAgAAAAQxODY5AQgAAAAFAAAAATEBAAAACy0xOTg1OTQ0OTIyAwAAAAMxNjACAAAAAzEzOQQAAAABMAcAAAAIMy82LzIwMjYIAAAACTYvMzAvMjAyMwkAAAABMC6qU+TNe94I9x9iOc573gg3Q0lRLk5ZU0U6SUJNLklRX1JFU1RSSUNURURfQ0FTSC4xOTkwLjA2LzAzLzIwMjYuLi5VU0QuSAEAAADetgEAAgAAAAIzMQEIAAAABQAAAAExAQAAAAstMTk4NTk0NDkyMgMAAAADMTYwAgAAAAQxMTA0BAAAAAEwBwAAAAgzLzYvMjAyNggAAAAJNi8zMC8yMDIzCQAAAAEwLqpT5M173gj3H2I5znveCDVDSVEuTllTRTpJQk0uSVFfQ0FTSF9JTlRFUkVTVC4xOTkwLjA2LzAzLzIwMjYuLi5VU0QuSAEAAADetgEAAgAAAAQxNTkyAQgAAAAFAAAAATEBAAAACy0xOTg1OTQ0OTIyAwAAAAMxNjACAAAABDMwMjgEAAAAATAHAAAACDMvNi8yMDI2CAAAAAk2LzMwLzIwMjMJAAAAATAuqlPkzXveCPcfYjnOe94IRENJUS5OWVNFOklCTS5JUV9DSEFOR0VfT1RIRVJfTkVUX09QRVJfQVNTRVRTLjE5OTAuMDYvMDMvMjAyNi4uLlVTRC5IAQAAAN62AQACAAAABDIxMTcBCAAAAAUAAAABMQEAAAALLTE5ODU5NDQ5MjIDAAAAAzE2MAIAAAAEMjA0NQQAAAABMAcAAAAIMy82LzIwMjYIAAAACTYv</t>
  </si>
  <si>
    <t>MzAvMjAyMwkAAAABMC6qU+TNe94I9x9iOc573ggxQ0lRLk5ZU0U6SUJNLklRX01BUktFVElORy4xOTkwLjA2LzAzLzIwMjYuLi5VU0QuSAEAAADetgEAAwAAAAAALqpT5M173gj3H2I5znveCDNDSVEuTllTRTpJQk0uSVFfSU5UX0VYUF9MVEQuMTk5MC4wNi8wMy8yMDI2Li4uVVNELkgBAAAA3rYBAAMAAAAAAC6qU+TNe94INkdiOc573ghKQ0lRLk5ZU0U6SUJNLklRX09QRUJfQVNTRVRTX09USEVSX1BMQU5fQURKX0ZPUkVJR04uMTk5MS4wNi8wMy8yMDI2Li4uVVNELkgBAAAA3rYBAAMAAAAAACmDU+TNe94IF6FHOc573ghMQ0lRLk5ZU0U6SUJNLklRX0FVTV9NQVJLRVRfQVBQUkVDSUFUSU9OX0RFUFJFQ0lBVElPTi4xOTkxLjA2LzAzLzIwMjYuLi5VU0QuSAEAAADetgEAAwAAAAAAwtRh5M173ggXoUc5znveCE1DSVEuTllTRTpJQk0uSVFfSU5URVJFU1RfUEVOQUxUSUVTX1JFQ09HX0JTX0FGVEVSX1RBWC4xOTkxLjA2LzAzLzIwMjYuLi5VU0QuSAEAAADetgEAAwAAAAAAwtRh5M173ggXoUc5znveCDtDSVEuTllTRTpJQk0uSVFfQVVNX0lOU1RJVFVUSU9OQUxfQ1VTVE9NRVJTLjE5OTEuMDYvMDMvMjAyNgEAAADetgEAAwAAAAAAwtRh5M173ggEa0c5znveCE1DSVEuTllTRTpJQk0uSVFfTVVUVUFMX0ZVTkRfQVBQUkVDSUFUSU9OX0RFUFJFQ0lBVElPTi4xOTkxLjA2LzAzLzIwMjYuLi5VU0QuSAEA</t>
  </si>
  <si>
    <t>AADetgEAAwAAAAAAwtRh5M173ggXoUc5znveCEFDSVEuTllTRTpJQk0uSVFfT1BFQl9CUkVBS0RPV05fRVFfRk9SRUlHTi4xOTkxLjA2LzAzLzIwMjYuLi5VU0QuSAEAAADetgEAAwAAAAAAwtRh5M173ggXoUc5znveCD9DSVEuTllTRTpJQk0uSVFfT1BFQl9BU1NFVFNfQUNRX0ZPUkVJR04uMTk5MS4wNi8wMy8yMDI2Li4uVVNELkgBAAAA3rYBAAMAAAAAAMLUYeTNe94IF6FHOc573ggzQ0lRLk5ZU0U6SUJNLklRX0FVTV9UT1RBTF9DVVNUT01FUlMuMTk5MS4wNi8wMy8yMDI2AQAAAN62AQADAAAAAADC1GHkzXveCBehRznOe94IM0NJUS5OWVNFOklCTS5JUV9BVU1fRk9SRUlHTi4xOTkxLjA2LzAzLzIwMjYuLi5VU0QuSAEAAADetgEAAwAAAAAAwtRh5M173ggXoUc5znveCEBDSVEuTllTRTpJQk0uSVFfT1BFQl9FWFBfUkFURV9SRVRVUk5fTUlOX0ZPUkVJR04uMTk5MS4wNi8wMy8yMDI2AQAAAN62AQADAAAAAADC1GHkzXveCBehRznOe94ITENJUS5OWVNFOklCTS5JUV9PUEVCX09CTElHQVRJT05fU0VSVklDRV9DT1NUX0ZPUkVJR04uMTk5MS4wNi8wMy8yMDI2Li4uVVNELkgBAAAA3rYBAAMAAAAAAMLUYeTNe94IF6FHOc573ghBQ0lRLk5ZU0U6SUJNLklRX1BFTlNJT05fT1RIRVJfQURKX0ZPUkVJR04uMTk5MS4wNi8wMy8yMDI2Li4uVVNELkgBAAAA3rYBAAMAAAAAAMLUYeTNe94IF6FHOc573ghH</t>
  </si>
  <si>
    <t>Q0lRLk5ZU0U6SUJNLklRX1BFTlNJT05fRVNUX0JFTkVGSVRfM1lSX0ZPUkVJR04uMTk5MS4wNi8wMy8yMDI2Li4uVVNELkgBAAAA3rYBAAMAAAAAAMLUYeTNe94IF6FHOc573ghKQ0lRLk5ZU0U6SUJNLklRX1BFTlNJT05fUEJPX1JBVEVfQ09NUF9JTkNSRUFTRV9NQVhfRk9SRUlHTi4xOTkxLjA2LzAzLzIwMjYBAAAA3rYBAAMAAAAAAMLUYeTNe94IF6FHOc573gg5Q0lRLk5ZU0U6SUJNLklRX0NBUF9MT1NTX0NGX1RPVEFMLjE5OTEuMDYvMDMvMjAyNi4uLlVTRC5IAQAAAN62AQADAAAAAADC1GHkzXveCOPbRznOe94IMUNJUS5OWVNFOklCTS5JUV9BVU1fT1RIRVIuMTk5MS4wNi8wMy8yMDI2Li4uVVNELkgBAAAA3rYBAAMAAAAAAMLUYeTNe94I49tHOc573gg+Q0lRLk5ZU0U6SUJNLklRX09QRUJfTFRfQVNTRVRTX0ZPUkVJR04uMTk5MS4wNi8wMy8yMDI2Li4uVVNELkgBAAAA3rYBAAMAAAAAAMLUYeTNe94I49tHOc573ghEQ0lRLk5ZU0U6SUJNLklRX09QRUJfRVNUX0JFTkVGSVRfMVlSX0ZPUkVJR04uMTk5MS4wNi8wMy8yMDI2Li4uVVNELkgBAAAA3rYBAAMAAAAAAMLUYeTNe94I49tHOc573ghDQ0lRLk5ZU0U6SUJNLklRX09QRUJfQU1UX1JFQ09HX05FWFRfRk9SRUlHTi4xOTkxLjA2LzAzLzIwMjYuLi5VU0QuSAEAAADetgEAAwAAAAAAwtRh5M173ggXoUc5znveCElDSVEuTllTRTpJQk0uSVFf</t>
  </si>
  <si>
    <t>T1BFQl9PQkxJR0FUSU9OX1BST0pFQ1RFRF9GT1JFSUdOLjE5OTEuMDYvMDMvMjAyNi4uLlVTRC5IAQAAAN62AQADAAAAAADC1GHkzXveCOPbRznOe94IN0NJUS5OWVNFOklCTS5JUV9NVVRVQUxfRlVORF9CT1AuMTk5MS4wNi8wMy8yMDI2Li4uVVNELkgBAAAA3rYBAAMAAAAAAMLUYeTNe94I49tHOc573gg+Q0lRLk5ZU0U6SUJNLklRX09QRUJfT1RIRVJfQURKX0ZPUkVJR04uMTk5MS4wNi8wMy8yMDI2Li4uVVNELkgBAAAA3rYBAAMAAAAAAMLUYeTNe94I49tHOc573ghGQ0lRLk5ZU0U6SUJNLklRX09QRUJfQ0lfT1RIRVJfTUlTQ19BREpfRk9SRUlHTi4xOTkxLjA2LzAzLzIwMjYuLi5VU0QuSAEAAADetgEAAwAAAAAAwtRh5M173gjj20c5znveCENDSVEuTllTRTpJQk0uSVFfT1BFQl9SQVRFX0NPTVBfSU5DUkVBU0VfTUlOX0ZPUkVJR04uMTk5MS4wNi8wMy8yMDI2AQAAAN62AQADAAAAAADC1GHkzXveCOPbRznOe94ISUNJUS5OWVNFOklCTS5JUV9PUEVCX0FTU0VUU19CRU5FRklUU19QQUlEX0ZPUkVJR04uMTk5MS4wNi8wMy8yMDI2Li4uVVNELkgBAAAA3rYBAAMAAAAAAMLUYeTNe94IHgNIOc573gg/Q0lRLk5ZU0U6SUJNLklRX09QRUJfRVhQX1JFVFVSTl9GT1JFSUdOLjE5OTEuMDYvMDMvMjAyNi4uLlVTRC5IAQAAAN62AQADAAAAAADC1GHkzXveCB4DSDnOe94IVENJUS5OWVNFOklCTS5JUV9Q</t>
  </si>
  <si>
    <t>RU5TSU9OX1FVQVJUX0FERExfQ09OVFJJQlVUSU9OU19FWFBfRk9SRUlHTi4xOTkxLjA2LzAzLzIwMjYuLi5VU0QuSAEAAADetgEAAwAAAAAAwtRh5M173gjj20c5znveCERDSVEuTllTRTpJQk0uSVFfUEVOU0lPTl9QUkVQQUlEX0NPU1RfRk9SRUlHTi4xOTkxLjA2LzAzLzIwMjYuLi5VU0QuSAEAAADetgEAAwAAAAAAwtRh5M173gjj20c5znveCE9DSVEuTllTRTpJQk0uSVFfVFJBTlNfSU1QQUNUX0ZJTl80OF9DVVJSRU5UX0xJQUJJTElUSUVTLjE5OTEuMDYvMDMvMjAyNi4uLlVTRC5IAQAAAN62AQADAAAAAADC1GHkzXveCOPbRznOe94IN0NJUS5OWVNFOklCTS5JUV9DQVBfTE9TU19DRl8xWVIuMTk5MS4wNi8wMy8yMDI2Li4uVVNELkgBAAAA3rYBAAMAAAAAAMLUYeTNe94IHgNIOc573ggyQ0lRLk5ZU0U6SUJNLklRX05PTF9DRl80WVIuMTk5MS4wNi8wMy8yMDI2Li4uVVNELkgBAAAA3rYBAAMAAAAAAMLUYeTNe94IHgNIOc573ggzQ0lRLk5ZU0U6SUJNLklRX0FVTV9PVEhFUl9DVVNUT01FUlMuMTk5MS4wNi8wMy8yMDI2AQAAAN62AQADAAAAAADC1GHkzXveCB4DSDnOe94IOkNJUS5OWVNFOklCTS5JUV9BVU1fSElHSF9ORVRfV09SVEguMTk5MS4wNi8wMy8yMDI2Li4uVVNELkgBAAAA3rYBAAMAAAAAAMLUYeTNe94IHgNIOc573ghEQ0lRLk5ZU0U6SUJNLklRX09QRUJfRVNUX0JFTkVGSVRfM1lS</t>
  </si>
  <si>
    <t>X0ZPUkVJR04uMTk5MS4wNi8wMy8yMDI2Li4uVVNELkgBAAAA3rYBAAMAAAAAAMLUYeTNe94IHgNIOc573gg6Q0lRLk5ZU0U6SUJNLklRX0FVTV9QUklWQVRFX0VRVUlUWS4xOTkxLjA2LzAzLzIwMjYuLi5VU0QuSAEAAADetgEAAwAAAAAAwtRh5M173ggeA0g5znveCEBDSVEuTllTRTpJQk0uSVFfT1BFQl9FWFBfUkFURV9SRVRVUk5fTUFYX0ZPUkVJR04uMTk5MS4wNi8wMy8yMDI2AQAAAN62AQADAAAAAADC1GHkzXveCB4DSDnOe94IRkNJUS5OWVNFOklCTS5JUV9PUEVCX09CTElHQVRJT05fRlhfQURKX0ZPUkVJR04uMTk5MS4wNi8wMy8yMDI2Li4uVVNELkgBAAAA3rYBAAMAAAAAAMLUYeTNe94IHgNIOc573ghBQ0lRLk5ZU0U6SUJNLklRX09QRUJfU0VSVklDRV9DT1NUX0ZPUkVJR04uMTk5MS4wNi8wMy8yMDI2Li4uVVNELkgBAAAA3rYBAAMAAAAAAMLUYeTNe94IHgNIOc573ghOQ0lRLk5ZU0U6SUJNLklRX1BFTlNJT05fVU5GVU5ERURfQURETF9NSU5fTElBQl9GT1JFSUdOLjE5OTEuMDYvMDMvMjAyNi4uLlVTRC5IAQAAAN62AQADAAAAAADC1GHkzXveCB4DSDnOe94IVUNJUS5OWVNFOklCTS5JUV9PUEVCX0RFQ1JFQVNFX0VGRkVDVF9TRVJWSUNFX0lOVF9DT1NUX0ZPUkVJR04uMTk5MS4wNi8wMy8yMDI2Li4uVVNELkgBAAAA3rYBAAMAAAAAAMLUYeTNe94IYSpIOc573ghEQ0lRLk5ZU0U6SUJN</t>
  </si>
  <si>
    <t>LklRX09QRUJfRVNUX0JFTkVGSVRfNVlSX0ZPUkVJR04uMTk5MS4wNi8wMy8yMDI2Li4uVVNELkgBAAAA3rYBAAMAAAAAAMLUYeTNe94IYSpIOc573ghBQ0lRLk5ZU0U6SUJNLklRX09QRUJfUFJFUEFJRF9DT1NUX0ZPUkVJR04uMTk5MS4wNi8wMy8yMDI2Li4uVVNELkgBAAAA3rYBAAMAAAAAAMLUYeTNe94IYSpIOc573gg7Q0lRLk5ZU0U6SUJNLklRX09QRUJfQ0lfQUNUX0ZPUkVJR04uMTk5MS4wNi8wMy8yMDI2Li4uVVNELkgBAAAA3rYBAAMAAAAAAMLUYeTNe94IYSpIOc573ghSQ0lRLk5ZU0U6SUJNLklRX09QRUJfQVNTRVRTX1BBUlRJQ0lQX0NPTlRSSUJVVElPTlNfRk9SRUlHTi4xOTkxLjA2LzAzLzIwMjYuLi5VU0QuSAEAAADetgEAAwAAAAAAwtRh5M173ggeA0g5znveCEBDSVEuTllTRTpJQk0uSVFfQ0FQSVRBTElaRURfSU5URVJFU1RfRVhQLjE5OTEuMDYvMDMvMjAyNi4uLlVTRC5IAQAAAN62AQADAAAAAADC1GHkzXveCBU+SDnOe94IP0NJUS5OWVNFOklCTS5JUV9QRU5TSU9OX0xUX0xJQUJfRk9SRUlHTi4xOTkxLjA2LzAzLzIwMjYuLi5VU0QuSAEAAADetgEAAwAAAAAAwtRh5M173ggVPkg5znveCEFDSVEuTllTRTpJQk0uSVFfUEVOU0lPTl9MVF9BU1NFVFNfRk9SRUlHTi4xOTkxLjA2LzAzLzIwMjYuLi5VU0QuSAEAAADetgEAAwAAAAAAwtRh5M173ghhKkg5znveCERDSVEuTllTRTpJ</t>
  </si>
  <si>
    <t>Qk0uSVFfUEVOU0lPTl9JTlRBTl9BU1NFVFNfRk9SRUlHTi4xOTkxLjA2LzAzLzIwMjYuLi5VU0QuSAEAAADetgEAAwAAAAAAwtRh5M173ghhKkg5znveCEZDSVEuTllTRTpJQk0uSVFfUEVOU0lPTl9BTVRfUkVDT0dfTkVYVF9GT1JFSUdOLjE5OTEuMDYvMDMvMjAyNi4uLlVTRC5IAQAAAN62AQADAAAAAADC1GHkzXveCGEqSDnOe94IRENJUS5OWVNFOklCTS5JUV9QRU5TSU9OX0JSRUFLRE9XTl9GSV9GT1JFSUdOLjE5OTEuMDYvMDMvMjAyNi4uLlVTRC5IAQAAAN62AQADAAAAAADC1GHkzXveCBU+SDnOe94IQkNJUS5OWVNFOklCTS5JUV9QRU5TSU9OX0VYUF9SRVRVUk5fRk9SRUlHTi4xOTkxLjA2LzAzLzIwMjYuLi5VU0QuSAEAAADetgEAAwAAAAAAwtRh5M173ggVPkg5znveCE5DSVEuTllTRTpJQk0uSVFfUEVOU0lPTl9BQ0NVTVVMQVRFRF9PQkxJR0FUSU9OX0ZPUkVJR04uMTk5MS4wNi8wMy8yMDI2Li4uVVNELkgBAAAA3rYBAAMAAAAAAMLUYeTNe94IFT5IOc573ghAQ0lRLk5ZU0U6SUJNLklRX09QRUJfRVNUX0JFTkVGSVRfMllSX0RPTS4xOTkxLjA2LzAzLzIwMjYuLi5VU0QuSAEAAADetgEAAwAAAAAAwtRh5M173ggVPkg5znveCEJDSVEuTllTRTpJQk0uSVFfT1BFQl9DSV9PVEhFUl9NSVNDX0FESl9ET00uMTk5MS4wNi8wMy8yMDI2Li4uVVNELkgBAAAA3rYBAAMAAAAAAMLUYeTNe94IFT5I</t>
  </si>
  <si>
    <t>Oc573ghFQ0lRLk5ZU0U6SUJNLklRX09QRUJfQ0lfTkVUX0FNVF9SRUNPR19GT1JFSUdOLjE5OTEuMDYvMDMvMjAyNi4uLlVTRC5IAQAAAN62AQADAAAAAADC1GHkzXveCBU+SDnOe94IPUNJUS5OWVNFOklCTS5JUV9PUEVCX0JSRUFLRE9XTl9QQ1RfRVFfRk9SRUlHTi4xOTkxLjA2LzAzLzIwMjYBAAAA3rYBAAMAAAAAAMLUYeTNe94IFT5IOc573ghGQ0lRLk5ZU0U6SUJNLklRX1BFTlNJT05fUkFURV9DT01QX0lOQ1JFQVNFX01BWF9GT1JFSUdOLjE5OTEuMDYvMDMvMjAyNgEAAADetgEAAwAAAAAAwtRh5M173ggVPkg5znveCE1DSVEuTllTRTpJQk0uSVFfUEVOU0lPTl9PQkxJR0FUSU9OX1RPVEFMX0NPU1RfRk9SRUlHTi4xOTkxLjA2LzAzLzIwMjYuLi5VU0QuSAEAAADetgEAAwAAAAAAwtRh5M173ggVPkg5znveCD1DSVEuTllTRTpJQk0uSVFfT1BFQl9BQ0NSVUVEX0xJQUJfRE9NLjE5OTEuMDYvMDMvMjAyNi4uLlVTRC5IAQAAAN62AQADAAAAAADC1GHkzXveCBU+SDnOe94IR0NJUS5OWVNFOklCTS5JUV9PUEVCX09CTElHQVRJT05fQ1VSVEFJTF9GT1JFSUdOLjE5OTEuMDYvMDMvMjAyNi4uLlVTRC5IAQAAAN62AQADAAAAAADC1GHkzXveCGJlSDnOe94IPkNJUS5OWVNFOklCTS5JUV9QRU5TSU9OX0NJX0FDVF9GT1JFSUdOLjE5OTEuMDYvMDMvMjAyNi4uLlVTRC5IAQAAAN62AQADAAAAAADC1GHk</t>
  </si>
  <si>
    <t>zXveCGJlSDnOe94IVUNJUS5OWVNFOklCTS5JUV9QRU5TSU9OX0FTU0VUU19FTVBMT1lFUl9DT05UUklCVVRJT05TX0ZPUkVJR04uMTk5MS4wNi8wMy8yMDI2Li4uVVNELkgBAAAA3rYBAAMAAAAAAMLUYeTNe94IYmVIOc573ghZQ0lRLk5ZU0U6SUJNLklRX1BFTlNJT05fT0JMSUdBVElPTl9FTVBMT1lFRV9DT05UUklCVVRJT05TX0ZPUkVJR04uMTk5MS4wNi8wMy8yMDI2Li4uVVNELkgBAAAA3rYBAAMAAAAAAMLUYeTNe94IYmVIOc573gg2Q0lRLk5ZU0U6SUJNLklRX09QRUJfT1RIRVJfRE9NLjE5OTEuMDYvMDMvMjAyNi4uLlVTRC5IAQAAAN62AQADAAAAAADC1GHkzXveCGJlSDnOe94IJENJUS5OWVNFOklCTS5JUV9EQVJULjE5OTEuMDYvMDMvMjAyNgEAAADetgEAAwAAAAAAwtRh5M173ghiZUg5znveCEFDSVEuTllTRTpJQk0uSVFfT1BFQl9CUkVBS0RPV05fRklfRk9SRUlHTi4xOTkxLjA2LzAzLzIwMjYuLi5VU0QuSAEAAADetgEAAwAAAAAAwtRh5M173ghiZUg5znveCEBDSVEuTllTRTpJQk0uSVFfUEVOU0lPTl9BQ1RfTkVYVF9GT1JFSUdOLjE5OTEuMDYvMDMvMjAyNi4uLlVTRC5IAQAAAN62AQADAAAAAADC1GHkzXveCGJlSDnOe94ITUNJUS5OWVNFOklCTS5JUV9QRU5TSU9OX0FTU0VUU19PVEhFUl9QTEFOX0FESl9GT1JFSUdOLjE5OTEuMDYvMDMvMjAyNi4uLlVTRC5IAQAAAN62AQADAAAA</t>
  </si>
  <si>
    <t>AADC1GHkzXveCGJlSDnOe94IQ0NJUS5OWVNFOklCTS5JUV9PUEVCX1BCT19SQVRFX0NPTVBfSU5DUkVBU0VfTUFYX0RPTS4xOTkxLjA2LzAzLzIwMjYBAAAA3rYBAAMAAAAAAMLUYeTNe94IYmVIOc573ghBQ0lRLk5ZU0U6SUJNLklRX09QRUJfQ0lfUFJJT1JfU0VSVklDRV9ET00uMTk5MS4wNi8wMy8yMDI2Li4uVVNELkgBAAAA3rYBAAMAAAAAAMLUYeTNe94IlIxIOc573gg8Q0lRLk5ZU0U6SUJNLklRX09QRUJfQlJFQUtET1dOX1BDVF9PVEhFUl9ET00uMTk5MS4wNi8wMy8yMDI2AQAAAN62AQADAAAAAADC1GHkzXveCJSMSDnOe94IO0NJUS5OWVNFOklCTS5JUV9PUEVCX0FTU0VUU19BQ1FfRE9NLjE5OTEuMDYvMDMvMjAyNi4uLlVTRC5IAQAAAN62AQADAAAAAADC1GHkzXveCJSMSDnOe94IQENJUS5OWVNFOklCTS5JUV9PUEVCX09CTElHQVRJT05fUEFJRF9ET00uMTk5MS4wNi8wMy8yMDI2Li4uVVNELkgBAAAA3rYBAAMAAAAAAMLUYeTNe94IYmVIOc573ghJQ0lRLk5ZU0U6SUJNLklRX09QRUJfT0JMSUdBVElPTl9JTlRFUkVTVF9DT1NUX0RPTS4xOTkxLjA2LzAzLzIwMjYuLi5VU0QuSAEAAADetgEAAwAAAAAAwtRh5M173ghiZUg5znveCENDSVEuTllTRTpJQk0uSVFfUEVOU0lPTl9ORVRfQVNTRVRfUkVDT0dfRE9NLjE5OTEuMDYvMDMvMjAyNi4uLlVTRC5IAQAAAN62AQADAAAAAADC1GHkzXve</t>
  </si>
  <si>
    <t>CJSMSDnOe94IQ0NJUS5OWVNFOklCTS5JUV9QRU5TSU9OX0VTVF9CRU5FRklUXzRZUl9ET00uMTk5MS4wNi8wMy8yMDI2Li4uVVNELkgBAAAA3rYBAAMAAAAAAMLUYeTNe94IlIxIOc573ghFQ0lRLk5ZU0U6SUJNLklRX1BFTlNJT05fQ0lfT1RIRVJfTUlTQ19BREpfRE9NLjE5OTEuMDYvMDMvMjAyNi4uLlVTRC5IAQAAAN62AQADAAAAAADC1GHkzXveCJSMSDnOe94IOkNJUS5OWVNFOklCTS5JUV9QRU5TSU9OX0NJX0FDVF9ET00uMTk5MS4wNi8wMy8yMDI2Li4uVVNELkgBAAAA3rYBAAMAAAAAAMLUYeTNe94IlIxIOc573ghGQ0lRLk5ZU0U6SUJNLklRX1VOUkVDT0dfVEFYX0JFTkVGSVRfQkVHX1BFUklPRC4xOTkxLjA2LzAzLzIwMjYuLi5VU0QuSAEAAADetgEAAwAAAAAAwtRh5M173giUjEg5znveCDpDSVEuTllTRTpJQk0uSVFfT1BFQl9ESVNDX1JBVEVfTUFYX0ZPUkVJR04uMTk5MS4wNi8wMy8yMDI2AQAAAN62AQADAAAAAADC1GHkzXveCJSMSDnOe94IUUNJUS5OWVNFOklCTS5JUV9PUEVCX1RPVEFMX0NPU1RfSU5DTF9TVVBQTEVfUExBTlNfRk9SRUlHTi4xOTkxLjA2LzAzLzIwMjYuLi5VU0QuSAEAAADetgEAAwAAAAAAwtRh5M173giUjEg5znveCD9DSVEuTllTRTpJQk0uSVFfT1BFQl9PVEhFUl9DT1NUX0ZPUkVJR04uMTk5MS4wNi8wMy8yMDI2Li4uVVNELkgBAAAA3rYBAAMAAAAAAMLUYeTN</t>
  </si>
  <si>
    <t>e94IlIxIOc573ghKQ0lRLk5ZU0U6SUJNLklRX1BFTlNJT05fRVNUX0JFTkVGSVRfQUZURVI1X0ZPUkVJR04uMTk5MS4wNi8wMy8yMDI2Li4uVVNELkgBAAAA3rYBAAMAAAAAAMLUYeTNe94IlIxIOc573ghHQ0lRLk5ZU0U6SUJNLklRX1BFTlNJT05fRVNUX0JFTkVGSVRfNFlSX0ZPUkVJR04uMTk5MS4wNi8wMy8yMDI2Li4uVVNELkgBAAAA3rYBAAMAAAAAAMLUYeTNe94IlIxIOc573gg9Q0lRLk5ZU0U6SUJNLklRX1BFTlNJT05fRElTQ09VTlRfUkFURV9GT1JFSUdOLjE5OTEuMDYvMDMvMjAyNgEAAADetgEAAwAAAAAAwtRh5M173gifs0g5znveCEZDSVEuTllTRTpJQk0uSVFfUEVOU0lPTl9PQkxJR0FUSU9OX1JPQV9GT1JFSUdOLjE5OTEuMDYvMDMvMjAyNi4uLlVTRC5IAQAAAN62AQADAAAAAADC1GHkzXveCJ+zSDnOe94IQENJUS5OWVNFOklCTS5JUV9PUEVCX05FVF9BU1NFVF9SRUNPR19ET00uMTk5MS4wNi8wMy8yMDI2Li4uVVNELkgBAAAA3rYBAAMAAAAAAMLUYeTNe94In7NIOc573ghDQ0lRLk5ZU0U6SUJNLklRX09QRUJfRVNUX0JFTkVGSVRfQUZURVI1X0RPTS4xOTkxLjA2LzAzLzIwMjYuLi5VU0QuSAEAAADetgEAAwAAAAAAwtRh5M173gifs0g5znveCEVDSVEuTllTRTpJQk0uSVFfT1BFQl9QQk9fQVNTVU1FRF9SQVRFX1JFVF9NQVhfRk9SRUlHTi4xOTkxLjA2LzAzLzIwMjYBAAAA3rYB</t>
  </si>
  <si>
    <t>AAMAAAAAAMLUYeTNe94In7NIOc573ghDQ0lRLk5ZU0U6SUJNLklRX09QRUJfQVNTRVRTX0NVUlRBSUxfRk9SRUlHTi4xOTkxLjA2LzAzLzIwMjYuLi5VU0QuSAEAAADetgEAAwAAAAAAwtRh5M173gifs0g5znveCERDSVEuTllTRTpJQk0uSVFfUEVOU0lPTl9BQ0NSVUVEX0xJQUJfRk9SRUlHTi4xOTkxLjA2LzAzLzIwMjYuLi5VU0QuSAEAAADetgEAAwAAAAAAwtRh5M173gifs0g5znveCEdDSVEuTllTRTpJQk0uSVFfUEVOU0lPTl9FU1RfQkVORUZJVF8yWVJfRk9SRUlHTi4xOTkxLjA2LzAzLzIwMjYuLi5VU0QuSAEAAADetgEAAwAAAAAAwtRh5M173gifs0g5znveCERDSVEuTllTRTpJQk0uSVFfUEVOU0lPTl9CUkVBS0RPV05fUkVfRk9SRUlHTi4xOTkxLjA2LzAzLzIwMjYuLi5VU0QuSAEAAADetgEAAwAAAAAAwtRh5M173gifs0g5znveCEJDSVEuTllTRTpJQk0uSVFfUEVOU0lPTl9BU1NFVFNfQkVHX0ZPUkVJR04uMTk5MS4wNi8wMy8yMDI2Li4uVVNELkgBAAAA3rYBAAMAAAAAAMLUYeTNe94In7NIOc573ghPQ0lRLk5ZU0U6SUJNLklRX1BFTlNJT05fT0JMSUdBVElPTl9TRVJWSUNFX0NPU1RfRk9SRUlHTi4xOTkxLjA2LzAzLzIwMjYuLi5VU0QuSAEAAADetgEAAwAAAAAAwtRh5M173gio2kg5znveCERDSVEuTllTRTpJQk0uSVFfUEVOU0lPTl9TRVJWSUNFX0NPU1RfRk9SRUlHTi4xOTkxLjA2</t>
  </si>
  <si>
    <t>LzAzLzIwMjYuLi5VU0QuSAEAAADetgEAAwAAAAAAwtRh5M173gio2kg5znveCDpDSVEuTllTRTpJQk0uSVFfT1BFQl9PVEhFUl9GT1JFSUdOLjE5OTEuMDYvMDMvMjAyNi4uLlVTRC5IAQAAAN62AQADAAAAAADC1GHkzXveCJ+zSDnOe94IPENJUS5OWVNFOklCTS5JUV9PUEVCX0xUX0xJQUJfRk9SRUlHTi4xOTkxLjA2LzAzLzIwMjYuLi5VU0QuSAEAAADetgEAAwAAAAAAwtRh5M173gifs0g5znveCEJDSVEuTllTRTpJQk0uSVFfT1BFQl9DSV9UUkFOU0lUSU9OX0ZPUkVJR04uMTk5MS4wNi8wMy8yMDI2Li4uVVNELkgBAAAA3rYBAAMAAAAAAMLUYeTNe94In7NIOc573gg3Q0lRLk5ZU0U6SUJNLklRX0FVTV9SRUFMX0VTVEFURS4xOTkxLjA2LzAzLzIwMjYuLi5VU0QuSAEAAADetgEAAwAAAAAAwtRh5M173gio2kg5znveCDpDSVEuTllTRTpJQk0uSVFfT1BFQl9ESVNDX1JBVEVfTUlOX0ZPUkVJR04uMTk5MS4wNi8wMy8yMDI2AQAAAN62AQADAAAAAADC1GHkzXveCKjaSDnOe94IRUNJUS5OWVNFOklCTS5JUV9QRU5TSU9OX0NJX1RSQU5TSVRJT05fRk9SRUlHTi4xOTkxLjA2LzAzLzIwMjYuLi5VU0QuSAEAAADetgEAAwAAAAAAwtRh5M173gio2kg5znveCExDSVEuTllTRTpJQk0uSVFfUEVOU0lPTl9PQkxJR0FUSU9OX1BST0pFQ1RFRF9GT1JFSUdOLjE5OTEuMDYvMDMvMjAyNi4uLlVTRC5IAQAAAN62</t>
  </si>
  <si>
    <t>AQADAAAAAADC1GHkzXveCKjaSDnOe94IRENJUS5OWVNFOklCTS5JUV9PUEVCX0RFQ1JFQVNFX0VGRkVDVF9QQk9fRE9NLjE5OTEuMDYvMDMvMjAyNi4uLlVTRC5IAQAAAN62AQADAAAAAADC1GHkzXveCKjaSDnOe94ITENJUS5OWVNFOklCTS5JUV9PUEVCX1NVUFBMRV9QTEFOU19UT1RBTF9DT1NUX0ZPUkVJR04uMTk5MS4wNi8wMy8yMDI2Li4uVVNELkgBAAAA3rYBAAMAAAAAAMLUYeTNe94IqNpIOc573ghGQ0lRLk5ZU0U6SUJNLklRX1BFTlNJT05fUkFURV9DT01QX0lOQ1JFQVNFX01JTl9GT1JFSUdOLjE5OTEuMDYvMDMvMjAyNgEAAADetgEAAwAAAAAAwtRh5M173gio2kg5znveCExDSVEuTllTRTpJQk0uSVFfUEVOU0lPTl9BU1NFVFNfQkVORUZJVFNfUEFJRF9GT1JFSUdOLjE5OTEuMDYvMDMvMjAyNi4uLlVTRC5IAQAAAN62AQADAAAAAADC1GHkzXveCKjaSDnOe94IUENJUS5OWVNFOklCTS5JUV9QRU5TSU9OX09CTElHQVRJT05fSU5URVJFU1RfQ09TVF9GT1JFSUdOLjE5OTEuMDYvMDMvMjAyNi4uLlVTRC5IAQAAAN62AQADAAAAAADC1GHkzXveCKjaSDnOe94IPUNJUS5OWVNFOklCTS5JUV9PUEVCX1BSRVBBSURfQ09TVF9ET00uMTk5MS4wNi8wMy8yMDI2Li4uVVNELkgBAAAA3rYBAAMAAAAAAMLUYeTNe94IqNpIOc573gg/Q0lRLk5ZU0U6SUJNLklRX09QRUJfQU1UX1JFQ09HX05FWFRfRE9N</t>
  </si>
  <si>
    <t>LjE5OTEuMDYvMDMvMjAyNi4uLlVTRC5IAQAAAN62AQADAAAAAADC1GHkzXveCMEBSTnOe94INkNJUS5OWVNFOklCTS5JUV9PUEVCX0RJU0NfUkFURV9NQVhfRE9NLjE5OTEuMDYvMDMvMjAyNgEAAADetgEAAwAAAAAAwtRh5M173gjBAUk5znveCEVDSVEuTllTRTpJQk0uSVFfT1BFQl9PQkxJR0FUSU9OX1BST0pFQ1RFRF9ET00uMTk5MS4wNi8wMy8yMDI2Li4uVVNELkgBAAAA3rYBAAMAAAAAAMLUYeTNe94IwQFJOc573gg/Q0lRLk5ZU0U6SUJNLklRX09QRUJfT0JMSUdBVElPTl9BQ1FfRE9NLjE5OTEuMDYvMDMvMjAyNi4uLlVTRC5IAQAAAN62AQADAAAAAADC1GHkzXveCMEBSTnOe94IU0NJUS5OWVNFOklCTS5JUV9PUEVCX09CTElHQVRJT05fQUNUVUFSSUFMX0dBSU5fTE9TU19GT1JFSUdOLjE5OTEuMDYvMDMvMjAyNi4uLlVTRC5IAQAAAN62AQADAAAAAADC1GHkzXveCMEBSTnOe94IQUNJUS5OWVNFOklCTS5JUV9QRU5TSU9OX0JFTkVGSVRfSU5GT19EQVRFX0ZPUkVJR04uMTk5MS4wNi8wMy8yMDI2AQAAAN62AQADAAAAAADC1GHkzXveCMEBSTnOe94IR0NJUS5OWVNFOklCTS5JUV9QRU5TSU9OX05FVF9BU1NFVF9SRUNPR19GT1JFSUdOLjE5OTEuMDYvMDMvMjAyNi4uLlVTRC5IAQAAAN62AQADAAAAAADC1GHkzXveCMEBSTnOe94IRUNJUS5OWVNFOklCTS5JUV9QRU5TSU9OX1VOUkVDT0dfUFJJ</t>
  </si>
  <si>
    <t>T1JfRk9SRUlHTi4xOTkxLjA2LzAzLzIwMjYuLi5VU0QuSAEAAADetgEAAwAAAAAAwtRh5M173gjBAUk5znveCEpDSVEuTllTRTpJQk0uSVFfUEVOU0lPTl9QUklPUl9TRVJWSUNFX05FWFRfRk9SRUlHTi4xOTkxLjA2LzAzLzIwMjYuLi5VU0QuSAEAAADetgEAAwAAAAAAwtRh5M173gjBAUk5znveCEBDSVEuTllTRTpJQk0uSVFfUEVOU0lPTl9CUkVBS0RPV05fUENUX1JFX0ZPUkVJR04uMTk5MS4wNi8wMy8yMDI2AQAAAN62AQADAAAAAADC1GHkzXveCMEBSTnOe94IOENJUS5OWVNFOklCTS5JUV9PUEVCX0xUX0xJQUJfRE9NLjE5OTEuMDYvMDMvMjAyNi4uLlVTRC5IAQAAAN62AQADAAAAAADC1GHkzXveCMEBSTnOe94IN0NJUS5OWVNFOklCTS5JUV9PUEVCX0NJX0FDVF9ET00uMTk5MS4wNi8wMy8yMDI2Li4uVVNELkgBAAAA3rYBAAMAAAAAAMLUYeTNe94IwQFJOc573ghEQ0lRLk5ZU0U6SUJNLklRX09QRUJfRVNUX0JFTkVGSVRfNFlSX0ZPUkVJR04uMTk5MS4wNi8wMy8yMDI2Li4uVVNELkgBAAAA3rYBAAMAAAAAAMLUYeTNe94IwQFJOc573ghAQ0lRLk5ZU0U6SUJNLklRX09QRUJfQlJFQUtET1dOX1BDVF9PVEhFUl9GT1JFSUdOLjE5OTEuMDYvMDMvMjAyNgEAAADetgEAAwAAAAAAwtRh5M173gjBAUk5znveCFRDSVEuTllTRTpJQk0uSVFfUEVOU0lPTl9RVUFSVF9FTVBMT1lFUl9DT05UUklCVVRJ</t>
  </si>
  <si>
    <t>T05TX0ZPUkVJR04uMTk5MS4wNi8wMy8yMDI2Li4uVVNELkgBAAAA3rYBAAMAAAAAAMLUYeTNe94IxihJOc573ghKQ0lRLk5ZU0U6SUJNLklRX1BFTlNJT05fUEJPX1JBVEVfQ09NUF9JTkNSRUFTRV9NSU5fRk9SRUlHTi4xOTkxLjA2LzAzLzIwMjYBAAAA3rYBAAMAAAAAAMLUYeTNe94IxihJOc573ghJQ0lRLk5ZU0U6SUJNLklRX1BFTlNJT05fQ0lfT1RIRVJfTUlTQ19BREpfRk9SRUlHTi4xOTkxLjA2LzAzLzIwMjYuLi5VU0QuSAEAAADetgEAAwAAAAAAwtRh5M173gjGKEk5znveCEBDSVEuTllTRTpJQk0uSVFfUEVOU0lPTl9CUkVBS0RPV05fUENUX0VRX0ZPUkVJR04uMTk5MS4wNi8wMy8yMDI2AQAAAN62AQADAAAAAADC1GHkzXveCMYoSTnOe94ISUNJUS5OWVNFOklCTS5JUV9QRU5TSU9OX09CTElHQVRJT05fRlhfQURKX0ZPUkVJR04uMTk5MS4wNi8wMy8yMDI2Li4uVVNELkgBAAAA3rYBAAMAAAAAAMLUYeTNe94IxihJOc573ghCQ0lRLk5ZU0U6SUJNLklRX09QRUJfSEVBTFRIX0NPU1RfVFJFTkRfSU5JVElBTF9ET00uMTk5MS4wNi8wMy8yMDI2AQAAAN62AQADAAAAAADC1GHkzXveCMYoSTnOe94IOkNJUS5OWVNFOklCTS5JUV9PUEVCX0xUX0FTU0VUU19ET00uMTk5MS4wNi8wMy8yMDI2Li4uVVNELkgBAAAA3rYBAAMAAAAAAMLUYeTNe94IxihJOc573ghBQ0lRLk5ZU0U6SUJNLklRX09QRUJf</t>
  </si>
  <si>
    <t>UEJPX0FTU1VNRURfUkFURV9SRVRfTUlOX0RPTS4xOTkxLjA2LzAzLzIwMjYBAAAA3rYBAAMAAAAAAMLUYeTNe94IxihJOc573gg9Q0lRLk5ZU0U6SUJNLklRX09QRUJfQlJFQUtET1dOX1JFX0RPTS4xOTkxLjA2LzAzLzIwMjYuLi5VU0QuSAEAAADetgEAAwAAAAAAwtRh5M173gjGKEk5znveCDdDSVEuTllTRTpJQk0uSVFfT1BFQl9BU1NFVFNfRE9NLjE5OTEuMDYvMDMvMjAyNi4uLlVTRC5IAQAAAN62AQADAAAAAADC1GHkzXveCMYoSTnOe94IQ0NJUS5OWVNFOklCTS5JUV9PUEVCX09CTElHQVRJT05fQ1VSVEFJTF9ET00uMTk5MS4wNi8wMy8yMDI2Li4uVVNELkgBAAAA3rYBAAMAAAAAAMLUYeTNe94IxihJOc573gg7Q0lRLk5ZU0U6SUJNLklRX09QRUJfRVhQX1JFVFVSTl9ET00uMTk5MS4wNi8wMy8yMDI2Li4uVVNELkgBAAAA3rYBAAMAAAAAAMLUYeTNe94IxihJOc573ghQQ0lRLk5ZU0U6SUJNLklRX1BFTlNJT05fUVVBUlRfQURETF9DT05UUklCVVRJT05TX0VYUF9ET00uMTk5MS4wNi8wMy8yMDI2Li4uVVNELkgBAAAA3rYBAAMAAAAAAMLUYeTNe94IxihJOc573ghAQ0lRLk5ZU0U6SUJNLklRX1BFTlNJT05fUFJFUEFJRF9DT1NUX0RPTS4xOTkxLjA2LzAzLzIwMjYuLi5VU0QuSAEAAADetgEAAwAAAAAAwtRh5M173gjGKEk5znveCENDSVEuTllTRTpJQk0uSVFfT1BFQl9PQkxJR0FUSU9OX0JF</t>
  </si>
  <si>
    <t>R19GT1JFSUdOLjE5OTEuMDYvMDMvMjAyNi4uLlVTRC5IAQAAAN62AQADAAAAAADC1GHkzXveCMYoSTnOe94IRkNJUS5OWVNFOklCTS5JUV9QRU5TSU9OX0FDQ1VNX09USEVSX0NJX0ZPUkVJR04uMTk5MS4wNi8wMy8yMDI2Li4uVVNELkgBAAAA3rYBAAMAAAAAAMLUYeTNe94IvGNJOc573ghIQ0lRLk5ZU0U6SUJNLklRX1BFTlNJT05fUEJPX0FTU1VNRURfUkFURV9SRVRfTUlOX0ZPUkVJR04uMTk5MS4wNi8wMy8yMDI2AQAAAN62AQADAAAAAADC1GHkzXveCMYoSTnOe94IRUNJUS5OWVNFOklCTS5JUV9QRU5TSU9OX0FTU0VUU19GWF9BREpfRk9SRUlHTi4xOTkxLjA2LzAzLzIwMjYuLi5VU0QuSAEAAADetgEAAwAAAAAAwtRh5M173gjGKEk5znveCEBDSVEuTllTRTpJQk0uSVFfT1BFQl9FU1RfQkVORUZJVF8zWVJfRE9NLjE5OTEuMDYvMDMvMjAyNi4uLlVTRC5IAQAAAN62AQADAAAAAADC1GHkzXveCMYoSTnOe94IQ0NJUS5OWVNFOklCTS5JUV9PUEVCX1JBVEVfQ09NUF9JTkNSRUFTRV9NQVhfRk9SRUlHTi4xOTkxLjA2LzAzLzIwMjYBAAAA3rYBAAMAAAAAAMLUYeTNe94IxihJOc573ghJQ0lRLk5ZU0U6SUJNLklRX09QRUJfQVNTRVRTX0FDVFVBTF9SRVRVUk5fRk9SRUlHTi4xOTkxLjA2LzAzLzIwMjYuLi5VU0QuSAEAAADetgEAAwAAAAAAwtRh5M173gi8Y0k5znveCD9DSVEuTllTRTpJQk0uSVFf</t>
  </si>
  <si>
    <t>T1BFQl9UT1RBTF9DT1NUX0ZPUkVJR04uMTk5MS4wNi8wMy8yMDI2Li4uVVNELkgBAAAA3rYBAAMAAAAAAMLUYeTNe94IvGNJOc573gg9Q0lRLk5ZU0U6SUJNLklRX1BFTlNJT05fT1RIRVJfRk9SRUlHTi4xOTkxLjA2LzAzLzIwMjYuLi5VU0QuSAEAAADetgEAAwAAAAAAwtRh5M173gi8Y0k5znveCDpDSVEuTllTRTpJQk0uSVFfUEVOU0lPTl9DTF9GT1JFSUdOLjE5OTEuMDYvMDMvMjAyNi4uLlVTRC5IAQAAAN62AQADAAAAAADC1GHkzXveCLxjSTnOe94IQ0NJUS5OWVNFOklCTS5JUV9QRU5TSU9OX0JSRUFLRE9XTl9QQ1RfT1RIRVJfRk9SRUlHTi4xOTkxLjA2LzAzLzIwMjYBAAAA3rYBAAMAAAAAAMLUYeTNe94IvGNJOc573ghAQ0lRLk5ZU0U6SUJNLklRX1BFTlNJT05fUkFURV9DT01QX0dST1dUSF9GT1JFSUdOLjE5OTEuMDYvMDMvMjAyNgEAAADetgEAAwAAAAAAwtRh5M173gi8Y0k5znveCFFDSVEuTllTRTpJQk0uSVFfUEVOU0lPTl9PQkxJR0FUSU9OX09USEVSX1BMQU5fQURKX0ZPUkVJR04uMTk5MS4wNi8wMy8yMDI2Li4uVVNELkgBAAAA3rYBAAMAAAAAAMLUYeTNe94IvGNJOc573ghWQ0lRLk5ZU0U6SUJNLklRX09QRUJfT0JMSUdBVElPTl9FTVBMT1lFRV9DT05UUklCVVRJT05TX0ZPUkVJR04uMTk5MS4wNi8wMy8yMDI2Li4uVVNELkgBAAAA3rYBAAMAAAAAAMLUYeTNe94IvGNJOc573ghI</t>
  </si>
  <si>
    <t>Q0lRLk5ZU0U6SUJNLklRX1BFTlNJT05fQ0lfUFJJT1JfU0VSVklDRV9GT1JFSUdOLjE5OTEuMDYvMDMvMjAyNi4uLlVTRC5IAQAAAN62AQADAAAAAADC1GHkzXveCLxjSTnOe94IVUNJUS5OWVNFOklCTS5JUV9QRU5TSU9OX0FTU0VUU19QQVJUSUNJUF9DT05UUklCVVRJT05TX0ZPUkVJR04uMTk5MS4wNi8wMy8yMDI2Li4uVVNELkgBAAAA3rYBAAMAAAAAAMLUYeTNe94IvGNJOc573ghRQ0lRLk5ZU0U6SUJNLklRX09QRUJfREVDUkVBU0VfRUZGRUNUX1NFUlZJQ0VfSU5UX0NPU1RfRE9NLjE5OTEuMDYvMDMvMjAyNi4uLlVTRC5IAQAAAN62AQADAAAAAADC1GHkzXveCLxjSTnOe94IPUNJUS5OWVNFOklCTS5JUV9PUEVCX0lOVEFOX0FTU0VUU19ET00uMTk5MS4wNi8wMy8yMDI2Li4uVVNELkgBAAAA3rYBAAMAAAAAAMLUYeTNe94IvGNJOc573ghAQ0lRLk5ZU0U6SUJNLklRX09QRUJfVFJBTlNJVElPTl9ORVhUX0RPTS4xOTkxLjA2LzAzLzIwMjYuLi5VU0QuSAEAAADetgEAAwAAAAAAwtRh5M173gi8Y0k5znveCFVDSVEuTllTRTpJQk0uSVFfT1BFQl9JTkNSRUFTRV9FRkZFQ1RfU0VSVklDRV9JTlRfQ09TVF9GT1JFSUdOLjE5OTEuMDYvMDMvMjAyNi4uLlVTRC5IAQAAAN62AQADAAAAAADC1GHkzXveCLxjSTnOe94IPUNJUS5OWVNFOklCTS5JUV9PUEVCX0FDVF9ORVhUX0ZPUkVJR04uMTk5MS4wNi8w</t>
  </si>
  <si>
    <t>My8yMDI2Li4uVVNELkgBAAAA3rYBAAMAAAAAAMLUYeTNe94IvGNJOc573ghEQ0lRLk5ZU0U6SUJNLklRX09QRUJfQlJFQUtET1dOX09USEVSX0ZPUkVJR04uMTk5MS4wNi8wMy8yMDI2Li4uVVNELkgBAAAA3rYBAAMAAAAAAMLUYeTNe94I/p5JOc573ghEQ0lRLk5ZU0U6SUJNLklRX09QRUJfTkVUX0FTU0VUX1JFQ09HX0ZPUkVJR04uMTk5MS4wNi8wMy8yMDI2Li4uVVNELkgBAAAA3rYBAAMAAAAAANr7YeTNe94I/p5JOc573gg/Q0lRLk5ZU0U6SUJNLklRX09QRUJfQVNTRVRTX0JFR19GT1JFSUdOLjE5OTEuMDYvMDMvMjAyNi4uLlVTRC5IAQAAAN62AQADAAAAAADa+2HkzXveCLxjSTnOe94IQENJUS5OWVNFOklCTS5JUV9QRU5TSU9OX0JSRUFLRE9XTl9QQ1RfRklfRk9SRUlHTi4xOTkxLjA2LzAzLzIwMjYBAAAA3rYBAAMAAAAAANr7YeTNe94IvGNJOc573ghDQ0lRLk5ZU0U6SUJNLklRX09QRUJfSEVBTFRIX0NPU1RfVFJFTkRfVUxUSU1BVEVfRE9NLjE5OTEuMDYvMDMvMjAyNgEAAADetgEAAwAAAAAA2vth5M173gi8Y0k5znveCDlDSVEuTllTRTpJQk0uSVFfT1BFQl9CUkVBS0RPV05fUENUX1JFX0RPTS4xOTkxLjA2LzAzLzIwMjYBAAAA3rYBAAMAAAAAANr7YeTNe94I/p5JOc573gg/Q0lRLk5ZU0U6SUJNLklRX09QRUJfUkFURV9DT01QX0lOQ1JFQVNFX01JTl9ET00uMTk5MS4wNi8wMy8yMDI2</t>
  </si>
  <si>
    <t>AQAAAN62AQADAAAAAADa+2HkzXveCP6eSTnOe94IP0NJUS5OWVNFOklCTS5JUV9PUEVCX09CTElHQVRJT05fQkVHX0RPTS4xOTkxLjA2LzAzLzIwMjYuLi5VU0QuSAEAAADetgEAAwAAAAAA2vth5M173gj+nkk5znveCD9DSVEuTllTRTpJQk0uSVFfUEVOU0lPTl9CUkVBS0RPV05fUENUX09USEVSX0RPTS4xOTkxLjA2LzAzLzIwMjYBAAAA3rYBAAMAAAAAANr7YeTNe94I/p5JOc573ghCQ0lRLk5ZU0U6SUJNLklRX1BFTlNJT05fQVNTRVRTX0FDUV9GT1JFSUdOLjE5OTEuMDYvMDMvMjAyNi4uLlVTRC5IAQAAAN62AQADAAAAAADa+2HkzXveCP6eSTnOe94IRkNJUS5OWVNFOklCTS5JUV9QRU5TSU9OX1BSSU9SX1NFUlZJQ0VfTkVYVF9ET00uMTk5MS4wNi8wMy8yMDI2Li4uVVNELkgBAAAA3rYBAAMAAAAAANr7YeTNe94I/p5JOc573ghLQ0lRLk5ZU0U6SUJNLklRX09QRUJfT0JMSUdBVElPTl9BQ0NVTVVMQVRFRF9GT1JFSUdOLjE5OTEuMDYvMDMvMjAyNi4uLlVTRC5IAQAAAN62AQADAAAAAADa+2HkzXveCP6eSTnOe94IX0NJUS5OWVNFOklCTS5JUV9QRU5TSU9OX09CTElHQVRJT05fVE9UQUxfQ09TVF9JTkNMX1NVUFBMRV9QTEFOU19GT1JFSUdOLjE5OTEuMDYvMDMvMjAyNi4uLlVTRC5IAQAAAN62AQADAAAAAADa+2HkzXveCP6eSTnOe94IPkNJUS5OWVNFOklCTS5JUV9PUEVCX1VOUkVDT0dfUFJJ</t>
  </si>
  <si>
    <t>T1JfRE9NLjE5OTEuMDYvMDMvMjAyNi4uLlVTRC5IAQAAAN62AQADAAAAAADa+2HkzXveCP6eSTnOe94IQENJUS5OWVNFOklCTS5JUV9PUEVCX0VTVF9CRU5FRklUXzRZUl9ET00uMTk5MS4wNi8wMy8yMDI2Li4uVVNELkgBAAAA3rYBAAMAAAAAANr7YeTNe94I/p5JOc573gg8Q0lRLk5ZU0U6SUJNLklRX09QRUJfRVhQX1JBVEVfUkVUVVJOX01BWF9ET00uMTk5MS4wNi8wMy8yMDI2AQAAAN62AQADAAAAAADa+2HkzXveCILGSTnOe94IRkNJUS5OWVNFOklCTS5JUV9PUEVCX0FTU0VUU19PVEhFUl9QTEFOX0FESl9ET00uMTk5MS4wNi8wMy8yMDI2Li4uVVNELkgBAAAA3rYBAAMAAAAAANr7YeTNe94IgsZJOc573ghBQ0lRLk5ZU0U6SUJNLklRX1BFTlNJT05fVU5SRUNPR19QUklPUl9ET00uMTk5MS4wNi8wMy8yMDI2Li4uVVNELkgBAAAA3rYBAAMAAAAAANr7YeTNe94IgsZJOc573ghCQ0lRLk5ZU0U6SUJNLklRX1BFTlNJT05fQUNDVU1fT1RIRVJfQ0lfRE9NLjE5OTEuMDYvMDMvMjAyNi4uLlVTRC5IAQAAAN62AQADAAAAAADa+2HkzXveCILGSTnOe94IQ0NJUS5OWVNFOklCTS5JUV9QRU5TSU9OX0VTVF9CRU5FRklUXzVZUl9ET00uMTk5MS4wNi8wMy8yMDI2Li4uVVNELkgBAAAA3rYBAAMAAAAAANr7YeTNe94IgsZJOc573ghDQ0lRLk5ZU0U6SUJNLklRX1BFTlNJT05fRVNUX0JFTkVGSVRfM1lSX0RP</t>
  </si>
  <si>
    <t>TS4xOTkxLjA2LzAzLzIwMjYuLi5VU0QuSAEAAADetgEAAwAAAAAA2vth5M173ghd7Uk5znveCD5DSVEuTllTRTpJQk0uSVFfUEVOU0lPTl9ESVNDT1VOVF9SQVRFX0RPTUVTVElDLjE5OTEuMDYvMDMvMjAyNgEAAADetgEAAwAAAAAA2vth5M173ghd7Uk5znveCEhDSVEuTllTRTpJQk0uSVFfUEVOU0lPTl9BU1NFVFNfQUNUVUFMX1JFVFVSTl9ET00uMTk5MS4wNi8wMy8yMDI2Li4uVVNELkgBAAAA3rYBAAMAAAAAANr7YeTNe94IgsZJOc573ghMQ0lRLk5ZU0U6SUJNLklRX1BFTlNJT05fQVNTRVRTX0FDVFVBTF9SRVRVUk5fRk9SRUlHTi4xOTkxLjA2LzAzLzIwMjYuLi5VU0QuSAEAAADetgEAAwAAAAAA2vth5M173giCxkk5znveCERDSVEuTllTRTpJQk0uSVFfT1BFQl9JTkNSRUFTRV9FRkZFQ1RfUEJPX0RPTS4xOTkxLjA2LzAzLzIwMjYuLi5VU0QuSAEAAADetgEAAwAAAAAA2vth5M173giCxkk5znveCEFDSVEuTllTRTpJQk0uSVFfT1BFQl9DSV9ORVRfQU1UX1JFQ09HX0RPTS4xOTkxLjA2LzAzLzIwMjYuLi5VU0QuSAEAAADetgEAAwAAAAAA2vth5M173ghd7Uk5znveCEdDSVEuTllTRTpJQk0uSVFfT1BFQl9QQk9fUkFURV9DT01QX0lOQ1JFQVNFX01BWF9GT1JFSUdOLjE5OTEuMDYvMDMvMjAyNgEAAADetgEAAwAAAAAA2vth5M173ghd7Uk5znveCE5DSVEuTllTRTpJQk0uSVFfT1BFQl9PQkxJ</t>
  </si>
  <si>
    <t>R0FUSU9OX09USEVSX1BMQU5fQURKX0ZPUkVJR04uMTk5MS4wNi8wMy8yMDI2Li4uVVNELkgBAAAA3rYBAAMAAAAAANr7YeTNe94IXe1JOc573ghKQ0lRLk5ZU0U6SUJNLklRX1BFTlNJT05fT0JMSUdBVElPTl9DVVJUQUlMX0ZPUkVJR04uMTk5MS4wNi8wMy8yMDI2Li4uVVNELkgBAAAA3rYBAAMAAAAAANr7YeTNe94IXe1JOc573ghFQ0lRLk5ZU0U6SUJNLklRX1BFTlNJT05fSU5URVJFU1RfQ09TVF9GT1JFSUdOLjE5OTEuMDYvMDMvMjAyNi4uLlVTRC5IAQAAAN62AQADAAAAAADa+2HkzXveCF3tSTnOe94ITkNJUS5OWVNFOklCTS5JUV9PUEVCX0FTU0VUU19FTVBMT1lFUl9DT05UUklCVVRJT05TX0RPTS4xOTkxLjA2LzAzLzIwMjYuLi5VU0QuSAEAAADetgEAAwAAAAAA2vth5M173gh3FEo5znveCEBDSVEuTllTRTpJQk0uSVFfUEVOU0lPTl9CUkVBS0RPV05fUkVfRE9NLjE5OTEuMDYvMDMvMjAyNi4uLlVTRC5IAQAAAN62AQADAAAAAADa+2HkzXveCHcUSjnOe94ISUNJUS5OWVNFOklCTS5JUV9QRU5TSU9OX0FTU0VUU19PVEhFUl9QTEFOX0FESl9ET00uMTk5MS4wNi8wMy8yMDI2Li4uVVNELkgBAAAA3rYBAAMAAAAAANr7YeTNe94IdxRKOc573ghCQ0lRLk5ZU0U6SUJNLklRX1BFTlNJT05fT0JMSUdBVElPTl9BQ1FfRE9NLjE5OTEuMDYvMDMvMjAyNi4uLlVTRC5IAQAAAN62AQADAAAAAADa+2Hk</t>
  </si>
  <si>
    <t>zXveCF3tSTnOe94IUkNJUS5OWVNFOklCTS5JUV9QRU5TSU9OX09CTElHQVRJT05fQUNUVUFSSUFMX0dBSU5fTE9TU19ET00uMTk5MS4wNi8wMy8yMDI2Li4uVVNELkgBAAAA3rYBAAMAAAAAANr7YeTNe94IXe1JOc573ghAQ0lRLk5ZU0U6SUJNLklRX09QRUJfREVDUkVBU0VfRUZGRUNUX1BCTy4xOTkxLjA2LzAzLzIwMjYuLi5VU0QuSAEAAADetgEAAwAAAAAA2vth5M173gh3FEo5znveCDlDSVEuTllTRTpJQk0uSVFfT1BFQl9BQ0NSVUVEX0xJQUIuMTk5MS4wNi8wMy8yMDI2Li4uVVNELkgBAAAA3rYBAAMAAAAAANr7YeTNe94IdxRKOc573gg8Q0lRLk5ZU0U6SUJNLklRX09QRUJfVFJBTlNJVElPTl9ORVhULjE5OTEuMDYvMDMvMjAyNi4uLlVTRC5IAQAAAN62AQADAAAAAADa+2HkzXveCHcUSjnOe94IPUNJUS5OWVNFOklCTS5JUV9PUEVCX0NJX05FVF9BTVRfUkVDT0cuMTk5MS4wNi8wMy8yMDI2Li4uVVNELkgBAAAA3rYBAAMAAAAAANr7YeTNe94IdxRKOc573gg4Q0lRLk5ZU0U6SUJNLklRX09QRUJfRVhQX1JBVEVfUkVUVVJOX01BWC4xOTkxLjA2LzAzLzIwMjYBAAAA3rYBAAMAAAAAANr7YeTNe94IdxRKOc573ghKQ0lRLk5ZU0U6SUJNLklRX09QRUJfQVNTRVRTX0VNUExPWUVSX0NPTlRSSUJVVElPTlMuMTk5MS4wNi8wMy8yMDI2Li4uVVNELkgBAAAA3rYBAAMAAAAAANr7YeTNe94IeTtKOc57</t>
  </si>
  <si>
    <t>3ghEQ0lRLk5ZU0U6SUJNLklRX09QRUJfT0JMSUdBVElPTl9TRVJWSUNFX0NPU1QuMTk5MS4wNi8wMy8yMDI2Li4uVVNELkgBAAAA3rYBAAMAAAAAANr7YeTNe94IeTtKOc573ghDQ0lRLk5ZU0U6SUJNLklRX09QRUJfT0JMSUdBVElPTl9BQ1FfRk9SRUlHTi4xOTkxLjA2LzAzLzIwMjYuLi5VU0QuSAEAAADetgEAAwAAAAAA2vth5M173gh3FEo5znveCEdDSVEuTllTRTpJQk0uSVFfUEVOU0lPTl9FU1RfQkVORUZJVF8xWVJfRk9SRUlHTi4xOTkxLjA2LzAzLzIwMjYuLi5VU0QuSAEAAADetgEAAwAAAAAA2vth5M173gh3FEo5znveCD1DSVEuTllTRTpJQk0uSVFfT1BFQl9CUkVBS0RPV05fRklfRE9NLjE5OTEuMDYvMDMvMjAyNi4uLlVTRC5IAQAAAN62AQADAAAAAADa+2HkzXveCHcUSjnOe94IQkNJUS5OWVNFOklCTS5JUV9PUEVCX0lOVEVSRVNUX0NPU1RfRk9SRUlHTi4xOTkxLjA2LzAzLzIwMjYuLi5VU0QuSAEAAADetgEAAwAAAAAA2vth5M173gh5O0o5znveCD5DSVEuTllTRTpJQk0uSVFfT1BFQl9BU1NFVFNfRlhfQURKX0RPTS4xOTkxLjA2LzAzLzIwMjYuLi5VU0QuSAEAAADetgEAAwAAAAAA2vth5M173gh5O0o5znveCDxDSVEuTllTRTpJQk0uSVFfUEVOU0lPTl9BQ1RfTkVYVF9ET00uMTk5MS4wNi8wMy8yMDI2Li4uVVNELkgBAAAA3rYBAAMAAAAAANr7YeTNe94IeTtKOc573ghAQ0lRLk5Z</t>
  </si>
  <si>
    <t>U0U6SUJNLklRX1BFTlNJT05fQlJFQUtET1dOX0VRX0RPTS4xOTkxLjA2LzAzLzIwMjYuLi5VU0QuSAEAAADetgEAAwAAAAAA2vth5M173gh5O0o5znveCEJDSVEuTllTRTpJQk0uSVFfUEVOU0lPTl9SQVRFX0NPTVBfSU5DUkVBU0VfTUlOX0RPTS4xOTkxLjA2LzAzLzIwMjYBAAAA3rYBAAMAAAAAANr7YeTNe94IeTtKOc573ghGQ0lRLk5ZU0U6SUJNLklRX1BFTlNJT05fT0JMSUdBVElPTl9BQ1FfRk9SRUlHTi4xOTkxLjA2LzAzLzIwMjYuLi5VU0QuSAEAAADetgEAAwAAAAAA2vth5M173gh5O0o5znveCDxDSVEuTllTRTpJQk0uSVFfT1BFQl9FWFBfUkFURV9SRVRVUk5fTUlOX0RPTS4xOTkxLjA2LzAzLzIwMjYBAAAA3rYBAAMAAAAAANr7YeTNe94IeTtKOc573gg9Q0lRLk5ZU0U6SUJNLklRX1BFTlNJT05fQkVORUZJVF9JTkZPX0RBVEVfRE9NLjE5OTEuMDYvMDMvMjAyNgEAAADetgEAAwAAAAAA2vth5M173gh5O0o5znveCDlDSVEuTllTRTpJQk0uSVFfUEVOU0lPTl9PVEhFUl9ET00uMTk5MS4wNi8wMy8yMDI2Li4uVVNELkgBAAAA3rYBAAMAAAAAANr7YeTNe94IeTtKOc573gg8Q0lRLk5ZU0U6SUJNLklRX1BFTlNJT05fQlJFQUtET1dOX1BDVF9SRV9ET00uMTk5MS4wNi8wMy8yMDI2AQAAAN62AQADAAAAAADa+2HkzXveCIliSjnOe94IVkNJUS5OWVNFOklCTS5JUV9QRU5TSU9OX09CTElHQVRJ</t>
  </si>
  <si>
    <t>T05fU1VQUExFX1BMQU5TX1RPVEFMX0NPU1RfRE9NLjE5OTEuMDYvMDMvMjAyNi4uLlVTRC5IAQAAAN62AQADAAAAAADa+2HkzXveCHwmSznOe94IUUNJUS5OWVNFOklCTS5JUV9PUEVCX0lOQ1JFQVNFX0VGRkVDVF9TRVJWSUNFX0lOVF9DT1NUX0RPTS4xOTkxLjA2LzAzLzIwMjYuLi5VU0QuSAEAAADetgEAAwAAAAAA2vth5M173giJYko5znveCEBDSVEuTllTRTpJQk0uSVFfUEVOU0lPTl9JTlRBTl9BU1NFVFNfRE9NLjE5OTEuMDYvMDMvMjAyNi4uLlVTRC5IAQAAAN62AQADAAAAAADa+2HkzXveCIliSjnOe94IRENJUS5OWVNFOklCTS5JUV9QRU5TSU9OX0NJX05FVF9BTVRfUkVDT0dfRE9NLjE5OTEuMDYvMDMvMjAyNi4uLlVTRC5IAQAAAN62AQADAAAAAADa+2HkzXveCHk7SjnOe94IPkNJUS5OWVNFOklCTS5JUV9QRU5TSU9OX0FTU0VUU19BQ1FfRE9NLjE5OTEuMDYvMDMvMjAyNi4uLlVTRC5IAQAAAN62AQADAAAAAADa+2HkzXveCCt2SjnOe94IQ0NJUS5OWVNFOklCTS5JUV9QRU5TSU9OX09CTElHQVRJT05fUEFJRF9ET00uMTk5MS4wNi8wMy8yMDI2Li4uVVNELkgBAAAA3rYBAAMAAAAAANr7YeTNe94IK3ZKOc573ghHQ0lRLk5ZU0U6SUJNLklRX1BFTlNJT05fVFJBTlNJVElPTl9ORVhUX0ZPUkVJR04uMTk5MS4wNi8wMy8yMDI2Li4uVVNELkgBAAAA3rYBAAMAAAAAANr7YeTNe94IK3ZKOc57</t>
  </si>
  <si>
    <t>3gg/Q0lRLk5ZU0U6SUJNLklRX09QRUJfQUNDVU1fT1RIRVJfQ0lfRE9NLjE5OTEuMDYvMDMvMjAyNi4uLlVTRC5IAQAAAN62AQADAAAAAADa+2HkzXveCIliSjnOe94IQ0NJUS5OWVNFOklCTS5JUV9PUEVCX1BCT19SQVRFX0NPTVBfSU5DUkVBU0VfTUlOX0RPTS4xOTkxLjA2LzAzLzIwMjYBAAAA3rYBAAMAAAAAANr7YeTNe94IiWJKOc573gg7Q0lRLk5ZU0U6SUJNLklRX09QRUJfVE9UQUxfQ09TVF9ET00uMTk5MS4wNi8wMy8yMDI2Li4uVVNELkgBAAAA3rYBAAMAAAAAANr7YeTNe94IK3ZKOc573ghQQ0lRLk5ZU0U6SUJNLklRX1BFTlNJT05fUVVBUlRfRU1QTE9ZRVJfQ09OVFJJQlVUSU9OU19ET00uMTk5MS4wNi8wMy8yMDI2Li4uVVNELkgBAAAA3rYBAAMAAAAAANr7YeTNe94IK3ZKOc573ghDQ0lRLk5ZU0U6SUJNLklRX1BFTlNJT05fRVNUX0JFTkVGSVRfMllSX0RPTS4xOTkxLjA2LzAzLzIwMjYuLi5VU0QuSAEAAADetgEAAwAAAAAA2vth5M173ggrdko5znveCDxDSVEuTllTRTpJQk0uSVFfUEVOU0lPTl9CUkVBS0RPV05fUENUX0VRX0RPTS4xOTkxLjA2LzAzLzIwMjYBAAAA3rYBAAMAAAAAANr7YeTNe94IK3ZKOc573ghEQ0lRLk5ZU0U6SUJNLklRX1BFTlNJT05fQlJFQUtET1dOX0VRX0ZPUkVJR04uMTk5MS4wNi8wMy8yMDI2Li4uVVNELkgBAAAA3rYBAAMAAAAAANr7YeTNe94IK3ZKOc57</t>
  </si>
  <si>
    <t>3gg+Q0lRLk5ZU0U6SUJNLklRX1BFTlNJT05fQVNTRVRTX0ZPUkVJR04uMTk5MS4wNi8wMy8yMDI2Li4uVVNELkgBAAAA3rYBAAMAAAAAANr7YeTNe94IK3ZKOc573ghNQ0lRLk5ZU0U6SUJNLklRX09QRUJfT0JMSUdBVElPTl9JTlRFUkVTVF9DT1NUX0ZPUkVJR04uMTk5MS4wNi8wMy8yMDI2Li4uVVNELkgBAAAA3rYBAAMAAAAAANr7YeTNe94IK3ZKOc573ghDQ0lRLk5ZU0U6SUJNLklRX1BFTlNJT05fRVhQX1JBVEVfUkVUVVJOX01BWF9GT1JFSUdOLjE5OTEuMDYvMDMvMjAyNgEAAADetgEAAwAAAAAA2vth5M173ggrdko5znveCD1DSVEuTllTRTpJQk0uSVFfUEVOU0lPTl9ESVNDX1JBVEVfTUFYX0ZPUkVJR04uMTk5MS4wNi8wMy8yMDI2AQAAAN62AQADAAAAAADa+2HkzXveCCt2SjnOe94IQ0NJUS5OWVNFOklCTS5JUV9QRU5TSU9OX0VYUF9SQVRFX1JFVFVSTl9NSU5fRk9SRUlHTi4xOTkxLjA2LzAzLzIwMjYBAAAA3rYBAAMAAAAAANr7YeTNe94IK3ZKOc573gg9Q0lRLk5ZU0U6SUJNLklRX09QRUJfQlJFQUtET1dOX0VRX0RPTS4xOTkxLjA2LzAzLzIwMjYuLi5VU0QuSAEAAADetgEAAwAAAAAA2vth5M173ghZnUo5znveCEdDSVEuTllTRTpJQk0uSVFfUEVOU0lPTl9FU1RfQkVORUZJVF81WVJfRk9SRUlHTi4xOTkxLjA2LzAzLzIwMjYuLi5VU0QuSAEAAADetgEAAwAAAAAA2vth5M173ghZnUo5</t>
  </si>
  <si>
    <t>znveCEBDSVEuTllTRTpJQk0uSVFfT1BFQl9FU1RfQkVORUZJVF81WVJfRE9NLjE5OTEuMDYvMDMvMjAyNi4uLlVTRC5IAQAAAN62AQADAAAAAADa+2HkzXveCFmdSjnOe94IUENJUS5OWVNFOklCTS5JUV9QRU5TSU9OX0VTVF9DT05UUklCVVRJT05TX05FWFRZUl9GT1JFSUdOLjE5OTEuMDYvMDMvMjAyNi4uLlVTRC5IAQAAAN62AQADAAAAAADa+2HkzXveCFmdSjnOe94IPUNJUS5OWVNFOklCTS5JUV9QRU5TSU9OX0RJU0NfUkFURV9NSU5fRk9SRUlHTi4xOTkxLjA2LzAzLzIwMjYBAAAA3rYBAAMAAAAAANr7YeTNe94IK3ZKOc573ghGQ0lRLk5ZU0U6SUJNLklRX1BFTlNJT05fQVNTRVRTX0NVUlRBSUxfRk9SRUlHTi4xOTkxLjA2LzAzLzIwMjYuLi5VU0QuSAEAAADetgEAAwAAAAAA2vth5M173ghZnUo5znveCDpDSVEuTllTRTpJQk0uSVFfT1BFQl9CRU5FRklUX0lORk9fREFURV9ET00uMTk5MS4wNi8wMy8yMDI2AQAAAN62AQADAAAAAADa+2HkzXveCFmdSjnOe94IOUNJUS5OWVNFOklCTS5JUV9PUEVCX0FDVF9ORVhUX0RPTS4xOTkxLjA2LzAzLzIwMjYuLi5VU0QuSAEAAADetgEAAwAAAAAA2vth5M173ghZnUo5znveCE9DSVEuTllTRTpJQk0uSVFfT1BFQl9PQkxJR0FUSU9OX0FDVFVBUklBTF9HQUlOX0xPU1NfRE9NLjE5OTEuMDYvMDMvMjAyNi4uLlVTRC5IAQAAAN62AQADAAAAAADa+2HkzXve</t>
  </si>
  <si>
    <t>CFmdSjnOe94ISENJUS5OWVNFOklCTS5JUV9PUEVCX09CTElHQVRJT05fU0VSVklDRV9DT1NUX0RPTS4xOTkxLjA2LzAzLzIwMjYuLi5VU0QuSAEAAADetgEAAwAAAAAA2vth5M173ghZnUo5znveCENDSVEuTllTRTpJQk0uSVFfUEVOU0lPTl9FU1RfQkVORUZJVF8xWVJfRE9NLjE5OTEuMDYvMDMvMjAyNi4uLlVTRC5IAQAAAN62AQADAAAAAADa+2HkzXveCFmdSjnOe94IP0NJUS5OWVNFOklCTS5JUV9QRU5TSU9OX0VYUF9SQVRFX1JFVFVSTl9NQVhfRE9NLjE5OTEuMDYvMDMvMjAyNgEAAADetgEAAwAAAAAA2vth5M173ghZnUo5znveCEFDSVEuTllTRTpJQk0uSVFfUEVOU0lPTl9BU1NFVFNfRlhfQURKX0RPTS4xOTkxLjA2LzAzLzIwMjYuLi5VU0QuSAEAAADetgEAAwAAAAAA2vth5M173ghZnUo5znveCFFDSVEuTllTRTpJQk0uSVFfUEVOU0lPTl9BU1NFVFNfRU1QTE9ZRVJfQ09OVFJJQlVUSU9OU19ET00uMTk5MS4wNi8wMy8yMDI2Li4uVVNELkgBAAAA3rYBAAMAAAAAANr7YeTNe94IWZ1KOc573ghLQ0lRLk5ZU0U6SUJNLklRX1BFTlNJT05fT0JMSUdBVElPTl9TRVJWSUNFX0NPU1RfRE9NLjE5OTEuMDYvMDMvMjAyNi4uLlVTRC5IAQAAAN62AQADAAAAAADa+2HkzXveCG3ESjnOe94ITUNJUS5OWVNFOklCTS5JUV9PUEVCX0lOQ1JFQVNFX0VGRkVDVF9TRVJWSUNFX0lOVF9DT1NULjE5OTEuMDYv</t>
  </si>
  <si>
    <t>MDMvMjAyNi4uLlVTRC5IAQAAAN62AQADAAAAAADa+2HkzXveCG3ESjnOe94IPENJUS5OWVNFOklCTS5JUV9PUEVCX0VTVF9CRU5FRklUXzVZUi4xOTkxLjA2LzAzLzIwMjYuLi5VU0QuSAEAAADetgEAAwAAAAAA2vth5M173ghtxEo5znveCDxDSVEuTllTRTpJQk0uSVFfT1BFQl9FU1RfQkVORUZJVF8yWVIuMTk5MS4wNi8wMy8yMDI2Li4uVVNELkgBAAAA3rYBAAMAAAAAANr7YeTNe94IbcRKOc573ghIQ0lRLk5ZU0U6SUJNLklRX1BFTlNJT05fUEJPX0FTU1VNRURfUkFURV9SRVRfTUFYX0ZPUkVJR04uMTk5MS4wNi8wMy8yMDI2AQAAAN62AQADAAAAAADa+2HkzXveCG3ESjnOe94IQENJUS5OWVNFOklCTS5JUV9PUEVCX0VTVF9CRU5FRklUXzFZUl9ET00uMTk5MS4wNi8wMy8yMDI2Li4uVVNELkgBAAAA3rYBAAMAAAAAANr7YeTNe94IbcRKOc573gg+Q0lRLk5ZU0U6SUJNLklRX09QRUJfQ0lfVFJBTlNJVElPTl9ET00uMTk5MS4wNi8wMy8yMDI2Li4uVVNELkgBAAAA3rYBAAMAAAAAANr7YeTNe94IbcRKOc573gg9Q0lRLk5ZU0U6SUJNLklRX09QRUJfU0VSVklDRV9DT1NUX0RPTS4xOTkxLjA2LzAzLzIwMjYuLi5VU0QuSAEAAADetgEAAwAAAAAA2vth5M173ghtxEo5znveCDNDSVEuTllTRTpJQk0uSVFfT1BFQl9DTF9ET00uMTk5MS4wNi8wMy8yMDI2Li4uVVNELkgBAAAA3rYBAAMAAAAAANr7YeTN</t>
  </si>
  <si>
    <t>e94IbcRKOc573ghIQ0lRLk5ZU0U6SUJNLklRX09QRUJfU1VQUExFX1BMQU5TX1RPVEFMX0NPU1RfRE9NLjE5OTEuMDYvMDMvMjAyNi4uLlVTRC5IAQAAAN62AQADAAAAAADa+2HkzXveCG3ESjnOe94IRkNJUS5OWVNFOklCTS5JUV9QRU5TSU9OX1BCT19SQVRFX0NPTVBfSU5DUkVBU0VfTUlOX0RPTS4xOTkxLjA2LzAzLzIwMjYBAAAA3rYBAAMAAAAAANr7YeTNe94Ie+tKOc573ghDQ0lRLk5ZU0U6SUJNLklRX1BFTlNJT05fQlJFQUtET1dOX09USEVSX0RPTS4xOTkxLjA2LzAzLzIwMjYuLi5VU0QuSAEAAADetgEAAwAAAAAA2vth5M173gh760o5znveCDpDSVEuTllTRTpJQk0uSVFfUEVOU0lPTl9BU1NFVFNfRE9NLjE5OTEuMDYvMDMvMjAyNi4uLlVTRC5IAQAAAN62AQADAAAAAADa+2HkzXveCG3ESjnOe94IRkNJUS5OWVNFOklCTS5JUV9QRU5TSU9OX09CTElHQVRJT05fQ1VSVEFJTF9ET00uMTk5MS4wNi8wMy8yMDI2Li4uVVNELkgBAAAA3rYBAAMAAAAAANr7YeTNe94IbcRKOc573ghCQ0lRLk5ZU0U6SUJNLklRX1BFTlNJT05fT0JMSUdBVElPTl9ST0FfRE9NLjE5OTEuMDYvMDMvMjAyNi4uLlVTRC5IAQAAAN62AQADAAAAAADa+2HkzXveCG3ESjnOe94IPkNJUS5OWVNFOklCTS5JUV9PUEVCX0hFQUxUSF9DT1NUX1RSRU5EX0lOSVRJQUwuMTk5MS4wNi8wMy8yMDI2AQAAAN62AQADAAAAAADa+2Hk</t>
  </si>
  <si>
    <t>zXveCHvrSjnOe94IR0NJUS5OWVNFOklCTS5JUV9QRU5TSU9OX09CTElHQVRJT05fUEFJRF9GT1JFSUdOLjE5OTEuMDYvMDMvMjAyNi4uLlVTRC5IAQAAAN62AQADAAAAAADa+2HkzXveCHvrSjnOe94IRkNJUS5OWVNFOklCTS5JUV9QRU5TSU9OX09CTElHQVRJT05fQkVHX0ZPUkVJR04uMTk5MS4wNi8wMy8yMDI2Li4uVVNELkgBAAAA3rYBAAMAAAAAANr7YeTNe94Ie+tKOc573ghHQ0lRLk5ZU0U6SUJNLklRX1BFTlNJT05fQlJFQUtET1dOX09USEVSX0ZPUkVJR04uMTk5MS4wNi8wMy8yMDI2Li4uVVNELkgBAAAA3rYBAAMAAAAAANr7YeTNe94Ie+tKOc573ghNQ0lRLk5ZU0U6SUJNLklRX1BFTlNJT05fT0JMSUdBVElPTl9PVEhFUl9DT1NUX0ZPUkVJR04uMTk5MS4wNi8wMy8yMDI2Li4uVVNELkgBAAAA3rYBAAMAAAAAANr7YeTNe94Ie+tKOc573gg7Q0lRLk5ZU0U6SUJNLklRX09QRUJfQVNTRVRTX0JFR19ET00uMTk5MS4wNi8wMy8yMDI2Li4uVVNELkgBAAAA3rYBAAMAAAAAANr7YeTNe94IS/9KOc573ghCQ0lRLk5ZU0U6SUJNLklRX09QRUJfT0JMSUdBVElPTl9GWF9BREpfRE9NLjE5OTEuMDYvMDMvMjAyNi4uLlVTRC5IAQAAAN62AQADAAAAAADa+2HkzXveCEv/SjnOe94IQENJUS5OWVNFOklCTS5JUV9QRU5TSU9OX0FDQ1JVRURfTElBQl9ET00uMTk5MS4wNi8wMy8yMDI2Li4uVVNELkgBAAAA</t>
  </si>
  <si>
    <t>3rYBAAMAAAAAANr7YeTNe94IS/9KOc573ghEQ0lRLk5ZU0U6SUJNLklRX1BFTlNJT05fUEJPX0FTU1VNRURfUkFURV9SRVRfTUlOX0RPTS4xOTkxLjA2LzAzLzIwMjYBAAAA3rYBAAMAAAAAANr7YeTNe94IS/9KOc573ghAQ0lRLk5ZU0U6SUJNLklRX1BFTlNJT05fQlJFQUtET1dOX0ZJX0RPTS4xOTkxLjA2LzAzLzIwMjYuLi5VU0QuSAEAAADetgEAAwAAAAAA2vth5M173ghL/0o5znveCEJDSVEuTllTRTpJQk0uSVFfUEVOU0lPTl9SQVRFX0NPTVBfSU5DUkVBU0VfTUFYX0RPTS4xOTkxLjA2LzAzLzIwMjYBAAAA3rYBAAMAAAAAANr7YeTNe94IS/9KOc573ghIQ0lRLk5ZU0U6SUJNLklRX1BFTlNJT05fQ0lfTkVUX0FNVF9SRUNPR19GT1JFSUdOLjE5OTEuMDYvMDMvMjAyNi4uLlVTRC5IAQAAAN62AQADAAAAAADa+2HkzXveCEv/SjnOe94IVkNJUS5OWVNFOklCTS5JUV9QRU5TSU9OX09CTElHQVRJT05fQUNUVUFSSUFMX0dBSU5fTE9TU19GT1JFSUdOLjE5OTEuMDYvMDMvMjAyNi4uLlVTRC5IAQAAAN62AQADAAAAAADa+2HkzXveCEv/SjnOe94IOkNJUS5OWVNFOklCTS5JUV9PUEVCX09USEVSX0FESl9ET00uMTk5MS4wNi8wMy8yMDI2Li4uVVNELkgBAAAA3rYBAAMAAAAAANr7YeTNe94IS/9KOc573ghDQ0lRLk5ZU0U6SUJNLklRX09QRUJfUFJJT1JfU0VSVklDRV9ORVhUX0RPTS4xOTkxLjA2LzAz</t>
  </si>
  <si>
    <t>LzIwMjYuLi5VU0QuSAEAAADetgEAAwAAAAAA2vth5M173ghL/0o5znveCEpDSVEuTllTRTpJQk0uSVFfT1BFQl9PQkxJR0FUSU9OX09USEVSX1BMQU5fQURKX0RPTS4xOTkxLjA2LzAzLzIwMjYuLi5VU0QuSAEAAADetgEAAwAAAAAA2vth5M173gh8Jks5znveCFJDSVEuTllTRTpJQk0uSVFfT1BFQl9PQkxJR0FUSU9OX0VNUExPWUVFX0NPTlRSSUJVVElPTlNfRE9NLjE5OTEuMDYvMDMvMjAyNi4uLlVTRC5IAQAAAN62AQADAAAAAADa+2HkzXveCHwmSznOe94IO0NJUS5OWVNFOklCTS5JUV9QRU5TSU9OX0xUX0xJQUJfRE9NLjE5OTEuMDYvMDMvMjAyNi4uLlVTRC5IAQAAAN62AQADAAAAAADa+2HkzXveCEv/SjnOe94IQUNJUS5OWVNFOklCTS5JUV9QRU5TSU9OX0NJX1RSQU5TSVRJT05fRE9NLjE5OTEuMDYvMDMvMjAyNi4uLlVTRC5IAQAAAN62AQADAAAAAADa+2HkzXveCEv/SjnOe94ISUNJUS5OWVNFOklCTS5JUV9QRU5TSU9OX09CTElHQVRJT05fT1RIRVJfQ09TVF9ET00uMTk5MS4wNi8wMy8yMDI2Li4uVVNELkgBAAAA3rYBAAMAAAAAANr7YeTNe94IS/9KOc573ghBQ0lRLk5ZU0U6SUJNLklRX1BFTlNJT05fSU5URVJFU1RfQ09TVF9ET00uMTk5MS4wNi8wMy8yMDI2Li4uVVNELkgBAAAA3rYBAAMAAAAAANr7YeTNe94IfCZLOc573gg8Q0lRLk5ZU0U6SUJNLklRX09QRUJfTkVUX0FTU0VUX1JF</t>
  </si>
  <si>
    <t>Q09HLjE5OTEuMDYvMDMvMjAyNi4uLlVTRC5IAQAAAN62AQADAAAAAADa+2HkzXveCHwmSznOe94IPENJUS5OWVNFOklCTS5JUV9PUEVCX0VTVF9CRU5FRklUXzRZUi4xOTkxLjA2LzAzLzIwMjYuLi5VU0QuSAEAAADetgEAAwAAAAAA2vth5M173gh8Jks5znveCEZDSVEuTllTRTpJQk0uSVFfT1BFQl9PQkxJR0FUSU9OX09USEVSX1BMQU5fQURKLjE5OTEuMDYvMDMvMjAyNi4uLlVTRC5IAQAAAN62AQADAAAAAADa+2HkzXveCHwmSznOe94IPUNJUS5OWVNFOklCTS5JUV9QRU5TSU9OX1VOUkVDT0dfUFJJT1IuMTk5MS4wNi8wMy8yMDI2Li4uVVNELkgBAAAA3rYBAAMAAAAAANr7YeTNe94IfCZLOc573ggyQ0lRLk5ZU0U6SUJNLklRX1BFTlNJT05fQ0wuMTk5MS4wNi8wMy8yMDI2Li4uVVNELkgBAAAA3rYBAAMAAAAAANr7YeTNe94IfCZLOc573ghCQ0lRLk5ZU0U6SUJNLklRX1BFTlNJT05fUEJPX1JBVEVfQ09NUF9JTkNSRUFTRV9NSU4uMTk5MS4wNi8wMy8yMDI2AQAAAN62AQADAAAAAADa+2HkzXveCHwmSznOe94IPENJUS5OWVNFOklCTS5JUV9QRU5TSU9OX0JSRUFLRE9XTl9SRS4xOTkxLjA2LzAzLzIwMjYuLi5VU0QuSAEAAADetgEAAwAAAAAA2vth5M173gh8Jks5znveCDZDSVEuTllTRTpJQk0uSVFfUEVOU0lPTl9BU1NFVFMuMTk5MS4wNi8wMy8yMDI2Li4uVVNELkgBAAAA3rYBAAMAAAAAANr7</t>
  </si>
  <si>
    <t>YeTNe94IfCZLOc573ghCQ0lRLk5ZU0U6SUJNLklRX1BFTlNJT05fT0JMSUdBVElPTl9DVVJUQUlMLjE5OTEuMDYvMDMvMjAyNi4uLlVTRC5IAQAAAN62AQADAAAAAADa+2HkzXveCHwmSznOe94IP0NJUS5OWVNFOklCTS5JUV9QRU5TSU9OX09CTElHQVRJT05fUEFJRC4xOTkxLjA2LzAzLzIwMjYuLi5VU0QuSAEAAADetgEAAwAAAAAA2vth5M173gh8Jks5znveCDxDSVEuTllTRTpJQk0uSVFfUEVOU0lPTl9TRVJWSUNFX0NPU1QuMTk5MS4wNi8wMy8yMDI2Li4uVVNELkgBAAAA3rYBAAMAAAAAANr7YeTNe94IfCZLOc573gg2Q0lRLk5ZU0U6SUJNLklRX1BFTlNJT05fQ0xfRE9NLjE5OTEuMDYvMDMvMjAyNi4uLlVTRC5IAQAAAN62AQADAAAAAADa+2HkzXveCHwmSznOe94IQENJUS5OWVNFOklCTS5JUV9PUEVCX0lOQ1JFQVNFX0VGRkVDVF9QQk8uMTk5MS4wNi8wMy8yMDI2Li4uVVNELkgBAAAA3rYBAAMAAAAAANr7YeTNe94IfCZLOc573gg4Q0lRLk5ZU0U6SUJNLklRX09QRUJfRVhQX1JBVEVfUkVUVVJOX01JTi4xOTkxLjA2LzAzLzIwMjYBAAAA3rYBAAMAAAAAANr7YeTNe94ILWFLOc573ghKQ0lRLk5ZU0U6SUJNLklRX09QRUJfQVNTRVRTX1BBUlRJQ0lQX0NPTlRSSUJVVElPTlMuMTk5MS4wNi8wMy8yMDI2Li4uVVNELkgBAAAA3rYBAAMAAAAAANr7YeTNe94ILWFLOc573ghFQ0lRLk5ZU0U6SUJN</t>
  </si>
  <si>
    <t>LklRX09QRUJfQVNTRVRTX0FDVFVBTF9SRVRVUk5fRE9NLjE5OTEuMDYvMDMvMjAyNi4uLlVTRC5IAQAAAN62AQADAAAAAADa+2HkzXveCHwmSznOe94IPUNJUS5OWVNFOklCTS5JUV9QRU5TSU9OX0xUX0FTU0VUU19ET00uMTk5MS4wNi8wMy8yMDI2Li4uVVNELkgBAAAA3rYBAAMAAAAAANr7YeTNe94IfCZLOc573ghDQ0lRLk5ZU0U6SUJNLklRX1BFTlNJT05fVFJBTlNJVElPTl9ORVhUX0RPTS4xOTkxLjA2LzAzLzIwMjYuLi5VU0QuSAEAAADetgEAAwAAAAAA2vth5M173gh8Jks5znveCEFDSVEuTllTRTpJQk0uSVFfUEVOU0lPTl9SQVRFX0NPTVBfR1JPV1RIX0RPTUVTVElDLjE5OTEuMDYvMDMvMjAyNgEAAADetgEAAwAAAAAA2vth5M173ggtYUs5znveCD9DSVEuTllTRTpJQk0uSVFfT1BFQl9IRUFMVEhfQ09TVF9UUkVORF9VTFRJTUFURS4xOTkxLjA2LzAzLzIwMjYBAAAA3rYBAAMAAAAAANr7YeTNe94ILWFLOc573gg5Q0lRLk5ZU0U6SUJNLklRX09QRUJfQlJFQUtET1dOX0VRLjE5OTEuMDYvMDMvMjAyNi4uLlVTRC5IAQAAAN62AQADAAAAAADa+2HkzXveCC1hSznOe94ISENJUS5OWVNFOklCTS5JUV9QRU5TSU9OX0FTU0VUU19CRU5FRklUU19QQUlEX0RPTS4xOTkxLjA2LzAzLzIwMjYuLi5VU0QuSAEAAADetgEAAwAAAAAA2vth5M173ggtYUs5znveCEhDSVEuTllTRTpJQk0uSVFfUEVOU0lP</t>
  </si>
  <si>
    <t>Tl9PQkxJR0FUSU9OX1BST0pFQ1RFRF9ET00uMTk5MS4wNi8wMy8yMDI2Li4uVVNELkgBAAAA3rYBAAMAAAAAANr7YeTNe94ILWFLOc573ghCQ0lRLk5ZU0U6SUJNLklRX1BFTlNJT05fT0JMSUdBVElPTl9CRUdfRE9NLjE5OTEuMDYvMDMvMjAyNi4uLlVTRC5IAQAAAN62AQADAAAAAADa+2HkzXveCC1hSznOe94IN0NJUS5OWVNFOklCTS5JUV9PUEVCX0FTU0VUU19BQ1EuMTk5MS4wNi8wMy8yMDI2Li4uVVNELkgBAAAA3rYBAAMAAAAAANr7YeTNe94ILWFLOc573gg7Q0lRLk5ZU0U6SUJNLklRX09QRUJfT0JMSUdBVElPTl9BQ1EuMTk5MS4wNi8wMy8yMDI2Li4uVVNELkgBAAAA3rYBAAMAAAAAANr7YeTNe94ILWFLOc573gg5Q0lRLk5ZU0U6SUJNLklRX09QRUJfU0VSVklDRV9DT1NULjE5OTEuMDYvMDMvMjAyNi4uLlVTRC5IAQAAAN62AQADAAAAAADa+2HkzXveCC1hSznOe94IQENJUS5OWVNFOklCTS5JUV9PUEVCX0JSRUFLRE9XTl9PVEhFUl9ET00uMTk5MS4wNi8wMy8yMDI2Li4uVVNELkgBAAAA3rYBAAMAAAAAANr7YeTNe94ILWFLOc573gg7Q0lRLk5ZU0U6SUJNLklRX09QRUJfT1RIRVJfQ09TVF9ET00uMTk5MS4wNi8wMy8yMDI2Li4uVVNELkgBAAAA3rYBAAMAAAAAANr7YeTNe94IW4hLOc573ghMQ0lRLk5ZU0U6SUJNLklRX1BFTlNJT05fT0JMSUdBVElPTl9JTlRFUkVTVF9DT1NUX0RPTS4x</t>
  </si>
  <si>
    <t>OTkxLjA2LzAzLzIwMjYuLi5VU0QuSAEAAADetgEAAwAAAAAA2vth5M173ghbiEs5znveCDtDSVEuTllTRTpJQk0uSVFfT1BFQl9SQVRFX0NPTVBfSU5DUkVBU0VfTUlOLjE5OTEuMDYvMDMvMjAyNgEAAADetgEAAwAAAAAA2vth5M173ghbiEs5znveCDVDSVEuTllTRTpJQk0uSVFfT1BFQl9CUkVBS0RPV05fUENUX1JFLjE5OTEuMDYvMDMvMjAyNgEAAADetgEAAwAAAAAA2vth5M173ghbiEs5znveCDxDSVEuTllTRTpJQk0uSVFfT1BFQl9PQkxJR0FUSU9OX1BBSUQuMTk5MS4wNi8wMy8yMDI2Li4uVVNELkgBAAAA3rYBAAMAAAAAANr7YeTNe94ILWFLOc573gg2Q0lRLk5ZU0U6SUJNLklRX09QRUJfRElTQ19SQVRFX01JTl9ET00uMTk5MS4wNi8wMy8yMDI2AQAAAN62AQADAAAAAADa+2HkzXveCFuISznOe94ITENJUS5OWVNFOklCTS5JUV9QRU5TSU9OX0VTVF9DT05UUklCVVRJT05TX05FWFRZUl9ET00uMTk5MS4wNi8wMy8yMDI2Li4uVVNELkgBAAAA3rYBAAMAAAAAANr7YeTNe94IW4hLOc573ghEQ0lRLk5ZU0U6SUJNLklRX1BFTlNJT05fQ0lfUFJJT1JfU0VSVklDRV9ET00uMTk5MS4wNi8wMy8yMDI2Li4uVVNELkgBAAAA3rYBAAMAAAAAANr7YeTNe94IW4hLOc573ghDQ0lRLk5ZU0U6SUJNLklRX1BFTlNJT05fRVhQX1JFVFVSTl9ET01FU1RJQy4xOTkxLjA2LzAzLzIwMjYuLi5VU0QuSAEAAADe</t>
  </si>
  <si>
    <t>tgEAAwAAAAAA2vth5M173ghbiEs5znveCEJDSVEuTllTRTpJQk0uSVFfUEVOU0lPTl9BU1NFVFNfQ1VSVEFJTF9ET00uMTk5MS4wNi8wMy8yMDI2Li4uVVNELkgBAAAA3rYBAAMAAAAAANr7YeTNe94IW4hLOc573ghAQ0lRLk5ZU0U6SUJNLklRX1BFTlNJT05fU0VSVklDRV9DT1NUX0RPTS4xOTkxLjA2LzAzLzIwMjYuLi5VU0QuSAEAAADetgEAAwAAAAAA2vth5M173ghpr0s5znveCDZDSVEuTllTRTpJQk0uSVFfT1BFQl9PVEhFUl9BREouMTk5MS4wNi8wMy8yMDI2Li4uVVNELkgBAAAA3rYBAAMAAAAAANr7YeTNe94IW4hLOc573ggyQ0lRLk5ZU0U6SUJNLklRX09QRUJfT1RIRVIuMTk5MS4wNi8wMy8yMDI2Li4uVVNELkgBAAAA3rYBAAMAAAAAANr7YeTNe94IW4hLOc573ggvQ0lRLk5ZU0U6SUJNLklRX09QRUJfQ0wuMTk5MS4wNi8wMy8yMDI2Li4uVVNELkgBAAAA3rYBAAMAAAAAANr7YeTNe94IW4hLOc573gg/Q0lRLk5ZU0U6SUJNLklRX09QRUJfUFJJT1JfU0VSVklDRV9ORVhULjE5OTEuMDYvMDMvMjAyNi4uLlVTRC5IAQAAAN62AQADAAAAAADa+2HkzXveCFuISznOe94IQUNJUS5OWVNFOklCTS5JUV9PUEVCX0FTU0VUU19CRU5FRklUU19QQUlELjE5OTEuMDYvMDMvMjAyNi4uLlVTRC5IAQAAAN62AQADAAAAAADa+2HkzXveCGmvSznOe94ITENJUS5OWVNFOklCTS5JUV9QRU5TSU9OX1FVQVJU</t>
  </si>
  <si>
    <t>X0VNUExPWUVSX0NPTlRSSUJVVElPTlMuMTk5MS4wNi8wMy8yMDI2Li4uVVNELkgBAAAA3rYBAAMAAAAAANr7YeTNe94Iaa9LOc573gg/Q0lRLk5ZU0U6SUJNLklRX1BFTlNJT05fTkVUX0FTU0VUX1JFQ09HLjE5OTEuMDYvMDMvMjAyNi4uLlVTRC5IAQAAAN62AQADAAAAAADa+2HkzXveCGmvSznOe94IP0NJUS5OWVNFOklCTS5JUV9QRU5TSU9OX0VTVF9CRU5FRklUXzRZUi4xOTkxLjA2LzAzLzIwMjYuLi5VU0QuSAEAAADetgEAAwAAAAAA2vth5M173ghpr0s5znveCEFDSVEuTllTRTpJQk0uSVFfUEVOU0lPTl9DSV9PVEhFUl9NSVNDX0FESi4xOTkxLjA2LzAzLzIwMjYuLi5VU0QuSAEAAADetgEAAwAAAAAA2vth5M173ghpr0s5znveCD5DSVEuTllTRTpJQk0uSVFfUEVOU0lPTl9BU1NFVFNfQkVHX0RPTS4xOTkxLjA2LzAzLzIwMjYuLi5VU0QuSAEAAADetgEAAwAAAAAA2vth5M173ghpr0s5znveCDxDSVEuTllTRTpJQk0uSVFfT1BFQl9FU1RfQkVORUZJVF8zWVIuMTk5MS4wNi8wMy8yMDI2Li4uVVNELkgBAAAA3rYBAAMAAAAAANr7YeTNe94Iaa9LOc573gg5Q0lRLk5ZU0U6SUJNLklRX09QRUJfQlJFQUtET1dOX0ZJLjE5OTEuMDYvMDMvMjAyNi4uLlVTRC5IAQAAAN62AQADAAAAAADa+2HkzXveCGmvSznOe94IMkNJUS5OWVNFOklCTS5JUV9PUEVCX0RJU0NfUkFURV9NSU4uMTk5MS4wNi8wMy8y</t>
  </si>
  <si>
    <t>MDI2AQAAAN62AQADAAAAAADa+2HkzXveCGmvSznOe94IP0NJUS5OWVNFOklCTS5JUV9PUEVCX09CTElHQVRJT05fQ1VSVEFJTC4xOTkxLjA2LzAzLzIwMjYuLi5VU0QuSAEAAADetgEAAwAAAAAA2vth5M173ghpr0s5znveCDdDSVEuTllTRTpJQk0uSVFfT1BFQl9UT1RBTF9DT1NULjE5OTEuMDYvMDMvMjAyNi4uLlVTRC5IAQAAAN62AQADAAAAAADa+2HkzXveCHrWSznOe94IR0NJUS5OWVNFOklCTS5JUV9PUEVCX09CTElHQVRJT05fQUNDVU1VTEFURURfRE9NLjE5OTEuMDYvMDMvMjAyNi4uLlVTRC5IAQAAAN62AQADAAAAAADa+2HkzXveCHrWSznOe94IUUNJUS5OWVNFOklCTS5JUV9QRU5TSU9OX0FTU0VUU19QQVJUSUNJUF9DT05UUklCVVRJT05TX0RPTS4xOTkxLjA2LzAzLzIwMjYuLi5VU0QuSAEAAADetgEAAwAAAAAA2vth5M173gh61ks5znveCElDSVEuTllTRTpJQk0uSVFfUEVOU0lPTl9PQkxJR0FUSU9OX1RPVEFMX0NPU1RfRE9NLjE5OTEuMDYvMDMvMjAyNi4uLlVTRC5IAQAAAN62AQADAAAAAADa+2HkzXveCGmvSznOe94ITUNJUS5OWVNFOklCTS5JUV9PUEVCX0RFQ1JFQVNFX0VGRkVDVF9TRVJWSUNFX0lOVF9DT1NULjE5OTEuMDYvMDMvMjAyNi4uLlVTRC5IAQAAAN62AQADAAAAAADa+2HkzXveCGmvSznOe94IPkNJUS5OWVNFOklCTS5JUV9PUEVCX0NJX09USEVSX01JU0NfQURKLjE5</t>
  </si>
  <si>
    <t>OTEuMDYvMDMvMjAyNi4uLlVTRC5IAQAAAN62AQADAAAAAADa+2HkzXveCBbqSznOe94IOUNJUS5OWVNFOklCTS5JUV9QRU5TSU9OX0xUX0FTU0VUUy4xOTkxLjA2LzAzLzIwMjYuLi5VU0QuSAEAAADetgEAAwAAAAAA2vth5M173gh61ks5znveCEBDSVEuTllTRTpJQk0uSVFfUEVOU0lPTl9QQk9fQVNTVU1FRF9SQVRFX1JFVF9NQVguMTk5MS4wNi8wMy8yMDI2AQAAAN62AQADAAAAAADa+2HkzXveCHrWSznOe94IPENJUS5OWVNFOklCTS5JUV9QRU5TSU9OX0JSRUFLRE9XTl9GSS4xOTkxLjA2LzAzLzIwMjYuLi5VU0QuSAEAAADetgEAAwAAAAAA2vth5M173gh61ks5znveCDhDSVEuTllTRTpJQk0uSVFfUEVOU0lPTl9CUkVBS0RPV05fUENUX1JFLjE5OTEuMDYvMDMvMjAyNgEAAADetgEAAwAAAAAA2vth5M173gh61ks5znveCD1DSVEuTllTRTpJQk0uSVFfUEVOU0lPTl9BU1NFVFNfRlhfQURKLjE5OTEuMDYvMDMvMjAyNi4uLlVTRC5IAQAAAN62AQADAAAAAADa+2HkzXveCBbqSznOe94ITkNJUS5OWVNFOklCTS5JUV9QRU5TSU9OX09CTElHQVRJT05fQUNUVUFSSUFMX0dBSU5fTE9TUy4xOTkxLjA2LzAzLzIwMjYuLi5VU0QuSAEAAADetgEAAwAAAAAA2vth5M173ggW6ks5znveCCpDSVEuTllTRTpJQk0uSVFfUEVSSU9EREFURS4xOTkxLjA2LzAzLzIwMjYBAAAA3rYBAAUAAAAKMzAvMDkvMjAyMwC2</t>
  </si>
  <si>
    <t>ZcHkzXveCBqEUjnOe94IPkNJUS5OWVNFOklCTS5JUV9PUEVCX0lOVEVSRVNUX0NPU1RfRE9NLjE5OTEuMDYvMDMvMjAyNi4uLlVTRC5IAQAAAN62AQADAAAAAADa+2HkzXveCBbqSznOe94IPUNJUS5OWVNFOklCTS5JUV9QRU5TSU9OX09USEVSX0FESl9ET00uMTk5MS4wNi8wMy8yMDI2Li4uVVNELkgBAAAA3rYBAAMAAAAAANr7YeTNe94IFupLOc573gg5Q0lRLk5ZU0U6SUJNLklRX1BFTlNJT05fRElTQ19SQVRFX01BWF9ET00uMTk5MS4wNi8wMy8yMDI2AQAAAN62AQADAAAAAADa+2HkzXveCBbqSznOe94IPENJUS5OWVNFOklCTS5JUV9PUEVCX0VTVF9CRU5FRklUXzFZUi4xOTkxLjA2LzAzLzIwMjYuLi5VU0QuSAEAAADetgEAAwAAAAAA2vth5M173ggW6ks5znveCERDSVEuTllTRTpJQk0uSVFfUEVOU0lPTl9QQk9fQVNTVU1FRF9SQVRFX1JFVF9NQVhfRE9NLjE5OTEuMDYvMDMvMjAyNgEAAADetgEAAwAAAAAA2vth5M173ggW6ks5znveCD9DSVEuTllTRTpJQk0uSVFfT1BFQl9QQk9fUkFURV9DT01QX0lOQ1JFQVNFX01JTi4xOTkxLjA2LzAzLzIwMjYBAAAA3rYBAAMAAAAAANr7YeTNe94IFupLOc573gg4Q0lRLk5ZU0U6SUJNLklRX09QRUJfQlJFQUtET1dOX1BDVF9PVEhFUi4xOTkxLjA2LzAzLzIwMjYBAAAA3rYBAAMAAAAAANr7YeTNe94IFupLOc573ghCQ0lRLk5ZU0U6SUJNLklRX09QRUJf</t>
  </si>
  <si>
    <t>QVNTRVRTX09USEVSX1BMQU5fQURKLjE5OTEuMDYvMDMvMjAyNi4uLlVTRC5IAQAAAN62AQADAAAAAADa+2HkzXveCD4RTDnOe94IPkNJUS5OWVNFOklCTS5JUV9PUEVCX09CTElHQVRJT05fRlhfQURKLjE5OTEuMDYvMDMvMjAyNi4uLlVTRC5IAQAAAN62AQADAAAAAADa+2HkzXveCD4RTDnOe94IN0NJUS5OWVNFOklCTS5JUV9PUEVCX0VYUF9SRVRVUk4uMTk5MS4wNi8wMy8yMDI2Li4uVVNELkgBAAAA3rYBAAMAAAAAANr7YeTNe94IPhFMOc573gg/Q0lRLk5ZU0U6SUJNLklRX09QRUJfQVNTRVRTX0NVUlRBSUxfRE9NLjE5OTEuMDYvMDMvMjAyNi4uLlVTRC5IAQAAAN62AQADAAAAAADa+2HkzXveCBbqSznOe94IQUNJUS5OWVNFOklCTS5JUV9PUEVCX1BCT19BU1NVTUVEX1JBVEVfUkVUX01BWF9ET00uMTk5MS4wNi8wMy8yMDI2AQAAAN62AQADAAAAAADa+2HkzXveCBbqSznOe94IP0NJUS5OWVNFOklCTS5JUV9QRU5TSU9OX0VYUF9SQVRFX1JFVFVSTl9NSU5fRE9NLjE5OTEuMDYvMDMvMjAyNgEAAADetgEAAwAAAAAA2vth5M173gg+EUw5znveCDRDSVEuTllTRTpJQk0uSVFfT1BFQl9MVF9MSUFCLjE5OTEuMDYvMDMvMjAyNi4uLlVTRC5IAQAAAN62AQADAAAAAADa+2HkzXveCD4RTDnOe94IPUNJUS5OWVNFOklCTS5JUV9PUEVCX1BCT19BU1NVTUVEX1JBVEVfUkVUX01JTi4xOTkxLjA2LzAzLzIw</t>
  </si>
  <si>
    <t>MjYBAAAA3rYBAAMAAAAAANr7YeTNe94IPhFMOc573gg6Q0lRLk5ZU0U6SUJNLklRX09QRUJfVU5SRUNPR19QUklPUi4xOTkxLjA2LzAzLzIwMjYuLi5VU0QuSAEAAADetgEAAwAAAAAA2vth5M173gg+EUw5znveCDZDSVEuTllTRTpJQk0uSVFfT1BFQl9MVF9BU1NFVFMuMTk5MS4wNi8wMy8yMDI2Li4uVVNELkgBAAAA3rYBAAMAAAAAANr7YeTNe94IPhFMOc573gg5Q0lRLk5ZU0U6SUJNLklRX09QRUJfSU5UQU5fQVNTRVRTLjE5OTEuMDYvMDMvMjAyNi4uLlVTRC5IAQAAAN62AQADAAAAAADa+2HkzXveCFU4TDnOe94INUNJUS5OWVNFOklCTS5JUV9PUEVCX0JSRUFLRE9XTl9QQ1RfRkkuMTk5MS4wNi8wMy8yMDI2AQAAAN62AQADAAAAAADa+2HkzXveCFU4TDnOe94IS0NJUS5OWVNFOklCTS5JUV9PUEVCX09CTElHQVRJT05fQUNUVUFSSUFMX0dBSU5fTE9TUy4xOTkxLjA2LzAzLzIwMjYuLi5VU0QuSAEAAADetgEAAwAAAAAA2vth5M173ghVOEw5znveCDlDSVEuTllTRTpJQk0uSVFfT1BFQl9CUkVBS0RPV05fUENUX0ZJX0RPTS4xOTkxLjA2LzAzLzIwMjYBAAAA3rYBAAMAAAAAANr7YeTNe94IPhFMOc573ghNQ0lRLk5ZU0U6SUJNLklRX1BFTlNJT05fT0JMSUdBVElPTl9PVEhFUl9QTEFOX0FESl9ET00uMTk5MS4wNi8wMy8yMDI2Li4uVVNELkgBAAAA3rYBAAMAAAAAANr7YeTNe94IPhFMOc573gg2</t>
  </si>
  <si>
    <t>Q0lRLk5ZU0U6SUJNLklRX09QRUJfQkVORUZJVF9JTkZPX0RBVEUuMTk5MS4wNi8wMy8yMDI2AQAAAN62AQADAAAAAADa+2HkzXveCFU4TDnOe94IOUNJUS5OWVNFOklCTS5JUV9PUEVCX1BSRVBBSURfQ09TVC4xOTkxLjA2LzAzLzIwMjYuLi5VU0QuSAEAAADetgEAAwAAAAAA2vth5M173ghVOEw5znveCDxDSVEuTllTRTpJQk0uSVFfT1BFQl9CUkVBS0RPV05fT1RIRVIuMTk5MS4wNi8wMy8yMDI2Li4uVVNELkgBAAAA3rYBAAMAAAAAANr7YeTNe94IVThMOc573ggzQ0lRLk5ZU0U6SUJNLklRX09QRUJfQVNTRVRTLjE5OTEuMDYvMDMvMjAyNi4uLlVTRC5IAQAAAN62AQADAAAAAADa+2HkzXveCFU4TDnOe94IQUNJUS5OWVNFOklCTS5JUV9PUEVCX09CTElHQVRJT05fUFJPSkVDVEVELjE5OTEuMDYvMDMvMjAyNi4uLlVTRC5IAQAAAN62AQADAAAAAADa+2HkzXveCFU4TDnOe94IOUNJUS5OWVNFOklCTS5JUV9QRU5TSU9OX09USEVSX0FESi4xOTkxLjA2LzAzLzIwMjYuLi5VU0QuSAEAAADetgEAAwAAAAAA2vth5M173ghVOEw5znveCD9DSVEuTllTRTpJQk0uSVFfUEVOU0lPTl9FU1RfQkVORUZJVF8zWVIuMTk5MS4wNi8wMy8yMDI2Li4uVVNELkgBAAAA3rYBAAMAAAAAANr7YeTNe94IVThMOc573gg9Q0lRLk5ZU0U6SUJNLklRX1BFTlNJT05fQ0lfVFJBTlNJVElPTi4xOTkxLjA2LzAzLzIwMjYuLi5V</t>
  </si>
  <si>
    <t>U0QuSAEAAADetgEAAwAAAAAA2vth5M173ghVOEw5znveCD9DSVEuTllTRTpJQk0uSVFfUEVOU0lPTl9CUkVBS0RPV05fT1RIRVIuMTk5MS4wNi8wMy8yMDI2Li4uVVNELkgBAAAA3rYBAAMAAAAAANr7YeTNe94IVThMOc573gg1Q0lRLk5ZU0U6SUJNLklRX1BFTlNJT05fRElTQ19SQVRFX01JTi4xOTkxLjA2LzAzLzIwMjYBAAAA3rYBAAMAAAAAAL4iYuTNe94IVThMOc573ghJQ0lRLk5ZU0U6SUJNLklRX1BFTlNJT05fT0JMSUdBVElPTl9PVEhFUl9QTEFOX0FESi4xOTkxLjA2LzAzLzIwMjYuLi5VU0QuSAEAAADetgEAAwAAAAAAviJi5M173ghVOEw5znveCEVDSVEuTllTRTpJQk0uSVFfUEVOU0lPTl9PQkxJR0FUSU9OX1RPVEFMX0NPU1QuMTk5MS4wNi8wMy8yMDI2Li4uVVNELkgBAAAA3rYBAAMAAAAAAL4iYuTNe94IVThMOc573gg3Q0lRLk5ZU0U6SUJNLklRX0lOVEVSQ09NUEFOWV9DTC4xOTkxLjA2LzAzLzIwMjYuLi5VU0QuSAEAAADetgEAAwAAAAAAviJi5M173ghVOEw5znveCDFDSVEuTllTRTpJQk0uSVFfSU5UQU5fTkVULjE5OTEuMDYvMDMvMjAyNi4uLlVTRC5IAQAAAN62AQACAAAABTExMjc4AQgAAAAFAAAAATEBAAAACy0xOTcxMTc1Mjg3AwAAAAMxNjACAAAABTQ4OTYyBAAAAAEwBwAAAAgzLzYvMjAyNggAAAAJOS8zMC8yMDIzCQAAAAEwviJi5M173ghVOEw5znveCD9DSVEuTllTRTpJ</t>
  </si>
  <si>
    <t>Qk0uSVFfREVSSVZBVElWRV9MSUFCX0NVUlJFTlQuMTk5MS4wNi8wMy8yMDI2Li4uVVNELkgBAAAA3rYBAAIAAAADMTcxAQgAAAAFAAAAATEBAAAACy0xOTcxMTc1Mjg3AwAAAAMxNjACAAAABTQwNDE3BAAAAAEwBwAAAAgzLzYvMjAyNggAAAAJOS8zMC8yMDIzCQAAAAEwviJi5M173ggDc0w5znveCEpDSVEuTllTRTpJQk0uSVFfUEVOU0lPTl9VTkZVTkRFRF9BRERMX01JTl9MSUFCX0RPTS4xOTkxLjA2LzAzLzIwMjYuLi5VU0QuSAEAAADetgEAAwAAAAAAviJi5M173ggDc0w5znveCDlDSVEuTllTRTpJQk0uSVFfT1BFQl9CUkVBS0RPV05fUENUX0VRX0RPTS4xOTkxLjA2LzAzLzIwMjYBAAAA3rYBAAMAAAAAAL4iYuTNe94IVThMOc573ghNQ0lRLk5ZU0U6SUJNLklRX09QRUJfVE9UQUxfQ09TVF9JTkNMX1NVUFBMRV9QTEFOU19ET00uMTk5MS4wNi8wMy8yMDI2Li4uVVNELkgBAAAA3rYBAAMAAAAAAL4iYuTNe94IVThMOc573ghCQ0lRLk5ZU0U6SUJNLklRX1BFTlNJT05fQU1UX1JFQ09HX05FWFRfRE9NLjE5OTEuMDYvMDMvMjAyNi4uLlVTRC5IAQAAAN62AQADAAAAAAC+ImLkzXveCFU4TDnOe94IW0NJUS5OWVNFOklCTS5JUV9QRU5TSU9OX09CTElHQVRJT05fVE9UQUxfQ09TVF9JTkNMX1NVUFBMRV9QTEFOU19ET00uMTk5MS4wNi8wMy8yMDI2Li4uVVNELkgBAAAA3rYBAAMAAAAAAL4iYuTNe94I</t>
  </si>
  <si>
    <t>4oZMOc573gg/Q0lRLk5ZU0U6SUJNLklRX09QRUJfUEJPX1JBVEVfQ09NUF9JTkNSRUFTRV9NQVguMTk5MS4wNi8wMy8yMDI2AQAAAN62AQADAAAAAAC+ImLkzXveCANzTDnOe94IOkNJUS5OWVNFOklCTS5JUV9PUEVCX0NJX1RSQU5TSVRJT04uMTk5MS4wNi8wMy8yMDI2Li4uVVNELkgBAAAA3rYBAAMAAAAAAL4iYuTNe94IA3NMOc573ghBQ0lRLk5ZU0U6SUJNLklRX09QRUJfQVNTRVRTX0FDVFVBTF9SRVRVUk4uMTk5MS4wNi8wMy8yMDI2Li4uVVNELkgBAAAA3rYBAAMAAAAAAL4iYuTNe94IA3NMOc573ghFQ0lRLk5ZU0U6SUJNLklRX09QRUJfT0JMSUdBVElPTl9JTlRFUkVTVF9DT1NULjE5OTEuMDYvMDMvMjAyNi4uLlVTRC5IAQAAAN62AQADAAAAAAC+ImLkzXveCANzTDnOe94IPkNJUS5OWVNFOklCTS5JUV9QRU5TSU9OX0FDQ1VNX09USEVSX0NJLjE5OTEuMDYvMDMvMjAyNi4uLlVTRC5IAQAAAN62AQADAAAAAAC+ImLkzXveCNCcTDnOe94IPENJUS5OWVNFOklCTS5JUV9QRU5TSU9OX1BSRVBBSURfQ09TVC4xOTkxLjA2LzAzLzIwMjYuLi5VU0QuSAEAAADetgEAAwAAAAAAviJi5M173gjihkw5znveCDhDSVEuTllTRTpJQk0uSVFfUEVOU0lPTl9BQ1RfTkVYVC4xOTkxLjA2LzAzLzIwMjYuLi5VU0QuSAEAAADetgEAAwAAAAAAviJi5M173gjihkw5znveCDhDSVEuTllTRTpJQk0uSVFfUEVOU0lP</t>
  </si>
  <si>
    <t>Tl9CUkVBS0RPV05fUENUX0ZJLjE5OTEuMDYvMDMvMjAyNgEAAADetgEAAwAAAAAAviJi5M173gjihkw5znveCDtDSVEuTllTRTpJQk0uSVFfT1BFQl9BU1NFVFNfQ1VSVEFJTC4xOTkxLjA2LzAzLzIwMjYuLi5VU0QuSAEAAADetgEAAwAAAAAAviJi5M173gjihkw5znveCEVDSVEuTllTRTpJQk0uSVFfT1BFQl9BU1NFVFNfQkVORUZJVFNfUEFJRF9ET00uMTk5MS4wNi8wMy8yMDI2Li4uVVNELkgBAAAA3rYBAAMAAAAAAL4iYuTNe94I0JxMOc573gg8Q0lRLk5ZU0U6SUJNLklRX1BFTlNJT05fQlJFQUtET1dOX1BDVF9GSV9ET00uMTk5MS4wNi8wMy8yMDI2AQAAAN62AQADAAAAAAC+ImLkzXveCNCcTDnOe94IRUNJUS5OWVNFOklCTS5JUV9QRU5TSU9OX09CTElHQVRJT05fRlhfQURKX0RPTS4xOTkxLjA2LzAzLzIwMjYuLi5VU0QuSAEAAADetgEAAwAAAAAAviJi5M173gjQnEw5znveCD1DSVEuTllTRTpJQk0uSVFfT1BFQl9QQk9fQVNTVU1FRF9SQVRFX1JFVF9NQVguMTk5MS4wNi8wMy8yMDI2AQAAAN62AQADAAAAAAC+ImLkzXveCNCcTDnOe94IO0NJUS5OWVNFOklCTS5JUV9PUEVCX1JBVEVfQ09NUF9JTkNSRUFTRV9NQVguMTk5MS4wNi8wMy8yMDI2AQAAAN62AQADAAAAAAC+ImLkzXveCNCcTDnOe94IOkNJUS5OWVNFOklCTS5JUV9PUEVCX0lOVEVSRVNUX0NPU1QuMTk5MS4wNi8wMy8yMDI2Li4u</t>
  </si>
  <si>
    <t>VVNELkgBAAAA3rYBAAMAAAAAAL4iYuTNe94I0JxMOc573gg1Q0lRLk5ZU0U6SUJNLklRX1BFTlNJT05fT1RIRVIuMTk5MS4wNi8wMy8yMDI2Li4uVVNELkgBAAAA3rYBAAMAAAAAAL4iYuTNe94I0JxMOc573ghGQ0lRLk5ZU0U6SUJNLklRX1BFTlNJT05fRVNUX0JFTkVGSVRfQUZURVI1X0RPTS4xOTkxLjA2LzAzLzIwMjYuLi5VU0QuSAEAAADetgEAAwAAAAAAviJi5M173gjQnEw5znveCDlDSVEuTllTRTpJQk0uSVFfUEVOU0lPTl9ESVNDX1JBVEVfTUlOX0RPTS4xOTkxLjA2LzAzLzIwMjYBAAAA3rYBAAMAAAAAAL4iYuTNe94I0JxMOc573gg7Q0lRLk5ZU0U6SUJNLklRX09QRUJfQU1UX1JFQ09HX05FWFQuMTk5MS4wNi8wMy8yMDI2Li4uVVNELkgBAAAA3rYBAAMAAAAAAL4iYuTNe94I0JxMOc573ggzQ0lRLk5ZU0U6SUJNLklRX09QRUJfQ0lfQUNULjE5OTEuMDYvMDMvMjAyNi4uLlVTRC5IAQAAAN62AQADAAAAAAC+ImLkzXveCAfETDnOe94IQ0NJUS5OWVNFOklCTS5JUV9PUEVCX09CTElHQVRJT05fQUNDVU1VTEFURUQuMTk5MS4wNi8wMy8yMDI2Li4uVVNELkgBAAAA3rYBAAMAAAAAAL4iYuTNe94IB8RMOc573gg7Q0lRLk5ZU0U6SUJNLklRX09QRUJfT0JMSUdBVElPTl9CRUcuMTk5MS4wNi8wMy8yMDI2Li4uVVNELkgBAAAA3rYBAAMAAAAAAL4iYuTNe94IB8RMOc573gg5Q0lRLk5ZU0U6SUJN</t>
  </si>
  <si>
    <t>LklRX1BFTlNJT05fQkVORUZJVF9JTkZPX0RBVEUuMTk5MS4wNi8wMy8yMDI2AQAAAN62AQADAAAAAAC+ImLkzXveCNCcTDnOe94IP0NJUS5OWVNFOklCTS5JUV9PUEVCX1JBVEVfQ09NUF9JTkNSRUFTRV9NQVhfRE9NLjE5OTEuMDYvMDMvMjAyNgEAAADetgEAAwAAAAAAviJi5M173ggHxEw5znveCE9DSVEuTllTRTpJQk0uSVFfUEVOU0lPTl9BQ0NVTVVMQVRFRF9PQkxJR0FUSU9OX0RPTUVTVElDLjE5OTEuMDYvMDMvMjAyNi4uLlVTRC5IAQAAAN62AQADAAAAAAC+ImLkzXveCAfETDnOe94IVUNJUS5OWVNFOklCTS5JUV9QRU5TSU9OX09CTElHQVRJT05fRU1QTE9ZRUVfQ09OVFJJQlVUSU9OU19ET00uMTk5MS4wNi8wMy8yMDI2Li4uVVNELkgBAAAA3rYBAAMAAAAAAL4iYuTNe94IB8RMOc573gg7Q0lRLk5ZU0U6SUJNLklRX09QRUJfQUNDVU1fT1RIRVJfQ0kuMTk5MS4wNi8wMy8yMDI2Li4uVVNELkgBAAAA3rYBAAMAAAAAAL4iYuTNe94IB8RMOc573gg1Q0lRLk5ZU0U6SUJNLklRX09QRUJfQlJFQUtET1dOX1BDVF9FUS4xOTkxLjA2LzAzLzIwMjYBAAAA3rYBAAMAAAAAAL4iYuTNe94IB8RMOc573gg6Q0lRLk5ZU0U6SUJNLklRX09QRUJfQVNTRVRTX0ZYX0FESi4xOTkxLjA2LzAzLzIwMjYuLi5VU0QuSAEAAADetgEAAwAAAAAAviJi5M173ggHxEw5znveCExDSVEuTllTRTpJQk0uSVFfUEVOU0lP</t>
  </si>
  <si>
    <t>Tl9RVUFSVF9BRERMX0NPTlRSSUJVVElPTlNfRVhQLjE5OTEuMDYvMDMvMjAyNi4uLlVTRC5IAQAAAN62AQADAAAAAAC+ImLkzXveCAfETDnOe94IPENJUS5OWVNFOklCTS5JUV9QRU5TSU9OX0FDQ1JVRURfTElBQi4xOTkxLjA2LzAzLzIwMjYuLi5VU0QuSAEAAADetgEAAwAAAAAAviJi5M173ggHxEw5znveCE5DSVEuTllTRTpJQk0uSVFfT1BFQl9BU1NFVFNfUEFSVElDSVBfQ09OVFJJQlVUSU9OU19ET00uMTk5MS4wNi8wMy8yMDI2Li4uVVNELkgBAAAA3rYBAAMAAAAAAL4iYuTNe94IB8RMOc573ghGQ0lRLk5ZU0U6SUJNLklRX1BFTlNJT05fUEJPX1JBVEVfQ09NUF9JTkNSRUFTRV9NQVhfRE9NLjE5OTEuMDYvMDMvMjAyNgEAAADetgEAAwAAAAAAviJi5M173ggHxEw5znveCD9DSVEuTllTRTpJQk0uSVFfT1BFQl9FU1RfQkVORUZJVF9BRlRFUjUuMTk5MS4wNi8wMy8yMDI2Li4uVVNELkgBAAAA3rYBAAMAAAAAAL4iYuTNe94IB8RMOc573gg1Q0lRLk5ZU0U6SUJNLklRX09QRUJfQUNUX05FWFQuMTk5MS4wNi8wMy8yMDI2Li4uVVNELkgBAAAA3rYBAAMAAAAAAL4iYuTNe94IB8RMOc573gg5Q0lRLk5ZU0U6SUJNLklRX09QRUJfQlJFQUtET1dOX1JFLjE5OTEuMDYvMDMvMjAyNi4uLlVTRC5IAQAAAN62AQADAAAAAAC+ImLkzXveCAfETDnOe94ITkNJUS5OWVNFOklCTS5JUV9PUEVCX09CTElHQVRJ</t>
  </si>
  <si>
    <t>T05fRU1QTE9ZRUVfQ09OVFJJQlVUSU9OUy4xOTkxLjA2LzAzLzIwMjYuLi5VU0QuSAEAAADetgEAAwAAAAAAviJi5M173ggHxEw5znveCDdDSVEuTllTRTpJQk0uSVFfUEVOU0lPTl9VVl9MSUFCLjE5OTEuMDYvMDMvMjAyNi4uLlVTRC5IAQAAAN62AQADAAAAAAC+ImLkzXveCAfETDnOe94IP0NJUS5OWVNFOklCTS5JUV9QRU5TSU9OX0VTVF9CRU5FRklUXzJZUi4xOTkxLjA2LzAzLzIwMjYuLi5VU0QuSAEAAADetgEAAwAAAAAAviJi5M173gi2/kw5znveCE1DSVEuTllTRTpJQk0uSVFfUEVOU0lPTl9BU1NFVFNfRU1QTE9ZRVJfQ09OVFJJQlVUSU9OUy4xOTkxLjA2LzAzLzIwMjYuLi5VU0QuSAEAAADetgEAAwAAAAAAviJi5M173gi2/kw5znveCDFDSVEuTllTRTpJQk0uSVFfTlVNQkVSX0FEUkhPTERFUlMuMTk5MS4wNi8wMy8yMDI2AQAAAN62AQADAAAAAAC+ImLkzXveCLb+TDnOe94IRkNJUS5OWVNFOklCTS5JUV9QRU5TSU9OX0FDQ1VNVUxBVEVEX09CTElHQVRJT04uMTk5MS4wNi8wMy8yMDI2Li4uVVNELkgBAAAA3rYBAAMAAAAAAL4iYuTNe94Itv5MOc573ggvQ0lRLk5ZU0U6SUJNLklRX0ZJTElOR19DVVJSRU5DWS4xOTkxLjA2LzAzLzIwMjYBAAAA3rYBAAMAAAADVVNEAAleYuTNe94IL0lSOc573ghBQ0lRLk5ZU0U6SUJNLklRX0RFUklWQVRJVkVfQVNTRVRTX0NVUlJFTlQuMTk5MS4wNi8w</t>
  </si>
  <si>
    <t>My8yMDI2Li4uVVNELkgBAAAA3rYBAAIAAAADNDMxAQgAAAAFAAAAATEBAAAACy0xOTcxMTc1Mjg3AwAAAAMxNjACAAAABDExMDkEAAAAATAHAAAACDMvNi8yMDI2CAAAAAk5LzMwLzIwMjMJAAAAATC+ImLkzXveCLb+TDnOe94IPkNJUS5OWVNFOklCTS5JUV9DT05USU5HRU5UX0xJQUJJTElUSUVTLjE5OTEuMDYvMDMvMjAyNi4uLlVTRC5IAQAAAN62AQADAAAAAAC+ImLkzXveCLb+TDnOe94IQkNJUS5OWVNFOklCTS5JUV9QRU5TSU9OX0VTVF9CRU5FRklUX0FGVEVSNS4xOTkxLjA2LzAzLzIwMjYuLi5VU0QuSAEAAADetgEAAwAAAAAAviJi5M173gi2/kw5znveCD5DSVEuTllTRTpJQk0uSVFfUEVOU0lPTl9SQVRFX0NPTVBfSU5DUkVBU0VfTUFYLjE5OTEuMDYvMDMvMjAyNgEAAADetgEAAwAAAAAAviJi5M173gi2/kw5znveCD5DSVEuTllTRTpJQk0uSVFfUEVOU0lPTl9BU1NFVFNfQ1VSVEFJTC4xOTkxLjA2LzAzLzIwMjYuLi5VU0QuSAEAAADetgEAAwAAAAAAviJi5M173gi2/kw5znveCERDSVEuTllTRTpJQk0uSVFfUEVOU0lPTl9BU1NFVFNfQkVORUZJVFNfUEFJRC4xOTkxLjA2LzAzLzIwMjYuLi5VU0QuSAEAAADetgEAAwAAAAAAviJi5M173gi2/kw5znveCEFDSVEuTllTRTpJQk0uSVFfUEVOU0lPTl9PQkxJR0FUSU9OX0ZYX0FESi4xOTkxLjA2LzAzLzIwMjYuLi5VU0QuSAEAAADetgEAAwAA</t>
  </si>
  <si>
    <t>AAAAviJi5M173gi2/kw5znveCEdDSVEuTllTRTpJQk0uSVFfUEVOU0lPTl9PQkxJR0FUSU9OX1NFUlZJQ0VfQ09TVC4xOTkxLjA2LzAzLzIwMjYuLi5VU0QuSAEAAADetgEAAwAAAAAAviJi5M173gi2/kw5znveCD5DSVEuTllTRTpJQk0uSVFfUEVOU0lPTl9PQkxJR0FUSU9OX1JPQS4xOTkxLjA2LzAzLzIwMjYuLi5VU0QuSAEAAADetgEAAwAAAAAAviJi5M173gi2/kw5znveCCxDSVEuTllTRTpJQk0uSVFfQ0FMQ19UWVBFX0JTLjE5OTEuMDYvMDMvMjAyNgEAAADetgEAAwAAAANSVVAAviJi5M173gi2/kw5znveCD1DSVEuTllTRTpJQk0uSVFfREVCVF9FUVVJVl9PUEVSX0xFQVNFLjE5OTEuMDYvMDMvMjAyNi4uLlVTRC5IAQAAAN62AQADAAAAAAC+ImLkzXveCOMlTTnOe94IKUNJUS5OWVNFOklCTS5JUV9GVUxMX1RJTUUuMTk5MS4wNi8wMy8yMDI2AQAAAN62AQADAAAAAAC+ImLkzXveCOMlTTnOe94ITUNJUS5OWVNFOklCTS5JUV9MSUFCSUxJVElFU19ORVRUSU5HX09USEVSX0FESlVTVE1FTlRTLjE5OTEuMDYvMDMvMjAyNi4uLlVTRC5IAQAAAN62AQADAAAAAAC+ImLkzXveCOMlTTnOe94ISUNJUS5OWVNFOklCTS5JUV9HRU5FUkFMX1BBUlRORVJfTUlOT1JJVFlfSU5URVJFU1QuMTk5MS4wNi8wMy8yMDI2Li4uVVNELkgBAAAA3rYBAAMAAAAAAL4iYuTNe94I4yVNOc573ggxQ0lRLk5ZU0U6SUJN</t>
  </si>
  <si>
    <t>LklRX0JVSUxESU5HUy4xOTkxLjA2LzAzLzIwMjYuLi5VU0QuSAEAAADetgEAAwAAAAAAviJi5M173gjjJU05znveCDFDSVEuTllTRTpJQk0uSVFfVE9UQUxfQ0FQLjE5OTEuMDYvMDMvMjAyNi4uLlVTRC5IAQAAAN62AQACAAAABTgxNjgxAQgAAAAFAAAAATEBAAAACy0xOTcxMTc1Mjg3AwAAAAMxNjACAAAABDQxNzUEAAAAATAHAAAACDMvNi8yMDI2CAAAAAk5LzMwLzIwMjMJAAAAATC+ImLkzXveCIE5TTnOe94IOUNJUS5OWVNFOklCTS5JUV9UT1RBTF9PVVRTVEFORElOR19CU19EQVRFLjE5OTEuMDYvMDMvMjAyNgEAAADetgEAAgAAAAo5MTMuMTE4NTgxAQQAAAAFAAAAATUBAAAACy0xOTcxMTc1Mjg3AgAAAAUyNDE1MgYAAAABML4iYuTNe94IgTlNOc573gg7Q0lRLk5ZU0U6SUJNLklRX0FEX0VYQ0xfT1BFUl9MRUFTRVMuMTk5MS4wNi8wMy8yMDI2Li4uVVNELkgBAAAA3rYBAAIAAAAGLTEyODQ4AQgAAAAFAAAAATEBAAAACy0xOTcxMTc1Mjg3AwAAAAMxNjACAAAABTQ4OTc1BAAAAAEwBwAAAAgzLzYvMjAyNggAAAAJOS8zMC8yMDIzCQAAAAEwviJi5M173giBOU05znveCDlDSVEuTllTRTpJQk0uSVFfTUlOT1JJVFlfSU5URVJFU1QuMTk5MS4wNi8wMy8yMDI2Li4uVVNELkgBAAAA3rYBAAIAAAACNzUBCAAAAAUAAAABMQEAAAALLTE5NzExNzUyODcDAAAAAzE2MAIAAAAEMTA1MgQAAAABMAcAAAAI</t>
  </si>
  <si>
    <t>My82LzIwMjYIAAAACTkvMzAvMjAyMwkAAAABML4iYuTNe94I4yVNOc573gg1Q0lRLk5ZU0U6SUJNLklRX09USEVSX0xJQUJfTFQuMTk5MS4wNi8wMy8yMDI2Li4uVVNELkgBAAAA3rYBAAIAAAAFMTIwODABCAAAAAUAAAABMQEAAAALLTE5NzExNzUyODcDAAAAAzE2MAIAAAAEMTA2MgQAAAABMAcAAAAIMy82LzIwMjYIAAAACTkvMzAvMjAyMwkAAAABML4iYuTNe94IgTlNOc573gg8Q0lRLk5ZU0U6SUJNLklRX0ZJTl9ESVZfTElBQl9DVVJSRU5ULjE5OTEuMDYvMDMvMjAyNi4uLlVTRC5IAQAAAN62AQADAAAAAAC+ImLkzXveCIE5TTnOe94IOUNJUS5OWVNFOklCTS5JUV9DVVJSRU5UX1BPUlRfREVCVC4xOTkxLjA2LzAzLzIwMjYuLi5VU0QuSAEAAADetgEAAgAAAAQ2NDAxAQgAAAAFAAAAATEBAAAACy0xOTcxMTc1Mjg3AwAAAAMxNjACAAAABDEyOTcEAAAAATAHAAAACDMvNi8yMDI2CAAAAAk5LzMwLzIwMjMJAAAAATC+ImLkzXveCIE5TTnOe94IKkNJUS5OWVNFOklCTS5JUV9HVy4xOTkxLjA2LzAzLzIwMjYuLi5VU0QuSAEAAADetgEAAgAAAAU1OTU5NgEIAAAABQAAAAExAQAAAAstMTk3MTE3NTI4NwMAAAADMTYwAgAAAAQxMTcxBAAAAAEwBwAAAAgzLzYvMjAyNggAAAAJOS8zMC8yMDIzCQAAAAEwviJi5M173giBOU05znveCEJDSVEuTllTRTpJQk0uSVFfUEVOU0lPTl9QUklPUl9TRVJWSUNFX05F</t>
  </si>
  <si>
    <t>WFQuMTk5MS4wNi8wMy8yMDI2Li4uVVNELkgBAAAA3rYBAAMAAAAAAL4iYuTNe94IgTlNOc573ghRQ0lRLk5ZU0U6SUJNLklRX1BFTlNJT05fT0JMSUdBVElPTl9FTVBMT1lFRV9DT05UUklCVVRJT05TLjE5OTEuMDYvMDMvMjAyNi4uLlVTRC5IAQAAAN62AQADAAAAAAC+ImLkzXveCIE5TTnOe94ILENJUS5OWVNFOklCTS5JUV9BVURJVE9SX05BTUUuMTk5MS4wNi8wMy8yMDI2AQAAAN62AQADAAAAAAC+ImLkzXveCIE5TTnOe94IO0NJUS5OWVNFOklCTS5JUV9UT1RBTF9ERUJUX0VYQ0xfRklOLjE5OTEuMDYvMDMvMjAyNi4uLlVTRC5IAQAAAN62AQACAAAABTU4NTI1AQgAAAAFAAAAATEBAAAACy0xOTcxMTc1Mjg3AwAAAAMxNjACAAAABTIxODYwBAAAAAEwBwAAAAgzLzYvMjAyNggAAAAJOS8zMC8yMDIzCQAAAAEwviJi5M173giBOU05znveCC1DSVEuTllTRTpJQk0uSVFfQVZHX0VNUExPWUVFUy4xOTkxLjA2LzAzLzIwMjYBAAAA3rYBAAMAAAAAAL4iYuTNe94IgTlNOc573gg2Q0lRLk5ZU0U6SUJNLklRX0FTU0VUU19MRVZFTF8zLjE5OTEuMDYvMDMvMjAyNi4uLlVTRC5IAQAAAN62AQADAAAAAAC+ImLkzXveCIE5TTnOe94IQ0NJUS5OWVNFOklCTS5JUV9GSU5fRElWX01JTk9SSVRZX0lOVF9SRURFRU0uMTk5MS4wNi8wMy8yMDI2Li4uVVNELkgBAAAA3rYBAAMAAAAAAL4iYuTNe94IgTlNOc573ggt</t>
  </si>
  <si>
    <t>Q0lRLk5ZU0U6SUJNLklRX0xJRk9SLjE5OTEuMDYvMDMvMjAyNi4uLlVTRC5IAQAAAN62AQADAAAAAAC+ImLkzXveCIE5TTnOe94INUNJUS5OWVNFOklCTS5JUV9FUVVJVFlfTUVUSE9ELjE5OTEuMDYvMDMvMjAyNi4uLlVTRC5IAQAAAN62AQADAAAAAAC+ImLkzXveCIE5TTnOe94IP0NJUS5OWVNFOklCTS5JUV9QRU5TSU9OX0VTVF9CRU5FRklUXzVZUi4xOTkxLjA2LzAzLzIwMjYuLi5VU0QuSAEAAADetgEAAwAAAAAAviJi5M173giBOU05znveCD9DSVEuTllTRTpJQk0uSVFfUEVOU0lPTl9FU1RfQkVORUZJVF8xWVIuMTk5MS4wNi8wMy8yMDI2Li4uVVNELkgBAAAA3rYBAAMAAAAAAIg2YuTNe94IgTlNOc573ghAQ0lRLk5ZU0U6SUJNLklRX1BFTlNJT05fQ0lfUFJJT1JfU0VSVklDRS4xOTkxLjA2LzAzLzIwMjYuLi5VU0QuSAEAAADetgEAAwAAAAAAiDZi5M173ggrdE05znveCEdDSVEuTllTRTpJQk0uSVFfUEVOU0lPTl9DT05UUklCVVRJT05fVE9UQUxfQ09TVC4xOTkxLjA2LzAzLzIwMjYuLi5VU0QuSAEAAADetgEAAwAAAAAAiDZi5M173ggrdE05znveCDtDSVEuTllTRTpJQk0uSVFfSU5URVJDT01QQU5ZX05PTl9DQS4xOTkxLjA2LzAzLzIwMjYuLi5VU0QuSAEAAADetgEAAwAAAAAAiDZi5M173ggrdE05znveCEBDSVEuTllTRTpJQk0uSVFfQUNDVU1fQU1PUlRfSU5UQU5fQVNTRVRTLjE5OTEu</t>
  </si>
  <si>
    <t>MDYvMDMvMjAyNi4uLlVTRC5IAQAAAN62AQACAAAABS01OTkzAQgAAAAFAAAAATEBAAAACy0xOTcxMTc1Mjg3AwAAAAMxNjACAAAABTI0MzMxBAAAAAEwBwAAAAgzLzYvMjAyNggAAAAJOS8zMC8yMDIzCQAAAAEwiDZi5M173ggrdE05znveCDdDSVEuTllTRTpJQk0uSVFfT1BFQl9BU1NFVFNfQkVHLjE5OTEuMDYvMDMvMjAyNi4uLlVTRC5IAQAAAN62AQADAAAAAACINmLkzXveCCt0TTnOe94IPkNJUS5OWVNFOklCTS5JUV9QRU5TSU9OX1JBVEVfQ09NUF9JTkNSRUFTRV9NSU4uMTk5MS4wNi8wMy8yMDI2AQAAAN62AQADAAAAAACINmLkzXveCCt0TTnOe94IOkNJUS5OWVNFOklCTS5JUV9QRU5TSU9OX0FTU0VUU19BQ1EuMTk5MS4wNi8wMy8yMDI2Li4uVVNELkgBAAAA3rYBAAMAAAAAAIg2YuTNe94IK3RNOc573ghEQ0lRLk5ZU0U6SUJNLklRX1BFTlNJT05fQVNTRVRTX0FDVFVBTF9SRVRVUk4uMTk5MS4wNi8wMy8yMDI2Li4uVVNELkgBAAAA3rYBAAMAAAAAAIg2YuTNe94IK3RNOc573gg8Q0lRLk5ZU0U6SUJNLklRX1dBUlJBTlRZX0xJQUJJTElUSUVTLjE5OTEuMDYvMDMvMjAyNi4uLlVTRC5IAQAAAN62AQADAAAAAACINmLkzXveCCt0TTnOe94IOUNJUS5OWVNFOklCTS5JUV9GSU5fRElWX1NUX0lOVkVTVC4xOTkxLjA2LzAzLzIwMjYuLi5VU0QuSAEAAADetgEAAwAAAAAAiDZi5M173ggrdE05znve</t>
  </si>
  <si>
    <t>CD5DSVEuTllTRTpJQk0uSVFfTElBQklMSVRJRVNfRkFJUl9WQUxVRS4xOTkxLjA2LzAzLzIwMjYuLi5VU0QuSAEAAADetgEAAgAAAAU0NTEyOACINmLkzXveCFibTTnOe94IQENJUS5OWVNFOklCTS5JUV9QRU5TSU9OX1BCT19BU1NVTUVEX1JBVEVfUkVUX01JTi4xOTkxLjA2LzAzLzIwMjYBAAAA3rYBAAMAAAAAAIg2YuTNe94IWJtNOc573gg7Q0lRLk5ZU0U6SUJNLklRX0lOVEVSQ09NUEFOWV9OT05fQ0wuMTk5MS4wNi8wMy8yMDI2Li4uVVNELkgBAAAA3rYBAAMAAAAAAIg2YuTNe94IK3RNOc573gg8Q0lRLk5ZU0U6SUJNLklRX0RFUklWQVRJVkVfQVNTRVRTX0xULjE5OTEuMDYvMDMvMjAyNi4uLlVTRC5IAQAAAN62AQACAAAAATEBCAAAAAUAAAABMQEAAAALLTE5NzExNzUyODcDAAAAAzE2MAIAAAAEMTExMAQAAAABMAcAAAAIMy82LzIwMjYIAAAACTkvMzAvMjAyMwkAAAABMIg2YuTNe94IK3RNOc573gg9Q0lRLk5ZU0U6SUJNLklRX1BFTlNJT05fSU5URVJFU1RfQ09TVC4xOTkxLjA2LzAzLzIwMjYuLi5VU0QuSAEAAADetgEAAwAAAAAAiDZi5M173ggrdE05znveCC5DSVEuTllTRTpJQk0uSVFfUkVTVEFURU1FTlRfQlMuMTk5MS4wNi8wMy8yMDI2AQAAAN62AQADAAAAAk5DAIg2YuTNe94IWJtNOc573ghBQ0lRLk5ZU0U6SUJNLklRX0RFUklWQVRJVkVfVFJBRElOR19BU1NFVFMuMTk5MS4wNi8w</t>
  </si>
  <si>
    <t>My8yMDI2Li4uVVNELkgBAAAA3rYBAAMAAAAAAIg2YuTNe94IWJtNOc573gg1Q0lRLk5ZU0U6SUJNLklRX09SREVSX0JBQ0tMT0cuMTk5MS4wNi8wMy8yMDI2Li4uVVNELkgBAAAA3rYBAAMAAAAAAIg2YuTNe94IWJtNOc573ggyQ0lRLk5ZU0U6SUJNLklRX0FWR19URU1QX0VNUExPWUVFUy4xOTkxLjA2LzAzLzIwMjYBAAAA3rYBAAMAAAAAAIg2YuTNe94IWJtNOc573ggvQ0lRLk5ZU0U6SUJNLklRX1RPVEFMX0VNUExPWUVFUy4xOTkxLjA2LzAzLzIwMjYBAAAA3rYBAAMAAAAAAIg2YuTNe94IWJtNOc573gg2Q0lRLk5ZU0U6SUJNLklRX0FTU0VUU19MRVZFTF8xLjE5OTEuMDYvMDMvMjAyNi4uLlVTRC5IAQAAAN62AQACAAAAAzIxNACINmLkzXveCPKuTTnOe94IPUNJUS5OWVNFOklCTS5JUV9MRUFTRUhPTERfSU1QUk9WRU1FTlQuMTk5MS4wNi8wMy8yMDI2Li4uVVNELkgBAAAA3rYBAAMAAAAAAIg2YuTNe94I8q5NOc573ggzQ0lRLk5ZU0U6SUJNLklRX0FSX1VOQklMTEVELjE5OTEuMDYvMDMvMjAyNi4uLlVTRC5IAQAAAN62AQACAAAAAzQ1NAEIAAAABQAAAAExAQAAAAstMTk3MTE3NTI4NwMAAAADMTYwAgAAAAU0NTQyMAQAAAABMAcAAAAIMy82LzIwMjYIAAAACTkvMzAvMjAyMwkAAAABMIg2YuTNe94I8q5NOc573ggrQ0lRLk5ZU0U6SUJNLklRX1RCVi4xOTkxLjA2LzAzLzIwMjYuLi5VU0QuSAEA</t>
  </si>
  <si>
    <t>AADetgEAAgAAAAYtNDc3OTMBCAAAAAUAAAABMQEAAAALLTE5NzExNzUyODcDAAAAAzE2MAIAAAAEMTMxMAQAAAABMAcAAAAIMy82LzIwMjYIAAAACTkvMzAvMjAyMwkAAAABMIg2YuTNe94I8q5NOc573gg5Q0lRLk5ZU0U6SUJNLklRX0JWX1NIQVJFX1JFUE9SVEVELjE5OTEuMDYvMDMvMjAyNi4uLlVTRC5IAQAAAN62AQADAAAAAACINmLkzXveCPKuTTnOe94IPUNJUS5OWVNFOklCTS5JUV9PUEVCX0NJX1BSSU9SX1NFUlZJQ0UuMTk5MS4wNi8wMy8yMDI2Li4uVVNELkgBAAAA3rYBAAMAAAAAAIg2YuTNe94I8q5NOc573ghCQ0lRLk5ZU0U6SUJNLklRX1BFTlNJT05fUEJPX1JBVEVfQ09NUF9JTkNSRUFTRV9NQVguMTk5MS4wNi8wMy8yMDI2AQAAAN62AQADAAAAAACINmLkzXveCPKuTTnOe94IO0NJUS5OWVNFOklCTS5JUV9QRU5TSU9OX0VYUF9SQVRFX1JFVFVSTl9NQVguMTk5MS4wNi8wMy8yMDI2AQAAAN62AQADAAAAAACINmLkzXveCPKuTTnOe94IN0NJUS5OWVNFOklCTS5JUV9QT1NUX1JFVElSRV9FWFAuMTk5MS4wNi8wMy8yMDI2Li4uVVNELkgBAAAA3rYBAAMAAAAAAIg2YuTNe94I8q5NOc573ghAQ0lRLk5ZU0U6SUJNLklRX1BFTlNJT05fQU1UX1JFQ09HX1BFUklPRC4xOTkxLjA2LzAzLzIwMjYuLi5VU0QuSAEAAADetgEAAwAAAAAAiDZi5M173gjyrk05znveCDpDSVEuTllTRTpJQk0uSVFf</t>
  </si>
  <si>
    <t>RklOX0RJVl9ERUJUX1RPVEFMLjE5OTEuMDYvMDMvMjAyNi4uLlVTRC5IAQAAAN62AQACAAAABDk4NjABCAAAAAUAAAABMQEAAAALLTE5NzExNzUyODcDAAAAAzE2MAIAAAAFMjQ1MTYEAAAAATAHAAAACDMvNi8yMDI2CAAAAAk5LzMwLzIwMjMJAAAAATCINmLkzXveCBzWTTnOe94IO0NJUS5OWVNFOklCTS5JUV9MSUFCSUxJVElFU19MRVZFTF8zLjE5OTEuMDYvMDMvMjAyNi4uLlVTRC5IAQAAAN62AQADAAAAAACINmLkzXveCBzWTTnOe94IQ0NJUS5OWVNFOklCTS5JUV9HRU5FUkFMX1BBUlRORVJfUFJFRl9FUVVJVFkuMTk5MS4wNi8wMy8yMDI2Li4uVVNELkgBAAAA3rYBAAMAAAAAAIg2YuTNe94I8q5NOc573ggsQ0lRLk5ZU0U6SUJNLklRX0xBTkQuMTk5MS4wNi8wMy8yMDI2Li4uVVNELkgBAAAA3rYBAAMAAAAAAIg2YuTNe94I8q5NOc573ghGQ0lRLk5ZU0U6SUJNLklRX1BFTlNJT05fVU5GVU5ERURfQURETF9NSU5fTElBQi4xOTkxLjA2LzAzLzIwMjYuLi5VU0QuSAEAAADetgEAAwAAAAAAiDZi5M173gjyrk05znveCDZDSVEuTllTRTpJQk0uSVFfUEVOU0lPTl9DSV9BQ1QuMTk5MS4wNi8wMy8yMDI2Li4uVVNELkgBAAAA3rYBAAMAAAAAAIg2YuTNe94IHNZNOc573ggnQ0lRLk5ZU0U6SUJNLklRX0dBQVBfQlMuMTk5MS4wNi8wMy8yMDI2AQAAAN62AQADAAAAB1VTIEdBQVAAiDZi5M173ggc1k05</t>
  </si>
  <si>
    <t>znveCERDSVEuTllTRTpJQk0uSVFfT1BFQl9TVVBQTEVfUExBTlNfVE9UQUxfQ09TVC4xOTkxLjA2LzAzLzIwMjYuLi5VU0QuSAEAAADetgEAAwAAAAAAiDZi5M173ggc1k05znveCEBDSVEuTllTRTpJQk0uSVFfUEVOU0lPTl9DSV9ORVRfQU1UX1JFQ09HLjE5OTEuMDYvMDMvMjAyNi4uLlVTRC5IAQAAAN62AQADAAAAAACINmLkzXveCBzWTTnOe94IN0NJUS5OWVNFOklCTS5JUV9JTlRFUkNPTVBBTllfQ0EuMTk5MS4wNi8wMy8yMDI2Li4uVVNELkgBAAAA3rYBAAMAAAAAAIg2YuTNe94IHNZNOc573ghFQ0lRLk5ZU0U6SUJNLklRX0NVUlJFTlRfUE9SVF9ERUJUX0RFUklWQVRJVkVTLjE5OTEuMDYvMDMvMjAyNi4uLlVTRC5IAQAAAN62AQADAAAAAACINmLkzXveCBzWTTnOe94IPUNJUS5OWVNFOklCTS5JUV9SRVNUUklDVEVEX0NBU0hfVE9UQUwuMTk5MS4wNi8wMy8yMDI2Li4uVVNELkgBAAAA3rYBAAIAAAACMTkBCAAAAAUAAAABMQEAAAALLTE5NzExNzUyODcDAAAAAzE2MAIAAAAFMjQxOTIEAAAAATAHAAAACDMvNi8yMDI2CAAAAAk5LzMwLzIwMjMJAAAAATCINmLkzXveCBzWTTnOe94IP0NJUS5OWVNFOklCTS5JUV9FTVBMT1lFRVNfVU5ERVJfVU5JT05fQ09OVFJBQ1RTLjE5OTEuMDYvMDMvMjAyNgEAAADetgEAAwAAAAAAiDZi5M173ggc1k05znveCDZDSVEuTllTRTpJQk0uSVFfQVNTRVRTX0xF</t>
  </si>
  <si>
    <t>VkVMXzIuMTk5MS4wNi8wMy8yMDI2Li4uVVNELkgBAAAA3rYBAAIAAAAENzkxOACINmLkzXveCBzWTTnOe94ITkNJUS5OWVNFOklCTS5JUV9MSVFVSURBVElPTl9WQUxVRV9QUkVGRVJSRURfTk9OX1JFREVFTS4xOTkxLjA2LzAzLzIwMjYuLi5VU0QuSAEAAADetgEAAwAAAAAAiDZi5M173ggc1k05znveCD5DSVEuTllTRTpJQk0uSVFfTkFUVVJBTF9SRVNPVVJDRVNfQ09TVC4xOTkxLjA2LzAzLzIwMjYuLi5VU0QuSAEAAADetgEAAwAAAAAAiDZi5M173ggq/U05znveCDhDSVEuTllTRTpJQk0uSVFfQUxMT1dfRE9VQlRfQUNDVC4xOTkxLjA2LzAzLzIwMjYuLi5VU0QuSAEAAADetgEAAgAAAAMxOTgBCAAAAAUAAAABMQEAAAALLTE5NzExNzUyODcDAAAAAzE2MAIAAAAEMzAxMgQAAAABMAcAAAAIMy82LzIwMjYIAAAACTkvMzAvMjAyMwkAAAABMIg2YuTNe94IKv1NOc573ggxQ0lRLk5ZU0U6SUJNLklRX1RCVl9TSEFSRS4xOTkxLjA2LzAzLzIwMjYuLi5VU0QuSAEAAADetgEAAgAAAAotNTIuMzQwNDA5AQgAAAAFAAAAATEBAAAACy0xOTcxMTc1Mjg3AwAAAAMxNjACAAAABDQxNTYEAAAAATAHAAAACDMvNi8yMDI2CAAAAAk5LzMwLzIwMjMJAAAAATCINmLkzXveCCr9TTnOe94ISUNJUS5OWVNFOklCTS5JUV9MVF9QT1JUSU9OX09QRVJfTEVBU0VfTElBQklMSVRJRVMuMTk5MS4wNi8wMy8yMDI2Li4uVVNE</t>
  </si>
  <si>
    <t>LkgBAAAA3rYBAAIAAAAEMjQ3NgEIAAAABQAAAAExAQAAAAstMTk3MTE3NTI4NwMAAAADMTYwAgAAAAU0ODM4MwQAAAABMAcAAAAIMy82LzIwMjYIAAAACTkvMzAvMjAyMwkAAAABMIg2YuTNe94IKv1NOc573ghAQ0lRLk5ZU0U6SUJNLklRX0ZJTkFOQ0VfTEVBU0VTX0xPTkdfVEVSTS4xOTkxLjA2LzAzLzIwMjYuLi5VU0QuSAEAAADetgEAAgAAAAMzMDMBCAAAAAUAAAABMQEAAAALLTE5NzExNzUyODcDAAAAAzE2MAIAAAAFNDg5OTEEAAAAATAHAAAACDMvNi8yMDI2CAAAAAk5LzMwLzIwMjMJAAAAATCINmLkzXveCBzWTTnOe94IMUNJUS5OWVNFOklCTS5JUV9SVUFfR1JPU1MuMTk5MS4wNi8wMy8yMDI2Li4uVVNELkgBAAAA3rYBAAMAAAAAAIg2YuTNe94IxBBOOc573gg3Q0lRLk5ZU0U6SUJNLklRX1BSRUZfTk9OX1JFREVFTS4xOTkxLjA2LzAzLzIwMjYuLi5VU0QuSAEAAADetgEAAwAAAAAAiDZi5M173gjEEE45znveCDxDSVEuTllTRTpJQk0uSVFfREVGX1RBWF9MSUFCX0NVUlJFTlQuMTk5MS4wNi8wMy8yMDI2Li4uVVNELkgBAAAA3rYBAAMAAAAAAIg2YuTNe94IxBBOOc573gg5Q0lRLk5ZU0U6SUJNLklRX0RFRl9UQVhfQVNTRVRTX0xULjE5OTEuMDYvMDMvMjAyNi4uLlVTRC5IAQAAAN62AQACAAAABDYxNjgBCAAAAAUAAAABMQEAAAALLTE5NzExNzUyODcDAAAAAzE2MAIAAAAEMTAyNgQAAAAB</t>
  </si>
  <si>
    <t>MAcAAAAIMy82LzIwMjYIAAAACTkvMzAvMjAyMwkAAAABMIg2YuTNe94IKv1NOc573gg5Q0lRLk5ZU0U6SUJNLklRX0ZJTl9ESVZfQVNTRVRTX0xULjE5OTEuMDYvMDMvMjAyNi4uLlVTRC5IAQAAAN62AQADAAAAAACINmLkzXveCCr9TTnOe94IPkNJUS5OWVNFOklCTS5JUV9GSU5fRElWX0FTU0VUU19DVVJSRU5ULjE5OTEuMDYvMDMvMjAyNi4uLlVTRC5IAQAAAN62AQACAAAAAzU5MwEIAAAABQAAAAExAQAAAAstMTk3MTE3NTI4NwMAAAADMTYwAgAAAAQxMDI5BAAAAAEwBwAAAAgzLzYvMjAyNggAAAAJOS8zMC8yMDIzCQAAAAEwiDZi5M173gjEEE45znveCDtDSVEuTllTRTpJQk0uSVFfUEVOU0lPTl9FWFBfUkFURV9SRVRVUk5fTUlOLjE5OTEuMDYvMDMvMjAyNgEAAADetgEAAwAAAAAAiDZi5M173gjEEE45znveCDVDSVEuTllTRTpJQk0uSVFfUEVOU0lPTl9ESVNDX1JBVEVfTUFYLjE5OTEuMDYvMDMvMjAyNgEAAADetgEAAwAAAAAAiDZi5M173gjEEE45znveCC5DSVEuTllTRTpJQk0uSVFfR1dfTkVULjE5OTEuMDYvMDMvMjAyNi4uLlVTRC5IAQAAAN62AQACAAAABTU5NTk2AQgAAAAFAAAAATEBAAAACy0xOTcxMTc1Mjg3AwAAAAMxNjACAAAABTQ4OTYwBAAAAAEwBwAAAAgzLzYvMjAyNggAAAAJOS8zMC8yMDIzCQAAAAEwiDZi5M173gjEEE45znveCD1DSVEuTllTRTpJQk0uSVFfQURWQU5DRVNf</t>
  </si>
  <si>
    <t>Rk9SX1NVUFBMSUVTLjE5OTEuMDYvMDMvMjAyNi4uLlVTRC5IAQAAAN62AQADAAAAAACINmLkzXveCMQQTjnOe94INkNJUS5OWVNFOklCTS5JUV9BQ0NVTV9BTU9SVF9HVy4xOTkxLjA2LzAzLzIwMjYuLi5VU0QuSAEAAADetgEAAwAAAAAAiDZi5M173gj3N045znveCD9DSVEuTllTRTpJQk0uSVFfUEVOU0lPTl9UUkFOU0lUSU9OX05FWFQuMTk5MS4wNi8wMy8yMDI2Li4uVVNELkgBAAAA3rYBAAMAAAAAAIg2YuTNe94IxBBOOc573gg6Q0lRLk5ZU0U6SUJNLklRX0ZJTl9ESVZfQ0FTSF9FUVVJVi4xOTkxLjA2LzAzLzIwMjYuLi5VU0QuSAEAAADetgEAAwAAAAAAiDZi5M173gjEEE45znveCD1DSVEuTllTRTpJQk0uSVFfRklOX0RJVl9MVF9ERUJUX1RPVEFMLjE5OTEuMDYvMDMvMjAyNi4uLlVTRC5IAQAAAN62AQACAAAABDk4NjABCAAAAAUAAAABMQEAAAALLTE5NzExNzUyODcDAAAAAzE2MAIAAAAFMjQ1MTUEAAAAATAHAAAACDMvNi8yMDI2CAAAAAk5LzMwLzIwMjMJAAAAATCINmLkzXveCMQQTjnOe94IO0NJUS5OWVNFOklCTS5JUV9MSUFCSUxJVElFU19MRVZFTF8xLjE5OTEuMDYvMDMvMjAyNi4uLlVTRC5IAQAAAN62AQADAAAAAACINmLkzXveCMQQTjnOe94IQ0NJUS5OWVNFOklCTS5JUV9ERUZfVEFYX1ZBTFVBVElPTl9BTExPV0FOQ0UuMTk5MS4wNi8wMy8yMDI2Li4uVVNELkgBAAAA3rYBAAMA</t>
  </si>
  <si>
    <t>AAAAAIg2YuTNe94I9zdOOc573gg8Q0lRLk5ZU0U6SUJNLklRX1BFTlNJT05fSU5UQU5fQVNTRVRTLjE5OTEuMDYvMDMvMjAyNi4uLlVTRC5IAQAAAN62AQADAAAAAACINmLkzXveCPc3TjnOe94ITUNJUS5OWVNFOklCTS5JUV9QRU5TSU9OX0FTU0VUU19QQVJUSUNJUF9DT05UUklCVVRJT05TLjE5OTEuMDYvMDMvMjAyNi4uLlVTRC5IAQAAAN62AQADAAAAAACINmLkzXveCPc3TjnOe94IRENJUS5OWVNFOklCTS5JUV9QRU5TSU9OX09CTElHQVRJT05fUFJPSkVDVEVELjE5OTEuMDYvMDMvMjAyNi4uLlVTRC5IAQAAAN62AQADAAAAAACINmLkzXveCPc3TjnOe94ILkNJUS5OWVNFOklCTS5JUV9DT1NUX0JPUlJPV0lORy4xOTkxLjA2LzAzLzIwMjYBAAAA3rYBAAIAAAAGMi42OTY5AQgAAAAFAAAAATEBAAAACy0xOTcxMTc1Mjg3AwAAAAMxNjACAAAABTIxNjgxBAAAAAEwBwAAAAgzLzYvMjAyNggAAAAJOS8zMC8yMDIzCQAAAAEwiDZi5M173gj3N045znveCClDSVEuTllTRTpJQk0uSVFfUEFSVF9USU1FLjE5OTEuMDYvMDMvMjAyNgEAAADetgEAAwAAAAAAiDZi5M173gj3N045znveCEpDSVEuTllTRTpJQk0uSVFfTElRVUlEQVRJT05fVkFMVUVfUFJFRkVSUkVEX1JFREVFTS4xOTkxLjA2LzAzLzIwMjYuLi5VU0QuSAEAAADetgEAAwAAAAAAiDZi5M173gj3N045znveCCtDSVEuTllTRTpJQk0uSVFfQ0lQ</t>
  </si>
  <si>
    <t>LjE5OTEuMDYvMDMvMjAyNi4uLlVTRC5IAQAAAN62AQADAAAAAACINmLkzXveCPc3TjnOe94IMUNJUS5OWVNFOklCTS5JUV9NQUNISU5FUlkuMTk5MS4wNi8wMy8yMDI2Li4uVVNELkgBAAAA3rYBAAMAAAAAAIg2YuTNe94I9zdOOc573ggyQ0lRLk5ZU0U6SUJNLklRX09QRUJfRElTQ19SQVRFX01BWC4xOTkxLjA2LzAzLzIwMjYBAAAA3rYBAAMAAAAAAIg2YuTNe94I9zdOOc573ghIQ0lRLk5ZU0U6SUJNLklRX1BFTlNJT05fT0JMSUdBVElPTl9JTlRFUkVTVF9DT1NULjE5OTEuMDYvMDMvMjAyNi4uLlVTRC5IAQAAAN62AQADAAAAAACINmLkzXveCB5fTjnOe94IRUNJUS5OWVNFOklCTS5JUV9QRU5TSU9OX09CTElHQVRJT05fT1RIRVJfQ09TVC4xOTkxLjA2LzAzLzIwMjYuLi5VU0QuSAEAAADetgEAAwAAAAAAiDZi5M173ggeX045znveCDtDSVEuTllTRTpJQk0uSVFfTFRfREVCVF9ERVJJVkFUSVZFUy4xOTkxLjA2LzAzLzIwMjYuLi5VU0QuSAEAAADetgEAAgAAAAUxNTIwMAEIAAAABQAAAAExAQAAAAstMTk3MTE3NTI4NwMAAAADMTYwAgAAAAUzMDkxNQQAAAABMAcAAAAIMy82LzIwMjYIAAAACTkvMzAvMjAyMwkAAAABMIg2YuTNe94IHl9OOc573gg3Q0lRLk5ZU0U6SUJNLklRX09QRUJfT1RIRVJfQ09TVC4xOTkxLjA2LzAzLzIwMjYuLi5VU0QuSAEAAADetgEAAwAAAAAAiDZi5M173gj3N045znve</t>
  </si>
  <si>
    <t>CDxDSVEuTllTRTpJQk0uSVFfUEVOU0lPTl9CUkVBS0RPV05fRVEuMTk5MS4wNi8wMy8yMDI2Li4uVVNELkgBAAAA3rYBAAMAAAAAAIg2YuTNe94I9zdOOc573gg6Q0lRLk5ZU0U6SUJNLklRX1BFTlNJT05fQVNTRVRTX0JFRy4xOTkxLjA2LzAzLzIwMjYuLi5VU0QuSAEAAADetgEAAwAAAAAAiDZi5M173ggeX045znveCD5DSVEuTllTRTpJQk0uSVFfUEVOU0lPTl9PQkxJR0FUSU9OX0FDUS4xOTkxLjA2LzAzLzIwMjYuLi5VU0QuSAEAAADetgEAAwAAAAAAiDZi5M173ggeX045znveCD1DSVEuTllTRTpJQk0uSVFfRklOX0RJVl9TVF9ERUJUX1RPVEFMLjE5OTEuMDYvMDMvMjAyNi4uLlVTRC5IAQAAAN62AQADAAAAAACINmLkzXveCB5fTjnOe94IO0NJUS5OWVNFOklCTS5JUV9MSUFCSUxJVElFU19MRVZFTF8yLjE5OTEuMDYvMDMvMjAyNi4uLlVTRC5IAQAAAN62AQACAAAABTQ1MTI4AIg2YuTNe94IHl9OOc573ghIQ0lRLk5ZU0U6SUJNLklRX0FTU0VUU19ORVRUSU5HX09USEVSX0FESlVTVE1FTlRTLjE5OTEuMDYvMDMvMjAyNi4uLlVTRC5IAQAAAN62AQADAAAAAACINmLkzXveCB5fTjnOe94IP0NJUS5OWVNFOklCTS5JUV9NSU5PUklUWV9JTlRfUkVERUVNX1RPVC4xOTkxLjA2LzAzLzIwMjYuLi5VU0QuSAEAAADetgEAAwAAAAAAiDZi5M173ggeX045znveCC9DSVEuTllTRTpJQk0uSVFfUkFXX0lO</t>
  </si>
  <si>
    <t>Vi4xOTkxLjA2LzAzLzIwMjYuLi5VU0QuSAEAAADetgEAAwAAAAAAiDZi5M173ggeX045znveCEhDSVEuTllTRTpJQk0uSVFfUEVOU0lPTl9FU1RfQ09OVFJJQlVUSU9OU19ORVhUWVIuMTk5MS4wNi8wMy8yMDI2Li4uVVNELkgBAAAA3rYBAAMAAAAAAIg2YuTNe94IHl9OOc573gg4Q0lRLk5ZU0U6SUJNLklRX1BFTlNJT05fQlJFQUtET1dOX1BDVF9FUS4xOTkxLjA2LzAzLzIwMjYBAAAA3rYBAAMAAAAAAIg2YuTNe94IHl9OOc573ghFQ0lRLk5ZU0U6SUJNLklRX1BFTlNJT05fQVNTRVRTX09USEVSX1BMQU5fQURKLjE5OTEuMDYvMDMvMjAyNi4uLlVTRC5IAQAAAN62AQADAAAAAACINmLkzXveCB5fTjnOe94INENJUS5OWVNFOklCTS5JUV9HV19JTlRBTl9ORVQuMTk5MS4wNi8wMy8yMDI2Li4uVVNELkgBAAAA3rYBAAMAAAAAAIg2YuTNe94ILoZOOc573gg3Q0lRLk5ZU0U6SUJNLklRX1BFTlNJT05fTFRfTElBQi4xOTkxLjA2LzAzLzIwMjYuLi5VU0QuSAEAAADetgEAAwAAAAAAiDZi5M173gguhk45znveCFJDSVEuTllTRTpJQk0uSVFfUEVOU0lPTl9PQkxJR0FUSU9OX1NVUFBMRV9QTEFOU19UT1RBTF9DT1NULjE5OTEuMDYvMDMvMjAyNi4uLlVTRC5IAQAAAN62AQADAAAAAACINmLkzXveCC6GTjnOe94IL0NJUS5OWVNFOklCTS5JUV9BVURJVE9SX09QSU5JT04uMTk5MS4wNi8wMy8yMDI2AQAAAN62</t>
  </si>
  <si>
    <t>AQADAAAAAACINmLkzXveCC6GTjnOe94IOkNJUS5OWVNFOklCTS5JUV9MVF9NQVJLX1NFQ1VSSVRJRVMuMTk5MS4wNi8wMy8yMDI2Li4uVVNELkgBAAAA3rYBAAMAAAAAAIg2YuTNe94ILoZOOc573ggwQ0lRLk5ZU0U6SUJNLklRX0dST1NTX0dXLjE5OTEuMDYvMDMvMjAyNi4uLlVTRC5IAQAAAN62AQADAAAAAACINmLkzXveCC6GTjnOe94IO0NJUS5OWVNFOklCTS5JUV9TVF9ERUJUX0RFUklWQVRJVkVTLjE5OTEuMDYvMDMvMjAyNi4uLlVTRC5IAQAAAN62AQADAAAAAACINmLkzXveCC6GTjnOe94IQ0NJUS5OWVNFOklCTS5JUV9SRVNUUklDVEVEX0NBU0hfTk9OX0NVUlJFTlQuMTk5MS4wNi8wMy8yMDI2Li4uVVNELkgBAAAA3rYBAAMAAAAAAIg2YuTNe94ILoZOOc573gg6Q0lRLk5ZU0U6SUJNLklRX0RFQlRfRVFVSVZfTkVUX1BCTy4xOTkxLjA2LzAzLzIwMjYuLi5VU0QuSAEAAADetgEAAwAAAAAAiDZi5M173gguhk45znveCDtDSVEuTllTRTpJQk0uSVFfUEVOU0lPTl9CUkVBS0RPV05fUENUX09USEVSLjE5OTEuMDYvMDMvMjAyNgEAAADetgEAAwAAAAAAiDZi5M173gguhk45znveCDlDSVEuTllTRTpJQk0uSVFfUEVOU0lPTl9UT1RBTF9FWFAuMTk5MS4wNi8wMy8yMDI2Li4uVVNELkgBAAAA3rYBAAMAAAAAAIg2YuTNe94Io61OOc573gg6Q0lRLk5ZU0U6SUJNLklRX0dST1NTX0lOVEFOX0FTU0VU</t>
  </si>
  <si>
    <t>Uy4xOTkxLjA2LzAzLzIwMjYuLi5VU0QuSAEAAADetgEAAgAAAAUxNjM5OQEIAAAABQAAAAExAQAAAAstMTk3MTE3NTI4NwMAAAADMTYwAgAAAAUyNDI5MwQAAAABMAcAAAAIMy82LzIwMjYIAAAACTkvMzAvMjAyMwkAAAABMIg2YuTNe94Io61OOc573ghBQ0lRLk5ZU0U6SUJNLklRX0ZJTl9ESVZfTUlOT1JJVFlfSU5URVJFU1QuMTk5MS4wNi8wMy8yMDI2Li4uVVNELkgBAAAA3rYBAAMAAAAAAIg2YuTNe94Io61OOc573gg9Q0lRLk5ZU0U6SUJNLklRX0dQUEVfRVhDTF9PUEVSX0xFQVNFUy4xOTkxLjA2LzAzLzIwMjYuLi5VU0QuSAEAAADetgEAAgAAAAUxODIxNwEIAAAABQAAAAExAQAAAAstMTk3MTE3NTI4NwMAAAADMTYwAgAAAAU0ODk3NAQAAAABMAcAAAAIMy82LzIwMjYIAAAACTkvMzAvMjAyMwkAAAABMIg2YuTNe94Io61OOc573gg3Q0lRLk5ZU0U6SUJNLklRX1JFU1RSSUNURURfQ0FTSC4xOTkxLjA2LzAzLzIwMjYuLi5VU0QuSAEAAADetgEAAgAAAAIxOQEIAAAABQAAAAExAQAAAAstMTk3MTE3NTI4NwMAAAADMTYwAgAAAAQxMTA0BAAAAAEwBwAAAAgzLzYvMjAyNggAAAAJOS8zMC8yMDIzCQAAAAEwiDZi5M173gguhk45znveCD5DSVEuTllTRTpJQk0uSVFfUEVOU0lPTl9PQkxJR0FUSU9OX0JFRy4xOTkxLjA2LzAzLzIwMjYuLi5VU0QuSAEAAADetgEAAwAAAAAAiDZi5M173gijrU45znve</t>
  </si>
  <si>
    <t>CCpDSVEuTllTRTpJQk0uSVFfSU5WX01FVEhPRC4xOTkxLjA2LzAzLzIwMjYBAAAA3rYBAAMAAAAAAIg2YuTNe94Io61OOc573ggyQ0lRLk5ZU0U6SUJNLklRX0NBU0hfU0hBUkUuMTk5MS4wNi8wMy8yMDI2Li4uVVNELkgBAAAA3rYBAAIAAAAINy45NDc0ODkBCAAAAAUAAAABMQEAAAALLTE5NzExNzUyODcDAAAAAzE2MAIAAAAENDM4MQQAAAABMAcAAAAIMy82LzIwMjYIAAAACTkvMzAvMjAyMwkAAAABMIg2YuTNe94Io61OOc573gg9Q0lRLk5ZU0U6SUJNLklRX05QUEVfRVhDTF9PUEVSX0xFQVNFUy4xOTkxLjA2LzAzLzIwMjYuLi5VU0QuSAEAAADetgEAAgAAAAQ1MzY5AQgAAAAFAAAAATEBAAAACy0xOTcxMTc1Mjg3AwAAAAMxNjACAAAABTQ4OTc2BAAAAAEwBwAAAAgzLzYvMjAyNggAAAAJOS8zMC8yMDIzCQAAAAEwiDZi5M173gijrU45znveCDhDSVEuTllTRTpJQk0uSVFfTE9OR19URVJNX0xFQVNFUy4xOTkxLjA2LzAzLzIwMjYuLi5VU0QuSAEAAADetgEAAgAAAAQyNzc5AQgAAAAFAAAAATEBAAAACy0xOTcxMTc1Mjg3AwAAAAMxNjACAAAABDExODMEAAAAATAHAAAACDMvNi8yMDI2CAAAAAk5LzMwLzIwMjMJAAAAATCINmLkzXveCKOtTjnOe94INkNJUS5OWVNFOklCTS5JUV9ERUZfQ0hBUkdFU19MVC4xOTkxLjA2LzAzLzIwMjYuLi5VU0QuSAEAAADetgEAAgAAAAM4MjIBCAAAAAUAAAABMQEA</t>
  </si>
  <si>
    <t>AAALLTE5NzExNzUyODcDAAAAAzE2MAIAAAAEMTAyNQQAAAABMAcAAAAIMy82LzIwMjYIAAAACTkvMzAvMjAyMwkAAAABMIg2YuTNe94IntROOc573gg2Q0lRLk5ZU0U6SUJNLklRX1RSQURJTkdfQVNTRVRTLjE5OTEuMDYvMDMvMjAyNi4uLlVTRC5IAQAAAN62AQADAAAAAACINmLkzXveCJ7UTjnOe94IN0NJUS5OWVNFOklCTS5JUV9ORVRfV09SS0lOR19DQVAuMTk5MS4wNi8wMy8yMDI2Li4uVVNELkgBAAAA3rYBAAIAAAAFLTY2NTgBCAAAAAUAAAABMQEAAAALLTE5NzExNzUyODcDAAAAAzE2MAIAAAAEMTMxMQQAAAABMAcAAAAIMy82LzIwMjYIAAAACTkvMzAvMjAyMwkAAAABMIg2YuTNe94Io61OOc573gg3Q0lRLk5ZU0U6SUJNLklRX0ZJTl9ESVZfTElBQl9MVC4xOTkxLjA2LzAzLzIwMjYuLi5VU0QuSAEAAADetgEAAwAAAAAAiDZi5M173gijrU45znveCDdDSVEuTllTRTpJQk0uSVFfTE9BTlNfUkVDRUlWX0xULjE5OTEuMDYvMDMvMjAyNi4uLlVTRC5IAQAAAN62AQADAAAAAACINmLkzXveCJ7UTjnOe94INENJUS5OWVNFOklCTS5JUV9UT1RBTF9FUVVJVFkuMTk5MS4wNi8wMy8yMDI2Li4uVVNELkgBAAAA3rYBAAIAAAAFMjMxNTYBCAAAAAUAAAABMQEAAAALLTE5NzExNzUyODcDAAAAAzE2MAIAAAAEMTI3NQQAAAABMAcAAAAIMy82LzIwMjYIAAAACTkvMzAvMjAyMwkAAAABMIg2YuTNe94IntRO</t>
  </si>
  <si>
    <t>Oc573ggvQ0lRLk5ZU0U6SUJNLklRX1BFTlNJT04uMTk5MS4wNi8wMy8yMDI2Li4uVVNELkgBAAAA3rYBAAIAAAAEOTA5MAEIAAAABQAAAAExAQAAAAstMTk3MTE3NTI4NwMAAAADMTYwAgAAAAQxMjEzBAAAAAEwBwAAAAgzLzYvMjAyNggAAAAJOS8zMC8yMDIzCQAAAAEwiDZi5M173gie1E45znveCCpDSVEuTllTRTpJQk0uSVFfQUUuMTk5MS4wNi8wMy8yMDI2Li4uVVNELkgBAAAA3rYBAAIAAAAENjM5NQEIAAAABQAAAAExAQAAAAstMTk3MTE3NTI4NwMAAAADMTYwAgAAAAQxMDE2BAAAAAEwBwAAAAgzLzYvMjAyNggAAAAJOS8zMC8yMDIzCQAAAAEwiDZi5M173gie1E45znveCDRDSVEuTllTRTpJQk0uSVFfVE9UQUxfQVNTRVRTLjE5OTEuMDYvMDMvMjAyNi4uLlVTRC5IAQAAAN62AQACAAAABjEyOTMyMQEIAAAABQAAAAExAQAAAAstMTk3MTE3NTI4NwMAAAADMTYwAgAAAAQxMDA3BAAAAAEwBwAAAAgzLzYvMjAyNggAAAAJOS8zMC8yMDIzCQAAAAEwiDZi5M173gie1E45znveCCxDSVEuTllTRTpJQk0uSVFfR1BQRS4xOTkxLjA2LzAzLzIwMjYuLi5VU0QuSAEAAADetgEAAgAAAAUyMTMyOQEIAAAABQAAAAExAQAAAAstMTk3MTE3NTI4NwMAAAADMTYwAgAAAAQxMTY5BAAAAAEwBwAAAAgzLzYvMjAyNggAAAAJOS8zMC8yMDIzCQAAAAEwiDZi5M173gie1E45znveCDZDSVEuTllTRTpJQk0uSVFfU1Rf</t>
  </si>
  <si>
    <t>Tk9URV9SRUNFSVYuMTk5MS4wNi8wMy8yMDI2Li4uVVNELkgBAAAA3rYBAAMAAAAAAIg2YuTNe94IntROOc573ghFQ0lRLk5ZU0U6SUJNLklRX1RPVEFMX0RFQlRfUkVQQUlEX0VYQ0xfTEVBU0VTLjE5OTEuMDYvMDMvMjAyNi4uLlVTRC5IAQAAAN62AQACAAAABS02MzI3AQgAAAAFAAAAATEBAAAACy0xOTcxMTc1Mjg3AwAAAAMxNjACAAAABTQ4OTg2BAAAAAEwBwAAAAgzLzYvMjAyNggAAAAJOS8zMC8yMDIzCQAAAAEwiDZi5M173gie1E45znveCDxDSVEuTllTRTpJQk0uSVFfQ0hBTkdFX0RFRl9UQVhfVE9UQUwuMTk5MS4wNi8wMy8yMDI2Li4uVVNELkgBAAAA3rYBAAIAAAAFLTI3MjYBCAAAAAUAAAABMQEAAAALLTE5NzExNzUyODcDAAAAAzE2MAIAAAAFMzA5MjQEAAAAATAHAAAACDMvNi8yMDI2CAAAAAk5LzMwLzIwMjMJAAAAATCINmLkzXveCJ7UTjnOe94INENJUS5OWVNFOklCTS5JUV9BTU9SVF9ESUNfQ0YuMTk5MS4wNi8wMy8yMDI2Li4uVVNELkgBAAAA3rYBAAMAAAAAAIg2YuTNe94IntROOc573ghEQ0lRLk5ZU0U6SUJNLklRX0RBX1NVUFBMX0NGX0VYQ0xfT1BFUl9MRUFTRVMuMTk5MS4wNi8wMy8yMDI2Li4uVVNELkgBAAAA3rYBAAIAAAAEMTQzOAEIAAAABQAAAAExAQAAAAstMTk3MTE3NTI4NwMAAAADMTYwAgAAAAU0ODk4MwQAAAABMAcAAAAIMy82LzIwMjYIAAAACTkvMzAvMjAyMwkA</t>
  </si>
  <si>
    <t>AAABMIg2YuTNe94IkPtOOc573gg/Q0lRLk5ZU0U6SUJNLklRX09USEVSX0ZJTkFOQ0VfQUNUX1NVUFBMLjE5OTEuMDYvMDMvMjAyNi4uLlVTRC5IAQAAAN62AQACAAAAAzE1OAEIAAAABQAAAAExAQAAAAstMTk3MTE3NTI4NwMAAAADMTYwAgAAAAQyMDUwBAAAAAEwBwAAAAgzLzYvMjAyNggAAAAJOS8zMC8yMDIzCQAAAAEwiDZi5M173giQ+045znveCDlDSVEuTllTRTpJQk0uSVFfVE9UQUxfREVCVF9JU1NVRUQuMTk5MS4wNi8wMy8yMDI2Li4uVVNELkgBAAAA3rYBAAIAAAAEOTU5NQEIAAAABQAAAAExAQAAAAstMTk3MTE3NTI4NwMAAAADMTYwAgAAAAQyMTYxBAAAAAEwBwAAAAgzLzYvMjAyNggAAAAJOS8zMC8yMDIzCQAAAAEwiDZi5M173giQ+045znveCDFDSVEuTllTRTpJQk0uSVFfQ0FTSF9PUEVSLjE5OTEuMDYvMDMvMjAyNi4uLlVTRC5IAQAAAN62AQACAAAABTEzNDMzAQgAAAAFAAAAATEBAAAACy0xOTcxMTc1Mjg3AwAAAAMxNjACAAAABDIwMDYEAAAAATAHAAAACDMvNi8yMDI2CAAAAAk5LzMwLzIwMjMJAAAAATCINmLkzXveCJD7TjnOe94INkNJUS5OWVNFOklCTS5JUV9TVE9DS19CQVNFRF9DRi4xOTkxLjA2LzAzLzIwMjYuLi5VU0QuSAEAAADetgEAAgAAAAQxMDkxAQgAAAAFAAAAATEBAAAACy0xOTcxMTc1Mjg3AwAAAAMxNjACAAAABDIxMjcEAAAAATAHAAAACDMvNi8yMDI2CAAAAAk5</t>
  </si>
  <si>
    <t>LzMwLzIwMjMJAAAAATCINmLkzXveCJ7UTjnOe94IMENJUS5OWVNFOklCTS5JUV9MT0FOU19DRi4xOTkxLjA2LzAzLzIwMjYuLi5VU0QuSAEAAADetgEAAwAAAAAAiDZi5M173giQ+045znveCDxDSVEuTllTRTpJQk0uSVFfU1RPQ0tfQkFTRURfQ09NUF9UQVguMTk5MS4wNi8wMy8yMDI2Li4uVVNELkgBAAAA3rYBAAIAAAAELTI3NACINmLkzXveCJD7TjnOe94INkNJUS5OWVNFOklCTS5JUV9TVE9DS19CQVNFRF9HQS4xOTkxLjA2LzAzLzIwMjYuLi5VU0QuSAEAAADetgEAAwAAAAAAiDZi5M173giQ+045znveCD5DSVEuTllTRTpJQk0uSVFfQVNTRVRfV1JJVEVET1dOX1NVUFBMRS4xOTkxLjA2LzAzLzIwMjYuLi5VU0QuSAEAAADetgEAAwAAAAAAiDZi5M173giQ+045znveCC9DSVEuTllTRTpJQk0uSVFfV0lQX0lOVi4xOTkxLjA2LzAzLzIwMjYuLi5VU0QuSAEAAADetgEAAgAAAAQxMjM5AQgAAAAFAAAAATEBAAAACy0xOTcxMTc1Mjg3AwAAAAMxNjACAAAABDMyMTkEAAAAATAHAAAACDMvNi8yMDI2CAAAAAk5LzMwLzIwMjMJAAAAATCINmLkzXveCJD7TjnOe94IOkNJUS5OWVNFOklCTS5JUV9UQlZfU0hBUkVfUkVQT1JURUQuMTk5MS4wNi8wMy8yMDI2Li4uVVNELkgBAAAA3rYBAAMAAAAAAIg2YuTNe94IfCJPOc573gg6Q0lRLk5ZU0U6SUJNLklRX1RPVEFMX0RFQlRfQ1VSUkVOVC4xOTkxLjA2LzAz</t>
  </si>
  <si>
    <t>LzIwMjYuLi5VU0QuSAEAAADetgEAAgAAAAQ3MjIxAQgAAAAFAAAAATEBAAAACy0xOTcxMTc1Mjg3AwAAAAMxNjACAAAABTI1MjIzBAAAAAEwBwAAAAgzLzYvMjAyNggAAAAJOS8zMC8yMDIzCQAAAAEwiDZi5M173gh8Ik85znveCD1DSVEuTllTRTpJQk0uSVFfVE9UQUxfT1VUU1RBTkRJTkdfRklMSU5HX0RBVEUuMTk5MS4wNi8wMy8yMDI2AQAAAN62AQACAAAACjkxMy4xMTg1ODEBBAAAAAUAAAABNQEAAAALLTE5NzExNzUyODcCAAAABTI0MTUzBgAAAAEwiDZi5M173gh8Ik85znveCDRDSVEuTllTRTpJQk0uSVFfVE9UQUxfTEVBU0VTLjE5OTEuMDYvMDMvMjAyNi4uLlVTRC5IAQAAAN62AQACAAAABDM1ODYBCAAAAAUAAAABMQEAAAALLTE5NzExNzUyODcDAAAAAzE2MAIAAAAFNDg5NzkEAAAAATAHAAAACDMvNi8yMDI2CAAAAAk5LzMwLzIwMjMJAAAAATCINmLkzXveCHwiTznOe94IQ0NJUS5OWVNFOklCTS5JUV9SVUFfQ0FQSVRBTF9MRUFTRV9BQ0NVTV9ERVAuMTk5MS4wNi8wMy8yMDI2Li4uVVNELkgBAAAA3rYBAAMAAAAAAIg2YuTNe94IfCJPOc573ggvQ0lRLk5ZU0U6SUJNLklRX1JVQV9ORVQuMTk5MS4wNi8wMy8yMDI2Li4uVVNELkgBAAAA3rYBAAMAAAAAAIg2YuTNe94IfCJPOc573ggzQ0lRLk5ZU0U6SUJNLklRX1BSRUZfUkVERUVNLjE5OTEuMDYvMDMvMjAyNi4uLlVTRC5IAQAAAN62AQAD</t>
  </si>
  <si>
    <t>AAAAAACINmLkzXveCHwiTznOe94INkNJUS5OWVNFOklCTS5JUV9PVEhFUl9DQV9TVVBQTC4xOTkxLjA2LzAzLzIwMjYuLi5VU0QuSAEAAADetgEAAgAAAAQxNDc0AQgAAAAFAAAAATEBAAAACy0xOTcxMTc1Mjg3AwAAAAMxNjACAAAABDEwNTUEAAAAATAHAAAACDMvNi8yMDI2CAAAAAk5LzMwLzIwMjMJAAAAATCINmLkzXveCHwiTznOe94IMkNJUS5OWVNFOklCTS5JUV9DQVNIX0VRVUlWLjE5OTEuMDYvMDMvMjAyNi4uLlVTRC5IAQAAAN62AQACAAAABDcyNTcBCAAAAAUAAAABMQEAAAALLTE5NzExNzUyODcDAAAAAzE2MAIAAAAEMTA5NgQAAAABMAcAAAAIMy82LzIwMjYIAAAACTkvMzAvMjAyMwkAAAABMIg2YuTNe94IfCJPOc573gg0Q0lRLk5ZU0U6SUJNLklRX0RPX0lOVkVTVF9DRi4xOTkxLjA2LzAzLzIwMjYuLi5VU0QuSAEAAADetgEAAwAAAAAAiDZi5M173gh8Ik85znveCDBDSVEuTllTRTpJQk0uSVFfQ0ZfU0hBUkUuMTk5MS4wNi8wMy8yMDI2Li4uVVNELkgBAAAA3rYBAAIAAAAJMTIuNjY3NDQyAQgAAAAFAAAAATEBAAAACy0xOTcxMTc1Mjg3AwAAAAMxNjACAAAABTQzOTIzBAAAAAEwBwAAAAgzLzYvMjAyNggAAAAJOS8zMC8yMDIzCQAAAAEwiDZi5M173giNSU85znveCDlDSVEuTllTRTpJQk0uSVFfQ0FTSF9JTlRFUkVTVF9ORVQuMTk5MS4wNi8wMy8yMDI2Li4uVVNELkgBAAAA3rYBAAMA</t>
  </si>
  <si>
    <t>AAAAAIg2YuTNe94IjUlPOc573ghUQ0lRLk5ZU0U6SUJNLklRX0ZJTkFOQ0lOR19PQkxJR19OT05fQ1VSUkVOVF9FWENMX09QRVJfTEVBU0VTLjE5OTEuMDYvMDMvMjAyNi4uLlVTRC5IAQAAAN62AQACAAAABTQ4ODI4AQgAAAAFAAAAATEBAAAACy0xOTcxMTc1Mjg3AwAAAAMxNjACAAAABTQ4OTgxBAAAAAEwBwAAAAgzLzYvMjAyNggAAAAJOS8zMC8yMDIzCQAAAAEwiDZi5M173giNSU85znveCDBDSVEuTllTRTpJQk0uSVFfQlZfU0hBUkUuMTk5MS4wNi8wMy8yMDI2Li4uVVNELkgBAAAA3rYBAAIAAAAJMjUuMjc3MTExAQgAAAAFAAAAATEBAAAACy0xOTcxMTc1Mjg3AwAAAAMxNjACAAAABDQwMjAEAAAAATAHAAAACDMvNi8yMDI2CAAAAAk5LzMwLzIwMjMJAAAAATCINmLkzXveCI1JTznOe94IQUNJUS5OWVNFOklCTS5JUV9SVUFfT1BFUkFUSU5HX0xFQVNFX0dST1NTLjE5OTEuMDYvMDMvMjAyNi4uLlVTRC5IAQAAAN62AQACAAAABDMxMTIBCAAAAAUAAAABMQEAAAALLTE5NzExNzUyODcDAAAAAzE2MAIAAAAFNDgzNzcEAAAAATAHAAAACDMvNi8yMDI2CAAAAAk5LzMwLzIwMjMJAAAAATCINmLkzXveCI1JTznOe94INkNJUS5OWVNFOklCTS5JUV9PVEhFUl9DTF9TVVBQTC4xOTkxLjA2LzAzLzIwMjYuLi5VU0QuSAEAAADetgEAAgAAAAMxNzIBCAAAAAUAAAABMQEAAAALLTE5NzExNzUyODcDAAAAAzE2</t>
  </si>
  <si>
    <t>MAIAAAAEMTA1NwQAAAABMAcAAAAIMy82LzIwMjYIAAAACTkvMzAvMjAyMwkAAAABMIg2YuTNe94IjUlPOc573gg6Q0lRLk5ZU0U6SUJNLklRX1VORUFSTl9SRVZfQ1VSUkVOVC4xOTkxLjA2LzAzLzIwMjYuLi5VU0QuSAEAAADetgEAAgAAAAUxMTkxNwEIAAAABQAAAAExAQAAAAstMTk3MTE3NTI4NwMAAAADMTYwAgAAAAQxMDc0BAAAAAEwBwAAAAgzLzYvMjAyNggAAAAJOS8zMC8yMDIzCQAAAAEwiDZi5M173giNSU85znveCDRDSVEuTllTRTpJQk0uSVFfVE9UQUxfUkVDRUlWLjE5OTEuMDYvMDMvMjAyNi4uLlVTRC5IAQAAAN62AQACAAAABDY1MTQBCAAAAAUAAAABMQEAAAALLTE5NzExNzUyODcDAAAAAzE2MAIAAAAEMTAwMQQAAAABMAcAAAAIMy82LzIwMjYIAAAACTkvMzAvMjAyMwkAAAABMIg2YuTNe94IjUlPOc573ggqQ0lRLk5ZU0U6SUJNLklRX0FSLjE5OTEuMDYvMDMvMjAyNi4uLlVTRC5IAQAAAN62AQACAAAABDU3ODQBCAAAAAUAAAABMQEAAAALLTE5NzExNzUyODcDAAAAAzE2MAIAAAAEMTAyMQQAAAABMAcAAAAIMy82LzIwMjYIAAAACTkvMzAvMjAyMwkAAAABMIg2YuTNe94IjUlPOc573gg/Q0lRLk5ZU0U6SUJNLklRX01JTk9SSVRZX0lOVEVSRVNUX1RPVEFMLjE5OTEuMDYvMDMvMjAyNi4uLlVTRC5IAQAAAN62AQACAAAAAjc1AQgAAAAFAAAAATEBAAAACy0xOTcxMTc1Mjg3AwAAAAMx</t>
  </si>
  <si>
    <t>NjACAAAABDEzMTIEAAAAATAHAAAACDMvNi8yMDI2CAAAAAk5LzMwLzIwMjMJAAAAATCINmLkzXveCI1JTznOe94IPkNJUS5OWVNFOklCTS5JUV9UT1RBTF9ERUJUX0VYQ0xfTEVBU0VTLjE5OTEuMDYvMDMvMjAyNi4uLlVTRC5IAQAAAN62AQACAAAABTU0OTM5AQgAAAAFAAAAATEBAAAACy0xOTcxMTc1Mjg3AwAAAAMxNjACAAAABTQ4OTkyBAAAAAEwBwAAAAgzLzYvMjAyNggAAAAJOS8zMC8yMDIzCQAAAAEwiDZi5M173giNSU85znveCCpDSVEuTllTRTpJQk0uSVFfUkUuMTk5MS4wNi8wMy8yMDI2Li4uVVNELkgBAAAA3rYBAAIAAAAGMTQ5NTA2AQgAAAAFAAAAATEBAAAACy0xOTcxMTc1Mjg3AwAAAAMxNjACAAAABDEyMjIEAAAAATAHAAAACDMvNi8yMDI2CAAAAAk5LzMwLzIwMjMJAAAAATCINmLkzXveCI1JTznOe94IPkNJUS5OWVNFOklCTS5JUV9ERUZfVEFYX0FTU0VUU19DVVJSRU5ULjE5OTEuMDYvMDMvMjAyNi4uLlVTRC5IAQAAAN62AQADAAAAAACINmLkzXveCI1JTznOe94IMENJUS5OWVNFOklCTS5JUV9HV19JTlRBTi4xOTkxLjA2LzAzLzIwMjYuLi5VU0QuSAEAAADetgEAAgAAAAU3MDg3NAEIAAAABQAAAAExAQAAAAstMTk3MTE3NTI4NwMAAAADMTYwAgAAAAUzNTM4MQQAAAABMAcAAAAIMy82LzIwMjYIAAAACTkvMzAvMjAyMwkAAAABMIg2YuTNe94IjUlPOc573gg0Q0lRLk5ZU0U6SUJN</t>
  </si>
  <si>
    <t>LklRX09USEVSX0VRVUlUWS4xOTkxLjA2LzAzLzIwMjYuLi5VU0QuSAEAAADetgEAAgAAAAYtMTYwOTgBCAAAAAUAAAABMQEAAAALLTE5NzExNzUyODcDAAAAAzE2MAIAAAAEMTAyOAQAAAABMAcAAAAIMy82LzIwMjYIAAAACTkvMzAvMjAyMwkAAAABMIg2YuTNe94IjUlPOc573gg1Q0lRLk5ZU0U6SUJNLklRX1VORUFSTl9SRVZfTFQuMTk5MS4wNi8wMy8yMDI2Li4uVVNELkgBAAAA3rYBAAIAAAAEMzA4NQEIAAAABQAAAAExAQAAAAstMTk3MTE3NTI4NwMAAAADMTYwAgAAAAQxMjU2BAAAAAEwBwAAAAgzLzYvMjAyNggAAAAJOS8zMC8yMDIzCQAAAAEwiDZi5M173ghHhE85znveCDdDSVEuTllTRTpJQk0uSVFfRklOX0RJVl9ERUJUX0xULjE5OTEuMDYvMDMvMjAyNi4uLlVTRC5IAQAAAN62AQADAAAAAACINmLkzXveCI1JTznOe94IL0NJUS5OWVNFOklCTS5JUV9MVF9ERUJULjE5OTEuMDYvMDMvMjAyNi4uLlVTRC5IAQAAAN62AQACAAAABTQ4NTI1AQgAAAAFAAAAATEBAAAACy0xOTcxMTc1Mjg3AwAAAAMxNjACAAAABDEwNDkEAAAAATAHAAAACDMvNi8yMDI2CAAAAAk5LzMwLzIwMjMJAAAAATCINmLkzXveCI1JTznOe94ILUNJUS5OWVNFOklCTS5JUV9BUl9MVC4xOTkxLjA2LzAzLzIwMjYuLi5VU0QuSAEAAADetgEAAwAAAAAAiDZi5M173giNSU85znveCCdDSVEuTllTRTpJQk0uSVFfR0FBUF9DRi4x</t>
  </si>
  <si>
    <t>OTkxLjA2LzAzLzIwMjYBAAAA3rYBAAMAAAAAAIg2YuTNe94IjUlPOc573gg3Q0lRLk5ZU0U6SUJNLklRX05FVF9ERUJUX0lTU1VFRC4xOTkxLjA2LzAzLzIwMjYuLi5VU0QuSAEAAADetgEAAgAAAAQzMjY4AQgAAAAFAAAAATEBAAAACy0xOTcxMTc1Mjg3AwAAAAMxNjACAAAABDIwMDMEAAAAATAHAAAACDMvNi8yMDI2CAAAAAk5LzMwLzIwMjMJAAAAATCINmLkzXveCEeETznOe94IPkNJUS5OWVNFOklCTS5JUV9DQVNIX0lOVEVSRVNUX1JFQ0VJVkVELjE5OTEuMDYvMDMvMjAyNi4uLlVTRC5IAQAAAN62AQADAAAAAACINmLkzXveCEeETznOe94IQ0NJUS5OWVNFOklCTS5JUV9TQUxFX1BST0NFRURTX1JFTlRBTF9BU1NFVFMuMTk5MS4wNi8wMy8yMDI2Li4uVVNELkgBAAAA3rYBAAMAAAAAAIg2YuTNe94IR4RPOc573gg4Q0lRLk5ZU0U6SUJNLklRX0ZJTl9ESVZfTE9BTlNfTFQuMTk5MS4wNi8wMy8yMDI2Li4uVVNELkgBAAAA3rYBAAIAAAAENDc4OQEIAAAABQAAAAExAQAAAAstMTk3MTE3NTI4NwMAAAADMTYwAgAAAAQxMDMzBAAAAAEwBwAAAAgzLzYvMjAyNggAAAAJOS8zMC8yMDIzCQAAAAEwiDZi5M173ghHhE85znveCCxDSVEuTllTRTpJQk0uSVFfTlBQRS4xOTkxLjA2LzAzLzIwMjYuLi5VU0QuSAEAAADetgEAAgAAAAQ4NDgxAQgAAAAFAAAAATEBAAAACy0xOTcxMTc1Mjg3AwAAAAMxNjACAAAA</t>
  </si>
  <si>
    <t>BDEwMDQEAAAAATAHAAAACDMvNi8yMDI2CAAAAAk5LzMwLzIwMjMJAAAAATCINmLkzXveCEeETznOe94IMENJUS5OWVNFOklCTS5JUV9ORVRfREVCVC4xOTkxLjA2LzAzLzIwMjYuLi5VU0QuSAEAAADetgEAAgAAAAU0NzU0NwEIAAAABQAAAAExAQAAAAstMTk3MTE3NTI4NwMAAAADMTYwAgAAAAQ0MzY0BAAAAAEwBwAAAAgzLzYvMjAyNggAAAAJOS8zMC8yMDIzCQAAAAEwiDZi5M173ghHhE85znveCC1DSVEuTllTRTpJQk0uSVFfRklMSU5HREFURV9CUy4xOTkxLjA2LzAzLzIwMjYBAAAA3rYBAAUAAAAKMzAvMTAvMjAyNACINmLkzXveCEeETznOe94IOUNJUS5OWVNFOklCTS5JUV9UT1RBTF9PUEVSX0xFQVNFUy4xOTkxLjA2LzAzLzIwMjYuLi5VU0QuSAEAAADetgEAAgAAAAQzMjgzAQgAAAAFAAAAATEBAAAACy0xOTcxMTc1Mjg3AwAAAAMxNjACAAAABTQ4OTc4BAAAAAEwBwAAAAgzLzYvMjAyNggAAAAJOS8zMC8yMDIzCQAAAAEwiDZi5M173ghHhE85znveCE5DSVEuTllTRTpJQk0uSVFfQ1VSUkVOVF9QT1JUSU9OX09QRVJfTEVBU0VfTElBQklMSVRJRVMuMTk5MS4wNi8wMy8yMDI2Li4uVVNELkgBAAAA3rYBAAIAAAADODA3AQgAAAAFAAAAATEBAAAACy0xOTcxMTc1Mjg3AwAAAAMxNjACAAAABTQ4Mzg1BAAAAAEwBwAAAAgzLzYvMjAyNggAAAAJOS8zMC8yMDIzCQAAAAEwiDZi5M173ghHhE85znve</t>
  </si>
  <si>
    <t>CDVDSVEuTllTRTpJQk0uSVFfUlVBX0FDQ1VNX0RFUC4xOTkxLjA2LzAzLzIwMjYuLi5VU0QuSAEAAADetgEAAwAAAAAAiDZi5M173ghHhE85znveCDlDSVEuTllTRTpJQk0uSVFfVE9UQUxfTElBQl9FUVVJVFkuMTk5MS4wNi8wMy8yMDI2Li4uVVNELkgBAAAA3rYBAAIAAAAGMTI5MzIxAQgAAAAFAAAAATEBAAAACy0xOTcxMTc1Mjg3AwAAAAMxNjACAAAABDEwMTMEAAAAATAHAAAACDMvNi8yMDI2CAAAAAk5LzMwLzIwMjMJAAAAATCINmLkzXveCHurTznOe94INENJUS5OWVNFOklCTS5JUV9PVEhFUl9SRUNFSVYuMTk5MS4wNi8wMy8yMDI2Li4uVVNELkgBAAAA3rYBAAIAAAADNzMwAQgAAAAFAAAAATEBAAAACy0xOTcxMTc1Mjg3AwAAAAMxNjACAAAABDEyMDYEAAAAATAHAAAACDMvNi8yMDI2CAAAAAk5LzMwLzIwMjMJAAAAATCINmLkzXveCHurTznOe94ISUNJUS5OWVNFOklCTS5JUV9MT05HX1RFUk1fREVCVF9SRVBBSURfRVhDTF9MRUFTRVMuMTk5MS4wNi8wMy8yMDI2Li4uVVNELkgBAAAA3rYBAAIAAAAFLTYzMjcBCAAAAAUAAAABMQEAAAALLTE5NzExNzUyODcDAAAAAzE2MAIAAAAFNDg5ODQEAAAAATAHAAAACDMvNi8yMDI2CAAAAAk5LzMwLzIwMjMJAAAAATCINmLkzXveCHurTznOe94IQENJUS5OWVNFOklCTS5JUV9PUEVSQVRJTkdfTEVBU0VfUEFZTUVOVFMuMTk5MS4wNi8wMy8yMDI2Li4u</t>
  </si>
  <si>
    <t>VVNELkgBAAAA3rYBAAMAAAAAAIg2YuTNe94Ie6tPOc573ggyQ0lRLk5ZU0U6SUJNLklRX0NBU0hfVEFYRVMuMTk5MS4wNi8wMy8yMDI2Li4uVVNELkgBAAAA3rYBAAIAAAAEMTg2NQEIAAAABQAAAAExAQAAAAstMTk3MTE3NTI4NwMAAAADMTYwAgAAAAQzMDUzBAAAAAEwBwAAAAgzLzYvMjAyNggAAAAJOS8zMC8yMDIzCQAAAAEwiDZi5M173ghHhE85znveCC9DSVEuTllTRTpJQk0uSVFfREVQX1JVQS4xOTkxLjA2LzAzLzIwMjYuLi5VU0QuSAEAAADetgEAAgAAAAM3MDABCAAAAAUAAAABMQEAAAALLTE5NzExNzUyODcDAAAAAzE2MAIAAAAFNDgzNTcEAAAAATAHAAAACDMvNi8yMDI2CAAAAAk5LzMwLzIwMjMJAAAAATCINmLkzXveCHurTznOe94INkNJUS5OWVNFOklCTS5JUV9TUEVDSUFMX0RJVl9DRi4xOTkxLjA2LzAzLzIwMjYuLi5VU0QuSAEAAADetgEAAwAAAAAAiDZi5M173gh7q085znveCDZDSVEuTllTRTpJQk0uSVFfTFRfREVCVF9JU1NVRUQuMTk5MS4wNi8wMy8yMDI2Li4uVVNELkgBAAAA3rYBAAMAAAAAAIg2YuTNe94Ie6tPOc573gg+Q0lRLk5ZU0U6SUJNLklRX09USEVSX0lOVkVTVF9BQ1RfU1VQUEwuMTk5MS4wNi8wMy8yMDI2Li4uVVNELkgBAAAA3rYBAAIAAAACLTMBCAAAAAUAAAABMQEAAAALLTE5NzExNzUyODcDAAAAAzE2MAIAAAAEMjA1MQQAAAABMAcAAAAIMy82LzIwMjYIAAAA</t>
  </si>
  <si>
    <t>CTkvMzAvMjAyMwkAAAABMIg2YuTNe94Ie6tPOc573gg5Q0lRLk5ZU0U6SUJNLklRX0NIQU5HRV9VTkVBUk5fUkVWLjE5OTEuMDYvMDMvMjAyNi4uLlVTRC5IAQAAAN62AQADAAAAAACINmLkzXveCHurTznOe94IOkNJUS5OWVNFOklCTS5JUV9BU1NFVF9XUklURURPV05fQ0YuMTk5MS4wNi8wMy8yMDI2Li4uVVNELkgBAAAA3rYBAAMAAAAAAIg2YuTNe94IiNJPOc573gg/Q0lRLk5ZU0U6SUJNLklRX1NUT0NLX0JBU0VEX0NPTVBfUFJFVEFYLjE5OTEuMDYvMDMvMjAyNi4uLlVTRC5IAQAAAN62AQACAAAABDEwOTIAiDZi5M173gh7q085znveCDNDSVEuTllTRTpJQk0uSVFfV09SS0lOR19DQVAuMTk5MS4wNi8wMy8yMDI2Li4uVVNELkgBAAAA3rYBAAIAAAAFLTI5MDEBCAAAAAUAAAABMQEAAAALLTE5NzExNzUyODcDAAAAAzE2MAIAAAAENDE2NQQAAAABMAcAAAAIMy82LzIwMjYIAAAACTkvMzAvMjAyMwkAAAABMIg2YuTNe94Ie6tPOc573ggyQ0lRLk5ZU0U6SUJNLklRX1RPVEFMX0RFQlQuMTk5MS4wNi8wMy8yMDI2Li4uVVNELkgBAAAA3rYBAAIAAAAFNTg1MjUBCAAAAAUAAAABMQEAAAALLTE5NzExNzUyODcDAAAAAzE2MAIAAAAENDE3MwQAAAABMAcAAAAIMy82LzIwMjYIAAAACTkvMzAvMjAyMwkAAAABMIg2YuTNe94Ie6tPOc573ggwQ0lRLk5ZU0U6SUJNLklRX1NPRlRXQVJFLjE5OTEuMDYvMDMv</t>
  </si>
  <si>
    <t>MjAyNi4uLlVTRC5IAQAAAN62AQACAAAAAzg3MgEIAAAABQAAAAExAQAAAAstMTk3MTE3NTI4NwMAAAADMTYwAgAAAAQxMjQzBAAAAAEwBwAAAAgzLzYvMjAyNggAAAAJOS8zMC8yMDIzCQAAAAEwiDZi5M173gh7q085znveCDRDSVEuTllTRTpJQk0uSVFfUFJFRl9DT05WRVJULjE5OTEuMDYvMDMvMjAyNi4uLlVTRC5IAQAAAN62AQADAAAAAACINmLkzXveCIjSTznOe94IO0NJUS5OWVNFOklCTS5JUV9JTkNfVEFYX1BBWV9DVVJSRU5ULjE5OTEuMDYvMDMvMjAyNi4uLlVTRC5IAQAAAN62AQACAAAABDE1NTkBCAAAAAUAAAABMQEAAAALLTE5NzExNzUyODcDAAAAAzE2MAIAAAAEMTA5NAQAAAABMAcAAAAIMy82LzIwMjYIAAAACTkvMzAvMjAyMwkAAAABMIg2YuTNe94IiNJPOc573gg8Q0lRLk5ZU0U6SUJNLklRX0ZJTl9ESVZfREVCVF9DVVJSRU5ULjE5OTEuMDYvMDMvMjAyNi4uLlVTRC5IAQAAAN62AQADAAAAAACINmLkzXveCIjSTznOe94IM0NJUS5OWVNFOklCTS5JUV9QUkVQQUlEX0VYUC4xOTkxLjA2LzAzLzIwMjYuLi5VU0QuSAEAAADetgEAAgAAAAQxNjk3AQgAAAAFAAAAATEBAAAACy0xOTcxMTc1Mjg3AwAAAAMxNjACAAAABDEyMTIEAAAAATAHAAAACDMvNi8yMDI2CAAAAAk5LzMwLzIwMjMJAAAAATCINmLkzXveCIjSTznOe94ILkNJUS5OWVNFOklCTS5JUV9SRVNUQVRFTUVOVF9DRi4xOTkx</t>
  </si>
  <si>
    <t>LjA2LzAzLzIwMjYBAAAA3rYBAAMAAAACUlMAiDZi5M173giI0k85znveCDVDSVEuTllTRTpJQk0uSVFfVU5MRVZFUkVEX0ZDRi4xOTkxLjA2LzAzLzIwMjYuLi5VU0QuSAEAAADetgEAAgAAAAgxMTc2MS43NQEIAAAABQAAAAExAQAAAAstMTk3MTE3NTI4NwMAAAADMTYwAgAAAAQ0NDIzBAAAAAEwBwAAAAgzLzYvMjAyNggAAAAJOS8zMC8yMDIzCQAAAAEwiDZi5M173ghh5k85znveCDVDSVEuTllTRTpJQk0uSVFfQ0FTSF9JTlRFUkVTVC4xOTkxLjA2LzAzLzIwMjYuLi5VU0QuSAEAAADetgEAAgAAAAQxNjkxAQgAAAAFAAAAATEBAAAACy0xOTcxMTc1Mjg3AwAAAAMxNjACAAAABDMwMjgEAAAAATAHAAAACDMvNi8yMDI2CAAAAAk5LzMwLzIwMjMJAAAAATCINmLkzXveCGHmTznOe94ILUNJUS5OWVNFOklCTS5JUV9GSUxJTkdEQVRFX0NGLjE5OTEuMDYvMDMvMjAyNgEAAADetgEABQAAAAozMC8xMC8yMDI0AIg2YuTNe94IYeZPOc573gg2Q0lRLk5ZU0U6SUJNLklRX01JU0NfQURKVVNUX0NGLjE5OTEuMDYvMDMvMjAyNi4uLlVTRC5IAQAAAN62AQACAAAAAi0xAQgAAAAFAAAAATEBAAAACy0xOTcxMTc1Mjg3AwAAAAMxNjACAAAABDIxNDkEAAAAATAHAAAACDMvNi8yMDI2CAAAAAk5LzMwLzIwMjMJAAAAATCINmLkzXveCGHmTznOe94IOUNJUS5OWVNFOklCTS5JUV9UT1RBTF9ERUJUX1JFUEFJRC4xOTkx</t>
  </si>
  <si>
    <t>LjA2LzAzLzIwMjYuLi5VU0QuSAEAAADetgEAAgAAAAUtNjMyNwEIAAAABQAAAAExAQAAAAstMTk3MTE3NTI4NwMAAAADMTYwAgAAAAQyMTY2BAAAAAEwBwAAAAgzLzYvMjAyNggAAAAJOS8zMC8yMDIzCQAAAAEwiDZi5M173ghh5k85znveCDFDSVEuTllTRTpJQk0uSVFfT1RIRVJfSU5WLjE5OTEuMDYvMDMvMjAyNi4uLlVTRC5IAQAAAN62AQADAAAAAACINmLkzXveCGHmTznOe94IUENJUS5OWVNFOklCTS5JUV9GSU5BTkNJTkdfT0JMSUdfQ1VSUkVOVF9FWENMX09QRVJfTEVBU0VTLjE5OTEuMDYvMDMvMjAyNi4uLlVTRC5IAQAAAN62AQACAAAABDY0MTQBCAAAAAUAAAABMQEAAAALLTE5NzExNzUyODcDAAAAAzE2MAIAAAAFNDg5ODAEAAAAATAHAAAACDMvNi8yMDI2CAAAAAk5LzMwLzIwMjMJAAAAATCINmLkzXveCGHmTznOe94IOUNJUS5OWVNFOklCTS5JUV9BU1NFVFNfRkFJUl9WQUxVRS4xOTkxLjA2LzAzLzIwMjYuLi5VU0QuSAEAAADetgEAAgAAAAQ4MTMyAIg2YuTNe94IYeZPOc573ghFQ0lRLk5ZU0U6SUJNLklRX0dFTkVSQUxfUEFSVE5FUl9DT01NT05fRVFVSVRZLjE5OTEuMDYvMDMvMjAyNi4uLlVTRC5IAQAAAN62AQADAAAAAACINmLkzXveCGHmTznOe94IQ0NJUS5OWVNFOklCTS5JUV9UT1RBTF9ERUJUX0VYQ0xfT1BFUl9MRUFTRVMuMTk5MS4wNi8wMy8yMDI2Li4uVVNELkgBAAAA3rYB</t>
  </si>
  <si>
    <t>AAIAAAAFNTUyNDIBCAAAAAUAAAABMQEAAAALLTE5NzExNzUyODcDAAAAAzE2MAIAAAAFNDg5ODIEAAAAATAHAAAACDMvNi8yMDI2CAAAAAk5LzMwLzIwMjMJAAAAATCINmLkzXveCGHmTznOe94IP0NJUS5OWVNFOklCTS5JUV9SVUFfT1BFUkFUSU5HX0xFQVNFX05FVC4xOTkxLjA2LzAzLzIwMjYuLi5VU0QuSAEAAADetgEAAwAAAAAAiDZi5M173ghh5k85znveCDBDSVEuTllTRTpJQk0uSVFfVFJFQVNVUlkuMTk5MS4wNi8wMy8yMDI2Li4uVVNELkgBAAAA3rYBAAIAAAAHLTE2OTY0MAEIAAAABQAAAAExAQAAAAstMTk3MTE3NTI4NwMAAAADMTYwAgAAAAQxMjQ4BAAAAAEwBwAAAAgzLzYvMjAyNggAAAAJOS8zMC8yMDIzCQAAAAEwiDZi5M173ghh5k85znveCCxDSVEuTllTRTpJQk0uSVFfQVBJQy4xOTkxLjA2LzAzLzIwMjYuLi5VU0QuSAEAAADetgEAAwAAAAAAiDZi5M173ghh5k85znveCDNDSVEuTllTRTpJQk0uSVFfUFJFRl9FUVVJVFkuMTk5MS4wNi8wMy8yMDI2Li4uVVNELkgBAAAA3rYBAAMAAAAAAIg2YuTNe94IYeZPOc573ggwQ0lRLk5ZU0U6SUJNLklRX1RPVEFMX0NMLjE5OTEuMDYvMDMvMjAyNi4uLlVTRC5IAQAAAN62AQACAAAABTMwNjA2AQgAAAAFAAAAATEBAAAACy0xOTcxMTc1Mjg3AwAAAAMxNjACAAAABDEwMDkEAAAAATAHAAAACDMvNi8yMDI2CAAAAAk5LzMwLzIwMjMJAAAAATCI</t>
  </si>
  <si>
    <t>NmLkzXveCGHmTznOe94INkNJUS5OWVNFOklCTS5JUV9MT0FOU19GT1JfU0FMRS4xOTkxLjA2LzAzLzIwMjYuLi5VU0QuSAEAAADetgEAAwAAAAAAiDZi5M173giiIVA5znveCDZDSVEuTllTRTpJQk0uSVFfQ0FTSF9TVF9JTlZFU1QuMTk5MS4wNi8wMy8yMDI2Li4uVVNELkgBAAAA3rYBAAIAAAAFMTA5NzgBCAAAAAUAAAABMQEAAAALLTE5NzExNzUyODcDAAAAAzE2MAIAAAAEMTAwMgQAAAABMAcAAAAIMy82LzIwMjYIAAAACTkvMzAvMjAyMwkAAAABMIg2YuTNe94IYeZPOc573ghDQ0lRLk5ZU0U6SUJNLklRX09QRVJBVElOR19MRUFTRV9MSUFCSUxJVElFUy4xOTkxLjA2LzAzLzIwMjYuLi5VU0QuSAEAAADetgEAAwAAAAAAiDZi5M173ghh5k85znveCDdDSVEuTllTRTpJQk0uSVFfQ0FTSF9UQVhFU19PUEVSLjE5OTEuMDYvMDMvMjAyNi4uLlVTRC5IAQAAAN62AQADAAAAAACINmLkzXveCGHmTznOe94IPENJUS5OWVNFOklCTS5JUV9DQVNIX0lOVEVSRVNUX0lOVkVTVC4xOTkxLjA2LzAzLzIwMjYuLi5VU0QuSAEAAADetgEAAwAAAAAAiDZi5M173ghh5k85znveCENDSVEuTllTRTpJQk0uSVFfREVSSVZBVElWRV9MSUFCX05PTl9DVVJSRU5ULjE5OTEuMDYvMDMvMjAyNi4uLlVTRC5IAQAAAN62AQACAAAAAzY5MwEIAAAABQAAAAExAQAAAAstMTk3MTE3NTI4NwMAAAADMTYwAgAAAAU0MDQxOQQAAAAB</t>
  </si>
  <si>
    <t>MAcAAAAIMy82LzIwMjYIAAAACTkvMzAvMjAyMwkAAAABMIg2YuTNe94IoiFQOc573gg+Q0lRLk5ZU0U6SUJNLklRX1RPVEFMX0RFQlRfTk9OX0NVUlJFTlQuMTk5MS4wNi8wMy8yMDI2Li4uVVNELkgBAAAA3rYBAAIAAAAFNTEzMDQBCAAAAAUAAAABMQEAAAALLTE5NzExNzUyODcDAAAAAzE2MAIAAAAFMjUyMjQEAAAAATAHAAAACDMvNi8yMDI2CAAAAAk5LzMwLzIwMjMJAAAAATCINmLkzXveCKIhUDnOe94IO0NJUS5OWVNFOklCTS5JUV9UT1RBTF9DT01NT05fRVFVSVRZLjE5OTEuMDYvMDMvMjAyNi4uLlVTRC5IAQAAAN62AQACAAAABTIzMDgxAQgAAAAFAAAAATEBAAAACy0xOTcxMTc1Mjg3AwAAAAMxNjACAAAABDEwMDYEAAAAATAHAAAACDMvNi8yMDI2CAAAAAk5LzMwLzIwMjMJAAAAATCINmLkzXveCKIhUDnOe94IM0NJUS5OWVNFOklCTS5JUV9PVEhFUl9JTlRBTi4xOTkxLjA2LzAzLzIwMjYuLi5VU0QuSAEAAADetgEAAgAAAAUxMTI3OAEIAAAABQAAAAExAQAAAAstMTk3MTE3NTI4NwMAAAADMTYwAgAAAAQxMDQwBAAAAAEwBwAAAAgzLzYvMjAyNggAAAAJOS8zMC8yMDIzCQAAAAEwiDZi5M173giiIVA5znveCDxDSVEuTllTRTpJQk0uSVFfVE9UQUxfRklOQU5DRV9MRUFTRVMuMTk5MS4wNi8wMy8yMDI2Li4uVVNELkgBAAAA3rYBAAIAAAADMzAzAQgAAAAFAAAAATEBAAAACy0xOTcxMTc1Mjg3</t>
  </si>
  <si>
    <t>AwAAAAMxNjACAAAABTQ5MDMxBAAAAAEwBwAAAAgzLzYvMjAyNggAAAAJOS8zMC8yMDIzCQAAAAEwiDZi5M173giiIVA5znveCD5DSVEuTllTRTpJQk0uSVFfRklOQU5DRV9MRUFTRVNfQ1VSUkVOVC4xOTkxLjA2LzAzLzIwMjYuLi5VU0QuSAEAAADetgEAAwAAAAAAiDZi5M173giiIVA5znveCCpDSVEuTllTRTpJQk0uSVFfQVAuMTk5MS4wNi8wMy8yMDI2Li4uVVNELkgBAAAA3rYBAAIAAAAEMzM0MgEIAAAABQAAAAExAQAAAAstMTk3MTE3NTI4NwMAAAADMTYwAgAAAAQxMDE4BAAAAAEwBwAAAAgzLzYvMjAyNggAAAAJOS8zMC8yMDIzCQAAAAEwiDZi5M173giiIVA5znveCDdDSVEuTllTRTpJQk0uSVFfT1RIRVJfTFRfQVNTRVRTLjE5OTEuMDYvMDMvMjAyNi4uLlVTRC5IAQAAAN62AQACAAAABDg5MDEBCAAAAAUAAAABMQEAAAALLTE5NzExNzUyODcDAAAAAzE2MAIAAAAEMTA2MAQAAAABMAcAAAAIMy82LzIwMjYIAAAACTkvMzAvMjAyMwkAAAABMIg2YuTNe94IoiFQOc573ggxQ0lRLk5ZU0U6SUJNLklRX0xUX0lOVkVTVC4xOTkxLjA2LzAzLzIwMjYuLi5VU0QuSAEAAADetgEAAgAAAAQxNTgxAQgAAAAFAAAAATEBAAAACy0xOTcxMTc1Mjg3AwAAAAMxNjACAAAABDEwNTQEAAAAATAHAAAACDMvNi8yMDI2CAAAAAk5LzMwLzIwMjMJAAAAATCINmLkzXveCKIhUDnOe94IKkNJUS5OWVNFOklCTS5JUV9B</t>
  </si>
  <si>
    <t>RC4xOTkxLjA2LzAzLzIwMjYuLi5VU0QuSAEAAADetgEAAgAAAAYtMTI4NDgBCAAAAAUAAAABMQEAAAALLTE5NzExNzUyODcDAAAAAzE2MAIAAAAEMTA3NQQAAAABMAcAAAAIMy82LzIwMjYIAAAACTkvMzAvMjAyMwkAAAABMIg2YuTNe94IoiFQOc573ggsQ0lRLk5ZU0U6SUJNLklRX0NBTENfVFlQRV9DRi4xOTkxLjA2LzAzLzIwMjYBAAAA3rYBAAMAAAADTFRNAIg2YuTNe94IdUlQOc573gg7Q0lRLk5ZU0U6SUJNLklRX0dBSU5fQkFSR0FJTl9BQ1FfQ0YuMTk5MS4wNi8wMy8yMDI2Li4uVVNELkgBAAAA3rYBAAMAAAAAAIg2YuTNe94IdUlQOc573ghCQ0lRLk5ZU0U6SUJNLklRX0NIQU5HRV9ORVRfV09SS0lOR19DQVBJVEFMLjE5OTEuMDYvMDMvMjAyNi4uLlVTRC5IAQAAAN62AQACAAAABS0yNDAzAQgAAAAFAAAAATEBAAAACy0xOTcxMTc1Mjg3AwAAAAMxNjACAAAABDQ0MjEEAAAAATAHAAAACDMvNi8yMDI2CAAAAAk5LzMwLzIwMjMJAAAAATCINmLkzXveCHVJUDnOe94IQENJUS5OWVNFOklCTS5JUV9BTU9SVF9TT0ZUV0FSRV9BU1NFVFNfQ0YuMTk5MS4wNi8wMy8yMDI2Li4uVVNELkgBAAAA3rYBAAIAAAAEMTEzMAEIAAAABQAAAAExAQAAAAstMTk3MTE3NTI4NwMAAAADMTYwAgAAAAU0NjAxMQQAAAABMAcAAAAIMy82LzIwMjYIAAAACTkvMzAvMjAyMwkAAAABMIg2YuTNe94IdUlQOc573ggyQ0lR</t>
  </si>
  <si>
    <t>Lk5ZU0U6SUJNLklRX05FVF9DSEFOR0UuMTk5MS4wNi8wMy8yMDI2Li4uVVNELkgBAAAA3rYBAAIAAAAELTcwMAEIAAAABQAAAAExAQAAAAstMTk3MTE3NTI4NwMAAAADMTYwAgAAAAQyMDkzBAAAAAEwBwAAAAgzLzYvMjAyNggAAAAJOS8zMC8yMDIzCQAAAAEwiDZi5M173gh1SVA5znveCDVDSVEuTllTRTpJQk0uSVFfQ09NTU9OX0lTU1VFRC4xOTkxLjA2LzAzLzIwMjYuLi5VU0QuSAEAAADetgEAAwAAAAAAiDZi5M173gh1SVA5znveCDZDSVEuTllTRTpJQk0uSVFfU1RfREVCVF9SRVBBSUQuMTk5MS4wNi8wMy8yMDI2Li4uVVNELkgBAAAA3rYBAAMAAAAAAIg2YuTNe94IdUlQOc573ggtQ0lRLk5ZU0U6SUJNLklRX0NBUEVYLjE5OTEuMDYvMDMvMjAyNi4uLlVTRC5IAQAAAN62AQACAAAABS0xMzU0AQgAAAAFAAAAATEBAAAACy0xOTcxMTc1Mjg3AwAAAAMxNjACAAAABDIwMjEEAAAAATAHAAAACDMvNi8yMDI2CAAAAAk5LzMwLzIwMjMJAAAAATCINmLkzXveCHVJUDnOe94IO0NJUS5OWVNFOklCTS5JUV9UQVhfQkVORUZJVF9PUFRJT05TLjE5OTEuMDYvMDMvMjAyNi4uLlVTRC5IAQAAAN62AQADAAAAAACINmLkzXveCHVJUDnOe94IS0NJUS5OWVNFOklCTS5JUV9MSVFVSURBVElPTl9WQUxVRV9QUkVGRVJSRURfQ09OVkVSVC4xOTkxLjA2LzAzLzIwMjYuLi5VU0QuSAEAAADetgEAAwAAAAAAiDZi5M17</t>
  </si>
  <si>
    <t>3gh1SVA5znveCDtDSVEuTllTRTpJQk0uSVFfTUlOT1JJVFlfSU5UX1JFREVFTS4xOTkxLjA2LzAzLzIwMjYuLi5VU0QuSAEAAADetgEAAwAAAAAAiDZi5M173gh4cFA5znveCDRDSVEuTllTRTpJQk0uSVFfRklOSVNIRURfSU5WLjE5OTEuMDYvMDMvMjAyNi4uLlVTRC5IAQAAAN62AQACAAAAAzE1OQEIAAAABQAAAAExAQAAAAstMTk3MTE3NTI4NwMAAAADMTYwAgAAAAQzMDc1BAAAAAEwBwAAAAgzLzYvMjAyNggAAAAJOS8zMC8yMDIzCQAAAAEwiDZi5M173gh4cFA5znveCC9DSVEuTllTRTpJQk0uSVFfU1RfREVCVC4xOTkxLjA2LzAzLzIwMjYuLi5VU0QuSAEAAADetgEAAgAAAAIxMwEIAAAABQAAAAExAQAAAAstMTk3MTE3NTI4NwMAAAADMTYwAgAAAAQxMDQ2BAAAAAEwBwAAAAgzLzYvMjAyNggAAAAJOS8zMC8yMDIzCQAAAAEwiDZi5M173gh1SVA5znveCD1DSVEuTllTRTpJQk0uSVFfRklOX0RJVl9MT0FOU19DVVJSRU5ULjE5OTEuMDYvMDMvMjAyNi4uLlVTRC5IAQAAAN62AQACAAAABDUwMzIBCAAAAAUAAAABMQEAAAALLTE5NzExNzUyODcDAAAAAzE2MAIAAAAEMTAzMgQAAAABMAcAAAAIMy82LzIwMjYIAAAACTkvMzAvMjAyMwkAAAABMIg2YuTNe94IdUlQOc573ghHQ0lRLk5ZU0U6SUJNLklRX0ZBSVJfVkFMVUVfQ0hBTkdFX0lOQ0xfRUFSTklOR1MuMTk5MS4wNi8wMy8yMDI2Li4uVVNELkgB</t>
  </si>
  <si>
    <t>AAAA3rYBAAMAAAAAAIg2YuTNe94IdUlQOc573ghGQ0lRLk5ZU0U6SUJNLklRX1RPVEFMX0dFTkVSQUxfUEFSVE5FUl9JTlRFUkVTVC4xOTkxLjA2LzAzLzIwMjYuLi5VU0QuSAEAAADetgEAAwAAAAAAiDZi5M173gh4cFA5znveCEVDSVEuTllTRTpJQk0uSVFfREVQUkVDSUFUSU9OX1JFTlRBTF9BU1NFVFNfQ0YuMTk5MS4wNi8wMy8yMDI2Li4uVVNELkgBAAAA3rYBAAMAAAAAAIg2YuTNe94IeHBQOc573ggyQ0lRLk5ZU0U6SUJNLklRX0NPTU1PTl9SRVAuMTk5MS4wNi8wMy8yMDI2Li4uVVNELkgBAAAA3rYBAAIAAAAELTQxNgEIAAAABQAAAAExAQAAAAstMTk3MTE3NTI4NwMAAAADMTYwAgAAAAQyMTY0BAAAAAEwBwAAAAgzLzYvMjAyNggAAAAJOS8zMC8yMDIzCQAAAAEwiDZi5M173gh4cFA5znveCDZDSVEuTllTRTpJQk0uSVFfU1RfREVCVF9JU1NVRUQuMTk5MS4wNi8wMy8yMDI2Li4uVVNELkgBAAAA3rYBAAMAAAAAAIg2YuTNe94IeHBQOc573gg1Q0lRLk5ZU0U6SUJNLklRX0lOQ19FUVVJVFlfQ0YuMTk5MS4wNi8wMy8yMDI2Li4uVVNELkgBAAAA3rYBAAMAAAAAAIg2YuTNe94IeHBQOc573gg8Q0lRLk5ZU0U6SUJNLklRX05FR0FUSVZFX0dXX0FNT1JUX0FULjE5OTEuMDYvMDMvMjAyNi4uLlVTRC5IAQAAAN62AQADAAAAAACINmLkzXveCHhwUDnOe94IPUNJUS5OWVNFOklCTS5JUV9JTVBVVF9P</t>
  </si>
  <si>
    <t>UEVSX0xFQVNFX0RFUFIuMTk5MS4wNi8wMy8yMDI2Li4uVVNELkgBAAAA3rYBAAMAAAAAAIg2YuTNe94IeHBQOc573ggxQ0lRLk5ZU0U6SUJNLklRX01BUktFVElORy4xOTkxLjA2LzAzLzIwMjYuLi5VU0QuSAEAAADetgEAAwAAAAAAiDZi5M173gh4cFA5znveCD9DSVEuTllTRTpJQk0uSVFfRElTVFJJQlVUQUJMRV9DQVNIX1NIQVJFU19CQVNJQy4xOTkxLjA2LzAzLzIwMjYBAAAA3rYBAAMAAAAAAIg2YuTNe94ITpdQOc573ggxQ0lRLk5ZU0U6SUJNLklRX0RBX0VCSVREQS4xOTkxLjA2LzAzLzIwMjYuLi5VU0QuSAEAAADetgEAAgAAAAQyNTUxAQgAAAAFAAAAATEBAAAACy0xOTcxMTc1Mjg3AwAAAAMxNjACAAAABDIyMDYEAAAAATAHAAAACDMvNi8yMDI2CAAAAAk5LzMwLzIwMjMJAAAAATCINmLkzXveCHhwUDnOe94IOkNJUS5OWVNFOklCTS5JUV9DVVJSX0ZPUkVJR05fVEFYRVMuMTk5MS4wNi8wMy8yMDI2Li4uVVNELkgBAAAA3rYBAAIAAAAEMTY3NgEIAAAABQAAAAExAQAAAAstMTk3MTE3NTI4NwMAAAADMTYwAgAAAAQzMDMwBAAAAAEwBwAAAAgzLzYvMjAyNggAAAAJOS8zMC8yMDIzCQAAAAEwiDZi5M173ghOl1A5znveCDRDSVEuTllTRTpJQk0uSVFfRUJJVERBX0NBUEVYLjE5OTEuMDYvMDMvMjAyNi4uLlVTRC5IAQAAAN62AQACAAAABTEwNDgzAQgAAAAFAAAAATEBAAAACy0xOTcxMTc1Mjg3</t>
  </si>
  <si>
    <t>AwAAAAMxNjACAAAABTM1Mzc5BAAAAAEwBwAAAAgzLzYvMjAyNggAAAAJOS8zMC8yMDIzCQAAAAEwiDZi5M173ghOl1A5znveCElDSVEuTllTRTpJQk0uSVFfRUJJVERBX0VRX0lOQ19FWENMX09QRVJfTEVBU0VfQURKLjE5OTEuMDYvMDMvMjAyNi4uLlVTRC5IAQAAAN62AQACAAAABTExODM3AQgAAAAFAAAAATEBAAAACy0xOTcxMTc1Mjg3AwAAAAMxNjACAAAABTQ4OTg3BAAAAAEwBwAAAAgzLzYvMjAyNggAAAAJOS8zMC8yMDIzCQAAAAEwiDZi5M173ghOl1A5znveCDBDSVEuTllTRTpJQk0uSVFfRFJfUkFUSU9fUFJJTUFSWS4xOTkxLjA2LzAzLzIwMjYBAAAA3rYBAAIAAAABMQCINmLkzXveCE6XUDnOe94IS0NJUS5OWVNFOklCTS5JUV9PUEVSQVRJTkdfTEVBU0VfTElBQklMSVRJRVNfTk9OQ0FTSC4xOTkxLjA2LzAzLzIwMjYuLi5VU0QuSAEAAADetgEAAwAAAAAAiDZi5M173ghOl1A5znveCDpDSVEuTllTRTpJQk0uSVFfQ09NTU9OX1BSRUZfRElWX0NGLjE5OTEuMDYvMDMvMjAyNi4uLlVTRC5IAQAAAN62AQADAAAAAACINmLkzXveCE6XUDnOe94IMUNJUS5OWVNFOklCTS5JUV9ESVZFU1RfQ0YuMTk5MS4wNi8wMy8yMDI2Li4uVVNELkgBAAAA3rYBAAIAAAACLTMBCAAAAAUAAAABMQEAAAALLTE5NzExNzUyODcDAAAAAzE2MAIAAAAEMjA3NwQAAAABMAcAAAAIMy82LzIwMjYIAAAACTkvMzAvMjAy</t>
  </si>
  <si>
    <t>MwkAAAABMIg2YuTNe94ITpdQOc573ggtQ0lRLk5ZU0U6SUJNLklRX0RPX0NGLjE5OTEuMDYvMDMvMjAyNi4uLlVTRC5IAQAAAN62AQADAAAAAACINmLkzXveCE6XUDnOe94INUNJUS5OWVNFOklCTS5JUV9TQUxFX0lOVEFOX0NGLjE5OTEuMDYvMDMvMjAyNi4uLlVTRC5IAQAAAN62AQACAAAABC01NjQBCAAAAAUAAAABMQEAAAALLTE5NzExNzUyODcDAAAAAzE2MAIAAAAEMjAyOQQAAAABMAcAAAAIMy82LzIwMjYIAAAACTkvMzAvMjAyMwkAAAABMIg2YuTNe94ITpdQOc573gg9Q0lRLk5ZU0U6SUJNLklRX0NIQU5HRV9UUkFESU5HX0FTU0VUUy4xOTkxLjA2LzAzLzIwMjYuLi5VU0QuSAEAAADetgEAAwAAAAAAiDZi5M173gh8vlA5znveCDtDSVEuTllTRTpJQk0uSVFfQ1VSUkVOVF9QT1JUX0xFQVNFUy4xOTkxLjA2LzAzLzIwMjYuLi5VU0QuSAEAAADetgEAAgAAAAM4MDcBCAAAAAUAAAABMQEAAAALLTE5NzExNzUyODcDAAAAAzE2MAIAAAAEMTA5MAQAAAABMAcAAAAIMy82LzIwMjYIAAAACTkvMzAvMjAyMwkAAAABMIg2YuTNe94IfL5QOc573ggxQ0lRLk5ZU0U6SUJNLklRX0lOVkVOVE9SWS4xOTkxLjA2LzAzLzIwMjYuLi5VU0QuSAEAAADetgEAAgAAAAQxMzk4AQgAAAAFAAAAATEBAAAACy0xOTcxMTc1Mjg3AwAAAAMxNjACAAAABDEwNDMEAAAAATAHAAAACDMvNi8yMDI2CAAAAAk5LzMwLzIwMjMJ</t>
  </si>
  <si>
    <t>AAAAATCINmLkzXveCE6XUDnOe94IPkNJUS5OWVNFOklCTS5JUV9EQV9DRl9FWENMX09QRVJfTEVBU0VTLjE5OTEuMDYvMDMvMjAyNi4uLlVTRC5IAQAAAN62AQACAAAABDI1NTEBCAAAAAUAAAABMQEAAAALLTE5NzExNzUyODcDAAAAAzE2MAIAAAAFNDg5ODUEAAAAATAHAAAACDMvNi8yMDI2CAAAAAk5LzMwLzIwMjMJAAAAATCINmLkzXveCE6XUDnOe94IMENJUS5OWVNFOklCTS5JUV9QUkVGX1JFUC4xOTkxLjA2LzAzLzIwMjYuLi5VU0QuSAEAAADetgEAAwAAAAAAiDZi5M173ghOl1A5znveCDZDSVEuTllTRTpJQk0uSVFfTFRfREVCVF9SRVBBSUQuMTk5MS4wNi8wMy8yMDI2Li4uVVNELkgBAAAA3rYBAAMAAAAAAIg2YuTNe94IfL5QOc573gg3Q0lRLk5ZU0U6SUJNLklRX0lOVkVTVF9MT0FOU19DRi4xOTkxLjA2LzAzLzIwMjYuLi5VU0QuSAEAAADetgEAAwAAAAAAiDZi5M173gh8vlA5znveCDJDSVEuTllTRTpJQk0uSVFfVE9UQUxfTElBQi4xOTkxLjA2LzAzLzIwMjYuLi5VU0QuSAEAAADetgEAAgAAAAYxMDYxNjUBCAAAAAUAAAABMQEAAAALLTE5NzExNzUyODcDAAAAAzE2MAIAAAAEMTI3NgQAAAABMAcAAAAIMy82LzIwMjYIAAAACTkvMzAvMjAyMwkAAAABMIg2YuTNe94IfL5QOc573gg7Q0lRLk5ZU0U6SUJNLklRX0NBU0hfSU5URVJFU1RfRklOQU4uMTk5MS4wNi8wMy8yMDI2Li4uVVNELkgB</t>
  </si>
  <si>
    <t>AAAA3rYBAAMAAAAAAIg2YuTNe94IfL5QOc573ggzQ0lRLk5ZU0U6SUJNLklRX09USEVSX0FNT1JULjE5OTEuMDYvMDMvMjAyNi4uLlVTRC5IAQAAAN62AQACAAAABDExMzABCAAAAAUAAAABMQEAAAALLTE5NzExNzUyODcDAAAAAzE2MAIAAAAEMjAxNAQAAAABMAcAAAAIMy82LzIwMjYIAAAACTkvMzAvMjAyMwkAAAABMIg2YuTNe94IfL5QOc573gg4Q0lRLk5ZU0U6SUJNLklRX1JFU1RSX1NUT0NLX0NPTVAuMTk5MS4wNi8wMy8yMDI2Li4uVVNELkgBAAAA3rYBAAMAAAAAAIg2YuTNe94IfL5QOc573gg2Q0lRLk5ZU0U6SUJNLklRX1NUT0NLX0JBU0VEX1NNLjE5OTEuMDYvMDMvMjAyNi4uLlVTRC5IAQAAAN62AQADAAAAAACINmLkzXveCHy+UDnOe94IPENJUS5OWVNFOklCTS5JUV9JTVBBSVJNRU5UX0dXX1NVUFBMRS4xOTkxLjA2LzAzLzIwMjYuLi5VU0QuSAEAAADetgEAAwAAAAAAiDZi5M173gh8vlA5znveCEVDSVEuTllTRTpJQk0uSVFfUlVBX09QRVJBVElOR19MRUFTRV9BQ0NVTV9ERVAuMTk5MS4wNi8wMy8yMDI2Li4uVVNELkgBAAAA3rYBAAMAAAAAAIg2YuTNe94IfL5QOc573gg9Q0lRLk5ZU0U6SUJNLklRX1JVQV9DQVBJVEFMX0xFQVNFX05FVC4xOTkxLjA2LzAzLzIwMjYuLi5VU0QuSAEAAADetgEAAwAAAAAAiDZi5M173gh8vlA5znveCDdDSVEuTllTRTpJQk0uSVFfREVGX1RBWF9MSUFC</t>
  </si>
  <si>
    <t>X0xULjE5OTEuMDYvMDMvMjAyNi4uLlVTRC5IAQAAAN62AQADAAAAAACINmLkzXveCHy+UDnOe94IN0NJUS5OWVNFOklCTS5JUV9DQVNIX0FDUVVJUkVfQ0YuMTk5MS4wNi8wMy8yMDI2Li4uVVNELkgBAAAA3rYBAAIAAAAFLTYyNzMBCAAAAAUAAAABMQEAAAALLTE5NzExNzUyODcDAAAAAzE2MAIAAAAEMjA1NwQAAAABMAcAAAAIMy82LzIwMjYIAAAACTkvMzAvMjAyMwkAAAABMIg2YuTNe94IfL5QOc573gg2Q0lRLk5ZU0U6SUJNLklRX0NSRURJVF9MT1NTX0NGLjE5OTEuMDYvMDMvMjAyNi4uLlVTRC5IAQAAAN62AQADAAAAAACINmLkzXveCHy+UDnOe94IMENJUS5OWVNFOklCTS5JUV9UT1RBTF9DQS4xOTkxLjA2LzAzLzIwMjYuLi5VU0QuSAEAAADetgEAAgAAAAUyNzcwNQEIAAAABQAAAAExAQAAAAstMTk3MTE3NTI4NwMAAAADMTYwAgAAAAQxMDA4BAAAAAEwBwAAAAgzLzYvMjAyNggAAAAJOS8zMC8yMDIzCQAAAAEwiDZi5M173gh8vlA5znveCDVDSVEuTllTRTpJQk0uSVFfRE9fRklOQU5DRV9DRi4xOTkxLjA2LzAzLzIwMjYuLi5VU0QuSAEAAADetgEAAwAAAAAAiDZi5M173gh8vlA5znveCDtDSVEuTllTRTpJQk0uSVFfU0FMRV9SRUFMX0VTVEFURV9DRi4xOTkxLjA2LzAzLzIwMjYuLi5VU0QuSAEAAADetgEAAwAAAAAAiDZi5M173ghB+VA5znveCDlDSVEuTllTRTpJQk0uSVFfTkVHQVRJVkVf</t>
  </si>
  <si>
    <t>R1dfQU1PUlQuMTk5MS4wNi8wMy8yMDI2Li4uVVNELkgBAAAA3rYBAAMAAAAAAIg2YuTNe94IQflQOc573gg0Q0lRLk5ZU0U6SUJNLklRX09USEVSX1JFTlRBTC4xOTkxLjA2LzAzLzIwMjYuLi5VU0QuSAEAAADetgEAAwAAAAAAiDZi5M173ghB+VA5znveCC5DSVEuTllTRTpJQk0uSVFfUkVTVEFURU1FTlRfSVMuMTk5MS4wNi8wMy8yMDI2AQAAAN62AQADAAAAAlJDAIg2YuTNe94IfL5QOc573gg7Q0lRLk5ZU0U6SUJNLklRX05PTkNBU0hfUEVOU0lPTl9FWFAuMTk5MS4wNi8wMy8yMDI2Li4uVVNELkgBAAAA3rYBAAMAAAAAAIg2YuTNe94IfL5QOc573gg/Q0lRLk5ZU0U6SUJNLklRX1JVQV9DQVBJVEFMX0xFQVNFX0dST1NTLjE5OTEuMDYvMDMvMjAyNi4uLlVTRC5IAQAAAN62AQADAAAAAACINmLkzXveCEH5UDnOe94IOENJUS5OWVNFOklCTS5JUV9DQVNIX1RBWEVTX0ZJTkFOLjE5OTEuMDYvMDMvMjAyNi4uLlVTRC5IAQAAAN62AQADAAAAAACINmLkzXveCEH5UDnOe94IOkNJUS5OWVNFOklCTS5JUV9JTlZFU1RfU0VDVVJJVFlfQ0YuMTk5MS4wNi8wMy8yMDI2Li4uVVNELkgBAAAA3rYBAAIAAAAFLTMxNzgBCAAAAAUAAAABMQEAAAALLTE5NzExNzUyODcDAAAAAzE2MAIAAAAEMjAyNwQAAAABMAcAAAAIMy82LzIwMjYIAAAACTkvMzAvMjAyMwkAAAABMIg2YuTNe94IQflQOc573gg5Q0lRLk5ZU0U6</t>
  </si>
  <si>
    <t>SUJNLklRX0dXX0lOVEFOX0FNT1JUX0NGLjE5OTEuMDYvMDMvMjAyNi4uLlVTRC5IAQAAAN62AQACAAAABDExMTMBCAAAAAUAAAABMQEAAAALLTE5NzExNzUyODcDAAAAAzE2MAIAAAAEMjE4MgQAAAABMAcAAAAIMy82LzIwMjYIAAAACTkvMzAvMjAyMwkAAAABMIg2YuTNe94IQflQOc573ggtQ0lRLk5ZU0U6SUJNLklRX05JX0NGLjE5OTEuMDYvMDMvMjAyNi4uLlVTRC5IAQAAAN62AQACAAAABDY5MjQBCAAAAAUAAAABMQEAAAALLTE5NzExNzUyODcDAAAAAzE2MAIAAAAEMjE1MAQAAAABMAcAAAAIMy82LzIwMjYIAAAACTkvMzAvMjAyMwkAAAABMIg2YuTNe94IiiBROc573gg8Q0lRLk5ZU0U6SUJNLklRX09USEVSX1VOVVNVQUxfU1VQUExFLjE5OTEuMDYvMDMvMjAyNi4uLlVTRC5IAQAAAN62AQADAAAAAACINmLkzXveCIogUTnOe94IP0NJUS5OWVNFOklCTS5JUV9FWFBMT1JFX0RSSUxMX0VYUF9UT1RBTC4xOTkxLjA2LzAzLzIwMjYuLi5VU0QuSAEAAADetgEAAwAAAAAAiDZi5M173ghB+VA5znveCDFDSVEuTllTRTpJQk0uSVFfUkRfRVhQX0ZOLjE5OTEuMDYvMDMvMjAyNi4uLlVTRC5IAQAAAN62AQACAAAABDY2MzEBCAAAAAUAAAABMQEAAAALLTE5NzExNzUyODcDAAAAAzE2MAIAAAAEMzE2OAQAAAABMAcAAAAIMy82LzIwMjYIAAAACTkvMzAvMjAyMwkAAAABMIg2YuTNe94IQflQOc573ghBQ0lR</t>
  </si>
  <si>
    <t>Lk5ZU0U6SUJNLklRX0dXX0lOVEFOX0FNT1JUX1BBUlRJQUxfQ0YuMTk5MS4wNi8wMy8yMDI2Li4uVVNELkgBAAAA3rYBAAMAAAAAAIg2YuTNe94IQflQOc573ggzQ0lRLk5ZU0U6SUJNLklRX1BSRUZfSVNTVUVELjE5OTEuMDYvMDMvMjAyNi4uLlVTRC5IAQAAAN62AQADAAAAAACINmLkzXveCIogUTnOe94IOUNJUS5OWVNFOklCTS5JUV9QUk9WX0JBRF9ERUJUU19DRi4xOTkxLjA2LzAzLzIwMjYuLi5VU0QuSAEAAADetgEAAwAAAAAAiDZi5M173giKIFE5znveCDFDSVEuTllTRTpJQk0uSVFfU1RfSU5WRVNULjE5OTEuMDYvMDMvMjAyNi4uLlVTRC5IAQAAAN62AQACAAAABDM3MjEBCAAAAAUAAAABMQEAAAALLTE5NzExNzUyODcDAAAAAzE2MAIAAAAEMTA2OQQAAAABMAcAAAAIMy82LzIwMjYIAAAACTkvMzAvMjAyMwkAAAABMIg2YuTNe94IiiBROc573gg6Q0lRLk5ZU0U6SUJNLklRX0NBU0hfSU5URVJFU1RfT1BFUi4xOTkxLjA2LzAzLzIwMjYuLi5VU0QuSAEAAADetgEAAwAAAAAAiDZi5M173giKIFE5znveCDlDSVEuTllTRTpJQk0uSVFfVE9UQUxfRElWX1BBSURfQ0YuMTk5MS4wNi8wMy8yMDI2Li4uVVNELkgBAAAA3rYBAAIAAAAFLTYwMTYBCAAAAAUAAAABMQEAAAALLTE5NzExNzUyODcDAAAAAzE2MAIAAAAEMjAyMgQAAAABMAcAAAAIMy82LzIwMjYIAAAACTkvMzAvMjAyMwkAAAABMIg2YuTN</t>
  </si>
  <si>
    <t>e94IiiBROc573gg1Q0lRLk5ZU0U6SUJNLklRX0NPTU1PTl9ESVZfQ0YuMTk5MS4wNi8wMy8yMDI2Li4uVVNELkgBAAAA3rYBAAIAAAAFLTYwMTYBCAAAAAUAAAABMQEAAAALLTE5NzExNzUyODcDAAAAAzE2MAIAAAAEMjA3NAQAAAABMAcAAAAIMy82LzIwMjYIAAAACTkvMzAvMjAyMwkAAAABMIg2YuTNe94IiiBROc573ggxQ0lRLk5ZU0U6SUJNLklRX0NIQU5HRV9BUC4xOTkxLjA2LzAzLzIwMjYuLi5VU0QuSAEAAADetgEAAgAAAAMyMTMBCAAAAAUAAAABMQEAAAALLTE5NzExNzUyODcDAAAAAzE2MAIAAAAEMjAxNwQAAAABMAcAAAAIMy82LzIwMjYIAAAACTkvMzAvMjAyMwkAAAABMIg2YuTNe94IiiBROc573ggxQ0lRLk5ZU0U6SUJNLklRX0NIQU5HRV9BUi4xOTkxLjA2LzAzLzIwMjYuLi5VU0QuSAEAAADetgEAAgAAAAQtNTM5AQgAAAAFAAAAATEBAAAACy0xOTcxMTc1Mjg3AwAAAAMxNjACAAAABDIwMTgEAAAAATAHAAAACDMvNi8yMDI2CAAAAAk5LzMwLzIwMjMJAAAAATCINmLkzXveCIogUTnOe94INkNJUS5OWVNFOklCTS5JUV9TVE9DS19CQVNFRF9BVC4xOTkxLjA2LzAzLzIwMjYuLi5VU0QuSAEAAADetgEAAwAAAAAAiDZi5M173giKIFE5znveCC5DSVEuTllTRTpJQk0uSVFfR0FfRVhQLjE5OTEuMDYvMDMvMjAyNi4uLlVTRC5IAQAAAN62AQADAAAAAACINmLkzXveCNtHUTnOe94IM0NJUS5O</t>
  </si>
  <si>
    <t>WVNFOklCTS5JUV9BRFZFUlRJU0lORy4xOTkxLjA2LzAzLzIwMjYuLi5VU0QuSAEAAADetgEAAwAAAAAAiDZi5M173gjbR1E5znveCC5DSVEuTllTRTpJQk0uSVFfQ09NTU9OLjE5OTEuMDYvMDMvMjAyNi4uLlVTRC5IAQAAAN62AQACAAAABTU5MzEzAQgAAAAFAAAAATEBAAAACy0xOTcxMTc1Mjg3AwAAAAMxNjACAAAABDExMDMEAAAAATAHAAAACDMvNi8yMDI2CAAAAAk5LzMwLzIwMjMJAAAAATCINmLkzXveCNtHUTnOe94IM0NJUS5OWVNFOklCTS5JUV9NQUlOVF9DQVBFWC4xOTkxLjA2LzAzLzIwMjYuLi5VU0QuSAEAAADetgEAAwAAAAAAiDZi5M173gjbR1E5znveCDZDSVEuTllTRTpJQk0uSVFfQ0hBTkdFX0lOQ19UQVguMTk5MS4wNi8wMy8yMDI2Li4uVVNELkgBAAAA3rYBAAMAAAAAAAleYuTNe94I20dROc573gg8Q0lRLk5ZU0U6SUJNLklRX05FR0FUSVZFX0dXX0FNT1JUX0NGLjE5OTEuMDYvMDMvMjAyNi4uLlVTRC5IAQAAAN62AQADAAAAAAAJXmLkzXveCNtHUTnOe94IP0NJUS5OWVNFOklCTS5JUV9HQUlOX0JBUkdBSU5fQUNRX1NVUFBMRS4xOTkxLjA2LzAzLzIwMjYuLi5VU0QuSAEAAADetgEAAwAAAAAACV5i5M173gjbR1E5znveCD1DSVEuTllTRTpJQk0uSVFfTkVUX1JFTlRBTF9FWFBfU1VQUExFLjE5OTEuMDYvMDMvMjAyNi4uLlVTRC5IAQAAAN62AQADAAAAAAAJXmLkzXveCNtHUTnO</t>
  </si>
  <si>
    <t>e94ILENJUS5OWVNFOklCTS5JUV9QQVlPVVRfUkFUSU8uMTk5MS4wNi8wMy8yMDI2AQAAAN62AQACAAAABzg2Ljg4NjEBCAAAAAUAAAABMQEAAAALLTE5NzExNzUyODcDAAAAAzE2MAIAAAAENDM3NwQAAAABMAcAAAAIMy82LzIwMjYIAAAACTkvMzAvMjAyMwkAAAABMAleYuTNe94I20dROc573ggzQ0lRLk5ZU0U6SUJNLklRX0lOVF9FWFBfTFRELjE5OTEuMDYvMDMvMjAyNi4uLlVTRC5IAQAAAN62AQADAAAAAAAJXmLkzXveCNtHUTnOe94IMkNJUS5OWVNFOklCTS5JUV9QUkVGX09USEVSLjE5OTEuMDYvMDMvMjAyNi4uLlVTRC5IAQAAAN62AQADAAAAAAAJXmLkzXveCF9xUTnOe94INkNJUS5OWVNFOklCTS5JUV9PVEhFUl9PUEVSX0FDVC4xOTkxLjA2LzAzLzIwMjYuLi5VU0QuSAEAAADetgEAAgAAAAUtMjcyNAEIAAAABQAAAAExAQAAAAstMTk3MTE3NTI4NwMAAAADMTYwAgAAAAQyMDQ3BAAAAAEwBwAAAAgzLzYvMjAyNggAAAAJOS8zMC8yMDIzCQAAAAEwCV5i5M173ghfcVE5znveCEBDSVEuTllTRTpJQk0uSVFfRElTVFJJQlVUQUJMRV9DQVNIX1NIQVJFLjE5OTEuMDYvMDMvMjAyNi4uLlVTRC5IAQAAAN62AQADAAAAAAAJXmLkzXveCF9xUTnOe94IN0NJUS5OWVNFOklCTS5JUV9BU1NFVF9XUklURURPV04uMTk5MS4wNi8wMy8yMDI2Li4uVVNELkgBAAAA3rYBAAMAAAAAAAleYuTNe94I20dROc57</t>
  </si>
  <si>
    <t>3ggzQ0lRLk5ZU0U6SUJNLklRX0ZJTl9ESVZfUkVWLjE5OTEuMDYvMDMvMjAyNi4uLlVTRC5IAQAAAN62AQACAAAAAzczOAEIAAAABQAAAAExAQAAAAstMTk3MTE3NTI4NwMAAAADMTYwAgAAAAI1MgQAAAABMAcAAAAIMy82LzIwMjYIAAAACTkvMzAvMjAyMwkAAAABMAleYuTNe94I20dROc573gg3Q0lRLk5ZU0U6SUJNLklRX1NUT0NLX0JBU0VEX1NHQS4xOTkxLjA2LzAzLzIwMjYuLi5VU0QuSAEAAADetgEAAgAAAAM2MDQBCAAAAAUAAAABMQEAAAALLTE5NzExNzUyODcDAAAAAzE2MAIAAAAFMjI2NzkEAAAAATAHAAAACDMvNi8yMDI2CAAAAAk5LzMwLzIwMjMJAAAAATAJXmLkzXveCF9xUTnOe94IPENJUS5OWVNFOklCTS5JUV9UT1RBTF9VTlVTVUFMX1NVUFBMRS4xOTkxLjA2LzAzLzIwMjYuLi5VU0QuSAEAAADetgEAAwAAAAAACV5i5M173ghfcVE5znveCDVDSVEuTllTRTpJQk0uSVFfTUVSR0VSX1NVUFBMRS4xOTkxLjA2LzAzLzIwMjYuLi5VU0QuSAEAAADetgEAAwAAAAAACV5i5M173ghfcVE5znveCEdDSVEuTllTRTpJQk0uSVFfRElTVFJJQlVUQUJMRV9DQVNIX1NUQU5EQVJESVpFRC4xOTkxLjA2LzAzLzIwMjYuLi5VU0QuSAEAAADetgEAAwAAAAAACV5i5M173ghfcVE5znveCDxDSVEuTllTRTpJQk0uSVFfQ0FQSVRBTElaRURfSU5URVJFU1QuMTk5MS4wNi8wMy8yMDI2Li4uVVNELkgBAAAA</t>
  </si>
  <si>
    <t>3rYBAAMAAAAAAAleYuTNe94IX3FROc573ggsQ0lRLk5ZU0U6SUJNLklRX0RJTFVUX1dFSUdIVC4xOTkxLjA2LzAzLzIwMjYBAAAA3rYBAAIAAAAKOTI2LjI3ODE0OQAJXmLkzXveCHCYUTnOe94INkNJUS5OWVNFOklCTS5JUV9HQUlOX0FTU0VUU19DRi4xOTkxLjA2LzAzLzIwMjYuLi5VU0QuSAEAAADetgEAAgAAAAQtNDAzAQgAAAAFAAAAATEBAAAACy0xOTcxMTc1Mjg3AwAAAAMxNjACAAAABDIwMjYEAAAAATAHAAAACDMvNi8yMDI2CAAAAAk5LzMwLzIwMjMJAAAAATAJXmLkzXveCHCYUTnOe94IQUNJUS5OWVNFOklCTS5JUV9ESVNUUklCVVRBQkxFX0NBU0hfU0hBUkVTX0RJTFVURUQuMTk5MS4wNi8wMy8yMDI2AQAAAN62AQADAAAAAAAJXmLkzXveCM5HUznOe94ISUNJUS5OWVNFOklCTS5JUV9JTlRFUkVTVF9FWFBfTEVBU0VfTElBQklMSVRZX0RFQlQuMTk5MS4wNi8wMy8yMDI2Li4uVVNELkgBAAAA3rYBAAMAAAAAAAleYuTNe94IX3FROc573gg0Q0lRLk5ZU0U6SUJNLklRX0xFR0FMX1NFVFRMRS4xOTkxLjA2LzAzLzIwMjYuLi5VU0QuSAEAAADetgEAAwAAAAAACV5i5M173ghfcVE5znveCDVDSVEuTllTRTpJQk0uSVFfQ1VSUkVOQ1lfR0FJTi4xOTkxLjA2LzAzLzIwMjYuLi5VU0QuSAEAAADetgEAAgAAAAMxNTgBCAAAAAUAAAABMQEAAAALLTE5NzExNzUyODcDAAAAAzE2MAIAAAACMzgEAAAA</t>
  </si>
  <si>
    <t>ATAHAAAACDMvNi8yMDI2CAAAAAk5LzMwLzIwMjMJAAAAATAJXmLkzXveCHCYUTnOe94ILENJUS5OWVNFOklCTS5JUV9DT0dTLjE5OTEuMDYvMDMvMjAyNi4uLlVTRC5IAQAAAN62AQACAAAABTI3MTE2AQgAAAAFAAAAATEBAAAACy0xOTcxMTc1Mjg3AwAAAAMxNjACAAAAAjM0BAAAAAEwBwAAAAgzLzYvMjAyNggAAAAJOS8zMC8yMDIzCQAAAAEwCV5i5M173ghwmFE5znveCDZDSVEuTllTRTpJQk0uSVFfQkFTSUNfRVBTX0VYQ0wuMTk5MS4wNi8wMy8yMDI2Li4uVVNELkgBAAAA3rYBAAIAAAAHNy44MDgzOAEIAAAABQAAAAExAQAAAAstMTk3MTE3NTI4NwMAAAADMTYwAgAAAAQzMDY0BAAAAAEwBwAAAAgzLzYvMjAyNggAAAAJOS8zMC8yMDIzCQAAAAEwCV5i5M173ghwmFE5znveCDlDSVEuTllTRTpJQk0uSVFfTkVUX1JFTlRBTF9FWFBfRk4uMTk5MS4wNi8wMy8yMDI2Li4uVVNELkgBAAAA3rYBAAMAAAAAAAleYuTNe94IcJhROc573gg+Q0lRLk5ZU0U6SUJNLklRX0RFRkVSUkVEX0ZPUkVJR05fVEFYRVMuMTk5MS4wNi8wMy8yMDI2Li4uVVNELkgBAAAA3rYBAAIAAAADMjUyAQgAAAAFAAAAATEBAAAACy0xOTcxMTc1Mjg3AwAAAAMxNjACAAAABDMwNTUEAAAAATAHAAAACDMvNi8yMDI2CAAAAAk5LzMwLzIwMjMJAAAAATAJXmLkzXveCO6/UTnOe94IOUNJUS5OWVNFOklCTS5JUV9JTlZFU1RNRU5UX0lO</t>
  </si>
  <si>
    <t>Q09NRS4xOTkxLjA2LzAzLzIwMjYuLi5VU0QuSAEAAADetgEAAwAAAAAACV5i5M173gjuv1E5znveCC9DSVEuTllTRTpJQk0uSVFfTklfU0ZBUy4xOTkxLjA2LzAzLzIwMjYuLi5VU0QuSAEAAADetgEAAwAAAAAACV5i5M173gjuv1E5znveCD1DSVEuTllTRTpJQk0uSVFfVE9UQUxfUkVWX0FTX1JFUE9SVEVELjE5OTEuMDYvMDMvMjAyNi4uLlVTRC5IAQAAAN62AQACAAAABTYxMTY5AQgAAAAFAAAAATEBAAAACy0xOTcxMTc1Mjg3AwAAAAMxNjACAAAAAzMzOQQAAAABMAcAAAAIMy82LzIwMjYIAAAACTkvMzAvMjAyMwkAAAABMAleYuTNe94I7r9ROc573gg2Q0lRLk5ZU0U6SUJNLklRX0RJTFVUX0VQU19JTkNMLjE5OTEuMDYvMDMvMjAyNi4uLlVTRC5IAQAAAN62AQACAAAACDcuNDcwODI2AQgAAAAFAAAAATEBAAAACy0xOTcxMTc1Mjg3AwAAAAMxNjACAAAAATgEAAAAATAHAAAACDMvNi8yMDI2CAAAAAk5LzMwLzIwMjMJAAAAATAJXmLkzXveCHCYUTnOe94IN0NJUS5OWVNFOklCTS5JUV9FWFRSQV9BQ0NfSVRFTVMuMTk5MS4wNi8wMy8yMDI2Li4uVVNELkgBAAAA3rYBAAMAAAAAAAleYuTNe94Im+ZROc573gg1Q0lRLk5ZU0U6SUJNLklRX05JX0FWQUlMX0VYQ0wuMTk5MS4wNi8wMy8yMDI2Li4uVVNELkgBAAAA3rYBAAIAAAAENzA5OAEIAAAABQAAAAExAQAAAAstMTk3MTE3NTI4NwMAAAADMTYwAgAA</t>
  </si>
  <si>
    <t>AAMzNzkEAAAAATAHAAAACDMvNi8yMDI2CAAAAAk5LzMwLzIwMjMJAAAAATAJXmLkzXveCO6/UTnOe94ILENJUS5OWVNFOklCTS5JUV9JUFJELjE5OTEuMDYvMDMvMjAyNi4uLlVTRC5IAQAAAN62AQADAAAAAAAJXmLkzXveCO6/UTnOe94IOENJUS5OWVNFOklCTS5JUV9ORVRfSU5URVJFU1RfRVhQLjE5OTEuMDYvMDMvMjAyNi4uLlVTRC5IAQAAAN62AQACAAAABC05MjQBCAAAAAUAAAABMQEAAAALLTE5NzExNzUyODcDAAAAAzE2MAIAAAADMzY4BAAAAAEwBwAAAAgzLzYvMjAyNggAAAAJOS8zMC8yMDIzCQAAAAEwCV5i5M173gjuv1E5znveCDhDSVEuTllTRTpJQk0uSVFfU1RPQ0tfQkFTRURfQ09HUy4xOTkxLjA2LzAzLzIwMjYuLi5VU0QuSAEAAADetgEAAgAAAAMxODEBCAAAAAUAAAABMQEAAAALLTE5NzExNzUyODcDAAAAAzE2MAIAAAAFMjI2NzQEAAAAATAHAAAACDMvNi8yMDI2CAAAAAk5LzMwLzIwMjMJAAAAATAJXmLkzXveCO6/UTnOe94IOUNJUS5OWVNFOklCTS5JUV9JTlNfU0VUVExFX1NVUFBMRS4xOTkxLjA2LzAzLzIwMjYuLi5VU0QuSAEAAADetgEAAwAAAAAACV5i5M173gib5lE5znveCDNDSVEuTllTRTpJQk0uSVFfSVBSRF9TVVBQTEUuMTk5MS4wNi8wMy8yMDI2Li4uVVNELkgBAAAA3rYBAAMAAAAAAAleYuTNe94Im+ZROc573gg3Q0lRLk5ZU0U6SUJNLklRX1NBTEVTX01BUktFVElO</t>
  </si>
  <si>
    <t>Ry4xOTkxLjA2LzAzLzIwMjYuLi5VU0QuSAEAAADetgEAAgAAAAQxMjkxAQgAAAAFAAAAATEBAAAACy0xOTcxMTc1Mjg3AwAAAAMxNjACAAAABTIxNTYxBAAAAAEwBwAAAAgzLzYvMjAyNggAAAAJOS8zMC8yMDIzCQAAAAEwCV5i5M173gib5lE5znveCDlDSVEuTllTRTpJQk0uSVFfRElTVFJJQlVUQUJMRV9DQVNIX1BBWU9VVC4xOTkxLjA2LzAzLzIwMjYBAAAA3rYBAAMAAAAAAAleYuTNe94Im+ZROc573ghKQ0lRLk5ZU0U6SUJNLklRX1BST1ZfQkFEX0RFQlRTX1BBVElFTlRfU0VSVklDRV9SRVYuMTk5MS4wNi8wMy8yMDI2Li4uVVNELkgBAAAA3rYBAAMAAAAAAAleYuTNe94Im+ZROc573gg5Q0lRLk5ZU0U6SUJNLklRX0ZFRVNfT1RIRVJfSU5DT01FLjE5OTEuMDYvMDMvMjAyNi4uLlVTRC5IAQAAAN62AQADAAAAAAAJXmLkzXveCNcNUjnOe94IPUNJUS5OWVNFOklCTS5JUV9FQklUQV9FUV9JTkNfRVhDTF9TQkMuMTk5MS4wNi8wMy8yMDI2Li4uVVNELkgBAAAA3rYBAAIAAAAFMTE0OTEBCAAAAAUAAAABMQEAAAALLTE5NzExNzUyODcDAAAAAzE2MAIAAAAFMjQxMzIEAAAAATAHAAAACDMvNi8yMDI2CAAAAAk5LzMwLzIwMjMJAAAAATAJXmLkzXveCJvmUTnOe94IPENJUS5OWVNFOklCTS5JUV9FQklUX0VRX0lOQ19FWENMX1NCQy4xOTkxLjA2LzAzLzIwMjYuLi5VU0QuSAEAAADetgEAAgAAAAUxMDM3</t>
  </si>
  <si>
    <t>OAEIAAAABQAAAAExAQAAAAstMTk3MTE3NTI4NwMAAAADMTYwAgAAAAUyNDEzMAQAAAABMAcAAAAIMy82LzIwMjYIAAAACTkvMzAvMjAyMwkAAAABMAleYuTNe94Im+ZROc573ggyQ0lRLk5ZU0U6SUJNLklRX0lNUEFJUl9PSUwuMTk5MS4wNi8wMy8yMDI2Li4uVVNELkgBAAAA3rYBAAMAAAAAAAleYuTNe94Im+ZROc573gg2Q0lRLk5ZU0U6SUJNLklRX1BST1ZfQkFEX0RFQlRTLjE5OTEuMDYvMDMvMjAyNi4uLlVTRC5IAQAAAN62AQADAAAAAAAJXmLkzXveCJvmUTnOe94IKkNJUS5OWVNFOklCTS5JUV9HUC4xOTkxLjA2LzAzLzIwMjYuLi5VU0QuSAEAAADetgEAAgAAAAUzMzY2NgEIAAAABQAAAAExAQAAAAstMTk3MTE3NTI4NwMAAAADMTYwAgAAAAIxMAQAAAABMAcAAAAIMy82LzIwMjYIAAAACTkvMzAvMjAyMwkAAAABMAleYuTNe94I1w1SOc573ggtQ0lRLk5ZU0U6SUJNLklRX0VCSVRBLjE5OTEuMDYvMDMvMjAyNi4uLlVTRC5IAQAAAN62AQACAAAABTEwMzk5AQgAAAAFAAAAATEBAAAACy0xOTcxMTc1Mjg3AwAAAAMxNjACAAAABjEwMDY4OQQAAAABMAcAAAAIMy82LzIwMjYIAAAACTkvMzAvMjAyMwkAAAABMAleYuTNe94I1w1SOc573ggsQ0lRLk5ZU0U6SUJNLklRX0VCSVQuMTk5MS4wNi8wMy8yMDI2Li4uVVNELkgBAAAA3rYBAAIAAAAEOTI4NgEIAAAABQAAAAExAQAAAAstMTk3MTE3NTI4NwMA</t>
  </si>
  <si>
    <t>AAADMTYwAgAAAAM0MDAEAAAAATAHAAAACDMvNi8yMDI2CAAAAAk5LzMwLzIwMjMJAAAAATAJXmLkzXveCNcNUjnOe94IPENJUS5OWVNFOklCTS5JUV9NSU5PUklUWV9JTlRFUkVTVF9DRi4xOTkxLjA2LzAzLzIwMjYuLi5VU0QuSAEAAADetgEAAwAAAAAACV5i5M173gjXDVI5znveCDxDSVEuTllTRTpJQk0uSVFfUkVTVFJfU1RPQ0tfQ09NUF9UQVguMTk5MS4wNi8wMy8yMDI2Li4uVVNELkgBAAAA3rYBAAMAAAAAAAleYuTNe94I4iFSOc573gg5Q0lRLk5ZU0U6SUJNLklRX1NQRUNJQUxfRElWX1NIQVJFLjE5OTEuMDYvMDMvMjAyNi4uLlVTRC5IAQAAAN62AQADAAAAAAAJXmLkzXveCOIhUjnOe94IJ0NJUS5OWVNFOklCTS5JUV9HQUFQX0lTLjE5OTEuMDYvMDMvMjAyNgEAAADetgEAAwAAAAAACV5i5M173gjiIVI5znveCEFDSVEuTllTRTpJQk0uSVFfTk9OUkVDVVJSSU5HX0lOQ09NRV9UQVhFUy4xOTkxLjA2LzAzLzIwMjYuLi5VU0QuSAEAAADetgEAAgAAAAMxMzMBCAAAAAUAAAABMQEAAAALLTE5NzExNzUyODcDAAAAAzE2MAIAAAAFNDg4MzkEAAAAATAHAAAACDMvNi8yMDI2CAAAAAk5LzMwLzIwMjMJAAAAATAJXmLkzXveCOIhUjnOe94IP0NJUS5OWVNFOklCTS5JUV9MRUFTRV9BREpVU1RNRU5UX0VCSVREQS4xOTkxLjA2LzAzLzIwMjYuLi5VU0QuSAEAAADetgEAAgAAAAYxMTA0LjUACV5i5M17</t>
  </si>
  <si>
    <t>3gjiIVI5znveCC1DSVEuTllTRTpJQk0uSVFfRklMSU5HREFURV9JUy4xOTkxLjA2LzAzLzIwMjYBAAAA3rYBAAUAAAAKMzAvMTAvMjAyNAAJXmLkzXveCOIhUjnOe94IN0NJUS5OWVNFOklCTS5JUV9UT1RBTF9SRVZfU0hBUkUuMTk5MS4wNi8wMy8yMDI2Li4uVVNELkgBAAAA3rYBAAIAAAAJNjcuMjkzMTA2AQgAAAAFAAAAATEBAAAACy0xOTcxMTc1Mjg3AwAAAAMxNjACAAAABDQzODIEAAAAATAHAAAACDMvNi8yMDI2CAAAAAk5LzMwLzIwMjMJAAAAATAJXmLkzXveCOIhUjnOe94IMkNJUS5OWVNFOklCTS5JUV9FQVJOSU5HX0NPLjE5OTEuMDYvMDMvMjAyNi4uLlVTRC5IAQAAAN62AQACAAAABDcwOTgBCAAAAAUAAAABMQEAAAALLTE5NzExNzUyODcDAAAAAzE2MAIAAAABNwQAAAABMAcAAAAIMy82LzIwMjYIAAAACTkvMzAvMjAyMwkAAAABMAleYuTNe94I4iFSOc573gg3Q0lRLk5ZU0U6SUJNLklRX09USEVSX1JFVl9TVVBQTC4xOTkxLjA2LzAzLzIwMjYuLi5VU0QuSAEAAADetgEAAwAAAAAACV5i5M173gjiIVI5znveCDNDSVEuTllTRTpJQk0uSVFfSU5UX0lOVl9JTkMuMTk5MS4wNi8wMy8yMDI2Li4uVVNELkgBAAAA3rYBAAMAAAAAAAleYuTNe94I4iFSOc573gg4Q0lRLk5ZU0U6SUJNLklRX0NIQU5HRV9JTlZFTlRPUlkuMTk5MS4wNi8wMy8yMDI2Li4uVVNELkgBAAAA3rYBAAIAAAACNzEBCAAA</t>
  </si>
  <si>
    <t>AAUAAAABMQEAAAALLTE5NzExNzUyODcDAAAAAzE2MAIAAAAEMjA5OQQAAAABMAcAAAAIMy82LzIwMjYIAAAACTkvMzAvMjAyMwkAAAABMAleYuTNe94IL0lSOc573gg4Q0lRLk5ZU0U6SUJNLklRX1NUT0NLX0JBU0VEX0NPTVAuMTk5MS4wNi8wMy8yMDI2Li4uVVNELkgBAAAA3rYBAAIAAAADODE3AAleYuTNe94IL0lSOc573gg6Q0lRLk5ZU0U6SUJNLklRX0RJU1RSSUJVVEFCTEVfQ0FTSC4xOTkxLjA2LzAzLzIwMjYuLi5VU0QuSAEAAADetgEAAwAAAAAACV5i5M173gjiIVI5znveCDBDSVEuTllTRTpJQk0uSVFfRElMVVRfTkkuMTk5MS4wNi8wMy8yMDI2Li4uVVNELkgBAAAA3rYBAAIAAAALNzA5NC4wNjMzNDQBCAAAAAUAAAABMQEAAAALLTE5NzExNzUyODcDAAAAAzE2MAIAAAAEMzUyMgQAAAABMAcAAAAIMy82LzIwMjYIAAAACTkvMzAvMjAyMwkAAAABMAleYuTNe94I4iFSOc573ggxQ0lRLk5ZU0U6SUJNLklRX0RJVl9TSEFSRS4xOTkxLjA2LzAzLzIwMjYuLi5VU0QuSAEAAADetgEAAgAAAAQ2LjYyAQgAAAAFAAAAATEBAAAACy0xOTcxMTc1Mjg3AwAAAAMxNjACAAAABDMwNTgEAAAAATAHAAAACDMvNi8yMDI2CAAAAAk5LzMwLzIwMjMJAAAAATAJXmLkzXveCC9JUjnOe94IQENJUS5OWVNFOklCTS5JUV9PVEhFUl9OT05fT1BFUl9FWFBfU1VQUEwuMTk5MS4wNi8wMy8yMDI2Li4uVVNELkgBAAAA</t>
  </si>
  <si>
    <t>3rYBAAIAAAADNDQ2AQgAAAAFAAAAATEBAAAACy0xOTcxMTc1Mjg3AwAAAAMxNjACAAAAAjg1BAAAAAEwBwAAAAgzLzYvMjAyNggAAAAJOS8zMC8yMDIzCQAAAAEwCV5i5M173ggvSVI5znveCDBDSVEuTllTRTpJQk0uSVFfREFfU1VQUEwuMTk5MS4wNi8wMy8yMDI2Li4uVVNELkgBAAAA3rYBAAMAAAAAAAleYuTNe94IL0lSOc573ggzQ0lRLk5ZU0U6SUJNLklRX1BSRUZfRElWX0NGLjE5OTEuMDYvMDMvMjAyNi4uLlVTRC5IAQAAAN62AQADAAAAAAAJXmLkzXveCC9JUjnOe94IM0NJUS5OWVNFOklCTS5JUV9DQVNIX0lOVkVTVC4xOTkxLjA2LzAzLzIwMjYuLi5VU0QuSAEAAADetgEAAgAAAAYtMTEyMjUBCAAAAAUAAAABMQEAAAALLTE5NzExNzUyODcDAAAAAzE2MAIAAAAEMjAwNQQAAAABMAcAAAAIMy82LzIwMjYIAAAACTkvMzAvMjAyMwkAAAABMAleYuTNe94IL0lSOc573gg6Q0lRLk5ZU0U6SUJNLklRX1NUT0NLX09QVElPTlNfQ09NUC4xOTkxLjA2LzAzLzIwMjYuLi5VU0QuSAEAAADetgEAAwAAAAAACV5i5M173ggvSVI5znveCDpDSVEuTllTRTpJQk0uSVFfUkVTVFJVQ1RVUkVfU1VQUExFLjE5OTEuMDYvMDMvMjAyNi4uLlVTRC5IAQAAAN62AQADAAAAAAAJXmLkzXveCC9JUjnOe94IM0NJUS5OWVNFOklCTS5JUV9HQUlOX0FTU0VUUy4xOTkxLjA2LzAzLzIwMjYuLi5VU0QuSAEAAADetgEAAgAA</t>
  </si>
  <si>
    <t>AAQtMjQ2AQgAAAAFAAAAATEBAAAACy0xOTcxMTc1Mjg3AwAAAAMxNjACAAAAAjU2BAAAAAEwBwAAAAgzLzYvMjAyNggAAAAJOS8zMC8yMDIzCQAAAAEwCV5i5M173ggvSVI5znveCDFDSVEuTllTRTpJQk0uSVFfU0dBX1NVUFBMLjE5OTEuMDYvMDMvMjAyNi4uLlVTRC5IAQAAAN62AQACAAAABTE4NTk5AQgAAAAFAAAAATEBAAAACy0xOTcxMTc1Mjg3AwAAAAMxNjACAAAAAzEwMgQAAAABMAcAAAAIMy82LzIwMjYIAAAACTkvMzAvMjAyMwkAAAABMAleYuTNe94IL0lSOc573ggrQ0lRLk5ZU0U6SUJNLklRX1JFVi4xOTkxLjA2LzAzLzIwMjYuLi5VU0QuSAEAAADetgEAAgAAAAU2MDQzMwEIAAAABQAAAAExAQAAAAstMTk3MTE3NTI4NwMAAAADMTYwAgAAAAMxMTIEAAAAATAHAAAACDMvNi8yMDI2CAAAAAk5LzMwLzIwMjMJAAAAATAJXmLkzXveCC9JUjnOe94IMkNJUS5OWVNFOklCTS5JUV9ERVBSRV9TVVBQLjE5OTEuMDYvMDMvMjAyNi4uLlVTRC5IAQAAAN62AQADAAAAAAAJXmLkzXveCC9JUjnOe94IOUNJUS5OWVNFOklCTS5JUV9TVE9DS19CQVNFRF9PVEhFUi4xOTkxLjA2LzAzLzIwMjYuLi5VU0QuSAEAAADetgEAAwAAAAAACV5i5M173ggvSVI5znveCC9DSVEuTllTRTpJQk0uSVFfRUZGRUNUX1RBWF9SQVRFLjE5OTEuMDYvMDMvMjAyNgEAAADetgEAAgAAAAYxMy45MDEBCAAAAAUAAAABMQEAAAAL</t>
  </si>
  <si>
    <t>LTE5NzExNzUyODcDAAAAAzE2MAIAAAAENDM3NgQAAAABMAcAAAAIMy82LzIwMjYIAAAACTkvMzAvMjAyMwkAAAABMAleYuTNe94IL0lSOc573ggsQ0lRLk5ZU0U6SUJNLklRX0JBU0lDX1dFSUdIVC4xOTkxLjA2LzAzLzIwMjYBAAAA3rYBAAIAAAAKOTA5LjAyMzI3NwAJXmLkzXveCC9JUjnOe94IK0NJUS5OWVNFOklCTS5JUV9FQlQuMTk5MS4wNi8wMy8yMDI2Li4uVVNELkgBAAAA3rYBAAIAAAAEODI0NAEIAAAABQAAAAExAQAAAAstMTk3MTE3NTI4NwMAAAADMTYwAgAAAAMxMzkEAAAAATAHAAAACDMvNi8yMDI2CAAAAAk5LzMwLzIwMjMJAAAAATAJXmLkzXveCC9JUjnOe94IOENJUS5OWVNFOklCTS5JUV9UT1RBTF9PVEhFUl9PUEVSLjE5OTEuMDYvMDMvMjAyNi4uLlVTRC5IAQAAAN62AQACAAAABTI0MzgwAQgAAAAFAAAAATEBAAAACy0xOTcxMTc1Mjg3AwAAAAMxNjACAAAAAzM4MAQAAAABMAcAAAAIMy82LzIwMjYIAAAACTkvMzAvMjAyMwkAAAABMAleYuTNe94IGoRSOc573gg8Q0lRLk5ZU0U6SUJNLklRX01JTk9SSVRZX0lOVEVSRVNUX0lTLjE5OTEuMDYvMDMvMjAyNi4uLlVTRC5IAQAAAN62AQADAAAAAAAJXmLkzXveCBqEUjnOe94IMENJUS5OWVNFOklCTS5JUV9FQlRfRVhDTC4xOTkxLjA2LzAzLzIwMjYuLi5VU0QuSAEAAADetgEAAgAAAAQ4OTY2AQgAAAAFAAAAATEBAAAACy0xOTcxMTc1</t>
  </si>
  <si>
    <t>Mjg3AwAAAAMxNjACAAAAATQEAAAAATAHAAAACDMvNi8yMDI2CAAAAAk5LzMwLzIwMjMJAAAAATAJXmLkzXveCBqEUjnOe94INkNJUS5OWVNFOklCTS5JUV9QUkVGX0RJVl9PVEhFUi4xOTkxLjA2LzAzLzIwMjYuLi5VU0QuSAEAAADetgEAAwAAAAAACV5i5M173ggahFI5znveCDZDSVEuTllTRTpJQk0uSVFfRElMVVRfRVBTX05PUk0uMTk5MS4wNi8wMy8yMDI2Li4uVVNELkgBAAAA3rYBAAIAAAAINi4wNDk3NDgBCAAAAAUAAAABMQEAAAALLTE5NzExNzUyODcDAAAAAzE2MAIAAAAENDM4MAQAAAABMAcAAAAIMy82LzIwMjYIAAAACTkvMzAvMjAyMwkAAAABMAleYuTNe94IL0lSOc573ggvQ0lRLk5ZU0U6SUJNLklRX1BFUklPRExFTkdUSF9JUy4xOTkxLjA2LzAzLzIwMjYBAAAA3rYBAAEAAAACMTIACV5i5M173ggahFI5znveCDJDSVEuTllTRTpJQk0uSVFfQ09NTU9OX0RJVi4xOTkxLjA2LzAzLzIwMjYuLi5VU0QuSAEAAADetgEAAgAAAAQ2MDE2AAleYuTNe94IGoRSOc573gg2Q0lRLk5ZU0U6SUJNLklRX1NUT0NLX0JBU0VEX1JELjE5OTEuMDYvMDMvMjAyNi4uLlVTRC5IAQAAAN62AQACAAAAAzMwNwEIAAAABQAAAAExAQAAAAstMTk3MTE3NTI4NwMAAAADMTYwAgAAAAUyMjY3OAQAAAABMAcAAAAIMy82LzIwMjYIAAAACTkvMzAvMjAyMwkAAAABMAleYuTNe94IGoRSOc573ggyQ0lRLk5ZU0U6SUJN</t>
  </si>
  <si>
    <t>LklRX09JTF9JTVBBSVIuMTk5MS4wNi8wMy8yMDI2Li4uVVNELkgBAAAA3rYBAAMAAAAAAAleYuTNe94IGoRSOc573gg1Q0lRLk5ZU0U6SUJNLklRX0VYUExPUkVfRFJJTEwuMTk5MS4wNi8wMy8yMDI2Li4uVVNELkgBAAAA3rYBAAMAAAAAAAleYuTNe94IgqtSOc573ggxQ0lRLk5ZU0U6SUJNLklRX1RPVEFMX1JFVi4xOTkxLjA2LzAzLzIwMjYuLi5VU0QuSAEAAADetgEAAgAAAAU2MTE3MQEIAAAABQAAAAExAQAAAAstMTk3MTE3NTI4NwMAAAADMTYwAgAAAAIyOAQAAAABMAcAAAAIMy82LzIwMjYIAAAACTkvMzAvMjAyMwkAAAABMAleYuTNe94IgqtSOc573ggzQ0lRLk5ZU0U6SUJNLklRX0lOU19ESVZfRVhQLjE5OTEuMDYvMDMvMjAyNi4uLlVTRC5IAQAAAN62AQADAAAAAAAJXmLkzXveCBqEUjnOe94INENJUS5OWVNFOklCTS5JUV9JTlRFUkVTVF9FWFAuMTk5MS4wNi8wMy8yMDI2Li4uVVNELkgBAAAA3rYBAAIAAAAFLTE1MTUBCAAAAAUAAAABMQEAAAALLTE5NzExNzUyODcDAAAAAzE2MAIAAAACODIEAAAAATAHAAAACDMvNi8yMDI2CAAAAAk5LzMwLzIwMjMJAAAAATAJXmLkzXveCBqEUjnOe94INUNJUS5OWVNFOklCTS5JUV9FQklUREFfRVFfSU5DLjE5OTEuMDYvMDMvMjAyNi4uLlVTRC5IAQAAAN62AQACAAAABzEyOTQxLjUBCAAAAAUAAAABMQEAAAALLTE5NzExNzUyODcDAAAAAzE2MAIAAAAF</t>
  </si>
  <si>
    <t>MjE2NzcEAAAAATAHAAAACDMvNi8yMDI2CAAAAAk5LzMwLzIwMjMJAAAAATAJXmLkzXveCBqEUjnOe94INUNJUS5OWVNFOklCTS5JUV9FQklUX0VYQ0xfU0JDLjE5OTEuMDYvMDMvMjAyNi4uLlVTRC5IAQAAAN62AQACAAAABTEwMzc4AQgAAAAFAAAAATEBAAAACy0xOTcxMTc1Mjg3AwAAAAMxNjACAAAABTI0MTM0BAAAAAEwBwAAAAgzLzYvMjAyNggAAAAJOS8zMC8yMDIzCQAAAAEwCV5i5M173giCq1I5znveCDRDSVEuTllTRTpJQk0uSVFfRUJJVEFfRVFfSU5DLjE5OTEuMDYvMDMvMjAyNi4uLlVTRC5IAQAAAN62AQACAAAABTEwMzk5AQgAAAAFAAAAATEBAAAACy0xOTcxMTc1Mjg3AwAAAAMxNjACAAAABTIxNjc2BAAAAAEwBwAAAAgzLzYvMjAyNggAAAAJOS8zMC8yMDIzCQAAAAEwCV5i5M173giCq1I5znveCDJDSVEuTllTRTpJQk0uSVFfSU5TX1NFVFRMRS4xOTkxLjA2LzAzLzIwMjYuLi5VU0QuSAEAAADetgEAAwAAAAAACV5i5M173giCq1I5znveCDdDSVEuTllTRTpJQk0uSVFfRUJJVERBX0VYQ0xfU0JDLjE5OTEuMDYvMDMvMjAyNi4uLlVTRC5IAQAAAN62AQACAAAABTEyOTI5AQgAAAAFAAAAATEBAAAACy0xOTcxMTc1Mjg3AwAAAAMxNjACAAAABTI0MTM1BAAAAAEwBwAAAAgzLzYvMjAyNggAAAAJOS8zMC8yMDIzCQAAAAEwCV5i5M173giCq1I5znveCDZDSVEuTllTRTpJQk0uSVFfRUJJVEFf</t>
  </si>
  <si>
    <t>RVhDTF9TQkMuMTk5MS4wNi8wMy8yMDI2Li4uVVNELkgBAAAA3rYBAAIAAAAFMTE0OTEBCAAAAAUAAAABMQEAAAALLTE5NzExNzUyODcDAAAAAzE2MAIAAAAFMjQxMzYEAAAAATAHAAAACDMvNi8yMDI2CAAAAAk5LzMwLzIwMjMJAAAAATAJXmLkzXveCIKrUjnOe94IQUNJUS5OWVNFOklCTS5JUV9FQVJOSU5HX1BBUkVOVF9FWENMX0VYVFJBLjE5OTEuMDYvMDMvMjAyNi4uLlVTRC5IAQAAAN62AQACAAAABDcwOTgBCAAAAAUAAAABMQEAAAALLTE5NzExNzUyODcDAAAAAzE2MAIAAAAFNDE1OTYEAAAAATAHAAAACDMvNi8yMDI2CAAAAAk5LzMwLzIwMjMJAAAAATAJXmLkzXveCIKrUjnOe94IPkNJUS5OWVNFOklCTS5JUV9BTk5VX0RJU1RSSUJVVElPTl9VTklULjE5OTEuMDYvMDMvMjAyNi4uLlVTRC5IAQAAAN62AQADAAAAAAAJXmLkzXveCIKrUjnOe94IN0NJUS5OWVNFOklCTS5JUV9HQUlOX0FTU0VUU19SRVYuMTk5MS4wNi8wMy8yMDI2Li4uVVNELkgBAAAA3rYBAAMAAAAAAAleYuTNe94IgqtSOc573ggzQ0lRLk5ZU0U6SUJNLklRX1NUT0NLX0JBU0VELjE5OTEuMDYvMDMvMjAyNi4uLlVTRC5IAQAAAN62AQADAAAAAAAJXmLkzXveCIKrUjnOe94IMkNJUS5OWVNFOklCTS5JUV9PVEhFUl9PUEVSLjE5OTEuMDYvMDMvMjAyNi4uLlVTRC5IAQAAAN62AQACAAAABC04NTABCAAAAAUAAAABMQEAAAALLTE5</t>
  </si>
  <si>
    <t>NzExNzUyODcDAAAAAzE2MAIAAAADMjYwBAAAAAEwBwAAAAgzLzYvMjAyNggAAAAJOS8zMC8yMDIzCQAAAAEwCV5i5M173giCq1I5znveCC5DSVEuTllTRTpJQk0uSVFfTUVSR0VSLjE5OTEuMDYvMDMvMjAyNi4uLlVTRC5IAQAAAN62AQACAAAAAy00MwEIAAAABQAAAAExAQAAAAstMTk3MTE3NTI4NwMAAAADMTYwAgAAAAI4MAQAAAABMAcAAAAIMy82LzIwMjYIAAAACTkvMzAvMjAyMwkAAAABMAleYuTNe94Io9JSOc573ggyQ0lRLk5ZU0U6SUJNLklRX05JX0NPTVBBTlkuMTk5MS4wNi8wMy8yMDI2Li4uVVNELkgBAAAA3rYBAAIAAAAENjkyNAEIAAAABQAAAAExAQAAAAstMTk3MTE3NTI4NwMAAAADMTYwAgAAAAU0MTU3MQQAAAABMAcAAAAIMy82LzIwMjYIAAAACTkvMzAvMjAyMwkAAAABMAleYuTNe94Io9JSOc573gg2Q0lRLk5ZU0U6SUJNLklRX0VCSVREQVJfRVFfSU5DLjE5OTEuMDYvMDMvMjAyNi4uLlVTRC5IAQAAAN62AQADAAAAAAAJXmLkzXveCKPSUjnOe94IOENJUS5OWVNFOklCTS5JUV9FQklUREFSX0VYQ0xfU0JDLjE5OTEuMDYvMDMvMjAyNi4uLlVTRC5IAQAAAN62AQADAAAAAAAJXmLkzXveCKPSUjnOe94IN0NJUS5OWVNFOklCTS5JUV9JTlRFUkVTVF9JTkNPTUUuMTk5MS4wNi8wMy8yMDI2Li4uVVNELkgBAAAA3rYBAAIAAAADNTkxAQgAAAAFAAAAATEBAAAACy0xOTcxMTc1Mjg3AwAA</t>
  </si>
  <si>
    <t>AAMxNjACAAAAAzIxMAQAAAABMAcAAAAIMy82LzIwMjYIAAAACTkvMzAvMjAyMwkAAAABMAleYuTNe94IgqtSOc573ggrQ0lRLk5ZU0U6SUJNLklRX0RJQy4xOTkxLjA2LzAzLzIwMjYuLi5VU0QuSAEAAADetgEAAwAAAAAACV5i5M173gij0lI5znveCDRDSVEuTllTRTpJQk0uSVFfTUFJTlRfUkVQQUlSLjE5OTEuMDYvMDMvMjAyNi4uLlVTRC5IAQAAAN62AQADAAAAAAAJXmLkzXveCKPSUjnOe94IP0NJUS5OWVNFOklCTS5JUV9TQUxBUklFU19PVEhFUl9CRU5FRklUUy4xOTkxLjA2LzAzLzIwMjYuLi5VU0QuSAEAAADetgEAAwAAAAAACV5i5M173gij0lI5znveCDlDSVEuTllTRTpJQk0uSVFfU1RPQ0tfQkFTRURfVE9UQUwuMTk5MS4wNi8wMy8yMDI2Li4uVVNELkgBAAAA3rYBAAIAAAAEMTA5MgEIAAAABQAAAAExAQAAAAstMTk3MTE3NTI4NwMAAAADMTYwAgAAAAUyNDAzNAQAAAABMAcAAAAIMy82LzIwMjYIAAAACTkvMzAvMjAyMwkAAAABMAleYuTNe94Io9JSOc573ggzQ0lRLk5ZU0U6SUJNLklRX1NBTEVfUFBFX0NGLjE5OTEuMDYvMDMvMjAyNi4uLlVTRC5IAQAAAN62AQACAAAAAzE1MAEIAAAABQAAAAExAQAAAAstMTk3MTE3NTI4NwMAAAADMTYwAgAAAAQyMDQyBAAAAAEwBwAAAAgzLzYvMjAyNggAAAAJOS8zMC8yMDIzCQAAAAEwCV5i5M173gij0lI5znveCDtDSVEuTllTRTpJQk0uSVFfT1RI</t>
  </si>
  <si>
    <t>RVJfVU5VU1VBTF9TVVBQTC4xOTkxLjA2LzAzLzIwMjYuLi5VU0QuSAEAAADetgEAAgAAAAEwAQgAAAAFAAAAATEBAAAACy0xOTcxMTc1Mjg3AwAAAAMxNjACAAAAAjg3BAAAAAEwBwAAAAgzLzYvMjAyNggAAAAJOS8zMC8yMDIzCQAAAAEwCV5i5M173gir+VI5znveCDZDSVEuTllTRTpJQk0uSVFfRElMVVRfRVBTX0VYQ0wuMTk5MS4wNi8wMy8yMDI2Li4uVVNELkgBAAAA3rYBAAIAAAAINy42NTg2NzUBCAAAAAUAAAABMQEAAAALLTE5NzExNzUyODcDAAAAAzE2MAIAAAADMTQyBAAAAAEwBwAAAAgzLzYvMjAyNggAAAAJOS8zMC8yMDIzCQAAAAEwCV5i5M173gir+VI5znveCD9DSVEuTllTRTpJQk0uSVFfRVhDSVNFX1RBWEVTX0VYQ0xfU0FMRVMuMTk5MS4wNi8wMy8yMDI2Li4uVVNELkgBAAAA3rYBAAMAAAAAAAleYuTNe94Io9JSOc573gg7Q0lRLk5ZU0U6SUJNLklRX0NVUlJfRE9NRVNUSUNfVEFYRVMuMTk5MS4wNi8wMy8yMDI2Li4uVVNELkgBAAAA3rYBAAIAAAADNTc1AQgAAAAFAAAAATEBAAAACy0xOTcxMTc1Mjg3AwAAAAMxNjACAAAABDMwMjcEAAAAATAHAAAACDMvNi8yMDI2CAAAAAk5LzMwLzIwMjMJAAAAATAJXmLkzXveCKPSUjnOe94IMkNJUS5OWVNFOklCTS5JUV9DVVJSX1RBWEVTLjE5OTEuMDYvMDMvMjAyNi4uLlVTRC5IAQAAAN62AQACAAAABDIyNTEBCAAAAAUAAAABMQEAAAALLTE5</t>
  </si>
  <si>
    <t>NzExNzUyODcDAAAAAzE2MAIAAAAFMzUzODMEAAAAATAHAAAACDMvNi8yMDI2CAAAAAk5LzMwLzIwMjMJAAAAATAJXmLkzXveCKPSUjnOe94IOUNJUS5OWVNFOklCTS5JUV9DT05USU5HRU5UX1JFTlRBTC4xOTkxLjA2LzAzLzIwMjYuLi5VU0QuSAEAAADetgEAAwAAAAAACV5i5M173gir+VI5znveCDtDSVEuTllTRTpJQk0uSVFfTEVHQUxfU0VUVExFX1NVUFBMRS4xOTkxLjA2LzAzLzIwMjYuLi5VU0QuSAEAAADetgEAAwAAAAAACV5i5M173gir+VI5znveCC9DSVEuTllTRTpJQk0uSVFfUEVSSU9ETEVOR1RIX0NGLjE5OTEuMDYvMDMvMjAyNgEAAADetgEAAQAAAAIxMgAJXmLkzXveCKv5UjnOe94IOUNJUS5OWVNFOklCTS5JUV9DQVNIX1RBWEVTX0lOVkVTVC4xOTkxLjA2LzAzLzIwMjYuLi5VU0QuSAEAAADetgEAAwAAAAAACV5i5M173gir+VI5znveCDNDSVEuTllTRTpJQk0uSVFfR0FJTl9JTlZFU1QuMTk5MS4wNi8wMy8yMDI2Li4uVVNELkgBAAAA3rYBAAIAAAADLTE5AQgAAAAFAAAAATEBAAAACy0xOTcxMTc1Mjg3AwAAAAMxNjACAAAAAjYyBAAAAAEwBwAAAAgzLzYvMjAyNggAAAAJOS8zMC8yMDIzCQAAAAEwCV5i5M173gir+VI5znveCDVDSVEuTllTRTpJQk0uSVFfQUlSQ1JBRlRfUkVOVC4xOTkxLjA2LzAzLzIwMjYuLi5VU0QuSAEAAADetgEAAwAAAAAACV5i5M173gir+VI5znveCDhDSVEu</t>
  </si>
  <si>
    <t>TllTRTpJQk0uSVFfR0FJTl9CQVJHQUlOX0FDUS4xOTkxLjA2LzAzLzIwMjYuLi5VU0QuSAEAAADetgEAAwAAAAAACV5i5M173gir+VI5znveCEFDSVEuTllTRTpJQk0uSVFfU1RPQ0tfQkFTRURfRVhQTE9SRV9EUklMTC4xOTkxLjA2LzAzLzIwMjYuLi5VU0QuSAEAAADetgEAAwAAAAAACV5i5M173gir+VI5znveCD9DSVEuTllTRTpJQk0uSVFfUkVTVFJfU1RPQ0tfQ09NUF9QUkVUQVguMTk5MS4wNi8wMy8yMDI2Li4uVVNELkgBAAAA3rYBAAMAAAAAAAleYuTNe94Iq/lSOc573gg2Q0lRLk5ZU0U6SUJNLklRX0dBSU5fSU5WRVNUX0NGLjE5OTEuMDYvMDMvMjAyNi4uLlVTRC5IAQAAAN62AQADAAAAAAAJXmLkzXveCKv5UjnOe94IM0NJUS5OWVNFOklCTS5JUV9GSU5fRElWX0VYUC4xOTkxLjA2LzAzLzIwMjYuLi5VU0QuSAEAAADetgEAAgAAAAMzODkBCAAAAAUAAAABMQEAAAALLTE5NzExNzUyODcDAAAAAzE2MAIAAAACNTEEAAAAATAHAAAACDMvNi8yMDI2CAAAAAk5LzMwLzIwMjMJAAAAATAJXmLkzXveCK8gUznOe94IMENJUS5OWVNFOklCTS5JUV9PUEVSX0lOQy4xOTkxLjA2LzAzLzIwMjYuLi5VU0QuSAEAAADetgEAAgAAAAQ5Mjg2AQgAAAAFAAAAATEBAAAACy0xOTcxMTc1Mjg3AwAAAAMxNjACAAAAAjIxBAAAAAEwBwAAAAgzLzYvMjAyNggAAAAJOS8zMC8yMDIzCQAAAAEwCV5i5M173givIFM5</t>
  </si>
  <si>
    <t>znveCCpDSVEuTllTRTpJQk0uSVFfTkkuMTk5MS4wNi8wMy8yMDI2Li4uVVNELkgBAAAA3rYBAAIAAAAENjkyNAEIAAAABQAAAAExAQAAAAstMTk3MTE3NTI4NwMAAAADMTYwAgAAAAIxNQQAAAABMAcAAAAIMy82LzIwMjYIAAAACTkvMzAvMjAyMwkAAAABMAleYuTNe94IryBTOc573ggwQ0lRLk5ZU0U6SUJNLklRX0VQU19OT1JNLjE5OTEuMDYvMDMvMjAyNi4uLlVTRC5IAQAAAN62AQACAAAACDYuMTY0NTgzAQgAAAAFAAAAATEBAAAACy0xOTcxMTc1Mjg3AwAAAAMxNjACAAAABDQzNzkEAAAAATAHAAAACDMvNi8yMDI2CAAAAAk5LzMwLzIwMjMJAAAAATAJXmLkzXveCKv5UjnOe94ILUNJUS5OWVNFOklCTS5JUV9EQV9DRi4xOTkxLjA2LzAzLzIwMjYuLi5VU0QuSAEAAADetgEAAgAAAAQzMjUxAQgAAAAFAAAAATEBAAAACy0xOTcxMTc1Mjg3AwAAAAMxNjACAAAABDIxNjAEAAAAATAHAAAACDMvNi8yMDI2CAAAAAk5LzMwLzIwMjMJAAAAATAJXmLkzXveCKv5UjnOe94IO0NJUS5OWVNFOklCTS5JUV9EQV9TVVBQTF9QQVJUSUFMX0NGLjE5OTEuMDYvMDMvMjAyNi4uLlVTRC5IAQAAAN62AQADAAAAAAAJXmLkzXveCK8gUznOe94ILkNJUS5OWVNFOklCTS5JUV9SRF9FWFAuMTk5MS4wNi8wMy8yMDI2Li4uVVNELkgBAAAA3rYBAAIAAAAENjYzMQEIAAAABQAAAAExAQAAAAstMTk3MTE3NTI4NwMAAAADMTYw</t>
  </si>
  <si>
    <t>AgAAAAMxMDAEAAAAATAHAAAACDMvNi8yMDI2CAAAAAk5LzMwLzIwMjMJAAAAATAJXmLkzXveCK8gUznOe94IM0NJUS5OWVNFOklCTS5JUV9SRVNUUlVDVFVSRS4xOTkxLjA2LzAzLzIwMjYuLi5VU0QuSAEAAADetgEAAgAAAAQtNDE0AQgAAAAFAAAAATEBAAAACy0xOTcxMTc1Mjg3AwAAAAMxNjACAAAAAjk4BAAAAAEwBwAAAAgzLzYvMjAyNggAAAAJOS8zMC8yMDIzCQAAAAEwCV5i5M173givIFM5znveCC9DSVEuTllTRTpJQk0uSVFfSU5DX1RBWC4xOTkxLjA2LzAzLzIwMjYuLi5VU0QuSAEAAADetgEAAgAAAAQxMTQ2AQgAAAAFAAAAATEBAAAACy0xOTcxMTc1Mjg3AwAAAAMxNjACAAAAAjc1BAAAAAEwBwAAAAgzLzYvMjAyNggAAAAJOS8zMC8yMDIzCQAAAAEwCV5i5M173givIFM5znveCExDSVEuTllTRTpJQk0uSVFfRElTVFJJQlVUQUJMRV9DQVNIX1BFUl9TSEFSRV9ESUxVVEVELjE5OTEuMDYvMDMvMjAyNi4uLlVTRC5IAQAAAN62AQADAAAAAAAJXmLkzXveCK8gUznOe94INkNJUS5OWVNFOklCTS5JUV9ORVRfUkVOVEFMX0VYUC4xOTkxLjA2LzAzLzIwMjYuLi5VU0QuSAEAAADetgEAAwAAAAAACV5i5M173givIFM5znveCEFDSVEuTllTRTpJQk0uSVFfU1RPQ0tfT1BUSU9OU19DT01QX1BSRVRBWC4xOTkxLjA2LzAzLzIwMjYuLi5VU0QuSAEAAADetgEAAwAAAAAACV5i5M173givIFM5znveCDVD</t>
  </si>
  <si>
    <t>SVEuTllTRTpJQk0uSVFfTklfQVZBSUxfSU5DTC4xOTkxLjA2LzAzLzIwMjYuLi5VU0QuSAEAAADetgEAAgAAAAQ2OTI0AQgAAAAFAAAAATEBAAAACy0xOTcxMTc1Mjg3AwAAAAMxNjACAAAAAjE2BAAAAAEwBwAAAAgzLzYvMjAyNggAAAAJOS8zMC8yMDIzCQAAAAEwCV5i5M173givIFM5znveCC5DSVEuTllTRTpJQk0uSVFfRUJJVERBLjE5OTEuMDYvMDMvMjAyNi4uLlVTRC5IAQAAAN62AQACAAAABTExODM3AQgAAAAFAAAAATEBAAAACy0xOTcxMTc1Mjg3AwAAAAMxNjACAAAABDQwNTEEAAAAATAHAAAACDMvNi8yMDI2CAAAAAk5LzMwLzIwMjMJAAAAATAJXmLkzXveCK8gUznOe94IPkNJUS5OWVNFOklCTS5JUV9FQklUREFfRVFfSU5DX0VYQ0xfU0JDLjE5OTEuMDYvMDMvMjAyNi4uLlVTRC5IAQAAAN62AQACAAAABTEyOTI5AQgAAAAFAAAAATEBAAAACy0xOTcxMTc1Mjg3AwAAAAMxNjACAAAABTI0MTMxBAAAAAEwBwAAAAgzLzYvMjAyNggAAAAJOS8zMC8yMDIzCQAAAAEwCV5i5M173gjOR1M5znveCD1DSVEuTllTRTpJQk0uSVFfRUJJVERBX0xFQVNFX0FESlVTVEVELjE5OTEuMDYvMDMvMjAyNi4uLlVTRC5IAQAAAN62AQACAAAABzEyOTQxLjUBCAAAAAUAAAABMQEAAAALLTE5NzExNzUyODcDAAAAAzE2MAIAAAAFNDg5OTMEAAAAATAHAAAACDMvNi8yMDI2CAAAAAk5LzMwLzIwMjMJAAAAATAJXmLk</t>
  </si>
  <si>
    <t>zXveCM5HUznOe94IQENJUS5OWVNFOklCTS5JUV9JTVBVVF9PUEVSX0xFQVNFX0lOVF9FWFAuMTk5MS4wNi8wMy8yMDI2Li4uVVNELkgBAAAA3rYBAAMAAAAAAAleYuTNe94IzkdTOc573gg2Q0lRLk5ZU0U6SUJNLklRX0NIQU5HRV9ERUZfVEFYLjE5OTEuMDYvMDMvMjAyNi4uLlVTRC5IAQAAAN62AQADAAAAAAAJXmLkzXveCM5HUznOe94IMkNJUS5OWVNFOklCTS5JUV9DQVNIX0ZJTkFOLjE5OTEuMDYvMDMvMjAyNi4uLlVTRC5IAQAAAN62AQACAAAABS0zMDA2AQgAAAAFAAAAATEBAAAACy0xOTcxMTc1Mjg3AwAAAAMxNjACAAAABDIwMDQEAAAAATAHAAAACDMvNi8yMDI2CAAAAAk5LzMwLzIwMjMJAAAAATAJXmLkzXveCM5HUznOe94IM0NJUS5OWVNFOklCTS5JUV9FQklUX0VRX0lOQy4xOTkxLjA2LzAzLzIwMjYuLi5VU0QuSAEAAADetgEAAgAAAAQ5Mjg2AQgAAAAFAAAAATEBAAAACy0xOTcxMTc1Mjg3AwAAAAMxNjACAAAABTIxNjc1BAAAAAEwBwAAAAgzLzYvMjAyNggAAAAJOS8zMC8yMDIzCQAAAAEwCV5i5M173gjOR1M5znveCC9DSVEuTllTRTpJQk0uSVFfRUJJVERBUi4xOTkxLjA2LzAzLzIwMjYuLi5VU0QuSAEAAADetgEAAwAAAAAACV5i5M173gjOR1M5znveCD9DSVEuTllTRTpJQk0uSVFfRUJJVERBUl9FUV9JTkNfRVhDTF9TQkMuMTk5MS4wNi8wMy8yMDI2Li4uVVNELkgBAAAA3rYBAAMA</t>
  </si>
  <si>
    <t>AAAAAAleYuTNe94IzkdTOc573ggvQ0lRLk5ZU0U6SUJNLklRX05JX05PUk0uMTk5MS4wNi8wMy8yMDI2Li4uVVNELkgBAAAA3rYBAAIAAAAHNTYwMy43NQEIAAAABQAAAAExAQAAAAstMTk3MTE3NTI4NwMAAAADMTYwAgAAAAQ0Mzc4BAAAAAEwBwAAAAgzLzYvMjAyNggAAAAJOS8zMC8yMDIzCQAAAAEwCV5i5M173gjOR1M5znveCDZDSVEuTllTRTpJQk0uSVFfTUlOSU1VTV9SRU5UQUwuMTk5MS4wNi8wMy8yMDI2Li4uVVNELkgBAAAA3rYBAAMAAAAAAAleYuTNe94IzkdTOc573ghCQ0lRLk5ZU0U6SUJNLklRX0RFUFJFQ0lBVElPTl9SRU5UQUxfQVNTRVRTLjE5OTEuMDYvMDMvMjAyNi4uLlVTRC5IAQAAAN62AQADAAAAAAAJXmLkzXveCM1uUznOe94IM0NJUS5OWVNFOklCTS5JUV9EQV9TVVBQTF9DRi4xOTkxLjA2LzAzLzIwMjYuLi5VU0QuSAEAAADetgEAAgAAAAQyMTM4AQgAAAAFAAAAATEBAAAACy0xOTcxMTc1Mjg3AwAAAAMxNjACAAAABDIxNzEEAAAAATAHAAAACDMvNi8yMDI2CAAAAAk5LzMwLzIwMjMJAAAAATAJXmLkzXveCM1uUznOe94IM0NJUS5OWVNFOklCTS5JUV9JTlNfRElWX1JFVi4xOTkxLjA2LzAzLzIwMjYuLi5VU0QuSAEAAADetgEAAwAAAAAACV5i5M173gjOR1M5znveCDtDSVEuTllTRTpJQk0uSVFfSU5URVJFU1RfSU5WRVNUX0lOQy4xOTkxLjA2LzAzLzIwMjYuLi5VU0QuSAEA</t>
  </si>
  <si>
    <t>AADetgEAAgAAAAM1OTEBCAAAAAUAAAABMQEAAAALLTE5NzExNzUyODcDAAAAAzE2MAIAAAACNjUEAAAAATAHAAAACDMvNi8yMDI2CAAAAAk5LzMwLzIwMjMJAAAAATAJXmLkzXveCM5HUznOe94INkNJUS5OWVNFOklCTS5JUV9HV19JTlRBTl9BTU9SVC4xOTkxLjA2LzAzLzIwMjYuLi5VU0QuSAEAAADetgEAAwAAAAAACV5i5M173gjOR1M5znveCDVDSVEuTllTRTpJQk0uSVFfSU1QQUlSTUVOVF9HVy4xOTkxLjA2LzAzLzIwMjYuLi5VU0QuSAEAAADetgEAAwAAAAAACV5i5M173giTglM5znveCCpDSVEuTllTRTpJQk0uSVFfRE8uMTk5MS4wNi8wMy8yMDI2Li4uVVNELkgBAAAA3rYBAAIAAAAELTE3NAEIAAAABQAAAAExAQAAAAstMTk3MTE3NTI4NwMAAAADMTYwAgAAAAI0MAQAAAABMAcAAAAIMy82LzIwMjYIAAAACTkvMzAvMjAyMwkAAAABMAleYuTNe94Ik4JTOc573gg2Q0lRLk5ZU0U6SUJNLklRX0JBU0lDX0VQU19JTkNMLjE5OTEuMDYvMDMvMjAyNi4uLlVTRC5IAQAAAN62AQACAAAACDcuNjE2OTY2AQgAAAAFAAAAATEBAAAACy0xOTcxMTc1Mjg3AwAAAAMxNjACAAAAATkEAAAAATAHAAAACDMvNi8yMDI2CAAAAAk5LzMwLzIwMjMJAAAAATAJXmLkzXveCJOCUznOe94IKkNJUS5OWVNFOklCTS5JUV9TQU1FX1NUT1JFLjE5OTEuMDYvMDMvMjAyNgEAAADetgEAAwAAAAAACV5i5M173gjNblM5znve</t>
  </si>
  <si>
    <t>CD9DSVEuTllTRTpJQk0uSVFfRVhDSVNFX1RBWEVTX0lOQ0xfU0FMRVMuMTk5MS4wNi8wMy8yMDI2Li4uVVNELkgBAAAA3rYBAAMAAAAAAAleYuTNe94IzW5TOc573gg/Q0lRLk5ZU0U6SUJNLklRX0RFRkVSUkVEX0RPTUVTVElDX1RBWEVTLjE5OTEuMDYvMDMvMjAyNi4uLlVTRC5IAQAAAN62AQACAAAABS0zMTMxAQgAAAAFAAAAATEBAAAACy0xOTcxMTc1Mjg3AwAAAAMxNjACAAAABDMwNTQEAAAAATAHAAAACDMvNi8yMDI2CAAAAAk5LzMwLzIwMjMJAAAAATAJXmLkzXveCJOCUznOe94IPENJUS5OWVNFOklCTS5JUV9ERUZFUlJFRF9UQVhFU19UT1RBTC4xOTkxLjA2LzAzLzIwMjYuLi5VU0QuSAEAAADetgEAAgAAAAUtMjg3OQEIAAAABQAAAAExAQAAAAstMTk3MTE3NTI4NwMAAAADMTYwAgAAAAUzNTM4NQQAAAABMAcAAAAIMy82LzIwMjYIAAAACTkvMzAvMjAyMwkAAAABMAleYuTNe94Ik4JTOc573gg4Q0lRLk5ZU0U6SUJNLklRX0lOVF9FWFBfSU5DTF9DQVAuMTk5MS4wNi8wMy8yMDI2Li4uVVNELkgBAAAA3rYBAAIAAAAEMTUyMwEIAAAABQAAAAExAQAAAAstMTk3MTE3NTI4NwMAAAADMTYwAgAAAAUyMTg2MQQAAAABMAcAAAAIMy82LzIwMjYIAAAACTkvMzAvMjAyMwkAAAABMAleYuTNe94Ik4JTOc573gg+Q0lRLk5ZU0U6SUJNLklRX1NUT0NLX09QVElPTlNfQ09NUF9UQVguMTk5MS4wNi8wMy8y</t>
  </si>
  <si>
    <t>MDI2Li4uVVNELkgBAAAA3rYBAAMAAAAAAAleYuTNe94Ik4JTOc573ggqQ0lRLk5ZU0U6SUJNLklRX0ZYLjE5OTEuMDYvMDMvMjAyNi4uLlVTRC5IAQAAAN62AQACAAAAAjk5AQgAAAAFAAAAATEBAAAACy0xOTcxMTc1Mjg3AwAAAAMxNjACAAAABDIxNDQEAAAAATAHAAAACDMvNi8yMDI2CAAAAAk5LzMwLzIwMjMJAAAAATAJXmLkzXveCJOCUznOe94IN0NJUS5OWVNFOklCTS5JUV9HQUlOX0lOVkVTVF9SRVYuMTk5MS4wNi8wMy8yMDI2Li4uVVNELkgBAAAA3rYBAAMAAAAAAAleYuTNe94IH6pTOc573gg1Q0lRLk5ZU0U6SUJNLklRX1BSRV9PUEVOX0NPU1QuMTk5MS4wNi8wMy8yMDI2Li4uVVNELkgBAAAA3rYBAAMAAAAAAAleYuTNe94Ik4JTOc573ggyQ0lRLk5ZU0U6SUJNLklRX0lOQ19FUVVJVFkuMTk5MS4wNi8wMy8yMDI2Li4uVVNELkgBAAAA3rYBAAMAAAAAAAleYuTNe94Ik4JTOc573gg6Q0lRLk5ZU0U6SUJNLklRX0FTX1JFUE9SVEVEX0VCSVREQS4xOTkxLjA2LzAzLzIwMjYuLi5VU0QuSAEAAADetgEAAwAAAAAACV5i5M173giTglM5znveCCxDSVEuTllTRTpJQk0uSVFfQ0FMQ19UWVBFX0lTLjE5OTEuMDYvMDMvMjAyNgEAAADetgEAAwAAAANMVE0ACV5i5M173giTglM5znveCERDSVEuTllTRTpJQk0uSVFfQ0hBTkdFX09USEVSX05FVF9PUEVSX0FTU0VUUy4xOTkxLjA2LzAzLzIwMjYuLi5V</t>
  </si>
  <si>
    <t>U0QuSAEAAADetgEAAgAAAAQ0NDE5AQgAAAAFAAAAATEBAAAACy0xOTcxMTc1Mjg3AwAAAAMxNjACAAAABDIwNDUEAAAAATAHAAAACDMvNi8yMDI2CAAAAAk5LzMwLzIwMjMJAAAAATAJXmLkzXveCB+qUznOe94IM0NJUS5OWVNFOklCTS5JUV9MRVZFUkVEX0ZDRi4xOTkxLjA2LzAzLzIwMjYuLi5VU0QuSAEAAADetgEAAgAAAAkxMDgxNC44NzUBCAAAAAUAAAABMQEAAAALLTE5NzExNzUyODcDAAAAAzE2MAIAAAAENDQyMgQAAAABMAcAAAAIMy82LzIwMjYIAAAACTkvMzAvMjAyMwkAAAABMAleYuTNe94IH6pTOc573gg3Q0lRLk5ZU0U6SUJNLklRX0ZJTl9ESVZfSU5UX0VYUC4xOTkxLjA2LzAzLzIwMjYuLi5VU0QuSAEAAADetgEAAwAAAAAACV5i5M173ggfqlM5znveCDZDSVEuTllTRTpJQk0uSVFfVE9UQUxfUkVWXzVZUl9BTk5fQ0FHUi4xOTkwLjA2LzAzLzIwMjYBAAAA3rYBAAIAAAAHLTUuNjA3OQEIAAAABQAAAAExAQAAAAstMTk4NTk0NDkyMgMAAAADMTYwAgAAAAQ0MjMzBAAAAAEwBwAAAAgzLzYvMjAyNggAAAAJNi8zMC8yMDIzCQAAAAEwCV5i5M173ggC0VM5znveCCdDSVEuTllTRTpJQk0uSVFfWl9TQ09SRS4xOTkwLjA2LzAzLzIwMjYBAAAA3rYBAAIAAAAIMi45MjY0NDIBCAAAAAUAAAABMQEAAAALLTE5ODU5NDQ5MjIDAAAAAzE2MAIAAAAGMTAwMTIzBAAAAAEwBwAAAAgzLzYvMjAyNggA</t>
  </si>
  <si>
    <t>AAAJNi8zMC8yMDIzCQAAAAEwCV5i5M173ggC0VM5znveCDVDSVEuTllTRTpJQk0uSVFfTkVUX0RFQlRfRUJJVERBX0NBUEVYLjE5OTAuMDYvMDMvMjAyNgEAAADetgEAAgAAAAgzLjc5MjMxMgEIAAAABQAAAAExAQAAAAstMTk4NTk0NDkyMgMAAAADMTYwAgAAAAUyMzMxNAQAAAABMAcAAAAIMy82LzIwMjYIAAAACTYvMzAvMjAyMwkAAAABMAleYuTNe94IAtFTOc573ggvQ0lRLk5ZU0U6SUJNLklRX0xUX0RFQlRfQ0FQSVRBTC4xOTkwLjA2LzAzLzIwMjYBAAAA3rYBAAIAAAAHNjMuNzkyOQEIAAAABQAAAAExAQAAAAstMTk4NTk0NDkyMgMAAAADMTYwAgAAAAQ0MTg3BAAAAAEwBwAAAAgzLzYvMjAyNggAAAAJNi8zMC8yMDIzCQAAAAEwCV5i5M173ggC0VM5znveCDFDSVEuTllTRTpJQk0uSVFfRklYRURfQVNTRVRfVFVSTlMuMTk5MC4wNi8wMy8yMDI2AQAAAN62AQACAAAACDcuNDYzNDY4AQgAAAAFAAAAATEBAAAACy0xOTg1OTQ0OTIyAwAAAAMxNjACAAAABDQwNjYEAAAAATAHAAAACDMvNi8yMDI2CAAAAAk2LzMwLzIwMjMJAAAAATAJXmLkzXveCALRUznOe94IUENJUS5OWVNFOklCTS5JUV9JTVBBQ1RfVU5SRUNPR19UQVhfQkVORUZJVF9FRkZFQ1RJVkVfVEFYLjE5OTAuMDYvMDMvMjAyNi4uLlVTRC5IAQAAAN62AQADAAAAAAAJXmLkzXveCALRUznOe94IL0NJUS5OWVNFOklCTS5JUV9OSV81WVJf</t>
  </si>
  <si>
    <t>QU5OX0NBR1IuMTk5MC4wNi8wMy8yMDI2AQAAAN62AQACAAAACC0xOC44NDk1AQgAAAAFAAAAATEBAAAACy0xOTg1OTQ0OTIyAwAAAAMxNjACAAAABDQyMzgEAAAAATAHAAAACDMvNi8yMDI2CAAAAAk2LzMwLzIwMjMJAAAAATAJXmLkzXveCALRUznOe94IM0NJUS5OWVNFOklCTS5JUV9FQklUXzFZUl9BTk5fR1JPV1RILjE5OTAuMDYvMDMvMjAyNgEAAADetgEAAgAAAAcyOS41MzU4AQgAAAAFAAAAATEBAAAACy0xOTg1OTQ0OTIyAwAAAAMxNjACAAAABDQxOTcEAAAAATAHAAAACDMvNi8yMDI2CAAAAAk2LzMwLzIwMjMJAAAAATAJXmLkzXveCALRUznOe94IMUNJUS5OWVNFOklCTS5JUV9UT1RBTF9ERUJUX0VCSVREQS4xOTkwLjA2LzAzLzIwMjYBAAAA3rYBAAIAAAAINC42NDA5MTEBCAAAAAUAAAABMQEAAAALLTE5ODU5NDQ5MjIDAAAAAzE2MAIAAAAENDE5MgQAAAABMAcAAAAIMy82LzIwMjYIAAAACTYvMzAvMjAyMwkAAAABMAleYuTNe94IAtFTOc573ggyQ0lRLk5ZU0U6SUJNLklRX0RBWVNfSU5WRU5UT1JZX09VVC4xOTkwLjA2LzAzLzIwMjYBAAAA3rYBAAIAAAAHMjEuNDkxMgEIAAAABQAAAAExAQAAAAstMTk4NTk0NDkyMgMAAAADMTYwAgAAAAQ0MDM1BAAAAAEwBwAAAAgzLzYvMjAyNggAAAAJNi8zMC8yMDIzCQAAAAEwCV5i5M173ggC0VM5znveCCxDSVEuTllTRTpJQk0uSVFfR1JPU1NfTUFS</t>
  </si>
  <si>
    <t>R0lOLjE5OTAuMDYvMDMvMjAyNgEAAADetgEAAgAAAAc1NC42NDE4AQgAAAAFAAAAATEBAAAACy0xOTg1OTQ0OTIyAwAAAAMxNjACAAAABDQwNzQEAAAAATAHAAAACDMvNi8yMDI2CAAAAAk2LzMwLzIwMjMJAAAAATAJXmLkzXveCAsMVDnOe94IL0NJUS5OWVNFOklCTS5JUV9OSV8zWVJfQU5OX0NBR1IuMTk5MC4wNi8wMy8yMDI2AQAAAN62AQACAAAACC0zNi40MTc4AQgAAAAFAAAAATEBAAAACy0xOTg1OTQ0OTIyAwAAAAMxNjACAAAABDQyMjUEAAAAATAHAAAACDMvNi8yMDI2CAAAAAk2LzMwLzIwMjMJAAAAATAJXmLkzXveCALRUznOe94IRkNJUS5OWVNFOklCTS5JUV9ORVRfREVCVF9FQklUREFfRVhDTF9PUEVSX0xFQVNFU19DQVBFWC4xOTkwLjA2LzAzLzIwMjYBAAAA3rYBAAIAAAAINC4yMTAyOTQBCAAAAAUAAAABMQEAAAALLTE5ODU5NDQ5MjIDAAAAAzE2MAIAAAAFNDkxODIEAAAAATAHAAAACDMvNi8yMDI2CAAAAAk2LzMwLzIwMjMJAAAAATAJXmLkzXveCALRUznOe94IN0NJUS5OWVNFOklCTS5JUV9UT1RBTF9MSUFCX1RPVEFMX0FTU0VUUy4xOTkwLjA2LzAzLzIwMjYBAAAA3rYBAAIAAAAHODMuMTU1MgEIAAAABQAAAAExAQAAAAstMTk4NTk0NDkyMgMAAAADMTYwAgAAAAQ0MTg4BAAAAAEwBwAAAAgzLzYvMjAyNggAAAAJNi8zMC8yMDIzCQAAAAEwCV5i5M173ggC0VM5znveCDJDSVEuTllT</t>
  </si>
  <si>
    <t>RTpJQk0uSVFfVE9UQUxfREVCVF9DQVBJVEFMLjE5OTAuMDYvMDMvMjAyNgEAAADetgEAAgAAAAc3My4wMjkzAQgAAAAFAAAAATEBAAAACy0xOTg1OTQ0OTIyAwAAAAMxNjACAAAABDQxODYEAAAAATAHAAAACDMvNi8yMDI2CAAAAAk2LzMwLzIwMjMJAAAAATAJXmLkzXveCALRUznOe94ILUNJUS5OWVNFOklCTS5JUV9DQVBFWF9QQ1RfUkVWLjE5OTAuMDYvMDMvMjAyNgEAAADetgEAAgAAAAYyLjI5NjUBCAAAAAUAAAABMQEAAAALLTE5ODU5NDQ5MjIDAAAAAzE2MAIAAAAFMzUzODAEAAAAATAHAAAACDMvNi8yMDI2CAAAAAk2LzMwLzIwMjMJAAAAATAJXmLkzXveCAsMVDnOe94IS0NJUS5OWVNFOklCTS5JUV9DSEFOR0VfVU5SRUNPR19UQVhfQkVORUZJVF8xX1lSX01JTi4xOTkwLjA2LzAzLzIwMjYuLi5VU0QuSAEAAADetgEAAwAAAAAACV5i5M173ggLDFQ5znveCERDSVEuTllTRTpJQk0uSVFfQUREX1RBWF9QT1NJVElPTlNfQ1VSUkVOVF9ZUi4xOTkwLjA2LzAzLzIwMjYuLi5VU0QuSAEAAADetgEAAwAAAAAACV5i5M173ggLDFQ5znveCDpDSVEuTllTRTpJQk0uSVFfVEFYX0JFTkVGSVRfQ0ZfM1lSLjE5OTAuMDYvMDMvMjAyNi4uLlVTRC5IAQAAAN62AQADAAAAAAAJXmLkzXveCAsMVDnOe94INENJUS5OWVNFOklCTS5JUV9DQVBfTE9TU19DRl9NQVhfWUVBUi4xOTkwLjA2LzAzLzIwMjYBAAAA3rYB</t>
  </si>
  <si>
    <t>AAMAAAAAAAleYuTNe94ICwxUOc573ggyQ0lRLk5ZU0U6SUJNLklRX05PTF9DRl81WVIuMTk5MC4wNi8wMy8yMDI2Li4uVVNELkgBAAAA3rYBAAMAAAAAAAleYuTNe94IeCBUOc573gg9Q0lRLk5ZU0U6SUJNLklRX0FTU0VUU19DQVBfTEVBU0VfREVQUi4xOTkwLjA2LzAzLzIwMjYuLi5VU0QuSAEAAADetgEAAwAAAAAACV5i5M173gh4IFQ5znveCD9DSVEuTllTRTpJQk0uSVFfTVVUVUFMX0ZVTkRfUkVERU1QVElPTlMuMTk5MC4wNi8wMy8yMDI2Li4uVVNELkgBAAAA3rYBAAMAAAAAAAleYuTNe94IeCBUOc573ggvQ0lRLk5ZU0U6SUJNLklRX0FVTV9CT1AuMTk5MC4wNi8wMy8yMDI2Li4uVVNELkgBAAAA3rYBAAMAAAAAAAleYuTNe94IeCBUOc573ggxQ0lRLk5ZU0U6SUJNLklRX0FVTV9TTUVfQ1VTVE9NRVJTLjE5OTAuMDYvMDMvMjAyNgEAAADetgEAAwAAAAAACV5i5M173gh4IFQ5znveCCtDSVEuTllTRTpJQk0uSVFfQVVNLjE5OTAuMDYvMDMvMjAyNi4uLlVTRC5IAQAAAN62AQADAAAAAAAJXmLkzXveCAk3VDnOe94IQkNJUS5OWVNFOklCTS5JUV9PUEVCX1VOUkVDT0dfUFJJT1JfRk9SRUlHTi4xOTkwLjA2LzAzLzIwMjYuLi5VU0QuSAEAAADetgEAAwAAAAAACV5i5M173ggJN1Q5znveCERDSVEuTllTRTpJQk0uSVFfT1BFQl9FU1RfQkVORUZJVF8yWVJfRk9SRUlHTi4xOTkwLjA2LzAzLzIwMjYu</t>
  </si>
  <si>
    <t>Li5VU0QuSAEAAADetgEAAwAAAAAACV5i5M173ggJN1Q5znveCEdDSVEuTllTRTpJQk0uSVFfT1BFQl9QQk9fUkFURV9DT01QX0lOQ1JFQVNFX01JTl9GT1JFSUdOLjE5OTAuMDYvMDMvMjAyNgEAAADetgEAAwAAAAAACV5i5M173ggJN1Q5znveCEFDSVEuTllTRTpJQk0uSVFfT1BFQl9CUkVBS0RPV05fUkVfRk9SRUlHTi4xOTkwLjA2LzAzLzIwMjYuLi5VU0QuSAEAAADetgEAAwAAAAAACV5i5M173ggJN1Q5znveCD1DSVEuTllTRTpJQk0uSVFfT1BFQl9QUkVQQUlEX0NPU1RfRE9NLjE5OTIuMDYvMDMvMjAyNi4uLlVTRC5IAQAAAN62AQADAAAAAADRAMHkzXveCGIfOjnOe94INkNJUS5OWVNFOklCTS5JUV9PUEVCX0RJU0NfUkFURV9NQVhfRE9NLjE5OTIuMDYvMDMvMjAyNgEAAADetgEAAgAAAAM1LjMA0QDB5M173ghiHzo5znveCEVDSVEuTllTRTpJQk0uSVFfT1BFQl9PQkxJR0FUSU9OX1BST0pFQ1RFRF9ET00uMTk5Mi4wNi8wMy8yMDI2Li4uVVNELkgBAAAA3rYBAAIAAAAEMjIzMwDRAMHkzXveCL1aOjnOe94IO0NJUS5OWVNFOklCTS5JUV9PUEVCX1RPVEFMX0NPU1RfRE9NLjE5OTIuMDYvMDMvMjAyNi4uLlVTRC5IAQAAAN62AQACAAAAAjkyANEAweTNe94IvVo6Oc573gg+Q0lRLk5ZU0U6SUJNLklRX09QRUJfSU5URVJFU1RfQ09TVF9ET00uMTk5Mi4wNi8wMy8yMDI2Li4uVVNELkgBAAAA3rYB</t>
  </si>
  <si>
    <t>AAIAAAADMTE3ANEAweTNe94IvVo6Oc573ghAQ0lRLk5ZU0U6SUJNLklRX1BFTlNJT05fSU5UQU5fQVNTRVRTX0RPTS4xOTkyLjA2LzAzLzIwMjYuLi5VU0QuSAEAAADetgEAAwAAAAAA0QDB5M173ghiHzo5znveCEJDSVEuTllTRTpJQk0uSVFfUEVOU0lPTl9BTVRfUkVDT0dfTkVYVF9ET00uMTk5Mi4wNi8wMy8yMDI2Li4uVVNELkgBAAAA3rYBAAMAAAAAANEAweTNe94IYh86Oc573gg/Q0lRLk5ZU0U6SUJNLklRX1BFTlNJT05fQlJFQUtET1dOX1BDVF9PVEhFUl9ET00uMTk5Mi4wNi8wMy8yMDI2AQAAAN62AQACAAAABzIwLjI2NDMA0QDB5M173gi9Wjo5znveCDxDSVEuTllTRTpJQk0uSVFfUEVOU0lPTl9CUkVBS0RPV05fUENUX0VRX0RPTS4xOTkyLjA2LzAzLzIwMjYBAAAA3rYBAAIAAAAGMy4yNjk2ANEAweTNe94IvVo6Oc573gg3Q0lRLk5ZU0U6SUJNLklRX09QRUJfQ0xfRk9SRUlHTi4xOTkyLjA2LzAzLzIwMjYuLi5VU0QuSAEAAADetgEAAgAAAAMtMTcA0QDB5M173gi9Wjo5znveCDRDSVEuTllTRTpJQk0uSVFfQVVNX1JFVEFJTF9DVVNUT01FUlMuMTk5Mi4wNi8wMy8yMDI2AQAAAN62AQADAAAAAADRAMHkzXveCL1aOjnOe94IVUNJUS5OWVNFOklCTS5JUV9PUEVCX0RFQ1JFQVNFX0VGRkVDVF9TRVJWSUNFX0lOVF9DT1NUX0ZPUkVJR04uMTk5Mi4wNi8wMy8yMDI2Li4uVVNELkgBAAAA3rYB</t>
  </si>
  <si>
    <t>AAMAAAAAANEAweTNe94IvVo6Oc573ggyQ0lRLk5ZU0U6SUJNLklRX05PTF9DRl8zWVIuMTk5Mi4wNi8wMy8yMDI2Li4uVVNELkgBAAAA3rYBAAMAAAAAANEAweTNe94IvVo6Oc573ggrQ0lRLk5ZU0U6SUJNLklRX0FVTS4xOTkyLjA2LzAzLzIwMjYuLi5VU0QuSAEAAADetgEAAwAAAAAA0QDB5M173gi9Wjo5znveCFRDSVEuTllTRTpJQk0uSVFfUEVOU0lPTl9RVUFSVF9FTVBMT1lFUl9DT05UUklCVVRJT05TX0ZPUkVJR04uMTk5Mi4wNi8wMy8yMDI2Li4uVVNELkgBAAAA3rYBAAMAAAAAANEAweTNe94IvVo6Oc573ghHQ0lRLk5ZU0U6SUJNLklRX1BFTlNJT05fRVNUX0JFTkVGSVRfNVlSX0ZPUkVJR04uMTk5Mi4wNi8wMy8yMDI2Li4uVVNELkgBAAAA3rYBAAIAAAAEMjI1MgDRAMHkzXveCL1aOjnOe94IRENJUS5OWVNFOklCTS5JUV9QRU5TSU9OX0JSRUFLRE9XTl9GSV9GT1JFSUdOLjE5OTIuMDYvMDMvMjAyNi4uLlVTRC5IAQAAAN62AQACAAAABTE0ODI4ANEAweTNe94IvVo6Oc573gg9Q0lRLk5ZU0U6SUJNLklRX1BFTlNJT05fRElTQ19SQVRFX01BWF9GT1JFSUdOLjE5OTIuMDYvMDMvMjAyNgEAAADetgEAAgAAAAMzLjgA0QDB5M173ggygjo5znveCEZDSVEuTllTRTpJQk0uSVFfUEVOU0lPTl9PQkxJR0FUSU9OX0JFR19GT1JFSUdOLjE5OTIuMDYvMDMvMjAyNi4uLlVTRC5IAQAAAN62AQACAAAA</t>
  </si>
  <si>
    <t>BTMxMjYxANEAweTNe94IMoI6Oc573ghAQ0lRLk5ZU0U6SUJNLklRX09QRUJfRVNUX0JFTkVGSVRfNVlSX0RPTS4xOTkyLjA2LzAzLzIwMjYuLi5VU0QuSAEAAADetgEAAgAAAAMyMzMA0QDB5M173ggygjo5znveCERDSVEuTllTRTpJQk0uSVFfT1BFQl9FU1RfQkVORUZJVF8zWVJfRk9SRUlHTi4xOTkyLjA2LzAzLzIwMjYuLi5VU0QuSAEAAADetgEAAgAAAAI0NgDRAMHkzXveCDKCOjnOe94IO0NJUS5OWVNFOklCTS5JUV9PUEVCX0NJX0FDVF9GT1JFSUdOLjE5OTIuMDYvMDMvMjAyNi4uLlVTRC5IAQAAAN62AQACAAAAAzEyMwDRAMHkzXveCDKCOjnOe94IQkNJUS5OWVNFOklCTS5JUV9PUEVCX0lOVEVSRVNUX0NPU1RfRk9SRUlHTi4xOTkyLjA2LzAzLzIwMjYuLi5VU0QuSAEAAADetgEAAgAAAAIzOQDRAMHkzXveCDKCOjnOe94ISUNJUS5OWVNFOklCTS5JUV9QRU5TSU9OX0NJX09USEVSX01JU0NfQURKX0ZPUkVJR04uMTk5Mi4wNi8wMy8yMDI2Li4uVVNELkgBAAAA3rYBAAMAAAAAANEAweTNe94IMoI6Oc573ghCQ0lRLk5ZU0U6SUJNLklRX09QRUJfSEVBTFRIX0NPU1RfVFJFTkRfSU5JVElBTF9ET00uMTk5Mi4wNi8wMy8yMDI2AQAAAN62AQADAAAAAADRAMHkzXveCDKCOjnOe94IOkNJUS5OWVNFOklCTS5JUV9PUEVCX0xUX0FTU0VUU19ET00uMTk5Mi4wNi8wMy8yMDI2Li4uVVNELkgBAAAA3rYB</t>
  </si>
  <si>
    <t>AAMAAAAAANEAweTNe94IMoI6Oc573ghBQ0lRLk5ZU0U6SUJNLklRX09QRUJfUEJPX0FTU1VNRURfUkFURV9SRVRfTUlOX0RPTS4xOTkyLjA2LzAzLzIwMjYBAAAA3rYBAAIAAAABNQDRAMHkzXveCDKCOjnOe94IPUNJUS5OWVNFOklCTS5JUV9PUEVCX0JSRUFLRE9XTl9SRV9ET00uMTk5Mi4wNi8wMy8yMDI2Li4uVVNELkgBAAAA3rYBAAMAAAAAANEAweTNe94IMoI6Oc573gg3Q0lRLk5ZU0U6SUJNLklRX09QRUJfQVNTRVRTX0RPTS4xOTkyLjA2LzAzLzIwMjYuLi5VU0QuSAEAAADetgEAAgAAAAIxMADRAMHkzXveCDKCOjnOe94IQ0NJUS5OWVNFOklCTS5JUV9PUEVCX09CTElHQVRJT05fQ1VSVEFJTF9ET00uMTk5Mi4wNi8wMy8yMDI2Li4uVVNELkgBAAAA3rYBAAMAAAAAANEAweTNe94IMoI6Oc573gg7Q0lRLk5ZU0U6SUJNLklRX09QRUJfRVhQX1JFVFVSTl9ET00uMTk5Mi4wNi8wMy8yMDI2Li4uVVNELkgBAAAA3rYBAAMAAAAAANEAweTNe94IMoI6Oc573ghQQ0lRLk5ZU0U6SUJNLklRX1BFTlNJT05fUVVBUlRfQURETF9DT05UUklCVVRJT05TX0VYUF9ET00uMTk5Mi4wNi8wMy8yMDI2Li4uVVNELkgBAAAA3rYBAAMAAAAAANEAweTNe94IMoI6Oc573ghAQ0lRLk5ZU0U6SUJNLklRX1BFTlNJT05fUFJFUEFJRF9DT1NUX0RPTS4xOTkyLjA2LzAzLzIwMjYuLi5VU0QuSAEAAADetgEAAwAAAAAA0QDB</t>
  </si>
  <si>
    <t>5M173ggIvTo5znveCDtDSVEuTllTRTpJQk0uSVFfT1BFQl9BU1NFVFNfRk9SRUlHTi4xOTkyLjA2LzAzLzIwMjYuLi5VU0QuSAEAAADetgEAAgAAAAIyMwDRAMHkzXveCAi9OjnOe94ISENJUS5OWVNFOklCTS5JUV9QRU5TSU9OX1BCT19BU1NVTUVEX1JBVEVfUkVUX01JTl9GT1JFSUdOLjE5OTIuMDYvMDMvMjAyNgEAAADetgEAAgAAAAQzLjM2ANEAweTNe94IMoI6Oc573ghFQ0lRLk5ZU0U6SUJNLklRX1BFTlNJT05fQVNTRVRTX0ZYX0FESl9GT1JFSUdOLjE5OTIuMDYvMDMvMjAyNi4uLlVTRC5IAQAAAN62AQACAAAABDEwNTgA0QDB5M173ggygjo5znveCENDSVEuTllTRTpJQk0uSVFfT1BFQl9BQ0NVTV9PVEhFUl9DSV9GT1JFSUdOLjE5OTIuMDYvMDMvMjAyNi4uLlVTRC5IAQAAAN62AQADAAAAAADRAMHkzXveCDKCOjnOe94IPUNJUS5OWVNFOklCTS5JUV9PUEVCX0JSRUFLRE9XTl9QQ1RfRklfRk9SRUlHTi4xOTkyLjA2LzAzLzIwMjYBAAAA3rYBAAIAAAADMTAwANEAweTNe94ICL06Oc573ghJQ0lRLk5ZU0U6SUJNLklRX09QRUJfQVNTRVRTX0FDVFVBTF9SRVRVUk5fRk9SRUlHTi4xOTkyLjA2LzAzLzIwMjYuLi5VU0QuSAEAAADetgEAAgAAAAEzANEAweTNe94ICL06Oc573gg/Q0lRLk5ZU0U6SUJNLklRX09QRUJfVE9UQUxfQ09TVF9GT1JFSUdOLjE5OTIuMDYvMDMvMjAyNi4uLlVTRC5IAQAA</t>
  </si>
  <si>
    <t>AN62AQACAAAAAjM2ANEAweTNe94ICL06Oc573gg9Q0lRLk5ZU0U6SUJNLklRX1BFTlNJT05fT1RIRVJfRk9SRUlHTi4xOTkyLjA2LzAzLzIwMjYuLi5VU0QuSAEAAADetgEAAwAAAAAA0QDB5M173ggIvTo5znveCENDSVEuTllTRTpJQk0uSVFfUEVOU0lPTl9CUkVBS0RPV05fUENUX09USEVSX0ZPUkVJR04uMTk5Mi4wNi8wMy8yMDI2AQAAAN62AQACAAAABzQ4LjEwNTUA0QDB5M173ggIvTo5znveCEBDSVEuTllTRTpJQk0uSVFfUEVOU0lPTl9SQVRFX0NPTVBfR1JPV1RIX0ZPUkVJR04uMTk5Mi4wNi8wMy8yMDI2AQAAAN62AQACAAAAATQA0QDB5M173ghZ5Do5znveCFFDSVEuTllTRTpJQk0uSVFfUEVOU0lPTl9PQkxJR0FUSU9OX09USEVSX1BMQU5fQURKX0ZPUkVJR04uMTk5Mi4wNi8wMy8yMDI2Li4uVVNELkgBAAAA3rYBAAIAAAAELTIxOADRAMHkzXveCFnkOjnOe94IVkNJUS5OWVNFOklCTS5JUV9QRU5TSU9OX09CTElHQVRJT05fU1VQUExFX1BMQU5TX1RPVEFMX0NPU1RfRE9NLjE5OTIuMDYvMDMvMjAyNi4uLlVTRC5IAQAAAN62AQADAAAAAAATKMHkzXveCD1ZPDnOe94IOkNJUS5OWVNFOklCTS5JUV9PUEVCX0JFTkVGSVRfSU5GT19EQVRFX0RPTS4xOTkyLjA2LzAzLzIwMjYBAAAA3rYBAAUAAAAKMzEvMTIvMjAyMwDRAMHkzXveCAi9OjnOe94INkNJUS5OWVNFOklCTS5JUV9PUEVCX09USEVS</t>
  </si>
  <si>
    <t>X0RPTS4xOTkyLjA2LzAzLzIwMjYuLi5VU0QuSAEAAADetgEAAwAAAAAA0QDB5M173ghZ5Do5znveCEFDSVEuTllTRTpJQk0uSVFfT1BFQl9DSV9QUklPUl9TRVJWSUNFX0RPTS4xOTkyLjA2LzAzLzIwMjYuLi5VU0QuSAEAAADetgEAAgAAAAQtMzUwANEAweTNe94IWeQ6Oc573gg5Q0lRLk5ZU0U6SUJNLklRX09QRUJfQlJFQUtET1dOX1BDVF9FUV9ET00uMTk5Mi4wNi8wMy8yMDI2AQAAAN62AQADAAAAAADRAMHkzXveCFnkOjnOe94IQENJUS5OWVNFOklCTS5JUV9DQVBJVEFMSVpFRF9JTlRFUkVTVF9FWFAuMTk5Mi4wNi8wMy8yMDI2Li4uVVNELkgBAAAA3rYBAAMAAAAAANEAweTNe94IWeQ6Oc573ghWQ0lRLk5ZU0U6SUJNLklRX09QRUJfT0JMSUdBVElPTl9FTVBMT1lFRV9DT05UUklCVVRJT05TX0ZPUkVJR04uMTk5Mi4wNi8wMy8yMDI2Li4uVVNELkgBAAAA3rYBAAMAAAAAANEAweTNe94IWeQ6Oc573ghAQ0lRLk5ZU0U6SUJNLklRX0NBUElUQUxJWkVEX0lOVEVSRVNUX0JPUC4xOTkyLjA2LzAzLzIwMjYuLi5VU0QuSAEAAADetgEAAwAAAAAA0QDB5M173ghZ5Do5znveCD1DSVEuTllTRTpJQk0uSVFfT1BFQl9BQ1RfTkVYVF9GT1JFSUdOLjE5OTIuMDYvMDMvMjAyNi4uLlVTRC5IAQAAAN62AQADAAAAAADRAMHkzXveCFnkOjnOe94IQUNJUS5OWVNFOklCTS5JUV9PUEVCX0lOVEFOX0FTU0VUU19G</t>
  </si>
  <si>
    <t>T1JFSUdOLjE5OTIuMDYvMDMvMjAyNi4uLlVTRC5IAQAAAN62AQADAAAAAADRAMHkzXveCFnkOjnOe94ISENJUS5OWVNFOklCTS5JUV9QRU5TSU9OX0NJX05FVF9BTVRfUkVDT0dfRk9SRUlHTi4xOTkyLjA2LzAzLzIwMjYuLi5VU0QuSAEAAADetgEAAgAAAAUxMzI0NQDRAMHkzXveCFnkOjnOe94IQ0NJUS5OWVNFOklCTS5JUV9PUEVCX1BSSU9SX1NFUlZJQ0VfTkVYVF9ET00uMTk5Mi4wNi8wMy8yMDI2Li4uVVNELkgBAAAA3rYBAAMAAAAAANEAweTNe94IWeQ6Oc573ghKQ0lRLk5ZU0U6SUJNLklRX09QRUJfT0JMSUdBVElPTl9PVEhFUl9QTEFOX0FESl9ET00uMTk5Mi4wNi8wMy8yMDI2Li4uVVNELkgBAAAA3rYBAAMAAAAAANEAweTNe94IWeQ6Oc573ghSQ0lRLk5ZU0U6SUJNLklRX09QRUJfT0JMSUdBVElPTl9FTVBMT1lFRV9DT05UUklCVVRJT05TX0RPTS4xOTkyLjA2LzAzLzIwMjYuLi5VU0QuSAEAAADetgEAAgAAAAIzOADRAMHkzXveCFnkOjnOe94IQ0NJUS5OWVNFOklCTS5JUV9QRU5TSU9OX1RSQU5TSVRJT05fTkVYVF9ET00uMTk5Mi4wNi8wMy8yMDI2Li4uVVNELkgBAAAA3rYBAAMAAAAAANEAweTNe94IWeQ6Oc573ghEQ0lRLk5ZU0U6SUJNLklRX1BFTlNJT05fQUNDUlVFRF9MSUFCX0ZPUkVJR04uMTk5Mi4wNi8wMy8yMDI2Li4uVVNELkgBAAAA3rYBAAMAAAAAANEAweTNe94IWeQ6Oc57</t>
  </si>
  <si>
    <t>3ghAQ0lRLk5ZU0U6SUJNLklRX1BFTlNJT05fQlJFQUtET1dOX1BDVF9GSV9GT1JFSUdOLjE5OTIuMDYvMDMvMjAyNgEAAADetgEAAgAAAAc1MS4wMjcyANEAweTNe94IWeQ6Oc573ghDQ0lRLk5ZU0U6SUJNLklRX09QRUJfSEVBTFRIX0NPU1RfVFJFTkRfVUxUSU1BVEVfRE9NLjE5OTIuMDYvMDMvMjAyNgEAAADetgEAAwAAAAAA0QDB5M173gghHzs5znveCDlDSVEuTllTRTpJQk0uSVFfT1BFQl9CUkVBS0RPV05fUENUX1JFX0RPTS4xOTkyLjA2LzAzLzIwMjYBAAAA3rYBAAMAAAAAANEAweTNe94IIR87Oc573gg/Q0lRLk5ZU0U6SUJNLklRX09QRUJfT0JMSUdBVElPTl9CRUdfRE9NLjE5OTIuMDYvMDMvMjAyNi4uLlVTRC5IAQAAAN62AQACAAAABDIzNjkA0QDB5M173gghHzs5znveCENDSVEuTllTRTpJQk0uSVFfUEVOU0lPTl9FWFBfUkVUVVJOX0RPTUVTVElDLjE5OTIuMDYvMDMvMjAyNi4uLlVTRC5IAQAAAN62AQACAAAAAzUuNQDRAMHkzXveCFnkOjnOe94IQkNJUS5OWVNFOklCTS5JUV9QRU5TSU9OX0FTU0VUU19BQ1FfRk9SRUlHTi4xOTkyLjA2LzAzLzIwMjYuLi5VU0QuSAEAAADetgEAAwAAAAAA0QDB5M173ghZ5Do5znveCEdDSVEuTllTRTpJQk0uSVFfUEVOU0lPTl9FU1RfQkVORUZJVF8yWVJfRk9SRUlHTi4xOTkyLjA2LzAzLzIwMjYuLi5VU0QuSAEAAADetgEAAgAAAAQyMzM2ANEAweTN</t>
  </si>
  <si>
    <t>e94IIDM7Oc573ghfQ0lRLk5ZU0U6SUJNLklRX1BFTlNJT05fT0JMSUdBVElPTl9UT1RBTF9DT1NUX0lOQ0xfU1VQUExFX1BMQU5TX0ZPUkVJR04uMTk5Mi4wNi8wMy8yMDI2Li4uVVNELkgBAAAA3rYBAAMAAAAAANEAweTNe94IIDM7Oc573ghBQ0lRLk5ZU0U6SUJNLklRX1BFTlNJT05fVU5SRUNPR19QUklPUl9ET00uMTk5Mi4wNi8wMy8yMDI2Li4uVVNELkgBAAAA3rYBAAMAAAAAANEAweTNe94IIR87Oc573ghCQ0lRLk5ZU0U6SUJNLklRX1BFTlNJT05fQUNDVU1fT1RIRVJfQ0lfRE9NLjE5OTIuMDYvMDMvMjAyNi4uLlVTRC5IAQAAAN62AQADAAAAAADRAMHkzXveCCEfOznOe94IQ0NJUS5OWVNFOklCTS5JUV9QRU5TSU9OX0VTVF9CRU5FRklUXzVZUl9ET00uMTk5Mi4wNi8wMy8yMDI2Li4uVVNELkgBAAAA3rYBAAIAAAAEMTg5MwDRAMHkzXveCCEfOznOe94IOkNJUS5OWVNFOklCTS5JUV9QRU5TSU9OX0NJX0FDVF9ET00uMTk5Mi4wNi8wMy8yMDI2Li4uVVNELkgBAAAA3rYBAAIAAAAEOTQ2NwDRAMHkzXveCCAzOznOe94IP0NJUS5OWVNFOklCTS5JUV9QRU5TSU9OX0VYUF9SQVRFX1JFVFVSTl9NSU5fRE9NLjE5OTIuMDYvMDMvMjAyNgEAAADetgEAAgAAAAM1LjUA0QDB5M173gggMzs5znveCD5DSVEuTllTRTpJQk0uSVFfUEVOU0lPTl9ESVNDT1VOVF9SQVRFX0RPTUVTVElDLjE5OTIuMDYvMDMv</t>
  </si>
  <si>
    <t>MjAyNgEAAADetgEAAgAAAAE1ANEAweTNe94IIDM7Oc573ghMQ0lRLk5ZU0U6SUJNLklRX1BFTlNJT05fQVNTRVRTX0FDVFVBTF9SRVRVUk5fRk9SRUlHTi4xOTkyLjA2LzAzLzIwMjYuLi5VU0QuSAEAAADetgEAAgAAAAQxMzkxANEAweTNe94IIDM7Oc573ghBQ0lRLk5ZU0U6SUJNLklRX09QRUJfQ0lfTkVUX0FNVF9SRUNPR19ET00uMTk5Mi4wNi8wMy8yMDI2Li4uVVNELkgBAAAA3rYBAAIAAAAELTI3NgDRAMHkzXveCCAzOznOe94ISUNJUS5OWVNFOklCTS5JUV9PUEVCX09CTElHQVRJT05fSU5URVJFU1RfQ09TVF9ET00uMTk5Mi4wNi8wMy8yMDI2Li4uVVNELkgBAAAA3rYBAAIAAAADMTE3ANEAweTNe94IIDM7Oc573gg9Q0lRLk5ZU0U6SUJNLklRX1BFTlNJT05fQkVORUZJVF9JTkZPX0RBVEVfRE9NLjE5OTIuMDYvMDMvMjAyNgEAAADetgEABQAAAAozMS8xMi8yMDIzANEAweTNe94IIDM7Oc573ghEQ0lRLk5ZU0U6SUJNLklRX1BFTlNJT05fUEJPX0FTU1VNRURfUkFURV9SRVRfTUFYX0RPTS4xOTkyLjA2LzAzLzIwMjYBAAAA3rYBAAIAAAABNQDRAMHkzXveCCAzOznOe94IPUNJUS5OWVNFOklCTS5JUV9QRU5TSU9OX0RJU0NPVU5UX1JBVEVfRk9SRUlHTi4xOTkyLjA2LzAzLzIwMjYBAAAA3rYBAAIAAAAEMy4zNgDRAMHkzXveCCAzOznOe94IRUNJUS5OWVNFOklCTS5JUV9QRU5TSU9OX0lOVEVS</t>
  </si>
  <si>
    <t>RVNUX0NPU1RfRk9SRUlHTi4xOTkyLjA2LzAzLzIwMjYuLi5VU0QuSAEAAADetgEAAgAAAAQxMTcwANEAweTNe94IZ1o7Oc573ghAQ0lRLk5ZU0U6SUJNLklRX09QRUJfRVNUX0JFTkVGSVRfM1lSX0RPTS4xOTkyLjA2LzAzLzIwMjYuLi5VU0QuSAEAAADetgEAAgAAAAMyMTMA0QDB5M173ghnWjs5znveCEdDSVEuTllTRTpJQk0uSVFfUEVOU0lPTl9FU1RfQkVORUZJVF8xWVJfRk9SRUlHTi4xOTkyLjA2LzAzLzIwMjYuLi5VU0QuSAEAAADetgEAAgAAAAQyMzcwANEAweTNe94IZ1o7Oc573ghCQ0lRLk5ZU0U6SUJNLklRX1BFTlNJT05fQVNTRVRTX0JFR19GT1JFSUdOLjE5OTIuMDYvMDMvMjAyNi4uLlVTRC5IAQAAAN62AQACAAAABTI4MzcxANEAweTNe94IZ1o7Oc573ghHQ0lRLk5ZU0U6SUJNLklRX09QRUJfT0JMSUdBVElPTl9BQ0NVTVVMQVRFRF9ET00uMTk5Mi4wNi8wMy8yMDI2Li4uVVNELkgBAAAA3rYBAAMAAAAAANEAweTNe94IIDM7Oc573gg2Q0lRLk5ZU0U6SUJNLklRX1BFTlNJT05fQ0xfRE9NLjE5OTIuMDYvMDMvMjAyNi4uLlVTRC5IAQAAAN62AQACAAAABC0xMTkA0QDB5M173ghnWjs5znveCERDSVEuTllTRTpJQk0uSVFfUEVOU0lPTl9QUkVQQUlEX0NPU1RfRk9SRUlHTi4xOTkyLjA2LzAzLzIwMjYuLi5VU0QuSAEAAADetgEAAwAAAAAA0QDB5M173ghnWjs5znveCEBDSVEuTllTRTpJ</t>
  </si>
  <si>
    <t>Qk0uSVFfT1BFQl9UUkFOU0lUSU9OX05FWFRfRE9NLjE5OTIuMDYvMDMvMjAyNi4uLlVTRC5IAQAAAN62AQADAAAAAADRAMHkzXveCGdaOznOe94IPENJUS5OWVNFOklCTS5JUV9QRU5TSU9OX0FDVF9ORVhUX0RPTS4xOTkyLjA2LzAzLzIwMjYuLi5VU0QuSAEAAADetgEAAwAAAAAA0QDB5M173ghnWjs5znveCEBDSVEuTllTRTpJQk0uSVFfUEVOU0lPTl9CUkVBS0RPV05fRVFfRE9NLjE5OTIuMDYvMDMvMjAyNi4uLlVTRC5IAQAAAN62AQACAAAAAzc5OQDRAMHkzXveCGdaOznOe94IQkNJUS5OWVNFOklCTS5JUV9QRU5TSU9OX1JBVEVfQ09NUF9JTkNSRUFTRV9NSU5fRE9NLjE5OTIuMDYvMDMvMjAyNgEAAADetgEAAwAAAAAA0QDB5M173ghzgTs5znveCFFDSVEuTllTRTpJQk0uSVFfUEVOU0lPTl9BU1NFVFNfRU1QTE9ZRVJfQ09OVFJJQlVUSU9OU19ET00uMTk5Mi4wNi8wMy8yMDI2Li4uVVNELkgBAAAA3rYBAAMAAAAAANEAweTNe94IZ1o7Oc573ghPQ0lRLk5ZU0U6SUJNLklRX1BFTlNJT05fQUNDVU1VTEFURURfT0JMSUdBVElPTl9ET01FU1RJQy4xOTkyLjA2LzAzLzIwMjYuLi5VU0QuSAEAAADetgEAAgAAAAUyMTIzNQDRAMHkzXveCGdaOznOe94ISkNJUS5OWVNFOklCTS5JUV9QRU5TSU9OX1BCT19SQVRFX0NPTVBfSU5DUkVBU0VfTUFYX0ZPUkVJR04uMTk5Mi4wNi8wMy8yMDI2AQAAAN62AQAC</t>
  </si>
  <si>
    <t>AAAABDQuMTgA0QDB5M173ghnWjs5znveCEZDSVEuTllTRTpJQk0uSVFfUEVOU0lPTl9PQkxJR0FUSU9OX0FDUV9GT1JFSUdOLjE5OTIuMDYvMDMvMjAyNi4uLlVTRC5IAQAAAN62AQADAAAAAADRAMHkzXveCGdaOznOe94IN0NJUS5OWVNFOklCTS5JUV9PUEVCX0NJX0FDVF9ET00uMTk5Mi4wNi8wMy8yMDI2Li4uVVNELkgBAAAA3rYBAAIAAAACNzMA0QDB5M173ghzgTs5znveCDxDSVEuTllTRTpJQk0uSVFfT1BFQl9FWFBfUkFURV9SRVRVUk5fTUlOX0RPTS4xOTkyLjA2LzAzLzIwMjYBAAAA3rYBAAMAAAAAANEAweTNe94Ic4E7Oc573gg2Q0lRLk5ZU0U6SUJNLklRX09QRUJfRElTQ19SQVRFX01JTl9ET00uMTk5Mi4wNi8wMy8yMDI2AQAAAN62AQACAAAAAzUuMwDRAMHkzXveCHOBOznOe94IOUNJUS5OWVNFOklCTS5JUV9QRU5TSU9OX09USEVSX0RPTS4xOTkyLjA2LzAzLzIwMjYuLi5VU0QuSAEAAADetgEAAwAAAAAA0QDB5M173ghzgTs5znveCDxDSVEuTllTRTpJQk0uSVFfUEVOU0lPTl9CUkVBS0RPV05fUENUX1JFX0RPTS4xOTkyLjA2LzAzLzIwMjYBAAAA3rYBAAMAAAAAANEAweTNe94Ic4E7Oc573ghRQ0lRLk5ZU0U6SUJNLklRX09QRUJfSU5DUkVBU0VfRUZGRUNUX1NFUlZJQ0VfSU5UX0NPU1RfRE9NLjE5OTIuMDYvMDMvMjAyNi4uLlVTRC5IAQAAAN62AQADAAAAAADRAMHkzXveCHOBOznO</t>
  </si>
  <si>
    <t>e94IQ0NJUS5OWVNFOklCTS5JUV9QRU5TSU9OX0VTVF9CRU5FRklUXzRZUl9ET00uMTk5Mi4wNi8wMy8yMDI2Li4uVVNELkgBAAAA3rYBAAIAAAAEMTkzOADRAMHkzXveCHOBOznOe94IRENJUS5OWVNFOklCTS5JUV9QRU5TSU9OX0NJX05FVF9BTVRfUkVDT0dfRE9NLjE5OTIuMDYvMDMvMjAyNi4uLlVTRC5IAQAAAN62AQACAAAABDk0NjcA0QDB5M173ghzgTs5znveCD5DSVEuTllTRTpJQk0uSVFfUEVOU0lPTl9BU1NFVFNfQUNRX0RPTS4xOTkyLjA2LzAzLzIwMjYuLi5VU0QuSAEAAADetgEAAwAAAAAA0QDB5M173ghzgTs5znveCENDSVEuTllTRTpJQk0uSVFfUEVOU0lPTl9PQkxJR0FUSU9OX1BBSURfRE9NLjE5OTIuMDYvMDMvMjAyNi4uLlVTRC5IAQAAAN62AQACAAAABS0xNTQ2ANEAweTNe94Ic4E7Oc573gg+Q0lRLk5ZU0U6SUJNLklRX09QRUJfSEVBTFRIX0NPU1RfVFJFTkRfSU5JVElBTC4xOTkyLjA2LzAzLzIwMjYBAAAA3rYBAAMAAAAAABMoweTNe94IyKg7Oc573ghAQ0lRLk5ZU0U6SUJNLklRX09QRUJfSU5DUkVBU0VfRUZGRUNUX1BCTy4xOTkyLjA2LzAzLzIwMjYuLi5VU0QuSAEAAADetgEAAwAAAAAAEyjB5M173gjIqDs5znveCD9DSVEuTllTRTpJQk0uSVFfT1BFQl9FU1RfQkVORUZJVF9BRlRFUjUuMTk5Mi4wNi8wMy8yMDI2Li4uVVNELkgBAAAA3rYBAAIAAAAEMTM0OAATKMHkzXve</t>
  </si>
  <si>
    <t>CMioOznOe94IP0NJUS5OWVNFOklCTS5JUV9PUEVCX0FDQ1VNX09USEVSX0NJX0RPTS4xOTkyLjA2LzAzLzIwMjYuLi5VU0QuSAEAAADetgEAAwAAAAAAEyjB5M173gjIqDs5znveCEhDSVEuTllTRTpJQk0uSVFfUEVOU0lPTl9DSV9QUklPUl9TRVJWSUNFX0ZPUkVJR04uMTk5Mi4wNi8wMy8yMDI2Li4uVVNELkgBAAAA3rYBAAIAAAADMzA5ABMoweTNe94IyKg7Oc573ghNQ0lRLk5ZU0U6SUJNLklRX09QRUJfT0JMSUdBVElPTl9JTlRFUkVTVF9DT1NUX0ZPUkVJR04uMTk5Mi4wNi8wMy8yMDI2Li4uVVNELkgBAAAA3rYBAAIAAAACMzkAEyjB5M173gjXvDs5znveCE9DSVEuTllTRTpJQk0uSVFfUEVOU0lPTl9PQkxJR0FUSU9OX1NFUlZJQ0VfQ09TVF9GT1JFSUdOLjE5OTIuMDYvMDMvMjAyNi4uLlVTRC5IAQAAAN62AQACAAAAAzE3NwATKMHkzXveCNe8OznOe94IRENJUS5OWVNFOklCTS5JUV9QRU5TSU9OX1NFUlZJQ0VfQ09TVF9GT1JFSUdOLjE5OTIuMDYvMDMvMjAyNi4uLlVTRC5IAQAAAN62AQACAAAAAzE3NwATKMHkzXveCNe8OznOe94IPUNJUS5OWVNFOklCTS5JUV9PUEVCX0lOVEFOX0FTU0VUU19ET00uMTk5Mi4wNi8wMy8yMDI2Li4uVVNELkgBAAAA3rYBAAMAAAAAABMoweTNe94I17w7Oc573ghBQ0lRLk5ZU0U6SUJNLklRX09QRUJfUEJPX0FTU1VNRURfUkFURV9SRVRfTUFYX0RPTS4xOTky</t>
  </si>
  <si>
    <t>LjA2LzAzLzIwMjYBAAAA3rYBAAIAAAABNQATKMHkzXveCMioOznOe94IQENJUS5OWVNFOklCTS5JUV9PUEVCX0JSRUFLRE9XTl9PVEhFUl9ET00uMTk5Mi4wNi8wMy8yMDI2Li4uVVNELkgBAAAA3rYBAAMAAAAAABMoweTNe94I17w7Oc573ghDQ0lRLk5ZU0U6SUJNLklRX1BFTlNJT05fRVhQX1JBVEVfUkVUVVJOX01JTl9GT1JFSUdOLjE5OTIuMDYvMDMvMjAyNgEAAADetgEAAgAAAAQ0LjQ0ABMoweTNe94I17w7Oc573ghVQ0lRLk5ZU0U6SUJNLklRX1BFTlNJT05fQVNTRVRTX1BBUlRJQ0lQX0NPTlRSSUJVVElPTlNfRk9SRUlHTi4xOTkyLjA2LzAzLzIwMjYuLi5VU0QuSAEAAADetgEAAgAAAAIxNwATKMHkzXveCNe8OznOe94IOENJUS5OWVNFOklCTS5JUV9PUEVCX0xUX0xJQUJfRE9NLjE5OTIuMDYvMDMvMjAyNi4uLlVTRC5IAQAAAN62AQACAAAABS0yMDIyABMoweTNe94I17w7Oc573ghGQ0lRLk5ZU0U6SUJNLklRX1BFTlNJT05fQUNDVU1fT1RIRVJfQ0lfRk9SRUlHTi4xOTkyLjA2LzAzLzIwMjYuLi5VU0QuSAEAAADetgEAAwAAAAAAEyjB5M173gjXvDs5znveCEpDSVEuTllTRTpJQk0uSVFfUEVOU0lPTl9QUklPUl9TRVJWSUNFX05FWFRfRk9SRUlHTi4xOTkyLjA2LzAzLzIwMjYuLi5VU0QuSAEAAADetgEAAwAAAAAAEyjB5M173gg+5Ds5znveCDtDSVEuTllTRTpJQk0uSVFfT1BFQl9BU1NF</t>
  </si>
  <si>
    <t>VFNfQkVHX0RPTS4xOTkyLjA2LzAzLzIwMjYuLi5VU0QuSAEAAADetgEAAgAAAAIxMAATKMHkzXveCNe8OznOe94IQ0NJUS5OWVNFOklCTS5JUV9QRU5TSU9OX0VTVF9CRU5FRklUXzNZUl9ET00uMTk5Mi4wNi8wMy8yMDI2Li4uVVNELkgBAAAA3rYBAAIAAAAEMTk2NwATKMHkzXveCNe8OznOe94IRUNJUS5OWVNFOklCTS5JUV9QRU5TSU9OX0NJX09USEVSX01JU0NfQURKX0RPTS4xOTkyLjA2LzAzLzIwMjYuLi5VU0QuSAEAAADetgEAAwAAAAAAEyjB5M173gjXvDs5znveCFBDSVEuTllTRTpJQk0uSVFfUEVOU0lPTl9FU1RfQ09OVFJJQlVUSU9OU19ORVhUWVJfRk9SRUlHTi4xOTkyLjA2LzAzLzIwMjYuLi5VU0QuSAEAAADetgEAAgAAAAMyMDAAEyjB5M173gjXvDs5znveCEZDSVEuTllTRTpJQk0uSVFfUEVOU0lPTl9BU1NFVFNfQ1VSVEFJTF9GT1JFSUdOLjE5OTIuMDYvMDMvMjAyNi4uLlVTRC5IAQAAAN62AQADAAAAAAATKMHkzXveCD7kOznOe94IUUNJUS5OWVNFOklCTS5JUV9PUEVCX0RFQ1JFQVNFX0VGRkVDVF9TRVJWSUNFX0lOVF9DT1NUX0RPTS4xOTkyLjA2LzAzLzIwMjYuLi5VU0QuSAEAAADetgEAAwAAAAAAEyjB5M173gg+5Ds5znveCEhDSVEuTllTRTpJQk0uSVFfT1BFQl9PQkxJR0FUSU9OX1NFUlZJQ0VfQ09TVF9ET00uMTk5Mi4wNi8wMy8yMDI2Li4uVVNELkgBAAAA3rYBAAIAAAAB</t>
  </si>
  <si>
    <t>NAATKMHkzXveCD7kOznOe94ISENJUS5OWVNFOklCTS5JUV9QRU5TSU9OX1BCT19BU1NVTUVEX1JBVEVfUkVUX01BWF9GT1JFSUdOLjE5OTIuMDYvMDMvMjAyNgEAAADetgEAAgAAAAQzLjM2ABMoweTNe94IPuQ7Oc573ghAQ0lRLk5ZU0U6SUJNLklRX09QRUJfRVNUX0JFTkVGSVRfMVlSX0RPTS4xOTkyLjA2LzAzLzIwMjYuLi5VU0QuSAEAAADetgEAAgAAAAMyMTcAEyjB5M173gg+5Ds5znveCD1DSVEuTllTRTpJQk0uSVFfT1BFQl9TRVJWSUNFX0NPU1RfRE9NLjE5OTIuMDYvMDMvMjAyNi4uLlVTRC5IAQAAAN62AQACAAAAATQAEyjB5M173gg+5Ds5znveCERDSVEuTllTRTpJQk0uSVFfUEVOU0lPTl9DSV9QUklPUl9TRVJWSUNFX0RPTS4xOTkyLjA2LzAzLzIwMjYuLi5VU0QuSAEAAADetgEAAwAAAAAAEyjB5M173gg+5Ds5znveCElDSVEuTllTRTpJQk0uSVFfT1BFQl9BU1NFVFNfQkVORUZJVFNfUEFJRF9GT1JFSUdOLjE5OTIuMDYvMDMvMjAyNi4uLlVTRC5IAQAAAN62AQACAAAAAi03ABMoweTNe94IPuQ7Oc573ghAQ0lRLk5ZU0U6SUJNLklRX1BFTlNJT05fQlJFQUtET1dOX1BDVF9SRV9GT1JFSUdOLjE5OTIuMDYvMDMvMjAyNgEAAADetgEAAgAAAAYwLjAxMzcAEyjB5M173gg+5Ds5znveCEhDSVEuTllTRTpJQk0uSVFfT1BFQl9TVVBQTEVfUExBTlNfVE9UQUxfQ09TVF9ET00uMTk5Mi4wNi8w</t>
  </si>
  <si>
    <t>My8yMDI2Li4uVVNELkgBAAAA3rYBAAMAAAAAABMoweTNe94IPuQ7Oc573ghGQ0lRLk5ZU0U6SUJNLklRX1BFTlNJT05fUEJPX1JBVEVfQ09NUF9JTkNSRUFTRV9NSU5fRE9NLjE5OTIuMDYvMDMvMjAyNgEAAADetgEAAgAAAAE1ABMoweTNe94IRgs8Oc573ghDQ0lRLk5ZU0U6SUJNLklRX1BFTlNJT05fQlJFQUtET1dOX09USEVSX0RPTS4xOTkyLjA2LzAzLzIwMjYuLi5VU0QuSAEAAADetgEAAgAAAAQ0OTUyABMoweTNe94IRgs8Oc573gg5Q0lRLk5ZU0U6SUJNLklRX1BFTlNJT05fRElTQ19SQVRFX01JTl9ET00uMTk5Mi4wNi8wMy8yMDI2AQAAAN62AQACAAAAAzUuMwATKMHkzXveCEYLPDnOe94IOkNJUS5OWVNFOklCTS5JUV9QRU5TSU9OX0FTU0VUU19ET00uMTk5Mi4wNi8wMy8yMDI2Li4uVVNELkgBAAAA3rYBAAIAAAAFMjQ0MzcAEyjB5M173ghGCzw5znveCEBDSVEuTllTRTpJQk0uSVFfT1BFQl9FU1RfQkVORUZJVF80WVJfRE9NLjE5OTIuMDYvMDMvMjAyNi4uLlVTRC5IAQAAAN62AQACAAAAAzIwOAATKMHkzXveCD7kOznOe94IR0NJUS5OWVNFOklCTS5JUV9QRU5TSU9OX05FVF9BU1NFVF9SRUNPR19GT1JFSUdOLjE5OTIuMDYvMDMvMjAyNi4uLlVTRC5IAQAAAN62AQACAAAABS00NDIwABMoweTNe94IRgs8Oc573ghHQ0lRLk5ZU0U6SUJNLklRX1BFTlNJT05fQlJFQUtET1dOX09USEVSX0ZP</t>
  </si>
  <si>
    <t>UkVJR04uMTk5Mi4wNi8wMy8yMDI2Li4uVVNELkgBAAAA3rYBAAIAAAAFMTM5NzkAEyjB5M173ghGCzw5znveCD5DSVEuTllTRTpJQk0uSVFfT1BFQl9BU1NFVFNfRlhfQURKX0RPTS4xOTkyLjA2LzAzLzIwMjYuLi5VU0QuSAEAAADetgEAAwAAAAAAEyjB5M173ghGCzw5znveCEJDSVEuTllTRTpJQk0uSVFfT1BFQl9PQkxJR0FUSU9OX0ZYX0FESl9ET00uMTk5Mi4wNi8wMy8yMDI2Li4uVVNELkgBAAAA3rYBAAMAAAAAABMoweTNe94IRgs8Oc573ghCQ0lRLk5ZU0U6SUJNLklRX09QRUJfQ0lfT1RIRVJfTUlTQ19BREpfRE9NLjE5OTIuMDYvMDMvMjAyNi4uLlVTRC5IAQAAAN62AQADAAAAAAATKMHkzXveCEYLPDnOe94ITkNJUS5OWVNFOklCTS5JUV9PUEVCX0FTU0VUU19QQVJUSUNJUF9DT05UUklCVVRJT05TX0RPTS4xOTkyLjA2LzAzLzIwMjYuLi5VU0QuSAEAAADetgEAAgAAAAIzOAATKMHkzXveCEYyPDnOe94IRkNJUS5OWVNFOklCTS5JUV9QRU5TSU9OX1BCT19SQVRFX0NPTVBfSU5DUkVBU0VfTUFYX0RPTS4xOTkyLjA2LzAzLzIwMjYBAAAA3rYBAAIAAAABNQATKMHkzXveCEYLPDnOe94INUNJUS5OWVNFOklCTS5JUV9PUEVCX0FDVF9ORVhULjE5OTIuMDYvMDMvMjAyNi4uLlVTRC5IAQAAAN62AQADAAAAAAATKMHkzXveCEYLPDnOe94IOUNJUS5OWVNFOklCTS5JUV9PUEVCX0JSRUFLRE9XTl9S</t>
  </si>
  <si>
    <t>RS4xOTkyLjA2LzAzLzIwMjYuLi5VU0QuSAEAAADetgEAAwAAAAAAEyjB5M173ghGCzw5znveCE5DSVEuTllTRTpJQk0uSVFfT1BFQl9PQkxJR0FUSU9OX0VNUExPWUVFX0NPTlRSSUJVVElPTlMuMTk5Mi4wNi8wMy8yMDI2Li4uVVNELkgBAAAA3rYBAAIAAAACMzgAEyjB5M173ghGCzw5znveCE5DSVEuTllTRTpJQk0uSVFfT1BFQl9BU1NFVFNfRU1QTE9ZRVJfQ09OVFJJQlVUSU9OU19ET00uMTk5Mi4wNi8wMy8yMDI2Li4uVVNELkgBAAAA3rYBAAIAAAADMjMzABMoweTNe94IRjI8Oc573ghBQ0lRLk5ZU0U6SUJNLklRX1BFTlNJT05fQ0lfVFJBTlNJVElPTl9ET00uMTk5Mi4wNi8wMy8yMDI2Li4uVVNELkgBAAAA3rYBAAMAAAAAABMoweTNe94IRjI8Oc573ghCQ0lRLk5ZU0U6SUJNLklRX1BFTlNJT05fQVNTRVRTX0NVUlRBSUxfRE9NLjE5OTIuMDYvMDMvMjAyNi4uLlVTRC5IAQAAAN62AQADAAAAAAATKMHkzXveCEYyPDnOe94ISUNJUS5OWVNFOklCTS5JUV9QRU5TSU9OX09CTElHQVRJT05fT1RIRVJfQ09TVF9ET00uMTk5Mi4wNi8wMy8yMDI2Li4uVVNELkgBAAAA3rYBAAIAAAADMTA5ABMoweTNe94IRjI8Oc573gg8Q0lRLk5ZU0U6SUJNLklRX09QRUJfRVNUX0JFTkVGSVRfNFlSLjE5OTIuMDYvMDMvMjAyNi4uLlVTRC5IAQAAAN62AQACAAAAAzI1NQATKMHkzXveCEYyPDnOe94IQkNJUS5OWVNF</t>
  </si>
  <si>
    <t>OklCTS5JUV9PUEVCX0FTU0VUU19PVEhFUl9QTEFOX0FESi4xOTkyLjA2LzAzLzIwMjYuLi5VU0QuSAEAAADetgEAAgAAAAItNAATKMHkzXveCEYyPDnOe94IRkNJUS5OWVNFOklCTS5JUV9PUEVCX09CTElHQVRJT05fT1RIRVJfUExBTl9BREouMTk5Mi4wNi8wMy8yMDI2Li4uVVNELkgBAAAA3rYBAAIAAAACLTQAEyjB5M173ghGMjw5znveCDdDSVEuTllTRTpJQk0uSVFfT1BFQl9FWFBfUkVUVVJOLjE5OTIuMDYvMDMvMjAyNi4uLlVTRC5IAQAAAN62AQACAAAAAi0yABMoweTNe94IRjI8Oc573gg9Q0lRLk5ZU0U6SUJNLklRX1BFTlNJT05fVU5SRUNPR19QUklPUi4xOTkyLjA2LzAzLzIwMjYuLi5VU0QuSAEAAADetgEAAwAAAAAAEyjB5M173ghGMjw5znveCD9DSVEuTllTRTpJQk0uSVFfUEVOU0lPTl9FU1RfQkVORUZJVF8yWVIuMTk5Mi4wNi8wMy8yMDI2Li4uVVNELkgBAAAA3rYBAAIAAAAENDI4NwATKMHkzXveCEYyPDnOe94IQkNJUS5OWVNFOklCTS5JUV9QRU5TSU9OX1BCT19SQVRFX0NPTVBfSU5DUkVBU0VfTUlOLjE5OTIuMDYvMDMvMjAyNgEAAADetgEAAwAAAAAAEyjB5M173gg9WTw5znveCDxDSVEuTllTRTpJQk0uSVFfUEVOU0lPTl9CUkVBS0RPV05fUkUuMTk5Mi4wNi8wMy8yMDI2Li4uVVNELkgBAAAA3rYBAAIAAAABNAATKMHkzXveCD1ZPDnOe94INkNJUS5OWVNFOklCTS5JUV9QRU5T</t>
  </si>
  <si>
    <t>SU9OX0FTU0VUUy4xOTkyLjA2LzAzLzIwMjYuLi5VU0QuSAEAAADetgEAAgAAAAU1MzQ5NgATKMHkzXveCD1ZPDnOe94IQkNJUS5OWVNFOklCTS5JUV9QRU5TSU9OX09CTElHQVRJT05fQ1VSVEFJTC4xOTkyLjA2LzAzLzIwMjYuLi5VU0QuSAEAAADetgEAAwAAAAAAEyjB5M173ghGMjw5znveCEVDSVEuTllTRTpJQk0uSVFfUEVOU0lPTl9PQkxJR0FUSU9OX09USEVSX0NPU1QuMTk5Mi4wNi8wMy8yMDI2Li4uVVNELkgBAAAA3rYBAAIAAAADNTYyABMoweTNe94IRjI8Oc573gg8Q0lRLk5ZU0U6SUJNLklRX1BFTlNJT05fU0VSVklDRV9DT1NULjE5OTIuMDYvMDMvMjAyNi4uLlVTRC5IAQAAAN62AQACAAAAAzE3NwATKMHkzXveCD1ZPDnOe94ILkNJUS5OWVNFOklCTS5JUV9HV19ORVQuMTk5Mi4wNi8wMy8yMDI2Li4uVVNELkgBAAAA3rYBAAIAAAAFNjAxNzgBCAAAAAUAAAABMQEAAAALLTE5MDQ4NjA2NzADAAAAAzE2MAIAAAAFNDg5NjAEAAAAATAHAAAACDMvNi8yMDI2CAAAAAoxMi8zMS8yMDIzCQAAAAEwEyjB5M173gg9WTw5znveCEBDSVEuTllTRTpJQk0uSVFfT1BFQl9ERUNSRUFTRV9FRkZFQ1RfUEJPLjE5OTIuMDYvMDMvMjAyNi4uLlVTRC5IAQAAAN62AQADAAAAAAATKMHkzXveCD1ZPDnOe94IOENJUS5OWVNFOklCTS5JUV9PUEVCX0VYUF9SQVRFX1JFVFVSTl9NSU4uMTk5Mi4wNi8wMy8yMDI2</t>
  </si>
  <si>
    <t>AQAAAN62AQADAAAAAAATKMHkzXveCD1ZPDnOe94IRENJUS5OWVNFOklCTS5JUV9PUEVCX09CTElHQVRJT05fU0VSVklDRV9DT1NULjE5OTIuMDYvMDMvMjAyNi4uLlVTRC5IAQAAAN62AQACAAAAATYAEyjB5M173gg9WTw5znveCEVDSVEuTllTRTpJQk0uSVFfT1BFQl9BU1NFVFNfQUNUVUFMX1JFVFVSTl9ET00uMTk5Mi4wNi8wMy8yMDI2Li4uVVNELkgBAAAA3rYBAAMAAAAAABMoweTNe94IPVk8Oc573gg9Q0lRLk5ZU0U6SUJNLklRX1BFTlNJT05fTFRfQVNTRVRTX0RPTS4xOTkyLjA2LzAzLzIwMjYuLi5VU0QuSAEAAADetgEAAgAAAAQ0NTg0ABMoweTNe94IPVk8Oc573ghAQ0lRLk5ZU0U6SUJNLklRX1BFTlNJT05fQlJFQUtET1dOX0ZJX0RPTS4xOTkyLjA2LzAzLzIwMjYuLi5VU0QuSAEAAADetgEAAgAAAAUxODY4NwATKMHkzXveCD1ZPDnOe94IQUNJUS5OWVNFOklCTS5JUV9QRU5TSU9OX1JBVEVfQ09NUF9HUk9XVEhfRE9NRVNUSUMuMTk5Mi4wNi8wMy8yMDI2AQAAAN62AQADAAAAAAATKMHkzXveCD1ZPDnOe94IP0NJUS5OWVNFOklCTS5JUV9PUEVCX0hFQUxUSF9DT1NUX1RSRU5EX1VMVElNQVRFLjE5OTIuMDYvMDMvMjAyNgEAAADetgEAAwAAAAAAEyjB5M173gg9WTw5znveCDlDSVEuTllTRTpJQk0uSVFfT1BFQl9CUkVBS0RPV05fRVEuMTk5Mi4wNi8wMy8yMDI2Li4uVVNELkgBAAAA3rYB</t>
  </si>
  <si>
    <t>AAMAAAAAABMoweTNe94IPVk8Oc573ghIQ0lRLk5ZU0U6SUJNLklRX1BFTlNJT05fQVNTRVRTX0JFTkVGSVRTX1BBSURfRE9NLjE5OTIuMDYvMDMvMjAyNi4uLlVTRC5IAQAAAN62AQACAAAABS0xNDI0ABMoweTNe94IPVk8Oc573ghIQ0lRLk5ZU0U6SUJNLklRX1BFTlNJT05fQVNTRVRTX0FDVFVBTF9SRVRVUk5fRE9NLjE5OTIuMDYvMDMvMjAyNi4uLlVTRC5IAQAAAN62AQACAAAABDEwNTUAEyjB5M173gg9WTw5znveCEhDSVEuTllTRTpJQk0uSVFfUEVOU0lPTl9PQkxJR0FUSU9OX1BST0pFQ1RFRF9ET00uMTk5Mi4wNi8wMy8yMDI2Li4uVVNELkgBAAAA3rYBAAIAAAAFMjEyMzUAEyjB5M173gg9WTw5znveCEJDSVEuTllTRTpJQk0uSVFfUEVOU0lPTl9PQkxJR0FUSU9OX0JFR19ET00uMTk5Mi4wNi8wMy8yMDI2Li4uVVNELkgBAAAA3rYBAAIAAAAFMjE0OTMAEyjB5M173gj9kzw5znveCD1DSVEuTllTRTpJQk0uSVFfT1BFQl9QQk9fQVNTVU1FRF9SQVRFX1JFVF9NSU4uMTk5Mi4wNi8wMy8yMDI2AQAAAN62AQADAAAAAAATKMHkzXveCP2TPDnOe94IN0NJUS5OWVNFOklCTS5JUV9PUEVCX0FTU0VUU19BQ1EuMTk5Mi4wNi8wMy8yMDI2Li4uVVNELkgBAAAA3rYBAAMAAAAAABMoweTNe94I/ZM8Oc573ghAQ0lRLk5ZU0U6SUJNLklRX09QRUJfTkVUX0FTU0VUX1JFQ09HX0RPTS4xOTkyLjA2LzAzLzIw</t>
  </si>
  <si>
    <t>MjYuLi5VU0QuSAEAAADetgEAAgAAAAUtMjIyNAATKMHkzXveCP2TPDnOe94IO0NJUS5OWVNFOklCTS5JUV9PUEVCX09USEVSX0NPU1RfRE9NLjE5OTIuMDYvMDMvMjAyNi4uLlVTRC5IAQAAAN62AQACAAAAAy0yOQATKMHkzXveCD1ZPDnOe94ITENJUS5OWVNFOklCTS5JUV9QRU5TSU9OX0VTVF9DT05UUklCVVRJT05TX05FWFRZUl9ET00uMTk5Mi4wNi8wMy8yMDI2Li4uVVNELkgBAAAA3rYBAAMAAAAAABMoweTNe94I/ZM8Oc573ghCQ0lRLk5ZU0U6SUJNLklRX1BFTlNJT05fT0JMSUdBVElPTl9BQ1FfRE9NLjE5OTIuMDYvMDMvMjAyNi4uLlVTRC5IAQAAAN62AQADAAAAAAATKMHkzXveCP2TPDnOe94ITENJUS5OWVNFOklCTS5JUV9QRU5TSU9OX09CTElHQVRJT05fSU5URVJFU1RfQ09TVF9ET00uMTk5Mi4wNi8wMy8yMDI2Li4uVVNELkgBAAAA3rYBAAIAAAAEMTA5MAATKMHkzXveCP2TPDnOe94IPENJUS5OWVNFOklCTS5JUV9PUEVCX1RSQU5TSVRJT05fTkVYVC4xOTkyLjA2LzAzLzIwMjYuLi5VU0QuSAEAAADetgEAAwAAAAAAEyjB5M173gj9kzw5znveCDxDSVEuTllTRTpJQk0uSVFfT1BFQl9CUkVBS0RPV05fT1RIRVIuMTk5Mi4wNi8wMy8yMDI2Li4uVVNELkgBAAAA3rYBAAMAAAAAABMoweTNe94I/ZM8Oc573gg7Q0lRLk5ZU0U6SUJNLklRX09QRUJfUkFURV9DT01QX0lOQ1JFQVNFX01JTi4x</t>
  </si>
  <si>
    <t>OTkyLjA2LzAzLzIwMjYBAAAA3rYBAAMAAAAAABMoweTNe94IWbs8Oc573gg3Q0lRLk5ZU0U6SUJNLklRX1BPU1RfUkVUSVJFX0VYUC4xOTkyLjA2LzAzLzIwMjYuLi5VU0QuSAEAAADetgEAAgAAAAMxMjgAEyjB5M173gj9kzw5znveCDdDSVEuTllTRTpJQk0uSVFfUEVOU0lPTl9MVF9MSUFCLjE5OTIuMDYvMDMvMjAyNi4uLlVTRC5IAQAAAN62AQACAAAABS04MjM5ABMoweTNe94I/ZM8Oc573ghCQ0lRLk5ZU0U6SUJNLklRX1BFTlNJT05fUEJPX1JBVEVfQ09NUF9JTkNSRUFTRV9NQVguMTk5Mi4wNi8wMy8yMDI2AQAAAN62AQADAAAAAAATKMHkzXveCP2TPDnOe94IP0NJUS5OWVNFOklCTS5JUV9QRU5TSU9OX0JSRUFLRE9XTl9PVEhFUi4xOTkyLjA2LzAzLzIwMjYuLi5VU0QuSAEAAADetgEAAgAAAAUxODkzMQATKMHkzXveCP2TPDnOe94IPENJUS5OWVNFOklCTS5JUV9QRU5TSU9OX0JSRUFLRE9XTl9FUS4xOTkyLjA2LzAzLzIwMjYuLi5VU0QuSAEAAADetgEAAgAAAAQxMDQ3ABMoweTNe94IWbs8Oc573gg+Q0lRLk5ZU0U6SUJNLklRX1BFTlNJT05fQVNTRVRTX0NVUlRBSUwuMTk5Mi4wNi8wMy8yMDI2Li4uVVNELkgBAAAA3rYBAAMAAAAAABMoweTNe94IWbs8Oc573gg5Q0lRLk5ZU0U6SUJNLklRX09QRUJfUFJFUEFJRF9DT1NULjE5OTIuMDYvMDMvMjAyNi4uLlVTRC5IAQAAAN62AQADAAAAAAAT</t>
  </si>
  <si>
    <t>KMHkzXveCFm7PDnOe94IPENJUS5OWVNFOklCTS5JUV9PUEVCX0VTVF9CRU5FRklUXzVZUi4xOTkyLjA2LzAzLzIwMjYuLi5VU0QuSAEAAADetgEAAgAAAAMyODEAEyjB5M173ghZuzw5znveCEFDSVEuTllTRTpJQk0uSVFfT1BFQl9PQkxJR0FUSU9OX1BST0pFQ1RFRC4xOTkyLjA2LzAzLzIwMjYuLi5VU0QuSAEAAADetgEAAgAAAAQyODE5ABMoweTNe94IWbs8Oc573gg/Q0lRLk5ZU0U6SUJNLklRX1BFTlNJT05fRVhQX1JBVEVfUkVUVVJOX01BWF9ET00uMTk5Mi4wNi8wMy8yMDI2AQAAAN62AQACAAAAAzUuNQATKMHkzXveCFm7PDnOe94IQkNJUS5OWVNFOklCTS5JUV9QRU5TSU9OX09CTElHQVRJT05fUk9BX0RPTS4xOTkyLjA2LzAzLzIwMjYuLi5VU0QuSAEAAADetgEAAgAAAAUtMTUyOQATKMHkzXveCFm7PDnOe94IQENJUS5OWVNFOklCTS5JUV9QRU5TSU9OX1NFUlZJQ0VfQ09TVF9ET00uMTk5Mi4wNi8wMy8yMDI2Li4uVVNELkgBAAAA3rYBAAMAAAAAABMoweTNe94IWbs8Oc573gg2Q0lRLk5ZU0U6SUJNLklRX09QRUJfT1RIRVJfQURKLjE5OTIuMDYvMDMvMjAyNi4uLlVTRC5IAQAAAN62AQADAAAAAAATKMHkzXveCFm7PDnOe94IMkNJUS5OWVNFOklCTS5JUV9PUEVCX09USEVSLjE5OTIuMDYvMDMvMjAyNi4uLlVTRC5IAQAAAN62AQADAAAAAAATKMHkzXveCFm7PDnOe94IP0NJUS5OWVNFOklC</t>
  </si>
  <si>
    <t>TS5JUV9PUEVCX1BSSU9SX1NFUlZJQ0VfTkVYVC4xOTkyLjA2LzAzLzIwMjYuLi5VU0QuSAEAAADetgEAAwAAAAAAEyjB5M173ghm4jw5znveCEFDSVEuTllTRTpJQk0uSVFfT1BFQl9BU1NFVFNfQkVORUZJVFNfUEFJRC4xOTkyLjA2LzAzLzIwMjYuLi5VU0QuSAEAAADetgEAAgAAAAQtMjgxABMoweTNe94IZuI8Oc573ghMQ0lRLk5ZU0U6SUJNLklRX1BFTlNJT05fUVVBUlRfRU1QTE9ZRVJfQ09OVFJJQlVUSU9OUy4xOTkyLjA2LzAzLzIwMjYuLi5VU0QuSAEAAADetgEAAwAAAAAAEyjB5M173ghm4jw5znveCDxDSVEuTllTRTpJQk0uSVFfUEVOU0lPTl9QUkVQQUlEX0NPU1QuMTk5Mi4wNi8wMy8yMDI2Li4uVVNELkgBAAAA3rYBAAMAAAAAABMoweTNe94IWbs8Oc573gg/Q0lRLk5ZU0U6SUJNLklRX1BFTlNJT05fRVNUX0JFTkVGSVRfNFlSLjE5OTIuMDYvMDMvMjAyNi4uLlVTRC5IAQAAAN62AQACAAAABDQyMjUAEyjB5M173ghZuzw5znveCEFDSVEuTllTRTpJQk0uSVFfUEVOU0lPTl9DSV9PVEhFUl9NSVNDX0FESi4xOTkyLjA2LzAzLzIwMjYuLi5VU0QuSAEAAADetgEAAwAAAAAAEyjB5M173ghm4jw5znveCDtDSVEuTllTRTpJQk0uSVFfUEVOU0lPTl9FWFBfUkFURV9SRVRVUk5fTUlOLjE5OTIuMDYvMDMvMjAyNgEAAADetgEAAwAAAAAAEyjB5M173ghm4jw5znveCERDSVEuTllTRTpJQk0uSVFf</t>
  </si>
  <si>
    <t>UEVOU0lPTl9BU1NFVFNfQUNUVUFMX1JFVFVSTi4xOTkyLjA2LzAzLzIwMjYuLi5VU0QuSAEAAADetgEAAgAAAAQyNDQ2ABMoweTNe94IZuI8Oc573gg+Q0lRLk5ZU0U6SUJNLklRX1BFTlNJT05fT0JMSUdBVElPTl9CRUcuMTk5Mi4wNi8wMy8yMDI2Li4uVVNELkgBAAAA3rYBAAIAAAAFNTI3NTQAEyjB5M173ghm4jw5znveCFJDSVEuTllTRTpJQk0uSVFfUEVOU0lPTl9PQkxJR0FUSU9OX1NVUFBMRV9QTEFOU19UT1RBTF9DT1NULjE5OTIuMDYvMDMvMjAyNi4uLlVTRC5IAQAAAN62AQADAAAAAAATKMHkzXveCGbiPDnOe94IO0NJUS5OWVNFOklCTS5JUV9JTlRFUkNPTVBBTllfTk9OX0NMLjE5OTIuMDYvMDMvMjAyNi4uLlVTRC5IAQAAAN62AQADAAAAAAATKMHkzXveCGbiPDnOe94IPENJUS5OWVNFOklCTS5JUV9ERVJJVkFUSVZFX0FTU0VUU19MVC4xOTkyLjA2LzAzLzIwMjYuLi5VU0QuSAEAAADetgEAAgAAAAIzNwEIAAAABQAAAAExAQAAAAstMTkwNDg2MDY3MAMAAAADMTYwAgAAAAQxMTEwBAAAAAEwBwAAAAgzLzYvMjAyNggAAAAKMTIvMzEvMjAyMwkAAAABMBMoweTNe94IZuI8Oc573ghDQ0lRLk5ZU0U6SUJNLklRX09QRUJfRVNUX0JFTkVGSVRfQUZURVI1X0RPTS4xOTkyLjA2LzAzLzIwMjYuLi5VU0QuSAEAAADetgEAAgAAAAQxMDg1ABMoweTNe94IZuI8Oc573gg+Q0lRLk5ZU0U6SUJNLklR</t>
  </si>
  <si>
    <t>X1BFTlNJT05fQVNTRVRTX0JFR19ET00uMTk5Mi4wNi8wMy8yMDI2Li4uVVNELkgBAAAA3rYBAAIAAAAFMjUwOTQAEyjB5M173ghm4jw5znveCFJDSVEuTllTRTpJQk0uSVFfUEVOU0lPTl9PQkxJR0FUSU9OX0FDVFVBUklBTF9HQUlOX0xPU1NfRE9NLjE5OTIuMDYvMDMvMjAyNi4uLlVTRC5IAQAAAN62AQACAAAAAzQ4NgATKMHkzXveCGbiPDnOe94ITUNJUS5OWVNFOklCTS5JUV9PUEVCX0lOQ1JFQVNFX0VGRkVDVF9TRVJWSUNFX0lOVF9DT1NULjE5OTIuMDYvMDMvMjAyNi4uLlVTRC5IAQAAAN62AQADAAAAAAATKMHkzXveCGbiPDnOe94IPENJUS5OWVNFOklCTS5JUV9PUEVCX0VTVF9CRU5FRklUXzNZUi4xOTkyLjA2LzAzLzIwMjYuLi5VU0QuSAEAAADetgEAAgAAAAMyNTkAEyjB5M173ghm4jw5znveCDlDSVEuTllTRTpJQk0uSVFfT1BFQl9CUkVBS0RPV05fRkkuMTk5Mi4wNi8wMy8yMDI2Li4uVVNELkgBAAAA3rYBAAIAAAACMzMAEyjB5M173ghm4jw5znveCDJDSVEuTllTRTpJQk0uSVFfT1BFQl9ESVNDX1JBVEVfTUlOLjE5OTIuMDYvMDMvMjAyNgEAAADetgEAAwAAAAAAEyjB5M173ghm4jw5znveCD9DSVEuTllTRTpJQk0uSVFfT1BFQl9PQkxJR0FUSU9OX0NVUlRBSUwuMTk5Mi4wNi8wMy8yMDI2Li4uVVNELkgBAAAA3rYBAAMAAAAAABMoweTNe94IZuI8Oc573gg3Q0lRLk5ZU0U6SUJNLklR</t>
  </si>
  <si>
    <t>X09QRUJfVE9UQUxfQ09TVC4xOTkyLjA2LzAzLzIwMjYuLi5VU0QuSAEAAADetgEAAgAAAAMxMjgAEyjB5M173ghIHT05znveCEZDSVEuTllTRTpJQk0uSVFfUEVOU0lPTl9QUklPUl9TRVJWSUNFX05FWFRfRE9NLjE5OTIuMDYvMDMvMjAyNi4uLlVTRC5IAQAAAN62AQADAAAAAAATKMHkzXveCEgdPTnOe94IUUNJUS5OWVNFOklCTS5JUV9QRU5TSU9OX0FTU0VUU19QQVJUSUNJUF9DT05UUklCVVRJT05TX0RPTS4xOTkyLjA2LzAzLzIwMjYuLi5VU0QuSAEAAADetgEAAwAAAAAAEyjB5M173ghIHT05znveCFtDSVEuTllTRTpJQk0uSVFfUEVOU0lPTl9PQkxJR0FUSU9OX1RPVEFMX0NPU1RfSU5DTF9TVVBQTEVfUExBTlNfRE9NLjE5OTIuMDYvMDMvMjAyNi4uLlVTRC5IAQAAAN62AQADAAAAAAATKMHkzXveCEgdPTnOe94ISUNJUS5OWVNFOklCTS5JUV9QRU5TSU9OX09CTElHQVRJT05fVE9UQUxfQ09TVF9ET00uMTk5Mi4wNi8wMy8yMDI2Li4uVVNELkgBAAAA3rYBAAIAAAAELTMyOQATKMHkzXveCGbiPDnOe94ITUNJUS5OWVNFOklCTS5JUV9PUEVCX0RFQ1JFQVNFX0VGRkVDVF9TRVJWSUNFX0lOVF9DT1NULjE5OTIuMDYvMDMvMjAyNi4uLlVTRC5IAQAAAN62AQADAAAAAAATKMHkzXveCKMxPTnOe94IPkNJUS5OWVNFOklCTS5JUV9PUEVCX0NJX09USEVSX01JU0NfQURKLjE5OTIuMDYvMDMvMjAyNi4u</t>
  </si>
  <si>
    <t>LlVTRC5IAQAAAN62AQADAAAAAAATKMHkzXveCKMxPTnOe94ISkNJUS5OWVNFOklCTS5JUV9PUEVCX0FTU0VUU19FTVBMT1lFUl9DT05UUklCVVRJT05TLjE5OTIuMDYvMDMvMjAyNi4uLlVTRC5IAQAAAN62AQACAAAAAzIzMwATKMHkzXveCEgdPTnOe94IOUNJUS5OWVNFOklCTS5JUV9QRU5TSU9OX0xUX0FTU0VUUy4xOTkyLjA2LzAzLzIwMjYuLi5VU0QuSAEAAADetgEAAgAAAAQ3NTA3ABMoweTNe94ISB09Oc573ghAQ0lRLk5ZU0U6SUJNLklRX1BFTlNJT05fUEJPX0FTU1VNRURfUkFURV9SRVRfTUFYLjE5OTIuMDYvMDMvMjAyNgEAAADetgEAAwAAAAAAEyjB5M173ghIHT05znveCDxDSVEuTllTRTpJQk0uSVFfUEVOU0lPTl9CUkVBS0RPV05fRkkuMTk5Mi4wNi8wMy8yMDI2Li4uVVNELkgBAAAA3rYBAAIAAAAFMzM1MTUAEyjB5M173gi8RT05znveCEVDSVEuTllTRTpJQk0uSVFfUEVOU0lPTl9BU1NFVFNfT1RIRVJfUExBTl9BREouMTk5Mi4wNi8wMy8yMDI2Li4uVVNELkgBAAAA3rYBAAIAAAAELTQ5MwATKMHkzXveCKMxPTnOe94IPUNJUS5OWVNFOklCTS5JUV9QRU5TSU9OX0FTU0VUU19GWF9BREouMTk5Mi4wNi8wMy8yMDI2Li4uVVNELkgBAAAA3rYBAAIAAAAEMTA1OAATKMHkzXveCKMxPTnOe94ITkNJUS5OWVNFOklCTS5JUV9QRU5TSU9OX09CTElHQVRJT05fQUNUVUFSSUFMX0dBSU5fTE9T</t>
  </si>
  <si>
    <t>Uy4xOTkyLjA2LzAzLzIwMjYuLi5VU0QuSAEAAADetgEAAgAAAAQyNTYzABMoweTNe94IozE9Oc573gg9Q0lRLk5ZU0U6SUJNLklRX1BFTlNJT05fT1RIRVJfQURKX0RPTS4xOTkyLjA2LzAzLzIwMjYuLi5VU0QuSAEAAADetgEAAwAAAAAAEyjB5M173gijMT05znveCDlDSVEuTllTRTpJQk0uSVFfUEVOU0lPTl9ESVNDX1JBVEVfTUFYX0RPTS4xOTkyLjA2LzAzLzIwMjYBAAAA3rYBAAIAAAADNS4zABMoweTNe94IvEU9Oc573ghNQ0lRLk5ZU0U6SUJNLklRX1BFTlNJT05fT0JMSUdBVElPTl9PVEhFUl9QTEFOX0FESl9ET00uMTk5Mi4wNi8wMy8yMDI2Li4uVVNELkgBAAAA3rYBAAIAAAAELTI4OAATKMHkzXveCLxFPTnOe94IPENJUS5OWVNFOklCTS5JUV9PUEVCX0VTVF9CRU5FRklUXzFZUi4xOTkyLjA2LzAzLzIwMjYuLi5VU0QuSAEAAADetgEAAgAAAAMyNjEAEyjB5M173gi8RT05znveCDtDSVEuTllTRTpJQk0uSVFfT1BFQl9SQVRFX0NPTVBfSU5DUkVBU0VfTUFYLjE5OTIuMDYvMDMvMjAyNgEAAADetgEAAwAAAAAAEyjB5M173gi8RT05znveCDtDSVEuTllTRTpJQk0uSVFfT1BFQl9PQkxJR0FUSU9OX0JFRy4xOTkyLjA2LzAzLzIwMjYuLi5VU0QuSAEAAADetgEAAgAAAAQyOTAwABMoweTNe94IvEU9Oc573gg/Q0lRLk5ZU0U6SUJNLklRX09QRUJfQVNTRVRTX0NVUlRBSUxfRE9NLjE5OTIuMDYv</t>
  </si>
  <si>
    <t>MDMvMjAyNi4uLlVTRC5IAQAAAN62AQADAAAAAAATKMHkzXveCM5fPTnOe94IQ0NJUS5OWVNFOklCTS5JUV9QRU5TSU9OX0VTVF9CRU5FRklUXzJZUl9ET00uMTk5Mi4wNi8wMy8yMDI2Li4uVVNELkgBAAAA3rYBAAIAAAAEMTk1MQATKMHkzXveCM5fPTnOe94IPUNJUS5OWVNFOklCTS5JUV9PUEVCX0NJX1BSSU9SX1NFUlZJQ0UuMTk5Mi4wNi8wMy8yMDI2Li4uVVNELkgBAAAA3rYBAAIAAAAELTM1MQATKMHkzXveCM5fPTnOe94INENJUS5OWVNFOklCTS5JUV9PUEVCX0xUX0xJQUIuMTk5Mi4wNi8wMy8yMDI2Li4uVVNELkgBAAAA3rYBAAIAAAAFLTI1NjkAEyjB5M173gjOXz05znveCDJDSVEuTllTRTpJQk0uSVFfT1BFQl9ESVNDX1JBVEVfTUFYLjE5OTIuMDYvMDMvMjAyNgEAAADetgEAAwAAAAAAEyjB5M173gjOXz05znveCERDSVEuTllTRTpJQk0uSVFfT1BFQl9TVVBQTEVfUExBTlNfVE9UQUxfQ09TVC4xOTkyLjA2LzAzLzIwMjYuLi5VU0QuSAEAAADetgEAAwAAAAAAEyjB5M173gjOXz05znveCDJDSVEuTllTRTpJQk0uSVFfUEVOU0lPTl9DTC4xOTkyLjA2LzAzLzIwMjYuLi5VU0QuSAEAAADetgEAAgAAAAQtNDg1ABMoweTNe94Izl89Oc573gg8Q0lRLk5ZU0U6SUJNLklRX1BFTlNJT05fSU5UQU5fQVNTRVRTLjE5OTIuMDYvMDMvMjAyNi4uLlVTRC5IAQAAAN62AQADAAAAAAATKMHkzXveCM5f</t>
  </si>
  <si>
    <t>PTnOe94IQENJUS5OWVNFOklCTS5JUV9QRU5TSU9OX0FDQ1JVRURfTElBQl9ET00uMTk5Mi4wNi8wMy8yMDI2Li4uVVNELkgBAAAA3rYBAAMAAAAAABMoweTNe94Izl89Oc573ghBQ0lRLk5ZU0U6SUJNLklRX1BFTlNJT05fSU5URVJFU1RfQ09TVF9ET00uMTk5Mi4wNi8wMy8yMDI2Li4uVVNELkgBAAAA3rYBAAIAAAAEMTA5MAATKMHkzXveCM5fPTnOe94IOkNJUS5OWVNFOklCTS5JUV9PUEVCX1VOUkVDT0dfUFJJT1IuMTk5Mi4wNi8wMy8yMDI2Li4uVVNELkgBAAAA3rYBAAMAAAAAABMoweTNe94IBIc9Oc573gg2Q0lRLk5ZU0U6SUJNLklRX09QRUJfTFRfQVNTRVRTLjE5OTIuMDYvMDMvMjAyNi4uLlVTRC5IAQAAAN62AQADAAAAAAATKMHkzXveCASHPTnOe94IOUNJUS5OWVNFOklCTS5JUV9PUEVCX0lOVEFOX0FTU0VUUy4xOTkyLjA2LzAzLzIwMjYuLi5VU0QuSAEAAADetgEAAwAAAAAAEyjB5M173ggEhz05znveCD1DSVEuTllTRTpJQk0uSVFfT1BFQl9DSV9ORVRfQU1UX1JFQ09HLjE5OTIuMDYvMDMvMjAyNi4uLlVTRC5IAQAAAN62AQACAAAABC0xNTQAEyjB5M173gjOXz05znveCDVDSVEuTllTRTpJQk0uSVFfT1BFQl9CUkVBS0RPV05fUENUX0ZJLjE5OTIuMDYvMDMvMjAyNgEAAADetgEAAgAAAAMxMDAAEyjB5M173gjOXz05znveCEpDSVEuTllTRTpJQk0uSVFfT1BFQl9BU1NFVFNfUEFSVElD</t>
  </si>
  <si>
    <t>SVBfQ09OVFJJQlVUSU9OUy4xOTkyLjA2LzAzLzIwMjYuLi5VU0QuSAEAAADetgEAAgAAAAIzOAATKMHkzXveCASHPTnOe94IS0NJUS5OWVNFOklCTS5JUV9PUEVCX09CTElHQVRJT05fQUNUVUFSSUFMX0dBSU5fTE9TUy4xOTkyLjA2LzAzLzIwMjYuLi5VU0QuSAEAAADetgEAAgAAAAIxNgATKMHkzXveCASHPTnOe94IRENJUS5OWVNFOklCTS5JUV9QRU5TSU9OX1BCT19BU1NVTUVEX1JBVEVfUkVUX01JTl9ET00uMTk5Mi4wNi8wMy8yMDI2AQAAAN62AQACAAAAATUAEyjB5M173ggEhz05znveCDZDSVEuTllTRTpJQk0uSVFfT1BFQl9CRU5FRklUX0lORk9fREFURS4xOTkyLjA2LzAzLzIwMjYBAAAA3rYBAAUAAAAKMzEvMTIvMjAyMwATKMHkzXveCASHPTnOe94IPENJUS5OWVNFOklCTS5JUV9PUEVCX05FVF9BU1NFVF9SRUNPRy4xOTkyLjA2LzAzLzIwMjYuLi5VU0QuSAEAAADetgEAAgAAAAUtMjc4OAATKMHkzXveCASHPTnOe94IPENJUS5OWVNFOklCTS5JUV9PUEVCX0VTVF9CRU5FRklUXzJZUi4xOTkyLjA2LzAzLzIwMjYuLi5VU0QuSAEAAADetgEAAgAAAAMyNjAAEyjB5M173ggEhz05znveCDNDSVEuTllTRTpJQk0uSVFfT1BFQl9BU1NFVFMuMTk5Mi4wNi8wMy8yMDI2Li4uVVNELkgBAAAA3rYBAAIAAAACMzMAEyjB5M173ggEhz05znveCEpDSVEuTllTRTpJQk0uSVFfUEVOU0lPTl9VTkZVTkRF</t>
  </si>
  <si>
    <t>RF9BRERMX01JTl9MSUFCX0RPTS4xOTkyLjA2LzAzLzIwMjYuLi5VU0QuSAEAAADetgEAAwAAAAAAEyjB5M173ggEhz05znveCEFDSVEuTllTRTpJQk0uSVFfUEVOU0lPTl9BU1NFVFNfRlhfQURKX0RPTS4xOTkyLjA2LzAzLzIwMjYuLi5VU0QuSAEAAADetgEAAwAAAAAA7DzB5M173ggEhz05znveCDhDSVEuTllTRTpJQk0uSVFfT1BFQl9FWFBfUkFURV9SRVRVUk5fTUFYLjE5OTIuMDYvMDMvMjAyNgEAAADetgEAAwAAAAAA7DzB5M173ggEhz05znveCDdDSVEuTllTRTpJQk0uSVFfT1BFQl9PVEhFUl9DT1NULjE5OTIuMDYvMDMvMjAyNi4uLlVTRC5IAQAAAN62AQACAAAAAy0zMgDsPMHkzXveCASHPTnOe94IOUNJUS5OWVNFOklCTS5JUV9QRU5TSU9OX0JFTkVGSVRfSU5GT19EQVRFLjE5OTIuMDYvMDMvMjAyNgEAAADetgEABQAAAAozMS8xMi8yMDIzAOw8weTNe94IBIc9Oc573ghNQ0lRLk5ZU0U6SUJNLklRX09QRUJfVE9UQUxfQ09TVF9JTkNMX1NVUFBMRV9QTEFOU19ET00uMTk5Mi4wNi8wMy8yMDI2Li4uVVNELkgBAAAA3rYBAAMAAAAAAOw8weTNe94IBIc9Oc573ghAQ0lRLk5ZU0U6SUJNLklRX1BFTlNJT05fQlJFQUtET1dOX1JFX0RPTS4xOTkyLjA2LzAzLzIwMjYuLi5VU0QuSAEAAADetgEAAwAAAAAA7DzB5M173gi0wT05znveCEJDSVEuTllTRTpJQk0uSVFfUEVOU0lPTl9SQVRFX0NPTVBf</t>
  </si>
  <si>
    <t>SU5DUkVBU0VfTUFYX0RPTS4xOTkyLjA2LzAzLzIwMjYBAAAA3rYBAAMAAAAAAOw8weTNe94ItME9Oc573gg/Q0lRLk5ZU0U6SUJNLklRX09QRUJfUEJPX1JBVEVfQ09NUF9JTkNSRUFTRV9NQVguMTk5Mi4wNi8wMy8yMDI2AQAAAN62AQADAAAAAADsPMHkzXveCLTBPTnOe94IOkNJUS5OWVNFOklCTS5JUV9PUEVCX0NJX1RSQU5TSVRJT04uMTk5Mi4wNi8wMy8yMDI2Li4uVVNELkgBAAAA3rYBAAMAAAAAAOw8weTNe94ItME9Oc573ghBQ0lRLk5ZU0U6SUJNLklRX09QRUJfQVNTRVRTX0FDVFVBTF9SRVRVUk4uMTk5Mi4wNi8wMy8yMDI2Li4uVVNELkgBAAAA3rYBAAIAAAABMwDsPMHkzXveCASHPTnOe94IRUNJUS5OWVNFOklCTS5JUV9PUEVCX09CTElHQVRJT05fSU5URVJFU1RfQ09TVC4xOTkyLjA2LzAzLzIwMjYuLi5VU0QuSAEAAADetgEAAgAAAAMxNTYA7DzB5M173gi0wT05znveCD5DSVEuTllTRTpJQk0uSVFfUEVOU0lPTl9BQ0NVTV9PVEhFUl9DSS4xOTkyLjA2LzAzLzIwMjYuLi5VU0QuSAEAAADetgEAAwAAAAAA7DzB5M173gi0wT05znveCEBDSVEuTllTRTpJQk0uSVFfUEVOU0lPTl9QQk9fQVNTVU1FRF9SQVRFX1JFVF9NSU4uMTk5Mi4wNi8wMy8yMDI2AQAAAN62AQADAAAAAADsPMHkzXveCLTBPTnOe94IOENJUS5OWVNFOklCTS5JUV9QRU5TSU9OX0FDVF9ORVhULjE5OTIuMDYvMDMvMjAy</t>
  </si>
  <si>
    <t>Ni4uLlVTRC5IAQAAAN62AQADAAAAAADsPMHkzXveCLTBPTnOe94IQ0NJUS5OWVNFOklCTS5JUV9QRU5TSU9OX0VTVF9CRU5FRklUXzFZUl9ET00uMTk5Mi4wNi8wMy8yMDI2Li4uVVNELkgBAAAA3rYBAAIAAAAEMTg5MQDsPMHkzXveCLTBPTnOe94ISUNJUS5OWVNFOklCTS5JUV9QRU5TSU9OX0FTU0VUU19PVEhFUl9QTEFOX0FESl9ET00uMTk5Mi4wNi8wMy8yMDI2Li4uVVNELkgBAAAA3rYBAAIAAAAELTI4OADsPMHkzXveCP/oPTnOe94INUNJUS5OWVNFOklCTS5JUV9PUEVCX0JSRUFLRE9XTl9QQ1RfUkUuMTk5Mi4wNi8wMy8yMDI2AQAAAN62AQADAAAAAADsPMHkzXveCLTBPTnOe94IO0NJUS5OWVNFOklCTS5JUV9PUEVCX0FTU0VUU19DVVJUQUlMLjE5OTIuMDYvMDMvMjAyNi4uLlVTRC5IAQAAAN62AQADAAAAAADsPMHkzXveCLTBPTnOe94IPENJUS5OWVNFOklCTS5JUV9QRU5TSU9OX0JSRUFLRE9XTl9QQ1RfRklfRE9NLjE5OTIuMDYvMDMvMjAyNgEAAADetgEAAgAAAAc3Ni40NzAxAOw8weTNe94ItME9Oc573ghFQ0lRLk5ZU0U6SUJNLklRX1BFTlNJT05fT0JMSUdBVElPTl9GWF9BREpfRE9NLjE5OTIuMDYvMDMvMjAyNi4uLlVTRC5IAQAAAN62AQADAAAAAADsPMHkzXveCLTBPTnOe94IS0NJUS5OWVNFOklCTS5JUV9QRU5TSU9OX09CTElHQVRJT05fU0VSVklDRV9DT1NUX0RPTS4xOTkyLjA2</t>
  </si>
  <si>
    <t>LzAzLzIwMjYuLi5VU0QuSAEAAADetgEAAwAAAAAA7DzB5M173gjA/D05znveCD1DSVEuTllTRTpJQk0uSVFfT1BFQl9QQk9fQVNTVU1FRF9SQVRFX1JFVF9NQVguMTk5Mi4wNi8wMy8yMDI2AQAAAN62AQADAAAAAADsPMHkzXveCP/oPTnOe94IPENJUS5OWVNFOklCTS5JUV9PUEVCX09CTElHQVRJT05fUEFJRC4xOTkyLjA2LzAzLzIwMjYuLi5VU0QuSAEAAADetgEAAgAAAAQtMzE1AOw8weTNe94I/+g9Oc573gg6Q0lRLk5ZU0U6SUJNLklRX09QRUJfSU5URVJFU1RfQ09TVC4xOTkyLjA2LzAzLzIwMjYuLi5VU0QuSAEAAADetgEAAgAAAAMxNTYA7DzB5M173gj/6D05znveCD9DSVEuTllTRTpJQk0uSVFfUEVOU0lPTl9ORVRfQVNTRVRfUkVDT0cuMTk5Mi4wNi8wMy8yMDI2Li4uVVNELkgBAAAA3rYBAAIAAAAFLTEyMTgA7DzB5M173gj/6D05znveCDVDSVEuTllTRTpJQk0uSVFfUEVOU0lPTl9PVEhFUi4xOTkyLjA2LzAzLzIwMjYuLi5VU0QuSAEAAADetgEAAwAAAAAA7DzB5M173gjA/D05znveCD9DSVEuTllTRTpJQk0uSVFfUEVOU0lPTl9FU1RfQkVORUZJVF8xWVIuMTk5Mi4wNi8wMy8yMDI2Li4uVVNELkgBAAAA3rYBAAIAAAAENDI2MQDsPMHkzXveCMD8PTnOe94IL0NJUS5OWVNFOklCTS5JUV9PUEVCX0NMLjE5OTIuMDYvMDMvMjAyNi4uLlVTRC5IAQAAAN62AQACAAAABC0yMTkA7DzB5M173gjA</t>
  </si>
  <si>
    <t>/D05znveCDtDSVEuTllTRTpJQk0uSVFfT1BFQl9BTVRfUkVDT0dfTkVYVC4xOTkyLjA2LzAzLzIwMjYuLi5VU0QuSAEAAADetgEAAwAAAAAA7DzB5M173gjA/D05znveCDNDSVEuTllTRTpJQk0uSVFfT1BFQl9DSV9BQ1QuMTk5Mi4wNi8wMy8yMDI2Li4uVVNELkgBAAAA3rYBAAIAAAADMTk2AOw8weTNe94IwPw9Oc573ghDQ0lRLk5ZU0U6SUJNLklRX09QRUJfT0JMSUdBVElPTl9BQ0NVTVVMQVRFRC4xOTkyLjA2LzAzLzIwMjYuLi5VU0QuSAEAAADetgEAAwAAAAAA7DzB5M173gjA/D05znveCD9DSVEuTllTRTpJQk0uSVFfT1BFQl9SQVRFX0NPTVBfSU5DUkVBU0VfTUFYX0RPTS4xOTkyLjA2LzAzLzIwMjYBAAAA3rYBAAMAAAAAAOw8weTNe94IwPw9Oc573gg7Q0lRLk5ZU0U6SUJNLklRX1BFTlNJT05fTFRfTElBQl9ET00uMTk5Mi4wNi8wMy8yMDI2Li4uVVNELkgBAAAA3rYBAAIAAAAFLTEyNjIA7DzB5M173gjA/D05znveCEZDSVEuTllTRTpJQk0uSVFfUEVOU0lPTl9PQkxJR0FUSU9OX0NVUlRBSUxfRE9NLjE5OTIuMDYvMDMvMjAyNi4uLlVTRC5IAQAAAN62AQADAAAAAADsPMHkzXveCMD8PTnOe94IVUNJUS5OWVNFOklCTS5JUV9QRU5TSU9OX09CTElHQVRJT05fRU1QTE9ZRUVfQ09OVFJJQlVUSU9OU19ET00uMTk5Mi4wNi8wMy8yMDI2Li4uVVNELkgBAAAA3rYBAAMAAAAAAOw8weTNe94IwPw9</t>
  </si>
  <si>
    <t>Oc573gg7Q0lRLk5ZU0U6SUJNLklRX09QRUJfQUNDVU1fT1RIRVJfQ0kuMTk5Mi4wNi8wMy8yMDI2Li4uVVNELkgBAAAA3rYBAAMAAAAAAOw8weTNe94IwPw9Oc573gg5Q0lRLk5ZU0U6SUJNLklRX09QRUJfQUNDUlVFRF9MSUFCLjE5OTIuMDYvMDMvMjAyNi4uLlVTRC5IAQAAAN62AQADAAAAAADsPMHkzXveCMD8PTnOe94INUNJUS5OWVNFOklCTS5JUV9PUEVCX0JSRUFLRE9XTl9QQ1RfRVEuMTk5Mi4wNi8wMy8yMDI2AQAAAN62AQADAAAAAADsPMHkzXveCMD8PTnOe94IOkNJUS5OWVNFOklCTS5JUV9PUEVCX0FTU0VUU19GWF9BREouMTk5Mi4wNi8wMy8yMDI2Li4uVVNELkgBAAAA3rYBAAIAAAABMwDsPMHkzXveCMD8PTnOe94ITENJUS5OWVNFOklCTS5JUV9QRU5TSU9OX1FVQVJUX0FERExfQ09OVFJJQlVUSU9OU19FWFAuMTk5Mi4wNi8wMy8yMDI2Li4uVVNELkgBAAAA3rYBAAMAAAAAAOw8weTNe94IwPw9Oc573gg8Q0lRLk5ZU0U6SUJNLklRX1BFTlNJT05fQUNDUlVFRF9MSUFCLjE5OTIuMDYvMDMvMjAyNi4uLlVTRC5IAQAAAN62AQADAAAAAADsPMHkzXveCHQ3PjnOe94IP0NJUS5OWVNFOklCTS5JUV9QRU5TSU9OX1RSQU5TSVRJT05fTkVYVC4xOTkyLjA2LzAzLzIwMjYuLi5VU0QuSAEAAADetgEAAwAAAAAA7DzB5M173gjA/D05znveCDhDSVEuTllTRTpJQk0uSVFfUEVOU0lPTl9CUkVBS0RP</t>
  </si>
  <si>
    <t>V05fUENUX1JFLjE5OTIuMDYvMDMvMjAyNgEAAADetgEAAgAAAAYwLjAwNzQA7DzB5M173gjA/D05znveCDtDSVEuTllTRTpJQk0uSVFfUEVOU0lPTl9FWFBfUkFURV9SRVRVUk5fTUFYLjE5OTIuMDYvMDMvMjAyNgEAAADetgEAAwAAAAAA7DzB5M173gjA/D05znveCDtDSVEuTllTRTpJQk0uSVFfUEVOU0lPTl9CUkVBS0RPV05fUENUX09USEVSLjE5OTIuMDYvMDMvMjAyNgEAAADetgEAAgAAAAczNS4zODc2AOw8weTNe94IwPw9Oc573gg5Q0lRLk5ZU0U6SUJNLklRX1BFTlNJT05fVE9UQUxfRVhQLjE5OTIuMDYvMDMvMjAyNi4uLlVTRC5IAQAAAN62AQACAAAABDEwMjEA7DzB5M173gh0Nz45znveCDpDSVEuTllTRTpJQk0uSVFfR1JPU1NfSU5UQU5fQVNTRVRTLjE5OTIuMDYvMDMvMjAyNi4uLlVTRC5IAQAAAN62AQACAAAABTE2NjI4AQgAAAAFAAAAATEBAAAACy0xOTA0ODYwNjcwAwAAAAMxNjACAAAABTI0MjkzBAAAAAEwBwAAAAgzLzYvMjAyNggAAAAKMTIvMzEvMjAyMwkAAAABMOw8weTNe94IdDc+Oc573gg3Q0lRLk5ZU0U6SUJNLklRX1BFTlNJT05fVVZfTElBQi4xOTkyLjA2LzAzLzIwMjYuLi5VU0QuSAEAAADetgEAAwAAAAAA7DzB5M173gh0Nz45znveCE1DSVEuTllTRTpJQk0uSVFfUEVOU0lPTl9BU1NFVFNfRU1QTE9ZRVJfQ09OVFJJQlVUSU9OUy4xOTkyLjA2LzAzLzIwMjYuLi5VU0Qu</t>
  </si>
  <si>
    <t>SAEAAADetgEAAgAAAAI1NwDsPMHkzXveCHQ3PjnOe94IMUNJUS5OWVNFOklCTS5JUV9OVU1CRVJfQURSSE9MREVSUy4xOTkyLjA2LzAzLzIwMjYBAAAA3rYBAAMAAAAAAOw8weTNe94IdDc+Oc573gg5Q0lRLk5ZU0U6SUJNLklRX0FTU0VUU19GQUlSX1ZBTFVFLjE5OTIuMDYvMDMvMjAyNi4uLlVTRC5IAQAAAN62AQACAAAABDg0MzkA7DzB5M173gh0Nz45znveCEFDSVEuTllTRTpJQk0uSVFfRklOX0RJVl9NSU5PUklUWV9JTlRFUkVTVC4xOTkyLjA2LzAzLzIwMjYuLi5VU0QuSAEAAADetgEAAwAAAAAA7DzB5M173gh0Nz45znveCC9DSVEuTllTRTpJQk0uSVFfV0lQX0lOVi4xOTkyLjA2LzAzLzIwMjYuLi5VU0QuSAEAAADetgEAAgAAAAQxMDgzAQgAAAAFAAAAATEBAAAACy0xOTA0ODYwNjcwAwAAAAMxNjACAAAABDMyMTkEAAAAATAHAAAACDMvNi8yMDI2CAAAAAoxMi8zMS8yMDIzCQAAAAEw7DzB5M173gh0Nz45znveCCpDSVEuTllTRTpJQk0uSVFfSU5WX01FVEhPRC4xOTkyLjA2LzAzLzIwMjYBAAAA3rYBAAMAAAAIQXZnIENvc3QA7DzB5M173gh0Nz45znveCDBDSVEuTllTRTpJQk0uSVFfR1dfSU5UQU4uMTk5Mi4wNi8wMy8yMDI2Li4uVVNELkgBAAAA3rYBAAIAAAAFNzEyMTQBCAAAAAUAAAABMQEAAAALLTE5MDQ4NjA2NzADAAAAAzE2MAIAAAAFMzUzODEEAAAAATAHAAAACDMvNi8yMDI2CAAA</t>
  </si>
  <si>
    <t>AAoxMi8zMS8yMDIzCQAAAAEw7DzB5M173gh0Nz45znveCDVDSVEuTllTRTpJQk0uSVFfUEVOU0lPTl9ESVNDX1JBVEVfTUlOLjE5OTIuMDYvMDMvMjAyNgEAAADetgEAAwAAAAAA7DzB5M173gh0Nz45znveCEZDSVEuTllTRTpJQk0uSVFfUEVOU0lPTl9BQ0NVTVVMQVRFRF9PQkxJR0FUSU9OLjE5OTIuMDYvMDMvMjAyNi4uLlVTRC5IAQAAAN62AQACAAAABTU0MzYzAOw8weTNe94IdDc+Oc573gg+Q0lRLk5ZU0U6SUJNLklRX0NPTlRJTkdFTlRfTElBQklMSVRJRVMuMTk5Mi4wNi8wMy8yMDI2Li4uVVNELkgBAAAA3rYBAAMAAAAAAOw8weTNe94IdDc+Oc573gg5Q0lRLk5ZU0U6SUJNLklRX09QRUJfU0VSVklDRV9DT1NULjE5OTIuMDYvMDMvMjAyNi4uLlVTRC5IAQAAAN62AQACAAAAATYA7DzB5M173gh0Nz45znveCEJDSVEuTllTRTpJQk0uSVFfUEVOU0lPTl9FU1RfQkVORUZJVF9BRlRFUjUuMTk5Mi4wNi8wMy8yMDI2Li4uVVNELkgBAAAA3rYBAAIAAAAFMTk1OTEA7DzB5M173gh0Nz45znveCERDSVEuTllTRTpJQk0uSVFfUEVOU0lPTl9BU1NFVFNfQkVORUZJVFNfUEFJRC4xOTkyLjA2LzAzLzIwMjYuLi5VU0QuSAEAAADetgEAAgAAAAUtMzA1MwDsPMHkzXveCOt2PjnOe94IQUNJUS5OWVNFOklCTS5JUV9QRU5TSU9OX09CTElHQVRJT05fRlhfQURKLjE5OTIuMDYvMDMvMjAyNi4uLlVTRC5IAQAA</t>
  </si>
  <si>
    <t>AN62AQACAAAABDEwMjEA7DzB5M173gh0Nz45znveCEdDSVEuTllTRTpJQk0uSVFfUEVOU0lPTl9PQkxJR0FUSU9OX1NFUlZJQ0VfQ09TVC4xOTkyLjA2LzAzLzIwMjYuLi5VU0QuSAEAAADetgEAAgAAAAMxNzcA7DzB5M173gh0Nz45znveCD5DSVEuTllTRTpJQk0uSVFfUEVOU0lPTl9PQkxJR0FUSU9OX1JPQS4xOTkyLjA2LzAzLzIwMjYuLi5VU0QuSAEAAADetgEAAgAAAAUtMjk2OQDsPMHkzXveCHQ3PjnOe94ILENJUS5OWVNFOklCTS5JUV9DQUxDX1RZUEVfQlMuMTk5Mi4wNi8wMy8yMDI2AQAAAN62AQADAAAAA1JVUADsPMHkzXveCHQ3PjnOe94IPUNJUS5OWVNFOklCTS5JUV9ERUJUX0VRVUlWX09QRVJfTEVBU0UuMTk5Mi4wNi8wMy8yMDI2Li4uVVNELkgBAAAA3rYBAAIAAAAFMTAzMzYBCAAAAAUAAAABMQEAAAALLTE5MDQ4NjA2NzADAAAAAzE2MAIAAAAFMjE2NzEEAAAAATAHAAAACDMvNi8yMDI2CAAAAAoxMi8zMS8yMDIzCQAAAAEw7DzB5M173gjrdj45znveCClDSVEuTllTRTpJQk0uSVFfRlVMTF9USU1FLjE5OTIuMDYvMDMvMjAyNgEAAADetgEAAgAAAAYyODIyMDAA7DzB5M173gjrdj45znveCE5DSVEuTllTRTpJQk0uSVFfTElRVUlEQVRJT05fVkFMVUVfUFJFRkVSUkVEX05PTl9SRURFRU0uMTk5Mi4wNi8wMy8yMDI2Li4uVVNELkgBAAAA3rYBAAMAAAAAAOw8weTNe94I63Y+Oc573ghJ</t>
  </si>
  <si>
    <t>Q0lRLk5ZU0U6SUJNLklRX0dFTkVSQUxfUEFSVE5FUl9NSU5PUklUWV9JTlRFUkVTVC4xOTkyLjA2LzAzLzIwMjYuLi5VU0QuSAEAAADetgEAAwAAAAAA7DzB5M173gjrdj45znveCDFDSVEuTllTRTpJQk0uSVFfQlVJTERJTkdTLjE5OTIuMDYvMDMvMjAyNi4uLlVTRC5IAQAAAN62AQACAAAABDUzMzMBCAAAAAUAAAABMQEAAAALLTE5MDQ4NjA2NzADAAAAAzE2MAIAAAAEMzAyMwQAAAABMAcAAAAIMy82LzIwMjYIAAAACjEyLzMxLzIwMjMJAAAAATDsPMHkzXveCOt2PjnOe94IMUNJUS5OWVNFOklCTS5JUV9UT1RBTF9DQVAuMTk5Mi4wNi8wMy8yMDI2Li4uVVNELkgBAAAA3rYBAAIAAAAFODI1NDgBCAAAAAUAAAABMQEAAAALLTE5MDQ4NjA2NzADAAAAAzE2MAIAAAAENDE3NQQAAAABMAcAAAAIMy82LzIwMjYIAAAACjEyLzMxLzIwMjMJAAAAATDsPMHkzXveCOt2PjnOe94IOUNJUS5OWVNFOklCTS5JUV9UT1RBTF9PVVRTVEFORElOR19CU19EQVRFLjE5OTIuMDYvMDMvMjAyNgEAAADetgEAAgAAAAo5MTUuMDEzNjQ2AQQAAAAFAAAAATUBAAAACy0xOTA0ODYwNjcwAgAAAAUyNDE1MgYAAAABMOw8weTNe94I63Y+Oc573ghAQ0lRLk5ZU0U6SUJNLklRX0ZJTkFOQ0VfTEVBU0VTX0xPTkdfVEVSTS4xOTkyLjA2LzAzLzIwMjYuLi5VU0QuSAEAAADetgEAAgAAAAMzNzkBCAAAAAUAAAABMQEAAAALLTE5MDQ4</t>
  </si>
  <si>
    <t>NjA2NzADAAAAAzE2MAIAAAAFNDg5OTEEAAAAATAHAAAACDMvNi8yMDI2CAAAAAoxMi8zMS8yMDIzCQAAAAEw7DzB5M173gjrdj45znveCDtDSVEuTllTRTpJQk0uSVFfQURfRVhDTF9PUEVSX0xFQVNFUy4xOTkyLjA2LzAzLzIwMjYuLi5VU0QuSAEAAADetgEAAgAAAAYtMTI2MjEBCAAAAAUAAAABMQEAAAALLTE5MDQ4NjA2NzADAAAAAzE2MAIAAAAFNDg5NzUEAAAAATAHAAAACDMvNi8yMDI2CAAAAAoxMi8zMS8yMDIzCQAAAAEw7DzB5M173gjrdj45znveCDlDSVEuTllTRTpJQk0uSVFfTUlOT1JJVFlfSU5URVJFU1QuMTk5Mi4wNi8wMy8yMDI2Li4uVVNELkgBAAAA3rYBAAIAAAACODABCAAAAAUAAAABMQEAAAALLTE5MDQ4NjA2NzADAAAAAzE2MAIAAAAEMTA1MgQAAAABMAcAAAAIMy82LzIwMjYIAAAACjEyLzMxLzIwMjMJAAAAATDsPMHkzXveCOt2PjnOe94INUNJUS5OWVNFOklCTS5JUV9PVEhFUl9MSUFCX0xULjE5OTIuMDYvMDMvMjAyNi4uLlVTRC5IAQAAAN62AQACAAAABTEwMzMwAQgAAAAFAAAAATEBAAAACy0xOTA0ODYwNjcwAwAAAAMxNjACAAAABDEwNjIEAAAAATAHAAAACDMvNi8yMDI2CAAAAAoxMi8zMS8yMDIzCQAAAAEw7DzB5M173gjrdj45znveCDxDSVEuTllTRTpJQk0uSVFfRklOX0RJVl9MSUFCX0NVUlJFTlQuMTk5Mi4wNi8wMy8yMDI2Li4uVVNELkgBAAAA3rYBAAMAAAAAAOw8</t>
  </si>
  <si>
    <t>weTNe94I63Y+Oc573gg5Q0lRLk5ZU0U6SUJNLklRX0ZJTl9ESVZfQVNTRVRTX0xULjE5OTIuMDYvMDMvMjAyNi4uLlVTRC5IAQAAAN62AQADAAAAAADsPMHkzXveCOt2PjnOe94IKkNJUS5OWVNFOklCTS5JUV9HVy4xOTkyLjA2LzAzLzIwMjYuLi5VU0QuSAEAAADetgEAAgAAAAU2MDE3OAEIAAAABQAAAAExAQAAAAstMTkwNDg2MDY3MAMAAAADMTYwAgAAAAQxMTcxBAAAAAEwBwAAAAgzLzYvMjAyNggAAAAKMTIvMzEvMjAyMwkAAAABMOw8weTNe94I63Y+Oc573gg/Q0lRLk5ZU0U6SUJNLklRX09QRUJfUEJPX1JBVEVfQ09NUF9JTkNSRUFTRV9NSU4uMTk5Mi4wNi8wMy8yMDI2AQAAAN62AQADAAAAAADsPMHkzXveCOt2PjnOe94IQkNJUS5OWVNFOklCTS5JUV9QRU5TSU9OX1BSSU9SX1NFUlZJQ0VfTkVYVC4xOTkyLjA2LzAzLzIwMjYuLi5VU0QuSAEAAADetgEAAwAAAAAA7DzB5M173ggFsj45znveCEVDSVEuTllTRTpJQk0uSVFfUEVOU0lPTl9PQkxJR0FUSU9OX1RPVEFMX0NPU1QuMTk5Mi4wNi8wMy8yMDI2Li4uVVNELkgBAAAA3rYBAAIAAAACMzAA7DzB5M173ggFsj45znveCEVDSVEuTllTRTpJQk0uSVFfQ1VSUkVOVF9QT1JUX0RFQlRfREVSSVZBVElWRVMuMTk5Mi4wNi8wMy8yMDI2Li4uVVNELkgBAAAA3rYBAAMAAAAAAOw8weTNe94I63Y+Oc573ghRQ0lRLk5ZU0U6SUJNLklRX1BFTlNJT05f</t>
  </si>
  <si>
    <t>T0JMSUdBVElPTl9FTVBMT1lFRV9DT05UUklCVVRJT05TLjE5OTIuMDYvMDMvMjAyNi4uLlVTRC5IAQAAAN62AQACAAAAAjE3AOw8weTNe94I63Y+Oc573ggsQ0lRLk5ZU0U6SUJNLklRX0FVRElUT1JfTkFNRS4xOTkyLjA2LzAzLzIwMjYBAAAA3rYBAAMAAAAAAOw8weTNe94I63Y+Oc573gg9Q0lRLk5ZU0U6SUJNLklRX0ZJTl9ESVZfTFRfREVCVF9UT1RBTC4xOTkyLjA2LzAzLzIwMjYuLi5VU0QuSAEAAADetgEAAgAAAAUxMTg3OQEIAAAABQAAAAExAQAAAAstMTkwNDg2MDY3MAMAAAADMTYwAgAAAAUyNDUxNQQAAAABMAcAAAAIMy82LzIwMjYIAAAACjEyLzMxLzIwMjMJAAAAATDsPMHkzXveCAWyPjnOe94ILUNJUS5OWVNFOklCTS5JUV9BVkdfRU1QTE9ZRUVTLjE5OTIuMDYvMDMvMjAyNgEAAADetgEAAwAAAAAA7DzB5M173ggFsj45znveCDZDSVEuTllTRTpJQk0uSVFfQVNTRVRTX0xFVkVMXzMuMTk5Mi4wNi8wMy8yMDI2Li4uVVNELkgBAAAA3rYBAAMAAAAAAOw8weTNe94IBbI+Oc573ghDQ0lRLk5ZU0U6SUJNLklRX0ZJTl9ESVZfTUlOT1JJVFlfSU5UX1JFREVFTS4xOTkyLjA2LzAzLzIwMjYuLi5VU0QuSAEAAADetgEAAwAAAAAA7DzB5M173ggFsj45znveCC1DSVEuTllTRTpJQk0uSVFfTElGT1IuMTk5Mi4wNi8wMy8yMDI2Li4uVVNELkgBAAAA3rYBAAMAAAAAAOw8weTNe94IBbI+Oc573ggy</t>
  </si>
  <si>
    <t>Q0lRLk5ZU0U6SUJNLklRX0NBU0hfU0hBUkUuMTk5Mi4wNi8wMy8yMDI2Li4uVVNELkgBAAAA3rYBAAIAAAAJMTQuMjgxNzU0AQgAAAAFAAAAATEBAAAACy0xOTA0ODYwNjcwAwAAAAMxNjACAAAABDQzODEEAAAAATAHAAAACDMvNi8yMDI2CAAAAAoxMi8zMS8yMDIzCQAAAAEw7DzB5M173ggCxj45znveCD9DSVEuTllTRTpJQk0uSVFfUEVOU0lPTl9FU1RfQkVORUZJVF81WVIuMTk5Mi4wNi8wMy8yMDI2Li4uVVNELkgBAAAA3rYBAAIAAAAENDE0NQDsPMHkzXveCALGPjnOe94IQENJUS5OWVNFOklCTS5JUV9QRU5TSU9OX0NJX1BSSU9SX1NFUlZJQ0UuMTk5Mi4wNi8wMy8yMDI2Li4uVVNELkgBAAAA3rYBAAIAAAADMzA5AOw8weTNe94IAsY+Oc573ghHQ0lRLk5ZU0U6SUJNLklRX1BFTlNJT05fQ09OVFJJQlVUSU9OX1RPVEFMX0NPU1QuMTk5Mi4wNi8wMy8yMDI2Li4uVVNELkgBAAAA3rYBAAIAAAADOTkxAOw8weTNe94IAsY+Oc573ggqQ0lRLk5ZU0U6SUJNLklRX1BFUklPRERBVEUuMTk5Mi4wNi8wMy8yMDI2AQAAAN62AQAFAAAACjMxLzEyLzIwMjMAEGn55M173ghKQ0M5znveCDtDSVEuTllTRTpJQk0uSVFfSU5URVJDT01QQU5ZX05PTl9DQS4xOTkyLjA2LzAzLzIwMjYuLi5VU0QuSAEAAADetgEAAwAAAAAA7DzB5M173ggCxj45znveCDZDSVEuTllTRTpJQk0uSVFfQUNDVU1fQU1PUlRfR1cuMTk5</t>
  </si>
  <si>
    <t>Mi4wNi8wMy8yMDI2Li4uVVNELkgBAAAA3rYBAAMAAAAAAOw8weTNe94IAsY+Oc573ghAQ0lRLk5ZU0U6SUJNLklRX0FDQ1VNX0FNT1JUX0lOVEFOX0FTU0VUUy4xOTkyLjA2LzAzLzIwMjYuLi5VU0QuSAEAAADetgEAAgAAAAUtNjQ2NgEIAAAABQAAAAExAQAAAAstMTkwNDg2MDY3MAMAAAADMTYwAgAAAAUyNDMzMQQAAAABMAcAAAAIMy82LzIwMjYIAAAACjEyLzMxLzIwMjMJAAAAATDsPMHkzXveCALGPjnOe94IN0NJUS5OWVNFOklCTS5JUV9PUEVCX0FTU0VUU19CRUcuMTk5Mi4wNi8wMy8yMDI2Li4uVVNELkgBAAAA3rYBAAIAAAACMzkA7DzB5M173ggCxj45znveCEBDSVEuTllTRTpJQk0uSVFfUEVOU0lPTl9DSV9ORVRfQU1UX1JFQ09HLjE5OTIuMDYvMDMvMjAyNi4uLlVTRC5IAQAAAN62AQACAAAABTIyNzEyAOw8weTNe94IAsY+Oc573gg+Q0lRLk5ZU0U6SUJNLklRX1BFTlNJT05fUkFURV9DT01QX0lOQ1JFQVNFX01JTi4xOTkyLjA2LzAzLzIwMjYBAAAA3rYBAAMAAAAAAOw8weTNe94Ibe0+Oc573gg6Q0lRLk5ZU0U6SUJNLklRX1BFTlNJT05fQVNTRVRTX0FDUS4xOTkyLjA2LzAzLzIwMjYuLi5VU0QuSAEAAADetgEAAwAAAAAA7DzB5M173ght7T45znveCDxDSVEuTllTRTpJQk0uSVFfV0FSUkFOVFlfTElBQklMSVRJRVMuMTk5Mi4wNi8wMy8yMDI2Li4uVVNELkgBAAAA3rYBAAMAAAAAAOw8</t>
  </si>
  <si>
    <t>weTNe94Ibe0+Oc573gg5Q0lRLk5ZU0U6SUJNLklRX0ZJTl9ESVZfU1RfSU5WRVNULjE5OTIuMDYvMDMvMjAyNi4uLlVTRC5IAQAAAN62AQADAAAAAADsPMHkzXveCALGPjnOe94IPkNJUS5OWVNFOklCTS5JUV9MSUFCSUxJVElFU19GQUlSX1ZBTFVFLjE5OTIuMDYvMDMvMjAyNi4uLlVTRC5IAQAAAN62AQACAAAABTQ4ODc3AOw8weTNe94IAsY+Oc573ghGQ0lRLk5ZU0U6SUJNLklRX1RPVEFMX0dFTkVSQUxfUEFSVE5FUl9JTlRFUkVTVC4xOTkyLjA2LzAzLzIwMjYuLi5VU0QuSAEAAADetgEAAwAAAAAA7DzB5M173ght7T45znveCEZDSVEuTllTRTpJQk0uSVFfUEVOU0lPTl9VTkZVTkRFRF9BRERMX01JTl9MSUFCLjE5OTIuMDYvMDMvMjAyNi4uLlVTRC5IAQAAAN62AQADAAAAAADsPMHkzXveCG3tPjnOe94IP0NJUS5OWVNFOklCTS5JUV9QRU5TSU9OX09CTElHQVRJT05fUEFJRC4xOTkyLjA2LzAzLzIwMjYuLi5VU0QuSAEAAADetgEAAgAAAAUtMzU3MQDsPMHkzXveCG3tPjnOe94ITUNJUS5OWVNFOklCTS5JUV9QRU5TSU9OX0FTU0VUU19QQVJUSUNJUF9DT05UUklCVVRJT05TLjE5OTIuMDYvMDMvMjAyNi4uLlVTRC5IAQAAAN62AQACAAAAAjE3AOw8weTNe94Ibe0+Oc573ghEQ0lRLk5ZU0U6SUJNLklRX1BFTlNJT05fT0JMSUdBVElPTl9QUk9KRUNURUQuMTk5Mi4wNi8wMy8yMDI2Li4uVVNELkgB</t>
  </si>
  <si>
    <t>AAAA3rYBAAIAAAAFNTQ3MTQA7DzB5M173ght7T45znveCD1DSVEuTllTRTpJQk0uSVFfUEVOU0lPTl9JTlRFUkVTVF9DT1NULjE5OTIuMDYvMDMvMjAyNi4uLlVTRC5IAQAAAN62AQACAAAABDIyNjAA7DzB5M173gh1FD85znveCC5DSVEuTllTRTpJQk0uSVFfUkVTVEFURU1FTlRfQlMuMTk5Mi4wNi8wMy8yMDI2AQAAAN62AQADAAAAAk5DAOw8weTNe94Ibe0+Oc573ghBQ0lRLk5ZU0U6SUJNLklRX0RFUklWQVRJVkVfVFJBRElOR19BU1NFVFMuMTk5Mi4wNi8wMy8yMDI2Li4uVVNELkgBAAAA3rYBAAMAAAAAAOw8weTNe94Ibe0+Oc573gg1Q0lRLk5ZU0U6SUJNLklRX09SREVSX0JBQ0tMT0cuMTk5Mi4wNi8wMy8yMDI2Li4uVVNELkgBAAAA3rYBAAMAAAAAAOw8weTNe94Ibe0+Oc573ggyQ0lRLk5ZU0U6SUJNLklRX0FWR19URU1QX0VNUExPWUVFUy4xOTkyLjA2LzAzLzIwMjYBAAAA3rYBAAIAAAAFMTQ0MDABCAAAAAUAAAABMQEAAAALLTE5MDQ4NjA2NzADAAAAAzE2MAIAAAAFMjQ2NzUEAAAAATAHAAAACDMvNi8yMDI2CAAAAAoxMi8zMS8yMDIzCQAAAAEw7DzB5M173ght7T45znveCEhDSVEuTllTRTpJQk0uSVFfQVNTRVRTX05FVFRJTkdfT1RIRVJfQURKVVNUTUVOVFMuMTk5Mi4wNi8wMy8yMDI2Li4uVVNELkgBAAAA3rYBAAMAAAAAAOw8weTNe94IdRQ/Oc573gg2Q0lRLk5ZU0U6SUJNLklRX0FT</t>
  </si>
  <si>
    <t>U0VUU19MRVZFTF8xLjE5OTIuMDYvMDMvMjAyNi4uLlVTRC5IAQAAAN62AQACAAAAAzUxOQDsPMHkzXveCHUUPznOe94IPUNJUS5OWVNFOklCTS5JUV9MRUFTRUhPTERfSU1QUk9WRU1FTlQuMTk5Mi4wNi8wMy8yMDI2Li4uVVNELkgBAAAA3rYBAAMAAAAAAOw8weTNe94IdRQ/Oc573ggzQ0lRLk5ZU0U6SUJNLklRX0FSX1VOQklMTEVELjE5OTIuMDYvMDMvMjAyNi4uLlVTRC5IAQAAAN62AQACAAAABDEzMjEBCAAAAAUAAAABMQEAAAALLTE5MDQ4NjA2NzADAAAAAzE2MAIAAAAFNDU0MjAEAAAAATAHAAAACDMvNi8yMDI2CAAAAAoxMi8zMS8yMDIzCQAAAAEw7DzB5M173gh1FD85znveCCtDSVEuTllTRTpJQk0uSVFfVEJWLjE5OTIuMDYvMDMvMjAyNi4uLlVTRC5IAQAAAN62AQACAAAABi00ODY4MQEIAAAABQAAAAExAQAAAAstMTkwNDg2MDY3MAMAAAADMTYwAgAAAAQxMzEwBAAAAAEwBwAAAAgzLzYvMjAyNggAAAAKMTIvMzEvMjAyMwkAAAABMOw8weTNe94IdRQ/Oc573gg0Q0lRLk5ZU0U6SUJNLklRX1RPVEFMX0xFQVNFUy4xOTkyLjA2LzAzLzIwMjYuLi5VU0QuSAEAAADetgEAAgAAAAQzODg4AQgAAAAFAAAAATEBAAAACy0xOTA0ODYwNjcwAwAAAAMxNjACAAAABTQ4OTc5BAAAAAEwBwAAAAgzLzYvMjAyNggAAAAKMTIvMzEvMjAyMwkAAAABMOw8weTNe94IdRQ/Oc573ghOQ0lRLk5ZU0U6SUJNLklR</t>
  </si>
  <si>
    <t>X0NVUlJFTlRfUE9SVElPTl9PUEVSX0xFQVNFX0xJQUJJTElUSUVTLjE5OTIuMDYvMDMvMjAyNi4uLlVTRC5IAQAAAN62AQACAAAAAzgyMAEIAAAABQAAAAExAQAAAAstMTkwNDg2MDY3MAMAAAADMTYwAgAAAAU0ODM4NQQAAAABMAcAAAAIMy82LzIwMjYIAAAACjEyLzMxLzIwMjMJAAAAATDsPMHkzXveCHUUPznOe94IL0NJUS5OWVNFOklCTS5JUV9SVUFfTkVULjE5OTIuMDYvMDMvMjAyNi4uLlVTRC5IAQAAAN62AQADAAAAAADsPMHkzXveCHUUPznOe94IMkNJUS5OWVNFOklCTS5JUV9QUkVGX09USEVSLjE5OTIuMDYvMDMvMjAyNi4uLlVTRC5IAQAAAN62AQADAAAAAADsPMHkzXveCHUUPznOe94IMENJUS5OWVNFOklCTS5JUV9UT1RBTF9DTC4xOTkyLjA2LzAzLzIwMjYuLi5VU0QuSAEAAADetgEAAgAAAAUzNDEyMgEIAAAABQAAAAExAQAAAAstMTkwNDg2MDY3MAMAAAADMTYwAgAAAAQxMDA5BAAAAAEwBwAAAAgzLzYvMjAyNggAAAAKMTIvMzEvMjAyMwkAAAABMOw8weTNe94IdRQ/Oc573gg3Q0lRLk5ZU0U6SUJNLklRX09USEVSX0xUX0FTU0VUUy4xOTkyLjA2LzAzLzIwMjYuLi5VU0QuSAEAAADetgEAAgAAAAQ3NTQ1AQgAAAAFAAAAATEBAAAACy0xOTA0ODYwNjcwAwAAAAMxNjACAAAABDEwNjAEAAAAATAHAAAACDMvNi8yMDI2CAAAAAoxMi8zMS8yMDIzCQAAAAEw7DzB5M173giEOz85znveCDlD</t>
  </si>
  <si>
    <t>SVEuTllTRTpJQk0uSVFfUEVOU0lPTl9PVEhFUl9BREouMTk5Mi4wNi8wMy8yMDI2Li4uVVNELkgBAAAA3rYBAAMAAAAAAOw8weTNe94IhDs/Oc573gg/Q0lRLk5ZU0U6SUJNLklRX0RFUklWQVRJVkVfTElBQl9DVVJSRU5ULjE5OTIuMDYvMDMvMjAyNi4uLlVTRC5IAQAAAN62AQACAAAAAzI5NAEIAAAABQAAAAExAQAAAAstMTkwNDg2MDY3MAMAAAADMTYwAgAAAAU0MDQxNwQAAAABMAcAAAAIMy82LzIwMjYIAAAACjEyLzMxLzIwMjMJAAAAATDsPMHkzXveCIQ7PznOe94IQENJUS5OWVNFOklCTS5JUV9QRU5TSU9OX0FNVF9SRUNPR19QRVJJT0QuMTk5Mi4wNi8wMy8yMDI2Li4uVVNELkgBAAAA3rYBAAMAAAAAAOw8weTNe94IdRQ/Oc573gg4Q0lRLk5ZU0U6SUJNLklRX09QRUJfQlJFQUtET1dOX1BDVF9PVEhFUi4xOTkyLjA2LzAzLzIwMjYBAAAA3rYBAAMAAAAAAOw8weTNe94IdRQ/Oc573gg2Q0lRLk5ZU0U6SUJNLklRX1BFTlNJT05fQ0lfQUNULjE5OTIuMDYvMDMvMjAyNi4uLlVTRC5IAQAAAN62AQACAAAABTIyNDA0AOw8weTNe94IhDs/Oc573ggnQ0lRLk5ZU0U6SUJNLklRX0dBQVBfQlMuMTk5Mi4wNi8wMy8yMDI2AQAAAN62AQADAAAAB1VTIEdBQVAA7DzB5M173giEOz85znveCC9DSVEuTllTRTpJQk0uSVFfQVVESVRPUl9PUElOSU9OLjE5OTIuMDYvMDMvMjAyNgEAAADetgEAAwAAAAAA7DzB</t>
  </si>
  <si>
    <t>5M173giEOz85znveCDdDSVEuTllTRTpJQk0uSVFfSU5URVJDT01QQU5ZX0NMLjE5OTIuMDYvMDMvMjAyNi4uLlVTRC5IAQAAAN62AQADAAAAAADsPMHkzXveCIQ7PznOe94IN0NJUS5OWVNFOklCTS5JUV9JTlRFUkNPTVBBTllfQ0EuMTk5Mi4wNi8wMy8yMDI2Li4uVVNELkgBAAAA3rYBAAMAAAAAAOw8weTNe94IhDs/Oc573gg9Q0lRLk5ZU0U6SUJNLklRX1JFU1RSSUNURURfQ0FTSF9UT1RBTC4xOTkyLjA2LzAzLzIwMjYuLi5VU0QuSAEAAADetgEAAgAAAAIyMQEIAAAABQAAAAExAQAAAAstMTkwNDg2MDY3MAMAAAADMTYwAgAAAAUyNDE5MgQAAAABMAcAAAAIMy82LzIwMjYIAAAACjEyLzMxLzIwMjMJAAAAATDsPMHkzXveCIQ7PznOe94IP0NJUS5OWVNFOklCTS5JUV9FTVBMT1lFRVNfVU5ERVJfVU5JT05fQ09OVFJBQ1RTLjE5OTIuMDYvMDMvMjAyNgEAAADetgEAAwAAAAAA7DzB5M173giEOz85znveCDVDSVEuTllTRTpJQk0uSVFfUEVOU0lPTl9ESVNDX1JBVEVfTUFYLjE5OTIuMDYvMDMvMjAyNgEAAADetgEAAwAAAAAA7DzB5M173giEOz85znveCD1DSVEuTllTRTpJQk0uSVFfQURWQU5DRVNfRk9SX1NVUFBMSUVTLjE5OTIuMDYvMDMvMjAyNi4uLlVTRC5IAQAAAN62AQADAAAAAADsPMHkzXveCIQ7PznOe94IQUNJUS5OWVNFOklCTS5JUV9ERVJJVkFUSVZFX0FTU0VUU19DVVJSRU5ULjE5OTIu</t>
  </si>
  <si>
    <t>MDYvMDMvMjAyNi4uLlVTRC5IAQAAAN62AQACAAAAAzMwNAEIAAAABQAAAAExAQAAAAstMTkwNDg2MDY3MAMAAAADMTYwAgAAAAQxMTA5BAAAAAEwBwAAAAgzLzYvMjAyNggAAAAKMTIvMzEvMjAyMwkAAAABMOw8weTNe94IhDs/Oc573gg4Q0lRLk5ZU0U6SUJNLklRX1BFTlNJT05fQlJFQUtET1dOX1BDVF9GSS4xOTkyLjA2LzAzLzIwMjYBAAAA3rYBAAIAAAAHNjIuNjQ5NQDsPMHkzXveCIQ7PznOe94IO0NJUS5OWVNFOklCTS5JUV9PUEVCX09CTElHQVRJT05fQUNRLjE5OTIuMDYvMDMvMjAyNi4uLlVTRC5IAQAAAN62AQADAAAAAADsPMHkzXveCIQ7PznOe94IQ0NJUS5OWVNFOklCTS5JUV9ERVJJVkFUSVZFX0xJQUJfTk9OX0NVUlJFTlQuMTk5Mi4wNi8wMy8yMDI2Li4uVVNELkgBAAAA3rYBAAIAAAADMjk5AQgAAAAFAAAAATEBAAAACy0xOTA0ODYwNjcwAwAAAAMxNjACAAAABTQwNDE5BAAAAAEwBwAAAAgzLzYvMjAyNggAAAAKMTIvMzEvMjAyMwkAAAABMOw8weTNe94IhDs/Oc573gg+Q0lRLk5ZU0U6SUJNLklRX09QRUJfT0JMSUdBVElPTl9GWF9BREouMTk5Mi4wNi8wMy8yMDI2Li4uVVNELkgBAAAA3rYBAAIAAAACMjIA7DzB5M173giEOz85znveCD9DSVEuTllTRTpJQk0uSVFfUEVOU0lPTl9FU1RfQkVORUZJVF8zWVIuMTk5Mi4wNi8wMy8yMDI2Li4uVVNELkgBAAAA3rYBAAIAAAAENDI4MwDs</t>
  </si>
  <si>
    <t>PMHkzXveCIQ7PznOe94IO0NJUS5OWVNFOklCTS5JUV9UT1RBTF9ERUJUX0VYQ0xfRklOLjE5OTIuMDYvMDMvMjAyNi4uLlVTRC5IAQAAAN62AQACAAAABTU5OTM1AQgAAAAFAAAAATEBAAAACy0xOTA0ODYwNjcwAwAAAAMxNjACAAAABTIxODYwBAAAAAEwBwAAAAgzLzYvMjAyNggAAAAKMTIvMzEvMjAyMwkAAAABMOw8weTNe94IZHY/Oc573gguQ0lRLk5ZU0U6SUJNLklRX0NPU1RfQk9SUk9XSU5HLjE5OTIuMDYvMDMvMjAyNgEAAADetgEAAgAAAAYyLjgzNjMBCAAAAAUAAAABMQEAAAALLTE5MDQ4NjA2NzADAAAAAzE2MAIAAAAFMjE2ODEEAAAAATAHAAAACDMvNi8yMDI2CAAAAAoxMi8zMS8yMDIzCQAAAAEw7DzB5M173ghkdj85znveCClDSVEuTllTRTpJQk0uSVFfUEFSVF9USU1FLjE5OTIuMDYvMDMvMjAyNgEAAADetgEAAwAAAAAA7DzB5M173ghkdj85znveCD5DSVEuTllTRTpJQk0uSVFfUEVOU0lPTl9SQVRFX0NPTVBfSU5DUkVBU0VfTUFYLjE5OTIuMDYvMDMvMjAyNgEAAADetgEAAwAAAAAA7DzB5M173ghkdj85znveCEhDSVEuTllTRTpJQk0uSVFfUEVOU0lPTl9PQkxJR0FUSU9OX0lOVEVSRVNUX0NPU1QuMTk5Mi4wNi8wMy8yMDI2Li4uVVNELkgBAAAA3rYBAAIAAAAEMjI2MADsPMHkzXveCIQ7PznOe94IO0NJUS5OWVNFOklCTS5JUV9MVF9ERUJUX0RFUklWQVRJVkVTLjE5OTIuMDYvMDMv</t>
  </si>
  <si>
    <t>MjAyNi4uLlVTRC5IAQAAAN62AQADAAAAAADsPMHkzXveCGR2PznOe94IOkNJUS5OWVNFOklCTS5JUV9QRU5TSU9OX0FTU0VUU19CRUcuMTk5Mi4wNi8wMy8yMDI2Li4uVVNELkgBAAAA3rYBAAIAAAAFNTM0NjUA7DzB5M173ghkdj85znveCD5DSVEuTllTRTpJQk0uSVFfUEVOU0lPTl9PQkxJR0FUSU9OX0FDUS4xOTkyLjA2LzAzLzIwMjYuLi5VU0QuSAEAAADetgEAAwAAAAAA7DzB5M173ghkdj85znveCD1DSVEuTllTRTpJQk0uSVFfRklOX0RJVl9TVF9ERUJUX1RPVEFMLjE5OTIuMDYvMDMvMjAyNi4uLlVTRC5IAQAAAN62AQADAAAAAADsPMHkzXveCGR2PznOe94IO0NJUS5OWVNFOklCTS5JUV9MSUFCSUxJVElFU19MRVZFTF8yLjE5OTIuMDYvMDMvMjAyNi4uLlVTRC5IAQAAAN62AQACAAAABTQ4ODc3AOw8weTNe94IZHY/Oc573ghFQ0lRLk5ZU0U6SUJNLklRX0dFTkVSQUxfUEFSVE5FUl9DT01NT05fRVFVSVRZLjE5OTIuMDYvMDMvMjAyNi4uLlVTRC5IAQAAAN62AQADAAAAAADsPMHkzXveCMidPznOe94IP0NJUS5OWVNFOklCTS5JUV9NSU5PUklUWV9JTlRfUkVERUVNX1RPVC4xOTkyLjA2LzAzLzIwMjYuLi5VU0QuSAEAAADetgEAAwAAAAAA7DzB5M173ghkdj85znveCC9DSVEuTllTRTpJQk0uSVFfUkFXX0lOVi4xOTkyLjA2LzAzLzIwMjYuLi5VU0QuSAEAAADetgEAAwAAAAAA7DzB5M173ghk</t>
  </si>
  <si>
    <t>dj85znveCEhDSVEuTllTRTpJQk0uSVFfUEVOU0lPTl9FU1RfQ09OVFJJQlVUSU9OU19ORVhUWVIuMTk5Mi4wNi8wMy8yMDI2Li4uVVNELkgBAAAA3rYBAAIAAAADMjAwAOw8weTNe94IZHY/Oc573gg9Q0lRLk5ZU0U6SUJNLklRX1BFTlNJT05fQ0lfVFJBTlNJVElPTi4xOTkyLjA2LzAzLzIwMjYuLi5VU0QuSAEAAADetgEAAwAAAAAA7DzB5M173ghkdj85znveCDhDSVEuTllTRTpJQk0uSVFfUEVOU0lPTl9CUkVBS0RPV05fUENUX0VRLjE5OTIuMDYvMDMvMjAyNgEAAADetgEAAgAAAAYxLjk1NzEA7DzB5M173gjInT85znveCDFDSVEuTllTRTpJQk0uSVFfSU5UQU5fTkVULjE5OTIuMDYvMDMvMjAyNi4uLlVTRC5IAQAAAN62AQACAAAABTExMDM2AQgAAAAFAAAAATEBAAAACy0xOTA0ODYwNjcwAwAAAAMxNjACAAAABTQ4OTYyBAAAAAEwBwAAAAgzLzYvMjAyNggAAAAKMTIvMzEvMjAyMwkAAAABMOw8weTNe94IyJ0/Oc573gg0Q0lRLk5ZU0U6SUJNLklRX0dXX0lOVEFOX05FVC4xOTkyLjA2LzAzLzIwMjYuLi5VU0QuSAEAAADetgEAAwAAAAAA7DzB5M173gjInT85znveCElDSVEuTllTRTpJQk0uSVFfUEVOU0lPTl9PQkxJR0FUSU9OX09USEVSX1BMQU5fQURKLjE5OTIuMDYvMDMvMjAyNi4uLlVTRC5IAQAAAN62AQACAAAABC01MDYA7DzB5M173gjInT85znveCDpDSVEuTllTRTpJQk0uSVFfTFRfTUFS</t>
  </si>
  <si>
    <t>S19TRUNVUklUSUVTLjE5OTIuMDYvMDMvMjAyNi4uLlVTRC5IAQAAAN62AQADAAAAAADsPMHkzXveCMidPznOe94IMENJUS5OWVNFOklCTS5JUV9HUk9TU19HVy4xOTkyLjA2LzAzLzIwMjYuLi5VU0QuSAEAAADetgEAAwAAAAAA7DzB5M173gjInT85znveCDtDSVEuTllTRTpJQk0uSVFfU1RfREVCVF9ERVJJVkFUSVZFUy4xOTkyLjA2LzAzLzIwMjYuLi5VU0QuSAEAAADetgEAAwAAAAAA7DzB5M173gjInT85znveCD9DSVEuTllTRTpJQk0uSVFfTUlOT1JJVFlfSU5URVJFU1RfVE9UQUwuMTk5Mi4wNi8wMy8yMDI2Li4uVVNELkgBAAAA3rYBAAIAAAACODABCAAAAAUAAAABMQEAAAALLTE5MDQ4NjA2NzADAAAAAzE2MAIAAAAEMTMxMgQAAAABMAcAAAAIMy82LzIwMjYIAAAACjEyLzMxLzIwMjMJAAAAATDsPMHkzXveCMidPznOe94IRUNJUS5OWVNFOklCTS5JUV9SVUFfT1BFUkFUSU5HX0xFQVNFX0FDQ1VNX0RFUC4xOTkyLjA2LzAzLzIwMjYuLi5VU0QuSAEAAADetgEAAwAAAAAA7DzB5M173gjInT85znveCD1DSVEuTllTRTpJQk0uSVFfUlVBX0NBUElUQUxfTEVBU0VfTkVULjE5OTIuMDYvMDMvMjAyNi4uLlVTRC5IAQAAAN62AQADAAAAAADsPMHkzXveCMidPznOe94ILkNJUS5OWVNFOklCTS5JUV9DT01NT04uMTk5Mi4wNi8wMy8yMDI2Li4uVVNELkgBAAAA3rYBAAIAAAAFNTk2NDMBCAAAAAUAAAAB</t>
  </si>
  <si>
    <t>MQEAAAALLTE5MDQ4NjA2NzADAAAAAzE2MAIAAAAEMTEwMwQAAAABMAcAAAAIMy82LzIwMjYIAAAACjEyLzMxLzIwMjMJAAAAATDsPMHkzXveCNTEPznOe94IOkNJUS5OWVNFOklCTS5JUV9VTkVBUk5fUkVWX0NVUlJFTlQuMTk5Mi4wNi8wMy8yMDI2Li4uVVNELkgBAAAA3rYBAAIAAAAFMTM0NTEBCAAAAAUAAAABMQEAAAALLTE5MDQ4NjA2NzADAAAAAzE2MAIAAAAEMTA3NAQAAAABMAcAAAAIMy82LzIwMjYIAAAACjEyLzMxLzIwMjMJAAAAATDsPMHkzXveCNTEPznOe94IMUNJUS5OWVNFOklCTS5JUV9JTlZFTlRPUlkuMTk5Mi4wNi8wMy8yMDI2Li4uVVNELkgBAAAA3rYBAAIAAAAEMTE2MQEIAAAABQAAAAExAQAAAAstMTkwNDg2MDY3MAMAAAADMTYwAgAAAAQxMDQzBAAAAAEwBwAAAAgzLzYvMjAyNggAAAAKMTIvMzEvMjAyMwkAAAABMOw8weTNe94I1MQ/Oc573ggvQ0lRLk5ZU0U6SUJNLklRX0ZJTElOR19DVVJSRU5DWS4xOTkyLjA2LzAzLzIwMjYBAAAA3rYBAAMAAAADVVNEALZlweTNe94IPXBDOc573ggzQ0lRLk5ZU0U6SUJNLklRX0xFVkVSRURfRkNGLjE5OTIuMDYvMDMvMjAyNi4uLlVTRC5IAQAAAN62AQACAAAACDEwNTIxLjc1AQgAAAAFAAAAATEBAAAACy0xOTA0ODYwNjcwAwAAAAMxNjACAAAABDQ0MjIEAAAAATAHAAAACDMvNi8yMDI2CAAAAAoxMi8zMS8yMDIzCQAAAAEw7DzB5M173gjI</t>
  </si>
  <si>
    <t>nT85znveCENDSVEuTllTRTpJQk0uSVFfU0FMRV9QUk9DRUVEU19SRU5UQUxfQVNTRVRTLjE5OTIuMDYvMDMvMjAyNi4uLlVTRC5IAQAAAN62AQADAAAAAADsPMHkzXveCPjrPznOe94IPENJUS5OWVNFOklCTS5JUV9ORUdBVElWRV9HV19BTU9SVF9DRi4xOTkyLjA2LzAzLzIwMjYuLi5VU0QuSAEAAADetgEAAwAAAAAA7DzB5M173gjUxD85znveCCpDSVEuTllTRTpJQk0uSVFfRlguMTk5Mi4wNi8wMy8yMDI2Li4uVVNELkgBAAAA3rYBAAIAAAABOQEIAAAABQAAAAExAQAAAAstMTkwNDg2MDY3MAMAAAADMTYwAgAAAAQyMTQ0BAAAAAEwBwAAAAgzLzYvMjAyNggAAAAKMTIvMzEvMjAyMwkAAAABMOw8weTNe94I1MQ/Oc573ghNQ0lRLk5ZU0U6SUJNLklRX0xJQUJJTElUSUVTX05FVFRJTkdfT1RIRVJfQURKVVNUTUVOVFMuMTk5Mi4wNi8wMy8yMDI2Li4uVVNELkgBAAAA3rYBAAMAAAAAAOw8weTNe94I1MQ/Oc573gg2Q0lRLk5ZU0U6SUJNLklRX0FTU0VUU19MRVZFTF8yLjE5OTIuMDYvMDMvMjAyNi4uLlVTRC5IAQAAAN62AQACAAAABDc5MjAA7DzB5M173gjUxD85znveCD1DSVEuTllTRTpJQk0uSVFfR1BQRV9FWENMX09QRVJfTEVBU0VTLjE5OTIuMDYvMDMvMjAyNi4uLlVTRC5IAQAAAN62AQACAAAABTE4MTIyAQgAAAAFAAAAATEBAAAACy0xOTA0ODYwNjcwAwAAAAMxNjACAAAABTQ4OTc0BAAAAAEw</t>
  </si>
  <si>
    <t>BwAAAAgzLzYvMjAyNggAAAAKMTIvMzEvMjAyMwkAAAABMOw8weTNe94I+Os/Oc573ggrQ0lRLk5ZU0U6SUJNLklRX0NJUC4xOTkyLjA2LzAzLzIwMjYuLi5VU0QuSAEAAADetgEAAwAAAAAA7DzB5M173gj46z85znveCD1DSVEuTllTRTpJQk0uSVFfTlBQRV9FWENMX09QRVJfTEVBU0VTLjE5OTIuMDYvMDMvMjAyNi4uLlVTRC5IAQAAAN62AQACAAAABDU1MDEBCAAAAAUAAAABMQEAAAALLTE5MDQ4NjA2NzADAAAAAzE2MAIAAAAFNDg5NzYEAAAAATAHAAAACDMvNi8yMDI2CAAAAAoxMi8zMS8yMDIzCQAAAAEw7DzB5M173gj46z85znveCCpDSVEuTllTRTpJQk0uSVFfUkUuMTk5Mi4wNi8wMy8yMDI2Li4uVVNELkgBAAAA3rYBAAIAAAAGMTUxMjc2AQgAAAAFAAAAATEBAAAACy0xOTA0ODYwNjcwAwAAAAMxNjACAAAABDEyMjIEAAAAATAHAAAACDMvNi8yMDI2CAAAAAoxMi8zMS8yMDIzCQAAAAEw7DzB5M173gj46z85znveCDZDSVEuTllTRTpJQk0uSVFfREVGX0NIQVJHRVNfTFQuMTk5Mi4wNi8wMy8yMDI2Li4uVVNELkgBAAAA3rYBAAIAAAADODQyAQgAAAAFAAAAATEBAAAACy0xOTA0ODYwNjcwAwAAAAMxNjACAAAABDEwMjUEAAAAATAHAAAACDMvNi8yMDI2CAAAAAoxMi8zMS8yMDIzCQAAAAEw7DzB5M173gj46z85znveCDZDSVEuTllTRTpJQk0uSVFfVFJBRElOR19BU1NFVFMuMTk5Mi4wNi8wMy8y</t>
  </si>
  <si>
    <t>MDI2Li4uVVNELkgBAAAA3rYBAAMAAAAAAOw8weTNe94IHhNAOc573ghAQ0lRLk5ZU0U6SUJNLklRX09QRVJBVElOR19MRUFTRV9QQVlNRU5UUy4xOTkyLjA2LzAzLzIwMjYuLi5VU0QuSAEAAADetgEAAwAAAAAA7DzB5M173ggeE0A5znveCDNDSVEuTllTRTpJQk0uSVFfTUFJTlRfQ0FQRVguMTk5Mi4wNi8wMy8yMDI2Li4uVVNELkgBAAAA3rYBAAMAAAAAAOw8weTNe94IHhNAOc573gg3Q0lRLk5ZU0U6SUJNLklRX05FVF9XT1JLSU5HX0NBUC4xOTkyLjA2LzAzLzIwMjYuLi5VU0QuSAEAAADetgEAAgAAAAUtNzQwOQEIAAAABQAAAAExAQAAAAstMTkwNDg2MDY3MAMAAAADMTYwAgAAAAQxMzExBAAAAAEwBwAAAAgzLzYvMjAyNggAAAAKMTIvMzEvMjAyMwkAAAABMOw8weTNe94I+Os/Oc573gg3Q0lRLk5ZU0U6SUJNLklRX0ZJTl9ESVZfTElBQl9MVC4xOTkyLjA2LzAzLzIwMjYuLi5VU0QuSAEAAADetgEAAwAAAAAA7DzB5M173gj46z85znveCDdDSVEuTllTRTpJQk0uSVFfTE9BTlNfUkVDRUlWX0xULjE5OTIuMDYvMDMvMjAyNi4uLlVTRC5IAQAAAN62AQADAAAAAADsPMHkzXveCB4TQDnOe94ILENJUS5OWVNFOklCTS5JUV9OUFBFLjE5OTIuMDYvMDMvMjAyNi4uLlVTRC5IAQAAAN62AQACAAAABDg3MjEBCAAAAAUAAAABMQEAAAALLTE5MDQ4NjA2NzADAAAAAzE2MAIAAAAEMTAwNAQAAAABMAcAAAAI</t>
  </si>
  <si>
    <t>My82LzIwMjYIAAAACjEyLzMxLzIwMjMJAAAAATDsPMHkzXveCB4TQDnOe94IMUNJUS5OWVNFOklCTS5JUV9SVUFfR1JPU1MuMTk5Mi4wNi8wMy8yMDI2Li4uVVNELkgBAAAA3rYBAAMAAAAAAOw8weTNe94IHhNAOc573ggvQ0lRLk5ZU0U6SUJNLklRX1BFTlNJT04uMTk5Mi4wNi8wMy8yMDI2Li4uVVNELkgBAAAA3rYBAAIAAAAFMTA4MDgBCAAAAAUAAAABMQEAAAALLTE5MDQ4NjA2NzADAAAAAzE2MAIAAAAEMTIxMwQAAAABMAcAAAAIMy82LzIwMjYIAAAACjEyLzMxLzIwMjMJAAAAATDsPMHkzXveCB4TQDnOe94IOUNJUS5OWVNFOklCTS5JUV9DVVJSRU5UX1BPUlRfREVCVC4xOTkyLjA2LzAzLzIwMjYuLi5VU0QuSAEAAADetgEAAgAAAAQ2MzA0AQgAAAAFAAAAATEBAAAACy0xOTA0ODYwNjcwAwAAAAMxNjACAAAABDEyOTcEAAAAATAHAAAACDMvNi8yMDI2CAAAAAoxMi8zMS8yMDIzCQAAAAEw7DzB5M173ggeE0A5znveCCpDSVEuTllTRTpJQk0uSVFfQUUuMTk5Mi4wNi8wMy8yMDI2Li4uVVNELkgBAAAA3rYBAAIAAAAENjcyOAEIAAAABQAAAAExAQAAAAstMTkwNDg2MDY3MAMAAAADMTYwAgAAAAQxMDE2BAAAAAEwBwAAAAgzLzYvMjAyNggAAAAKMTIvMzEvMjAyMwkAAAABMOw8weTNe94IbzpAOc573gg0Q0lRLk5ZU0U6SUJNLklRX1RPVEFMX0FTU0VUUy4xOTkyLjA2LzAzLzIwMjYuLi5VU0QuSAEA</t>
  </si>
  <si>
    <t>AADetgEAAgAAAAYxMzUyNDEBCAAAAAUAAAABMQEAAAALLTE5MDQ4NjA2NzADAAAAAzE2MAIAAAAEMTAwNwQAAAABMAcAAAAIMy82LzIwMjYIAAAACjEyLzMxLzIwMjMJAAAAATDsPMHkzXveCB4TQDnOe94ILENJUS5OWVNFOklCTS5JUV9HUFBFLjE5OTIuMDYvMDMvMjAyNi4uLlVTRC5IAQAAAN62AQACAAAABTIxMzQyAQgAAAAFAAAAATEBAAAACy0xOTA0ODYwNjcwAwAAAAMxNjACAAAABDExNjkEAAAAATAHAAAACDMvNi8yMDI2CAAAAAoxMi8zMS8yMDIzCQAAAAEw/lDB5M173ggeE0A5znveCDZDSVEuTllTRTpJQk0uSVFfU1RfTk9URV9SRUNFSVYuMTk5Mi4wNi8wMy8yMDI2Li4uVVNELkgBAAAA3rYBAAMAAAAAAP5QweTNe94IHhNAOc573ghFQ0lRLk5ZU0U6SUJNLklRX1RPVEFMX0RFQlRfUkVQQUlEX0VYQ0xfTEVBU0VTLjE5OTIuMDYvMDMvMjAyNi4uLlVTRC5IAQAAAN62AQACAAAABS01MDg5AQgAAAAFAAAAATEBAAAACy0xOTA0ODYwNjcwAwAAAAMxNjACAAAABTQ4OTg2BAAAAAEwBwAAAAgzLzYvMjAyNggAAAAKMTIvMzEvMjAyMwkAAAABMP5QweTNe94IHhNAOc573gg7Q0lRLk5ZU0U6SUJNLklRX0xJQUJJTElUSUVTX0xFVkVMXzMuMTk5Mi4wNi8wMy8yMDI2Li4uVVNELkgBAAAA3rYBAAMAAAAAAP5QweTNe94IbzpAOc573gg6Q0lRLk5ZU0U6SUJNLklRX1RCVl9TSEFSRV9SRVBPUlRFRC4x</t>
  </si>
  <si>
    <t>OTkyLjA2LzAzLzIwMjYuLi5VU0QuSAEAAADetgEAAwAAAAAA/lDB5M173ghvOkA5znveCDNDSVEuTllTRTpJQk0uSVFfUFJFUEFJRF9FWFAuMTk5Mi4wNi8wMy8yMDI2Li4uVVNELkgBAAAA3rYBAAIAAAAEMTgzMAEIAAAABQAAAAExAQAAAAstMTkwNDg2MDY3MAMAAAADMTYwAgAAAAQxMjEyBAAAAAEwBwAAAAgzLzYvMjAyNggAAAAKMTIvMzEvMjAyMwkAAAABMP5QweTNe94IbzpAOc573ggsQ0lRLk5ZU0U6SUJNLklRX0xBTkQuMTk5Mi4wNi8wMy8yMDI2Li4uVVNELkgBAAAA3rYBAAIAAAADMTgyAQgAAAAFAAAAATEBAAAACy0xOTA0ODYwNjcwAwAAAAMxNjACAAAABDMwOTgEAAAAATAHAAAACDMvNi8yMDI2CAAAAAoxMi8zMS8yMDIzCQAAAAEw/lDB5M173ghvOkA5znveCDpDSVEuTllTRTpJQk0uSVFfVE9UQUxfREVCVF9DVVJSRU5ULjE5OTIuMDYvMDMvMjAyNi4uLlVTRC5IAQAAAN62AQACAAAABDcyNDYBCAAAAAUAAAABMQEAAAALLTE5MDQ4NjA2NzADAAAAAzE2MAIAAAAFMjUyMjMEAAAAATAHAAAACDMvNi8yMDI2CAAAAAoxMi8zMS8yMDIzCQAAAAEw/lDB5M173ghvOkA5znveCD1DSVEuTllTRTpJQk0uSVFfVE9UQUxfT1VUU1RBTkRJTkdfRklMSU5HX0RBVEUuMTk5Mi4wNi8wMy8yMDI2AQAAAN62AQACAAAACjkxNi43NDQ4NDgBBAAAAAUAAAABNQEAAAALLTE5MDQ4NjA2NzACAAAABTI0MTUz</t>
  </si>
  <si>
    <t>BgAAAAEw/lDB5M173ghvOkA5znveCENDSVEuTllTRTpJQk0uSVFfUlVBX0NBUElUQUxfTEVBU0VfQUNDVU1fREVQLjE5OTIuMDYvMDMvMjAyNi4uLlVTRC5IAQAAAN62AQADAAAAAAD+UMHkzXveCG86QDnOe94IQ0NJUS5OWVNFOklCTS5JUV9SRVNUUklDVEVEX0NBU0hfTk9OX0NVUlJFTlQuMTk5Mi4wNi8wMy8yMDI2Li4uVVNELkgBAAAA3rYBAAMAAAAAAP5QweTNe94IbzpAOc573ghUQ0lRLk5ZU0U6SUJNLklRX0ZJTkFOQ0lOR19PQkxJR19OT05fQ1VSUkVOVF9FWENMX09QRVJfTEVBU0VTLjE5OTIuMDYvMDMvMjAyNi4uLlVTRC5IAQAAAN62AQACAAAABTUwMTIxAQgAAAAFAAAAATEBAAAACy0xOTA0ODYwNjcwAwAAAAMxNjACAAAABTQ4OTgxBAAAAAEwBwAAAAgzLzYvMjAyNggAAAAKMTIvMzEvMjAyMwkAAAABMP5QweTNe94IbzpAOc573ghDQ0lRLk5ZU0U6SUJNLklRX0dFTkVSQUxfUEFSVE5FUl9QUkVGX0VRVUlUWS4xOTkyLjA2LzAzLzIwMjYuLi5VU0QuSAEAAADetgEAAwAAAAAA/lDB5M173gjZaUA5znveCDBDSVEuTllTRTpJQk0uSVFfQlZfU0hBUkUuMTk5Mi4wNi8wMy8yMDI2Li4uVVNELkgBAAAA3rYBAAIAAAAJMjQuNjI1ODYyAQgAAAAFAAAAATEBAAAACy0xOTA0ODYwNjcwAwAAAAMxNjACAAAABDQwMjAEAAAAATAHAAAACDMvNi8yMDI2CAAAAAoxMi8zMS8yMDIzCQAAAAEw/lDB5M17</t>
  </si>
  <si>
    <t>3gjZaUA5znveCD9DSVEuTllTRTpJQk0uSVFfUlVBX09QRVJBVElOR19MRUFTRV9ORVQuMTk5Mi4wNi8wMy8yMDI2Li4uVVNELkgBAAAA3rYBAAMAAAAAAP5QweTNe94I2WlAOc573ghBQ0lRLk5ZU0U6SUJNLklRX1JVQV9PUEVSQVRJTkdfTEVBU0VfR1JPU1MuMTk5Mi4wNi8wMy8yMDI2Li4uVVNELkgBAAAA3rYBAAIAAAAEMzIyMAEIAAAABQAAAAExAQAAAAstMTkwNDg2MDY3MAMAAAADMTYwAgAAAAU0ODM3NwQAAAABMAcAAAAIMy82LzIwMjYIAAAACjEyLzMxLzIwMjMJAAAAATD+UMHkzXveCG86QDnOe94INkNJUS5OWVNFOklCTS5JUV9PVEhFUl9DTF9TVVBQTC4xOTkyLjA2LzAzLzIwMjYuLi5VU0QuSAEAAADetgEAAgAAAAMyOTUBCAAAAAUAAAABMQEAAAALLTE5MDQ4NjA2NzADAAAAAzE2MAIAAAAEMTA1NwQAAAABMAcAAAAIMy82LzIwMjYIAAAACjEyLzMxLzIwMjMJAAAAATD+UMHkzXveCG86QDnOe94INENJUS5OWVNFOklCTS5JUV9UT1RBTF9SRUNFSVYuMTk5Mi4wNi8wMy8yMDI2Li4uVVNELkgBAAAA3rYBAAIAAAAEODM0OAEIAAAABQAAAAExAQAAAAstMTkwNDg2MDY3MAMAAAADMTYwAgAAAAQxMDAxBAAAAAEwBwAAAAgzLzYvMjAyNggAAAAKMTIvMzEvMjAyMwkAAAABMP5QweTNe94I2WlAOc573gg7Q0lRLk5ZU0U6SUJNLklRX0dBSU5fQkFSR0FJTl9BQ1FfQ0YuMTk5Mi4wNi8wMy8yMDI2</t>
  </si>
  <si>
    <t>Li4uVVNELkgBAAAA3rYBAAMAAAAAAP5QweTNe94I2WlAOc573ghLQ0lRLk5ZU0U6SUJNLklRX09QRVJBVElOR19MRUFTRV9MSUFCSUxJVElFU19OT05DQVNILjE5OTIuMDYvMDMvMjAyNi4uLlVTRC5IAQAAAN62AQADAAAAAAD+UMHkzXveCNlpQDnOe94IOUNJUS5OWVNFOklCTS5JUV9DQVNIX1RBWEVTX0lOVkVTVC4xOTkyLjA2LzAzLzIwMjYuLi5VU0QuSAEAAADetgEAAwAAAAAA/lDB5M173gjZaUA5znveCD5DSVEuTllTRTpJQk0uSVFfREFfQ0ZfRVhDTF9PUEVSX0xFQVNFUy4xOTkyLjA2LzAzLzIwMjYuLi5VU0QuSAEAAADetgEAAgAAAAQyODM2AQgAAAAFAAAAATEBAAAACy0xOTA0ODYwNjcwAwAAAAMxNjACAAAABTQ4OTg1BAAAAAEwBwAAAAgzLzYvMjAyNggAAAAKMTIvMzEvMjAyMwkAAAABMP5QweTNe94I2WlAOc573ggyQ0lRLk5ZU0U6SUJNLklRX0NBU0hfRklOQU4uMTk5Mi4wNi8wMy8yMDI2Li4uVVNELkgBAAAA3rYBAAIAAAAFLTE3NjkBCAAAAAUAAAABMQEAAAALLTE5MDQ4NjA2NzADAAAAAzE2MAIAAAAEMjAwNAQAAAABMAcAAAAIMy82LzIwMjYIAAAACjEyLzMxLzIwMjMJAAAAATD+UMHkzXveCPaQQDnOe94INkNJUS5OWVNFOklCTS5JUV9TVF9ERUJUX1JFUEFJRC4xOTkyLjA2LzAzLzIwMjYuLi5VU0QuSAEAAADetgEAAgAAAAItNwEIAAAABQAAAAExAQAAAAstMTkwNDg2MDY3MAMA</t>
  </si>
  <si>
    <t>AAADMTYwAgAAAAQyMDQ0BAAAAAEwBwAAAAgzLzYvMjAyNggAAAAKMTIvMzEvMjAyMwkAAAABMP5QweTNe94I2WlAOc573gg2Q0lRLk5ZU0U6SUJNLklRX1NUX0RFQlRfSVNTVUVELjE5OTIuMDYvMDMvMjAyNi4uLlVTRC5IAQAAAN62AQADAAAAAAD+UMHkzXveCNlpQDnOe94INkNJUS5OWVNFOklCTS5JUV9DSEFOR0VfREVGX1RBWC4xOTkyLjA2LzAzLzIwMjYuLi5VU0QuSAEAAADetgEAAwAAAAAA/lDB5M173gjZaUA5znveCDZDSVEuTllTRTpJQk0uSVFfQ1JFRElUX0xPU1NfQ0YuMTk5Mi4wNi8wMy8yMDI2Li4uVVNELkgBAAAA3rYBAAMAAAAAAP5QweTNe94I2WlAOc573gg4Q0lRLk5ZU0U6SUJNLklRX1NUT0NLX0JBU0VEX0NPTVAuMTk5Mi4wNi8wMy8yMDI2Li4uVVNELkgBAAAA3rYBAAIAAAADODQzAP5QweTNe94I9pBAOc573gg3Q0lRLk5ZU0U6SUJNLklRX1NUT0NLX0JBU0VEX1NHQS4xOTkyLjA2LzAzLzIwMjYuLi5VU0QuSAEAAADetgEAAgAAAAM2MTYBCAAAAAUAAAABMQEAAAALLTE5MDQ4NjA2NzADAAAAAzE2MAIAAAAFMjI2NzkEAAAAATAHAAAACDMvNi8yMDI2CAAAAAoxMi8zMS8yMDIzCQAAAAEw/lDB5M173gj2kEA5znveCDZDSVEuTllTRTpJQk0uSVFfU1RPQ0tfQkFTRURfUkQuMTk5Mi4wNi8wMy8yMDI2Li4uVVNELkgBAAAA3rYBAAIAAAADMzI4AQgAAAAFAAAAATEBAAAACy0xOTA0</t>
  </si>
  <si>
    <t>ODYwNjcwAwAAAAMxNjACAAAABTIyNjc4BAAAAAEwBwAAAAgzLzYvMjAyNggAAAAKMTIvMzEvMjAyMwkAAAABMP5QweTNe94I9pBAOc573ghKQ0lRLk5ZU0U6SUJNLklRX0xJUVVJREFUSU9OX1ZBTFVFX1BSRUZFUlJFRF9SRURFRU0uMTk5Mi4wNi8wMy8yMDI2Li4uVVNELkgBAAAA3rYBAAMAAAAAAP5QweTNe94I9pBAOc573gg+Q0lRLk5ZU0U6SUJNLklRX05BVFVSQUxfUkVTT1VSQ0VTX0NPU1QuMTk5Mi4wNi8wMy8yMDI2Li4uVVNELkgBAAAA3rYBAAMAAAAAAP5QweTNe94I9pBAOc573gg1Q0lRLk5ZU0U6SUJNLklRX0VRVUlUWV9NRVRIT0QuMTk5Mi4wNi8wMy8yMDI2Li4uVVNELkgBAAAA3rYBAAIAAAADMTI1AQgAAAAFAAAAATEBAAAACy0xOTA0ODYwNjcwAwAAAAMxNjACAAAABDMwNjMEAAAAATAHAAAACDMvNi8yMDI2CAAAAAoxMi8zMS8yMDIzCQAAAAEw/lDB5M173gj2kEA5znveCD5DSVEuTllTRTpJQk0uSVFfVE9UQUxfREVCVF9FWENMX0xFQVNFUy4xOTkyLjA2LzAzLzIwMjYuLi5VU0QuSAEAAADetgEAAgAAAAU1NjA0NwEIAAAABQAAAAExAQAAAAstMTkwNDg2MDY3MAMAAAADMTYwAgAAAAU0ODk5MgQAAAABMAcAAAAIMy82LzIwMjYIAAAACjEyLzMxLzIwMjMJAAAAATD+UMHkzXveCPaQQDnOe94IOUNJUS5OWVNFOklCTS5JUV9ERUZfVEFYX0FTU0VUU19MVC4xOTkyLjA2LzAzLzIwMjYu</t>
  </si>
  <si>
    <t>Li5VU0QuSAEAAADetgEAAgAAAAQ2NjU2AQgAAAAFAAAAATEBAAAACy0xOTA0ODYwNjcwAwAAAAMxNjACAAAABDEwMjYEAAAAATAHAAAACDMvNi8yMDI2CAAAAAoxMi8zMS8yMDIzCQAAAAEw/lDB5M173gj2kEA5znveCD5DSVEuTllTRTpJQk0uSVFfREVGX1RBWF9BU1NFVFNfQ1VSUkVOVC4xOTkyLjA2LzAzLzIwMjYuLi5VU0QuSAEAAADetgEAAwAAAAAA/lDB5M173gj2kEA5znveCC9DSVEuTllTRTpJQk0uSVFfVE9UQUxfRU1QTE9ZRUVTLjE5OTIuMDYvMDMvMjAyNgEAAADetgEAAgAAAAYyODIyMDAA/lDB5M173gj2kEA5znveCDFDSVEuTllTRTpJQk0uSVFfVEJWX1NIQVJFLjE5OTIuMDYvMDMvMjAyNi4uLlVTRC5IAQAAAN62AQACAAAACi01My4yMDI0ODUBCAAAAAUAAAABMQEAAAALLTE5MDQ4NjA2NzADAAAAAzE2MAIAAAAENDE1NgQAAAABMAcAAAAIMy82LzIwMjYIAAAACjEyLzMxLzIwMjMJAAAAATD+UMHkzXveCIC6QDnOe94INENJUS5OWVNFOklCTS5JUV9PVEhFUl9FUVVJVFkuMTk5Mi4wNi8wMy8yMDI2Li4uVVNELkgBAAAA3rYBAAIAAAAGLTE4NzYyAQgAAAAFAAAAATEBAAAACy0xOTA0ODYwNjcwAwAAAAMxNjACAAAABDEwMjgEAAAAATAHAAAACDMvNi8yMDI2CAAAAAoxMi8zMS8yMDIzCQAAAAEw/lDB5M173giAukA5znveCDVDSVEuTllTRTpJQk0uSVFfVU5FQVJOX1JFVl9MVC4xOTky</t>
  </si>
  <si>
    <t>LjA2LzAzLzIwMjYuLi5VU0QuSAEAAADetgEAAgAAAAQzNTMzAQgAAAAFAAAAATEBAAAACy0xOTA0ODYwNjcwAwAAAAMxNjACAAAABDEyNTYEAAAAATAHAAAACDMvNi8yMDI2CAAAAAoxMi8zMS8yMDIzCQAAAAEw/lDB5M173giAukA5znveCDdDSVEuTllTRTpJQk0uSVFfRklOX0RJVl9ERUJUX0xULjE5OTIuMDYvMDMvMjAyNi4uLlVTRC5IAQAAAN62AQADAAAAAAD+UMHkzXveCIC6QDnOe94IL0NJUS5OWVNFOklCTS5JUV9MVF9ERUJULjE5OTIuMDYvMDMvMjAyNi4uLlVTRC5IAQAAAN62AQACAAAABTQ5NzQyAQgAAAAFAAAAATEBAAAACy0xOTA0ODYwNjcwAwAAAAMxNjACAAAABDEwNDkEAAAAATAHAAAACDMvNi8yMDI2CAAAAAoxMi8zMS8yMDIzCQAAAAEw/lDB5M173gj2kEA5znveCC1DSVEuTllTRTpJQk0uSVFfQVJfTFQuMTk5Mi4wNi8wMy8yMDI2Li4uVVNELkgBAAAA3rYBAAMAAAAAAP5QweTNe94IgLpAOc573ggnQ0lRLk5ZU0U6SUJNLklRX0dBQVBfQ0YuMTk5Mi4wNi8wMy8yMDI2AQAAAN62AQADAAAAB1VTIEdBQVAA/lDB5M173giAukA5znveCDdDSVEuTllTRTpJQk0uSVFfTkVUX0RFQlRfSVNTVUVELjE5OTIuMDYvMDMvMjAyNi4uLlVTRC5IAQAAAN62AQACAAAABDQ0OTcBCAAAAAUAAAABMQEAAAALLTE5MDQ4NjA2NzADAAAAAzE2MAIAAAAEMjAwMwQAAAABMAcAAAAIMy82LzIwMjYIAAAA</t>
  </si>
  <si>
    <t>CjEyLzMxLzIwMjMJAAAAATD+UMHkzXveCIC6QDnOe94IOkNJUS5OWVNFOklCTS5JUV9ERUJUX0VRVUlWX05FVF9QQk8uMTk5Mi4wNi8wMy8yMDI2Li4uVVNELkgBAAAA3rYBAAIAAAAEMTIxOAEIAAAABQAAAAExAQAAAAstMTkwNDg2MDY3MAMAAAADMTYwAgAAAAUyMTY3OQQAAAABMAcAAAAIMy82LzIwMjYIAAAACjEyLzMxLzIwMjMJAAAAATD+UMHkzXveCIC6QDnOe94IN0NJUS5OWVNFOklCTS5JUV9ERUZfVEFYX0xJQUJfTFQuMTk5Mi4wNi8wMy8yMDI2Li4uVVNELkgBAAAA3rYBAAIAAAAEMTE0NgEIAAAABQAAAAExAQAAAAstMTkwNDg2MDY3MAMAAAADMTYwAgAAAAQxMDI3BAAAAAEwBwAAAAgzLzYvMjAyNggAAAAKMTIvMzEvMjAyMwkAAAABMP5QweTNe94IgLpAOc573gg4Q0lRLk5ZU0U6SUJNLklRX0ZJTl9ESVZfTE9BTlNfTFQuMTk5Mi4wNi8wMy8yMDI2Li4uVVNELkgBAAAA3rYBAAIAAAAENTc2NgEIAAAABQAAAAExAQAAAAstMTkwNDg2MDY3MAMAAAADMTYwAgAAAAQxMDMzBAAAAAEwBwAAAAgzLzYvMjAyNggAAAAKMTIvMzEvMjAyMwkAAAABMP5QweTNe94IQ+FAOc573gg+Q0lRLk5ZU0U6SUJNLklRX0ZJTl9ESVZfQVNTRVRTX0NVUlJFTlQuMTk5Mi4wNi8wMy8yMDI2Li4uVVNELkgBAAAA3rYBAAIAAAADNjkyAQgAAAAFAAAAATEBAAAACy0xOTA0ODYwNjcwAwAAAAMxNjACAAAABDEwMjkE</t>
  </si>
  <si>
    <t>AAAAATAHAAAACDMvNi8yMDI2CAAAAAoxMi8zMS8yMDIzCQAAAAEw/lDB5M173ghD4UA5znveCDtDSVEuTllTRTpJQk0uSVFfTElBQklMSVRJRVNfTEVWRUxfMS4xOTkyLjA2LzAzLzIwMjYuLi5VU0QuSAEAAADetgEAAwAAAAAA/lDB5M173giAukA5znveCDBDSVEuTllTRTpJQk0uSVFfTkVUX0RFQlQuMTk5Mi4wNi8wMy8yMDI2Li4uVVNELkgBAAAA3rYBAAIAAAAFNDY0OTQBCAAAAAUAAAABMQEAAAALLTE5MDQ4NjA2NzADAAAAAzE2MAIAAAAENDM2NAQAAAABMAcAAAAIMy82LzIwMjYIAAAACjEyLzMxLzIwMjMJAAAAATD+UMHkzXveCIC6QDnOe94ILUNJUS5OWVNFOklCTS5JUV9GSUxJTkdEQVRFX0JTLjE5OTIuMDYvMDMvMjAyNgEAAADetgEABQAAAAoyNC8wMi8yMDI2AP5QweTNe94IgLpAOc573gg5Q0lRLk5ZU0U6SUJNLklRX1RPVEFMX09QRVJfTEVBU0VTLjE5OTIuMDYvMDMvMjAyNi4uLlVTRC5IAQAAAN62AQACAAAABDMzODgBCAAAAAUAAAABMQEAAAALLTE5MDQ4NjA2NzADAAAAAzE2MAIAAAAFNDg5NzgEAAAAATAHAAAACDMvNi8yMDI2CAAAAAoxMi8zMS8yMDIzCQAAAAEw/lDB5M173ghD4UA5znveCD9DSVEuTllTRTpJQk0uSVFfUlVBX0NBUElUQUxfTEVBU0VfR1JPU1MuMTk5Mi4wNi8wMy8yMDI2Li4uVVNELkgBAAAA3rYBAAMAAAAAAP5QweTNe94IQ+FAOc573gg1Q0lRLk5ZU0U6SUJN</t>
  </si>
  <si>
    <t>LklRX1JVQV9BQ0NVTV9ERVAuMTk5Mi4wNi8wMy8yMDI2Li4uVVNELkgBAAAA3rYBAAMAAAAAAP5QweTNe94IQ+FAOc573gg5Q0lRLk5ZU0U6SUJNLklRX1RPVEFMX0xJQUJfRVFVSVRZLjE5OTIuMDYvMDMvMjAyNi4uLlVTRC5IAQAAAN62AQACAAAABjEzNTI0MQEIAAAABQAAAAExAQAAAAstMTkwNDg2MDY3MAMAAAADMTYwAgAAAAQxMDEzBAAAAAEwBwAAAAgzLzYvMjAyNggAAAAKMTIvMzEvMjAyMwkAAAABMP5QweTNe94IQ+FAOc573gg0Q0lRLk5ZU0U6SUJNLklRX09USEVSX1JFQ0VJVi4xOTkyLjA2LzAzLzIwMjYuLi5VU0QuSAEAAADetgEAAgAAAAM2MjkBCAAAAAUAAAABMQEAAAALLTE5MDQ4NjA2NzADAAAAAzE2MAIAAAAEMTIwNgQAAAABMAcAAAAIMy82LzIwMjYIAAAACjEyLzMxLzIwMjMJAAAAATD+UMHkzXveCEPhQDnOe94ISUNJUS5OWVNFOklCTS5JUV9MT05HX1RFUk1fREVCVF9SRVBBSURfRVhDTF9MRUFTRVMuMTk5Mi4wNi8wMy8yMDI2Li4uVVNELkgBAAAA3rYBAAIAAAAFLTUwODIBCAAAAAUAAAABMQEAAAALLTE5MDQ4NjA2NzADAAAAAzE2MAIAAAAFNDg5ODQEAAAAATAHAAAACDMvNi8yMDI2CAAAAAoxMi8zMS8yMDIzCQAAAAEw/lDB5M173ghD4UA5znveCDtDSVEuTllTRTpJQk0uSVFfTUlOT1JJVFlfSU5UX1JFREVFTS4xOTkyLjA2LzAzLzIwMjYuLi5VU0QuSAEAAADetgEAAwAA</t>
  </si>
  <si>
    <t>AAAA/lDB5M173ghD4UA5znveCDNDSVEuTllTRTpJQk0uSVFfV09SS0lOR19DQVAuMTk5Mi4wNi8wMy8yMDI2Li4uVVNELkgBAAAA3rYBAAIAAAAFLTEyMTQBCAAAAAUAAAABMQEAAAALLTE5MDQ4NjA2NzADAAAAAzE2MAIAAAAENDE2NQQAAAABMAcAAAAIMy82LzIwMjYIAAAACjEyLzMxLzIwMjMJAAAAATD+UMHkzXveCEPhQDnOe94IMkNJUS5OWVNFOklCTS5JUV9UT1RBTF9ERUJULjE5OTIuMDYvMDMvMjAyNi4uLlVTRC5IAQAAAN62AQACAAAABTU5OTM1AQgAAAAFAAAAATEBAAAACy0xOTA0ODYwNjcwAwAAAAMxNjACAAAABDQxNzMEAAAAATAHAAAACDMvNi8yMDI2CAAAAAoxMi8zMS8yMDIzCQAAAAEw/lDB5M173ghD4UA5znveCDdDSVEuTllTRTpJQk0uSVFfUkVTVFJJQ1RFRF9DQVNILjE5OTIuMDYvMDMvMjAyNi4uLlVTRC5IAQAAAN62AQACAAAAAjIxAQgAAAAFAAAAATEBAAAACy0xOTA0ODYwNjcwAwAAAAMxNjACAAAABDExMDQEAAAAATAHAAAACDMvNi8yMDI2CAAAAAoxMi8zMS8yMDIzCQAAAAEw/lDB5M173ghD4UA5znveCDBDSVEuTllTRTpJQk0uSVFfU09GVFdBUkUuMTk5Mi4wNi8wMy8yMDI2Li4uVVNELkgBAAAA3rYBAAMAAAAAAP5QweTNe94IQghBOc573gg8Q0lRLk5ZU0U6SUJNLklRX0RFRl9UQVhfTElBQl9DVVJSRU5ULjE5OTIuMDYvMDMvMjAyNi4uLlVTRC5IAQAAAN62AQADAAAA</t>
  </si>
  <si>
    <t>AAD+UMHkzXveCEIIQTnOe94IO0NJUS5OWVNFOklCTS5JUV9JTkNfVEFYX1BBWV9DVVJSRU5ULjE5OTIuMDYvMDMvMjAyNi4uLlVTRC5IAQAAAN62AQACAAAABDIyNzABCAAAAAUAAAABMQEAAAALLTE5MDQ4NjA2NzADAAAAAzE2MAIAAAAEMTA5NAQAAAABMAcAAAAIMy82LzIwMjYIAAAACjEyLzMxLzIwMjMJAAAAATD+UMHkzXveCEIIQTnOe94IPENJUS5OWVNFOklCTS5JUV9GSU5fRElWX0RFQlRfQ1VSUkVOVC4xOTkyLjA2LzAzLzIwMjYuLi5VU0QuSAEAAADetgEAAwAAAAAA/lDB5M173ghCCEE5znveCC5DSVEuTllTRTpJQk0uSVFfUkVTVEFURU1FTlRfQ0YuMTk5Mi4wNi8wMy8yMDI2AQAAAN62AQADAAAAAk5DAP5QweTNe94IQghBOc573gg6Q0lRLk5ZU0U6SUJNLklRX0ZJTl9ESVZfQ0FTSF9FUVVJVi4xOTkyLjA2LzAzLzIwMjYuLi5VU0QuSAEAAADetgEAAwAAAAAA/lDB5M173ghCCEE5znveCDFDSVEuTllTRTpJQk0uSVFfT1RIRVJfSU5WLjE5OTIuMDYvMDMvMjAyNi4uLlVTRC5IAQAAAN62AQADAAAAAAD+UMHkzXveCEIIQTnOe94IUENJUS5OWVNFOklCTS5JUV9GSU5BTkNJTkdfT0JMSUdfQ1VSUkVOVF9FWENMX09QRVJfTEVBU0VTLjE5OTIuMDYvMDMvMjAyNi4uLlVTRC5IAQAAAN62AQACAAAABDY0MjYBCAAAAAUAAAABMQEAAAALLTE5MDQ4NjA2NzADAAAAAzE2MAIAAAAFNDg5ODAEAAAA</t>
  </si>
  <si>
    <t>ATAHAAAACDMvNi8yMDI2CAAAAAoxMi8zMS8yMDIzCQAAAAEw/lDB5M173ghCCEE5znveCENDSVEuTllTRTpJQk0uSVFfVE9UQUxfREVCVF9FWENMX09QRVJfTEVBU0VTLjE5OTIuMDYvMDMvMjAyNi4uLlVTRC5IAQAAAN62AQACAAAABTU2NTQ3AQgAAAAFAAAAATEBAAAACy0xOTA0ODYwNjcwAwAAAAMxNjACAAAABTQ4OTgyBAAAAAEwBwAAAAgzLzYvMjAyNggAAAAKMTIvMzEvMjAyMwkAAAABMP5QweTNe94IQghBOc573ggwQ0lRLk5ZU0U6SUJNLklRX1RSRUFTVVJZLjE5OTIuMDYvMDMvMjAyNi4uLlVTRC5IAQAAAN62AQACAAAABy0xNjk2MjQBCAAAAAUAAAABMQEAAAALLTE5MDQ4NjA2NzADAAAAAzE2MAIAAAAEMTI0OAQAAAABMAcAAAAIMy82LzIwMjYIAAAACjEyLzMxLzIwMjMJAAAAATD+UMHkzXveCE4vQTnOe94ILENJUS5OWVNFOklCTS5JUV9BUElDLjE5OTIuMDYvMDMvMjAyNi4uLlVTRC5IAQAAAN62AQADAAAAAAD+UMHkzXveCE4vQTnOe94IM0NJUS5OWVNFOklCTS5JUV9QUkVGX0VRVUlUWS4xOTkyLjA2LzAzLzIwMjYuLi5VU0QuSAEAAADetgEAAwAAAAAA/lDB5M173ghOL0E5znveCDhDSVEuTllTRTpJQk0uSVFfTE9OR19URVJNX0xFQVNFUy4xOTkyLjA2LzAzLzIwMjYuLi5VU0QuSAEAAADetgEAAgAAAAQyOTQ3AQgAAAAFAAAAATEBAAAACy0xOTA0ODYwNjcwAwAAAAMxNjACAAAABDEx</t>
  </si>
  <si>
    <t>ODMEAAAAATAHAAAACDMvNi8yMDI2CAAAAAoxMi8zMS8yMDIzCQAAAAEw/lDB5M173ghCCEE5znveCDZDSVEuTllTRTpJQk0uSVFfTE9BTlNfRk9SX1NBTEUuMTk5Mi4wNi8wMy8yMDI2Li4uVVNELkgBAAAA3rYBAAMAAAAAAP5QweTNe94IQghBOc573gg2Q0lRLk5ZU0U6SUJNLklRX0NBU0hfU1RfSU5WRVNULjE5OTIuMDYvMDMvMjAyNi4uLlVTRC5IAQAAAN62AQACAAAABTEzNDQxAQgAAAAFAAAAATEBAAAACy0xOTA0ODYwNjcwAwAAAAMxNjACAAAABDEwMDIEAAAAATAHAAAACDMvNi8yMDI2CAAAAAoxMi8zMS8yMDIzCQAAAAEw/lDB5M173ghOL0E5znveCENDSVEuTllTRTpJQk0uSVFfT1BFUkFUSU5HX0xFQVNFX0xJQUJJTElUSUVTLjE5OTIuMDYvMDMvMjAyNi4uLlVTRC5IAQAAAN62AQADAAAAAAD+UMHkzXveCE4vQTnOe94IN0NJUS5OWVNFOklCTS5JUV9DQVNIX1RBWEVTX09QRVIuMTk5Mi4wNi8wMy8yMDI2Li4uVVNELkgBAAAA3rYBAAMAAAAAAP5QweTNe94ITi9BOc573ghEQ0lRLk5ZU0U6SUJNLklRX0RBX1NVUFBMX0NGX0VYQ0xfT1BFUl9MRUFTRVMuMTk5Mi4wNi8wMy8yMDI2Li4uVVNELkgBAAAA3rYBAAIAAAAEMTIwOQEIAAAABQAAAAExAQAAAAstMTkwNDg2MDY3MAMAAAADMTYwAgAAAAU0ODk4MwQAAAABMAcAAAAIMy82LzIwMjYIAAAACjEyLzMxLzIwMjMJAAAAATD+UMHkzXveCE4v</t>
  </si>
  <si>
    <t>QTnOe94IMkNJUS5OWVNFOklCTS5JUV9ERVBSRV9TVVBQLjE5OTIuMDYvMDMvMjAyNi4uLlVTRC5IAQAAAN62AQADAAAAAAD+UMHkzXveCE4vQTnOe94IOkNJUS5OWVNFOklCTS5JUV9DT01NT05fUFJFRl9ESVZfQ0YuMTk5Mi4wNi8wMy8yMDI2Li4uVVNELkgBAAAA3rYBAAMAAAAAAP5QweTNe94IX1ZBOc573gg6Q0lRLk5ZU0U6SUJNLklRX0ZJTl9ESVZfREVCVF9UT1RBTC4xOTkyLjA2LzAzLzIwMjYuLi5VU0QuSAEAAADetgEAAgAAAAUxMTg3OQEIAAAABQAAAAExAQAAAAstMTkwNDg2MDY3MAMAAAADMTYwAgAAAAUyNDUxNgQAAAABMAcAAAAIMy82LzIwMjYIAAAACjEyLzMxLzIwMjMJAAAAATD+UMHkzXveCE4vQTnOe94IMUNJUS5OWVNFOklCTS5JUV9NQUNISU5FUlkuMTk5Mi4wNi8wMy8yMDI2Li4uVVNELkgBAAAA3rYBAAIAAAAFMTI2MDcBCAAAAAUAAAABMQEAAAALLTE5MDQ4NjA2NzADAAAAAzE2MAIAAAAEMzExNAQAAAABMAcAAAAIMy82LzIwMjYIAAAACjEyLzMxLzIwMjMJAAAAATD+UMHkzXveCE4vQTnOe94IPkNJUS5OWVNFOklCTS5JUV9UT1RBTF9ERUJUX05PTl9DVVJSRU5ULjE5OTIuMDYvMDMvMjAyNi4uLlVTRC5IAQAAAN62AQACAAAABTUyNjg5AQgAAAAFAAAAATEBAAAACy0xOTA0ODYwNjcwAwAAAAMxNjACAAAABTI1MjI0BAAAAAEwBwAAAAgzLzYvMjAyNggAAAAKMTIvMzEvMjAy</t>
  </si>
  <si>
    <t>MwkAAAABMP5QweTNe94ITi9BOc573gg7Q0lRLk5ZU0U6SUJNLklRX1RPVEFMX0NPTU1PTl9FUVVJVFkuMTk5Mi4wNi8wMy8yMDI2Li4uVVNELkgBAAAA3rYBAAIAAAAFMjI1MzMBCAAAAAUAAAABMQEAAAALLTE5MDQ4NjA2NzADAAAAAzE2MAIAAAAEMTAwNgQAAAABMAcAAAAIMy82LzIwMjYIAAAACjEyLzMxLzIwMjMJAAAAATD+UMHkzXveCF9WQTnOe94IM0NJUS5OWVNFOklCTS5JUV9PVEhFUl9JTlRBTi4xOTkyLjA2LzAzLzIwMjYuLi5VU0QuSAEAAADetgEAAgAAAAUxMTAzNgEIAAAABQAAAAExAQAAAAstMTkwNDg2MDY3MAMAAAADMTYwAgAAAAQxMDQwBAAAAAEwBwAAAAgzLzYvMjAyNggAAAAKMTIvMzEvMjAyMwkAAAABMP5QweTNe94IX1ZBOc573ghDQ0lRLk5ZU0U6SUJNLklRX0RFRl9UQVhfVkFMVUFUSU9OX0FMTE9XQU5DRS4xOTkyLjA2LzAzLzIwMjYuLi5VU0QuSAEAAADetgEAAgAAAAM3NjUBCAAAAAUAAAABMQEAAAALLTE5MDQ4NjA2NzADAAAAAzE2MAIAAAAFNDYwNDUEAAAAATAHAAAACDMvNi8yMDI2CAAAAAoxMi8zMS8yMDIzCQAAAAEw/lDB5M173ghfVkE5znveCDhDSVEuTllTRTpJQk0uSVFfQUxMT1dfRE9VQlRfQUNDVC4xOTkyLjA2LzAzLzIwMjYuLi5VU0QuSAEAAADetgEAAgAAAAMxOTIBCAAAAAUAAAABMQEAAAALLTE5MDQ4NjA2NzADAAAAAzE2MAIAAAAEMzAxMgQAAAABMAcA</t>
  </si>
  <si>
    <t>AAAIMy82LzIwMjYIAAAACjEyLzMxLzIwMjMJAAAAATD+UMHkzXveCF9WQTnOe94IOUNJUS5OWVNFOklCTS5JUV9CVl9TSEFSRV9SRVBPUlRFRC4xOTkyLjA2LzAzLzIwMjYuLi5VU0QuSAEAAADetgEAAwAAAAAA/lDB5M173ghfVkE5znveCElDSVEuTllTRTpJQk0uSVFfTFRfUE9SVElPTl9PUEVSX0xFQVNFX0xJQUJJTElUSUVTLjE5OTIuMDYvMDMvMjAyNi4uLlVTRC5IAQAAAN62AQACAAAABDI1NjgBCAAAAAUAAAABMQEAAAALLTE5MDQ4NjA2NzADAAAAAzE2MAIAAAAFNDgzODMEAAAAATAHAAAACDMvNi8yMDI2CAAAAAoxMi8zMS8yMDIzCQAAAAEw/lDB5M173ghfVkE5znveCDxDSVEuTllTRTpJQk0uSVFfVE9UQUxfRklOQU5DRV9MRUFTRVMuMTk5Mi4wNi8wMy8yMDI2Li4uVVNELkgBAAAA3rYBAAIAAAADNTAwAQgAAAAFAAAAATEBAAAACy0xOTA0ODYwNjcwAwAAAAMxNjACAAAABTQ5MDMxBAAAAAEwBwAAAAgzLzYvMjAyNggAAAAKMTIvMzEvMjAyMwkAAAABMP5QweTNe94IX1ZBOc573gg+Q0lRLk5ZU0U6SUJNLklRX0ZJTkFOQ0VfTEVBU0VTX0NVUlJFTlQuMTk5Mi4wNi8wMy8yMDI2Li4uVVNELkgBAAAA3rYBAAIAAAADMTIxAQgAAAAFAAAAATEBAAAACy0xOTA0ODYwNjcwAwAAAAMxNjACAAAABTQ4OTkwBAAAAAEwBwAAAAgzLzYvMjAyNggAAAAKMTIvMzEvMjAyMwkAAAABMP5QweTNe94IX1ZB</t>
  </si>
  <si>
    <t>Oc573gg0Q0lRLk5ZU0U6SUJNLklRX1RPVEFMX0VRVUlUWS4xOTkyLjA2LzAzLzIwMjYuLi5VU0QuSAEAAADetgEAAgAAAAUyMjYxMwEIAAAABQAAAAExAQAAAAstMTkwNDg2MDY3MAMAAAADMTYwAgAAAAQxMjc1BAAAAAEwBwAAAAgzLzYvMjAyNggAAAAKMTIvMzEvMjAyMwkAAAABMP5QweTNe94IX1ZBOc573ggqQ0lRLk5ZU0U6SUJNLklRX0FQLjE5OTIuMDYvMDMvMjAyNi4uLlVTRC5IAQAAAN62AQACAAAABDQxMzIBCAAAAAUAAAABMQEAAAALLTE5MDQ4NjA2NzADAAAAAzE2MAIAAAAEMTAxOAQAAAABMAcAAAAIMy82LzIwMjYIAAAACjEyLzMxLzIwMjMJAAAAATD+UMHkzXveCF9WQTnOe94IMUNJUS5OWVNFOklCTS5JUV9MVF9JTlZFU1QuMTk5Mi4wNi8wMy8yMDI2Li4uVVNELkgBAAAA3rYBAAIAAAAEMTU4OQEIAAAABQAAAAExAQAAAAstMTkwNDg2MDY3MAMAAAADMTYwAgAAAAQxMDU0BAAAAAEwBwAAAAgzLzYvMjAyNggAAAAKMTIvMzEvMjAyMwkAAAABMP5QweTNe94IXH1BOc573ggqQ0lRLk5ZU0U6SUJNLklRX0FELjE5OTIuMDYvMDMvMjAyNi4uLlVTRC5IAQAAAN62AQACAAAABi0xMjYyMQEIAAAABQAAAAExAQAAAAstMTkwNDg2MDY3MAMAAAADMTYwAgAAAAQxMDc1BAAAAAEwBwAAAAgzLzYvMjAyNggAAAAKMTIvMzEvMjAyMwkAAAABMP5QweTNe94IXH1BOc573ggsQ0lRLk5ZU0U6SUJNLklR</t>
  </si>
  <si>
    <t>X0NBTENfVFlQRV9DRi4xOTkyLjA2LzAzLzIwMjYBAAAA3rYBAAMAAAADUkVQAP5QweTNe94IXH1BOc573ggwQ0lRLk5ZU0U6SUJNLklRX0NGX1NIQVJFLjE5OTIuMDYvMDMvMjAyNi4uLlVTRC5IAQAAAN62AQACAAAACTEzLjMwMjA4OAEIAAAABQAAAAExAQAAAAstMTkwNDg2MDY3MAMAAAADMTYwAgAAAAU0MzkyMwQAAAABMAcAAAAIMy82LzIwMjYIAAAACjEyLzMxLzIwMjMJAAAAATD+UMHkzXveCF9WQTnOe94IQkNJUS5OWVNFOklCTS5JUV9DSEFOR0VfTkVUX1dPUktJTkdfQ0FQSVRBTC4xOTkyLjA2LzAzLzIwMjYuLi5VU0QuSAEAAADetgEAAgAAAAUtMTkxOAEIAAAABQAAAAExAQAAAAstMTkwNDg2MDY3MAMAAAADMTYwAgAAAAQ0NDIxBAAAAAEwBwAAAAgzLzYvMjAyNggAAAAKMTIvMzEvMjAyMwkAAAABMP5QweTNe94IX1ZBOc573ghAQ0lRLk5ZU0U6SUJNLklRX0FNT1JUX1NPRlRXQVJFX0FTU0VUU19DRi4xOTkyLjA2LzAzLzIwMjYuLi5VU0QuSAEAAADetgEAAgAAAAM2NjABCAAAAAUAAAABMQEAAAALLTE5MDQ4NjA2NzADAAAAAzE2MAIAAAAFNDYwMTEEAAAAATAHAAAACDMvNi8yMDI2CAAAAAoxMi8zMS8yMDIzCQAAAAEw/lDB5M173ghcfUE5znveCDJDSVEuTllTRTpJQk0uSVFfTkVUX0NIQU5HRS4xOTkyLjA2LzAzLzIwMjYuLi5VU0QuSAEAAADetgEAAgAAAAQ1MTAxAQgAAAAFAAAAATEB</t>
  </si>
  <si>
    <t>AAAACy0xOTA0ODYwNjcwAwAAAAMxNjACAAAABDIwOTMEAAAAATAHAAAACDMvNi8yMDI2CAAAAAoxMi8zMS8yMDIzCQAAAAEw/lDB5M173ghcfUE5znveCEtDSVEuTllTRTpJQk0uSVFfTElRVUlEQVRJT05fVkFMVUVfUFJFRkVSUkVEX0NPTlZFUlQuMTk5Mi4wNi8wMy8yMDI2Li4uVVNELkgBAAAA3rYBAAMAAAAAAP5QweTNe94IXH1BOc573gg0Q0lRLk5ZU0U6SUJNLklRX0ZJTklTSEVEX0lOVi4xOTkyLjA2LzAzLzIwMjYuLi5VU0QuSAEAAADetgEAAgAAAAI3OAEIAAAABQAAAAExAQAAAAstMTkwNDg2MDY3MAMAAAADMTYwAgAAAAQzMDc1BAAAAAEwBwAAAAgzLzYvMjAyNggAAAAKMTIvMzEvMjAyMwkAAAABMP5QweTNe94IXH1BOc573ghHQ0lRLk5ZU0U6SUJNLklRX0ZBSVJfVkFMVUVfQ0hBTkdFX0lOQ0xfRUFSTklOR1MuMTk5Mi4wNi8wMy8yMDI2Li4uVVNELkgBAAAA3rYBAAMAAAAAAP5QweTNe94IXH1BOc573gg3Q0lRLk5ZU0U6SUJNLklRX1BSRUZfTk9OX1JFREVFTS4xOTkyLjA2LzAzLzIwMjYuLi5VU0QuSAEAAADetgEAAwAAAAAA/lDB5M173ghcfUE5znveCDJDSVEuTllTRTpJQk0uSVFfVE9UQUxfTElBQi4xOTkyLjA2LzAzLzIwMjYuLi5VU0QuSAEAAADetgEAAgAAAAYxMTI2MjgBCAAAAAUAAAABMQEAAAALLTE5MDQ4NjA2NzADAAAAAzE2MAIAAAAEMTI3NgQAAAABMAcAAAAIMy82LzIw</t>
  </si>
  <si>
    <t>MjYIAAAACjEyLzMxLzIwMjMJAAAAATD+UMHkzXveCFx9QTnOe94IO0NJUS5OWVNFOklCTS5JUV9DVVJSRU5UX1BPUlRfTEVBU0VTLjE5OTIuMDYvMDMvMjAyNi4uLlVTRC5IAQAAAN62AQACAAAAAzk0MQEIAAAABQAAAAExAQAAAAstMTkwNDg2MDY3MAMAAAADMTYwAgAAAAQxMDkwBAAAAAEwBwAAAAgzLzYvMjAyNggAAAAKMTIvMzEvMjAyMwkAAAABMP5QweTNe94IXH1BOc573ggwQ0lRLk5ZU0U6SUJNLklRX1RPVEFMX0NBLjE5OTIuMDYvMDMvMjAyNi4uLlVTRC5IAQAAAN62AQACAAAABTMyOTA4AQgAAAAFAAAAATEBAAAACy0xOTA0ODYwNjcwAwAAAAMxNjACAAAABDEwMDgEAAAAATAHAAAACDMvNi8yMDI2CAAAAAoxMi8zMS8yMDIzCQAAAAEw/lDB5M173ghcfUE5znveCDRDSVEuTllTRTpJQk0uSVFfUFJFRl9DT05WRVJULjE5OTIuMDYvMDMvMjAyNi4uLlVTRC5IAQAAAN62AQADAAAAAAD+UMHkzXveCFx9QTnOe94IP0NJUS5OWVNFOklCTS5JUV9PVEhFUl9GSU5BTkNFX0FDVF9TVVBQTC4xOTkyLjA2LzAzLzIwMjYuLi5VU0QuSAEAAADetgEAAgAAAAQtMjM4AQgAAAAFAAAAATEBAAAACy0xOTA0ODYwNjcwAwAAAAMxNjACAAAABDIwNTAEAAAAATAHAAAACDMvNi8yMDI2CAAAAAoxMi8zMS8yMDIzCQAAAAEw/lDB5M173ghcfUE5znveCDRDSVEuTllTRTpJQk0uSVFfT1RIRVJfUkVOVEFMLjE5OTIu</t>
  </si>
  <si>
    <t>MDYvMDMvMjAyNi4uLlVTRC5IAQAAAN62AQADAAAAAAD+UMHkzXveCFx9QTnOe94IPkNJUS5OWVNFOklCTS5JUV9DQVNIX0lOVEVSRVNUX1JFQ0VJVkVELjE5OTIuMDYvMDMvMjAyNi4uLlVTRC5IAQAAAN62AQADAAAAAAD+UMHkzXveCFx9QTnOe94IRUNJUS5OWVNFOklCTS5JUV9ERVBSRUNJQVRJT05fUkVOVEFMX0FTU0VUU19DRi4xOTkyLjA2LzAzLzIwMjYuLi5VU0QuSAEAAADetgEAAwAAAAAA/lDB5M173ghcfUE5znveCDtDSVEuTllTRTpJQk0uSVFfREFfU1VQUExfUEFSVElBTF9DRi4xOTkyLjA2LzAzLzIwMjYuLi5VU0QuSAEAAADetgEAAwAAAAAA/lDB5M173ghcfUE5znveCDJDSVEuTllTRTpJQk0uSVFfQ09NTU9OX1JFUC4xOTkyLjA2LzAzLzIwMjYuLi5VU0QuSAEAAADetgEAAgAAAAQtNDAyAQgAAAAFAAAAATEBAAAACy0xOTA0ODYwNjcwAwAAAAMxNjACAAAABDIxNjQEAAAAATAHAAAACDMvNi8yMDI2CAAAAAoxMi8zMS8yMDIzCQAAAAEw/lDB5M173ggfuEE5znveCDtDSVEuTllTRTpJQk0uSVFfVEFYX0JFTkVGSVRfT1BUSU9OUy4xOTkyLjA2LzAzLzIwMjYuLi5VU0QuSAEAAADetgEAAwAAAAAA/lDB5M173ggfuEE5znveCDVDSVEuTllTRTpJQk0uSVFfSU5DX0VRVUlUWV9DRi4xOTkyLjA2LzAzLzIwMjYuLi5VU0QuSAEAAADetgEAAwAAAAAA/lDB5M173ggfuEE5znveCDxDSVEuTllT</t>
  </si>
  <si>
    <t>RTpJQk0uSVFfQ0hBTkdFX0RFRl9UQVhfVE9UQUwuMTk5Mi4wNi8wMy8yMDI2Li4uVVNELkgBAAAA3rYBAAIAAAAFLTExMTQBCAAAAAUAAAABMQEAAAALLTE5MDQ4NjA2NzADAAAAAzE2MAIAAAAFMzA5MjQEAAAAATAHAAAACDMvNi8yMDI2CAAAAAoxMi8zMS8yMDIzCQAAAAEw/lDB5M173ggfuEE5znveCDJDSVEuTllTRTpJQk0uSVFfQ0FTSF9UQVhFUy4xOTkyLjA2LzAzLzIwMjYuLi5VU0QuSAEAAADetgEAAgAAAAQxNTY0AQgAAAAFAAAAATEBAAAACy0xOTA0ODYwNjcwAwAAAAMxNjACAAAABDMwNTMEAAAAATAHAAAACDMvNi8yMDI2CAAAAAoxMi8zMS8yMDIzCQAAAAEw/lDB5M173ghcfUE5znveCDlDSVEuTllTRTpJQk0uSVFfVE9UQUxfREVCVF9JU1NVRUQuMTk5Mi4wNi8wMy8yMDI2Li4uVVNELkgBAAAA3rYBAAIAAAAEOTU4NgEIAAAABQAAAAExAQAAAAstMTkwNDg2MDY3MAMAAAADMTYwAgAAAAQyMTYxBAAAAAEwBwAAAAgzLzYvMjAyNggAAAAKMTIvMzEvMjAyMwkAAAABMP5QweTNe94IH7hBOc573ggtQ0lRLk5ZU0U6SUJNLklRX0RPX0NGLjE5OTIuMDYvMDMvMjAyNi4uLlVTRC5IAQAAAN62AQADAAAAAAD+UMHkzXveCB+4QTnOe94IM0NJUS5OWVNFOklCTS5JUV9QUkVGX1JFREVFTS4xOTkyLjA2LzAzLzIwMjYuLi5VU0QuSAEAAADetgEAAwAAAAAA/lDB5M173ggfuEE5znveCDVDSVEuTllT</t>
  </si>
  <si>
    <t>RTpJQk0uSVFfU0FMRV9JTlRBTl9DRi4xOTkyLjA2LzAzLzIwMjYuLi5VU0QuSAEAAADetgEAAgAAAAQtNTY1AQgAAAAFAAAAATEBAAAACy0xOTA0ODYwNjcwAwAAAAMxNjACAAAABDIwMjkEAAAAATAHAAAACDMvNi8yMDI2CAAAAAoxMi8zMS8yMDIzCQAAAAEw/lDB5M173ggfuEE5znveCDBDSVEuTllTRTpJQk0uSVFfUFJFRl9SRVAuMTk5Mi4wNi8wMy8yMDI2Li4uVVNELkgBAAAA3rYBAAMAAAAAAP5QweTNe94IH7hBOc573gg2Q0lRLk5ZU0U6SUJNLklRX0xUX0RFQlRfUkVQQUlELjE5OTIuMDYvMDMvMjAyNi4uLlVTRC5IAQAAAN62AQACAAAABS01MDgyAQgAAAAFAAAAATEBAAAACy0xOTA0ODYwNjcwAwAAAAMxNjACAAAABDIwMzYEAAAAATAHAAAACDMvNi8yMDI2CAAAAAoxMi8zMS8yMDIzCQAAAAEw/lDB5M173ghU30E5znveCDdDSVEuTllTRTpJQk0uSVFfSU5WRVNUX0xPQU5TX0NGLjE5OTIuMDYvMDMvMjAyNi4uLlVTRC5IAQAAAN62AQADAAAAAAD+UMHkzXveCFTfQTnOe94IOENJUS5OWVNFOklCTS5JUV9DSEFOR0VfSU5WRU5UT1JZLjE5OTIuMDYvMDMvMjAyNi4uLlVTRC5IAQAAAN62AQACAAAAAzM5MAEIAAAABQAAAAExAQAAAAstMTkwNDg2MDY3MAMAAAADMTYwAgAAAAQyMDk5BAAAAAEwBwAAAAgzLzYvMjAyNggAAAAKMTIvMzEvMjAyMwkAAAABMP5QweTNe94IH7hBOc573gg+Q0lRLk5Z</t>
  </si>
  <si>
    <t>U0U6SUJNLklRX1NUT0NLX09QVElPTlNfQ09NUF9UQVguMTk5Mi4wNi8wMy8yMDI2Li4uVVNELkgBAAAA3rYBAAMAAAAAAP5QweTNe94IH7hBOc573gg5Q0lRLk5ZU0U6SUJNLklRX0lOU19TRVRUTEVfU1VQUExFLjE5OTIuMDYvMDMvMjAyNi4uLlVTRC5IAQAAAN62AQADAAAAAAD+UMHkzXveCB+4QTnOe94INENJUS5OWVNFOklCTS5JUV9NQUlOVF9SRVBBSVIuMTk5Mi4wNi8wMy8yMDI2Li4uVVNELkgBAAAA3rYBAAMAAAAAAP5QweTNe94IVN9BOc573ggvQ0lRLk5ZU0U6SUJNLklRX1NUX0RFQlQuMTk5Mi4wNi8wMy8yMDI2Li4uVVNELkgBAAAA3rYBAAIAAAABMQEIAAAABQAAAAExAQAAAAstMTkwNDg2MDY3MAMAAAADMTYwAgAAAAQxMDQ2BAAAAAEwBwAAAAgzLzYvMjAyNggAAAAKMTIvMzEvMjAyMwkAAAABMP5QweTNe94IVN9BOc573ggzQ0lRLk5ZU0U6SUJNLklRX1BSRUZfRElWX0NGLjE5OTIuMDYvMDMvMjAyNi4uLlVTRC5IAQAAAN62AQADAAAAAAD+UMHkzXveCFTfQTnOe94ILUNJUS5OWVNFOklCTS5JUV9DQVBFWC4xOTkyLjA2LzAzLzIwMjYuLi5VU0QuSAEAAADetgEAAgAAAAUtMTI0NQEIAAAABQAAAAExAQAAAAstMTkwNDg2MDY3MAMAAAADMTYwAgAAAAQyMDIxBAAAAAEwBwAAAAgzLzYvMjAyNggAAAAKMTIvMzEvMjAyMwkAAAABMP5QweTNe94IVN9BOc573gg4Q0lRLk5ZU0U6SUJNLklR</t>
  </si>
  <si>
    <t>X1NUT0NLX0JBU0VEX0NPR1MuMTk5Mi4wNi8wMy8yMDI2Li4uVVNELkgBAAAA3rYBAAIAAAADMTkwAQgAAAAFAAAAATEBAAAACy0xOTA0ODYwNjcwAwAAAAMxNjACAAAABTIyNjc0BAAAAAEwBwAAAAgzLzYvMjAyNggAAAAKMTIvMzEvMjAyMwkAAAABMP5QweTNe94IdAZCOc573gg4Q0lRLk5ZU0U6SUJNLklRX0dBSU5fQkFSR0FJTl9BQ1EuMTk5Mi4wNi8wMy8yMDI2Li4uVVNELkgBAAAA3rYBAAMAAAAAAP5QweTNe94IVN9BOc573gg2Q0lRLk5ZU0U6SUJNLklRX05FVF9SRU5UQUxfRVhQLjE5OTIuMDYvMDMvMjAyNi4uLlVTRC5IAQAAAN62AQADAAAAAAD+UMHkzXveCFTfQTnOe94IL0NJUS5OWVNFOklCTS5JUV9FRkZFQ1RfVEFYX1JBVEUuMTk5Mi4wNi8wMy8yMDI2AQAAAN62AQACAAAABzEzLjUzMjcBCAAAAAUAAAABMQEAAAALLTE5MDQ4NjA2NzADAAAAAzE2MAIAAAAENDM3NgQAAAABMAcAAAAIMy82LzIwMjYIAAAACjEyLzMxLzIwMjMJAAAAATD+UMHkzXveCFTfQTnOe94IPENJUS5OWVNFOklCTS5JUV9DQVBJVEFMSVpFRF9JTlRFUkVTVC4xOTkyLjA2LzAzLzIwMjYuLi5VU0QuSAEAAADetgEAAgAAAAE5AQgAAAAFAAAAATEBAAAACy0xOTA0ODYwNjcwAwAAAAMxNjACAAAABDMwMzIEAAAAATAHAAAACDMvNi8yMDI2CAAAAAoxMi8zMS8yMDIzCQAAAAEw/lDB5M173ghU30E5znveCEFDSVEuTllT</t>
  </si>
  <si>
    <t>RTpJQk0uSVFfTk9OUkVDVVJSSU5HX0lOQ09NRV9UQVhFUy4xOTkyLjA2LzAzLzIwMjYuLi5VU0QuSAEAAADetgEAAwAAAAAA/lDB5M173gh0BkI5znveCEpDSVEuTllTRTpJQk0uSVFfUFJPVl9CQURfREVCVFNfUEFUSUVOVF9TRVJWSUNFX1JFVi4xOTkyLjA2LzAzLzIwMjYuLi5VU0QuSAEAAADetgEAAwAAAAAA/lDB5M173gh0BkI5znveCC1DSVEuTllTRTpJQk0uSVFfRUJJVEEuMTk5Mi4wNi8wMy8yMDI2Li4uVVNELkgBAAAA3rYBAAIAAAAFMTEwNDgBCAAAAAUAAAABMQEAAAALLTE5MDQ4NjA2NzADAAAAAzE2MAIAAAAGMTAwNjg5BAAAAAEwBwAAAAgzLzYvMjAyNggAAAAKMTIvMzEvMjAyMwkAAAABMP5QweTNe94IdAZCOc573ggtQ0lRLk5ZU0U6SUJNLklRX0ZJTElOR0RBVEVfSVMuMTk5Mi4wNi8wMy8yMDI2AQAAAN62AQAFAAAACjI0LzAyLzIwMjYA/lDB5M173gh0BkI5znveCDZDSVEuTllTRTpJQk0uSVFfRElMVVRfRVBTX0VYQ0wuMTk5Mi4wNi8wMy8yMDI2Li4uVVNELkgBAAAA3rYBAAIAAAAIOC4xNDk5OTkBCAAAAAUAAAABMQEAAAALLTE5MDQ4NjA2NzADAAAAAzE2MAIAAAADMTQyBAAAAAEwBwAAAAgzLzYvMjAyNggAAAAKMTIvMzEvMjAyMwkAAAABMP5QweTNe94IdAZCOc573gg2Q0lRLk5ZU0U6SUJNLklRX0JBU0lDX0VQU19FWENMLjE5OTIuMDYvMDMvMjAyNi4uLlVTRC5IAQAAAN62</t>
  </si>
  <si>
    <t>AQACAAAACDguMjQ2MTc1AQgAAAAFAAAAATEBAAAACy0xOTA0ODYwNjcwAwAAAAMxNjACAAAABDMwNjQEAAAAATAHAAAACDMvNi8yMDI2CAAAAAoxMi8zMS8yMDIzCQAAAAEw/lDB5M173gh0BkI5znveCDZDSVEuTllTRTpJQk0uSVFfTFRfREVCVF9JU1NVRUQuMTk5Mi4wNi8wMy8yMDI2Li4uVVNELkgBAAAA3rYBAAIAAAAEOTU4NgEIAAAABQAAAAExAQAAAAstMTkwNDg2MDY3MAMAAAADMTYwAgAAAAQyMDM0BAAAAAEwBwAAAAgzLzYvMjAyNggAAAAKMTIvMzEvMjAyMwkAAAABMP5QweTNe94IdAZCOc573gg3Q0lRLk5ZU0U6SUJNLklRX0NBU0hfQUNRVUlSRV9DRi4xOTkyLjA2LzAzLzIwMjYuLi5VU0QuSAEAAADetgEAAgAAAAUtNTA4MgEIAAAABQAAAAExAQAAAAstMTkwNDg2MDY3MAMAAAADMTYwAgAAAAQyMDU3BAAAAAEwBwAAAAgzLzYvMjAyNggAAAAKMTIvMzEvMjAyMwkAAAABMP5QweTNe94IdAZCOc573gg2Q0lRLk5ZU0U6SUJNLklRX1NUT0NLX0JBU0VEX0NGLjE5OTIuMDYvMDMvMjAyNi4uLlVTRC5IAQAAAN62AQACAAAABDExMzMBCAAAAAUAAAABMQEAAAALLTE5MDQ4NjA2NzADAAAAAzE2MAIAAAAEMjEyNwQAAAABMAcAAAAIMy82LzIwMjYIAAAACjEyLzMxLzIwMjMJAAAAATD+UMHkzXveCHQGQjnOe94IQENJUS5OWVNFOklCTS5JUV9JTVBVVF9PUEVSX0xFQVNFX0lOVF9FWFAuMTk5Mi4w</t>
  </si>
  <si>
    <t>Ni8wMy8yMDI2Li4uVVNELkgBAAAA3rYBAAIAAAAKMjkzLjE1OTk2OAEIAAAABQAAAAExAQAAAAstMTkwNDg2MDY3MAMAAAADMTYwAgAAAAUyMTY3MgQAAAABMAcAAAAIMy82LzIwMjYIAAAACjEyLzMxLzIwMjMJAAAAATD+UMHkzXveCHQGQjnOe94INUNJUS5OWVNFOklCTS5JUV9ET19GSU5BTkNFX0NGLjE5OTIuMDYvMDMvMjAyNi4uLlVTRC5IAQAAAN62AQADAAAAAAD+UMHkzXveCDgyQjnOe94IM0NJUS5OWVNFOklCTS5JUV9QUkVGX0lTU1VFRC4xOTkyLjA2LzAzLzIwMjYuLi5VU0QuSAEAAADetgEAAwAAAAAA/lDB5M173gg4MkI5znveCDtDSVEuTllTRTpJQk0uSVFfU0FMRV9SRUFMX0VTVEFURV9DRi4xOTkyLjA2LzAzLzIwMjYuLi5VU0QuSAEAAADetgEAAwAAAAAA/lDB5M173gh0BkI5znveCDlDSVEuTllTRTpJQk0uSVFfUFJPVl9CQURfREVCVFNfQ0YuMTk5Mi4wNi8wMy8yMDI2Li4uVVNELkgBAAAA3rYBAAMAAAAAAP5QweTNe94IdAZCOc573gg5Q0lRLk5ZU0U6SUJNLklRX05FR0FUSVZFX0dXX0FNT1JULjE5OTIuMDYvMDMvMjAyNi4uLlVTRC5IAQAAAN62AQADAAAAAAD+UMHkzXveCHQGQjnOe94IPkNJUS5OWVNFOklCTS5JUV9BU1NFVF9XUklURURPV05fU1VQUExFLjE5OTIuMDYvMDMvMjAyNi4uLlVTRC5IAQAAAN62AQADAAAAAAD+UMHkzXveCDgyQjnOe94IM0NJUS5OWVNFOklCTS5J</t>
  </si>
  <si>
    <t>UV9BRFZFUlRJU0lORy4xOTkyLjA2LzAzLzIwMjYuLi5VU0QuSAEAAADetgEAAgAAAAQxMjM3AQgAAAAFAAAAATEBAAAACy0xOTA0ODYwNjcwAwAAAAMxNjACAAAABDMwMTMEAAAAATAHAAAACDMvNi8yMDI2CAAAAAoxMi8zMS8yMDIzCQAAAAEw/lDB5M173gg4MkI5znveCC5DSVEuTllTRTpJQk0uSVFfUkVTVEFURU1FTlRfSVMuMTk5Mi4wNi8wMy8yMDI2AQAAAN62AQADAAAAAlJDAP5QweTNe94IODJCOc573gg7Q0lRLk5ZU0U6SUJNLklRX05PTkNBU0hfUEVOU0lPTl9FWFAuMTk5Mi4wNi8wMy8yMDI2Li4uVVNELkgBAAAA3rYBAAIAAAAELTE0NwEIAAAABQAAAAExAQAAAAstMTkwNDg2MDY3MAMAAAADMTYwAgAAAAUyMTY3OAQAAAABMAcAAAAIMy82LzIwMjYIAAAACjEyLzMxLzIwMjMJAAAAATD+UMHkzXveCDgyQjnOe94IO0NJUS5OWVNFOklCTS5JUV9DVVJSX0RPTUVTVElDX1RBWEVTLjE5OTIuMDYvMDMvMjAyNi4uLlVTRC5IAQAAAN62AQACAAAAAzY4NwEIAAAABQAAAAExAQAAAAstMTkwNDg2MDY3MAMAAAADMTYwAgAAAAQzMDI3BAAAAAEwBwAAAAgzLzYvMjAyNggAAAAKMTIvMzEvMjAyMwkAAAABMP5QweTNe94IODJCOc573gg4Q0lRLk5ZU0U6SUJNLklRX0VCSVREQVJfRVhDTF9TQkMuMTk5Mi4wNi8wMy8yMDI2Li4uVVNELkgBAAAA3rYBAAIAAAAFMTQ2ODMBCAAAAAUAAAABMQEAAAALLTE5</t>
  </si>
  <si>
    <t>MDQ4NjA2NzADAAAAAzE2MAIAAAAFMjQxMzcEAAAAATAHAAAACDMvNi8yMDI2CAAAAAoxMi8zMS8yMDIzCQAAAAEw/lDB5M173gg4MkI5znveCD9DSVEuTllTRTpJQk0uSVFfTEVBU0VfQURKVVNUTUVOVF9FQklUREEuMTk5Mi4wNi8wMy8yMDI2Li4uVVNELkgBAAAA3rYBAAIAAAAEMTI5MgD+UMHkzXveCDgyQjnOe94IPkNJUS5OWVNFOklCTS5JUV9FQklUREFfRVFfSU5DX0VYQ0xfU0JDLjE5OTIuMDYvMDMvMjAyNi4uLlVTRC5IAQAAAN62AQACAAAABTEzMzkxAQgAAAAFAAAAATEBAAAACy0xOTA0ODYwNjcwAwAAAAMxNjACAAAABTI0MTMxBAAAAAEwBwAAAAgzLzYvMjAyNggAAAAKMTIvMzEvMjAyMwkAAAABMP5QweTNe94IODJCOc573ghMQ0lRLk5ZU0U6SUJNLklRX0RJU1RSSUJVVEFCTEVfQ0FTSF9QRVJfU0hBUkVfRElMVVRFRC4xOTkyLjA2LzAzLzIwMjYuLi5VU0QuSAEAAADetgEAAwAAAAAA/lDB5M173gg4MkI5znveCDxDSVEuTllTRTpJQk0uSVFfTUlOT1JJVFlfSU5URVJFU1RfSVMuMTk5Mi4wNi8wMy8yMDI2Li4uVVNELkgBAAAA3rYBAAMAAAAAAP5QweTNe94IODJCOc573ggzQ0lRLk5ZU0U6SUJNLklRX0dBSU5fSU5WRVNULjE5OTIuMDYvMDMvMjAyNi4uLlVTRC5IAQAAAN62AQACAAAAAjM5AQgAAAAFAAAAATEBAAAACy0xOTA0ODYwNjcwAwAAAAMxNjACAAAAAjYyBAAAAAEwBwAAAAgz</t>
  </si>
  <si>
    <t>LzYvMjAyNggAAAAKMTIvMzEvMjAyMwkAAAABMP5QweTNe94Iw2tCOc573ggyQ0lRLk5ZU0U6SUJNLklRX09USEVSX09QRVIuMTk5Mi4wNi8wMy8yMDI2Li4uVVNELkgBAAAA3rYBAAIAAAAELTg2MAEIAAAABQAAAAExAQAAAAstMTkwNDg2MDY3MAMAAAADMTYwAgAAAAMyNjAEAAAAATAHAAAACDMvNi8yMDI2CAAAAAoxMi8zMS8yMDIzCQAAAAEw/lDB5M173gg4MkI5znveCDBDSVEuTllTRTpJQk0uSVFfREFfU1VQUEwuMTk5Mi4wNi8wMy8yMDI2Li4uVVNELkgBAAAA3rYBAAMAAAAAAP5QweTNe94IODJCOc573gg2Q0lRLk5ZU0U6SUJNLklRX09USEVSX0NBX1NVUFBMLjE5OTIuMDYvMDMvMjAyNi4uLlVTRC5IAQAAAN62AQACAAAABDEzMTMBCAAAAAUAAAABMQEAAAALLTE5MDQ4NjA2NzADAAAAAzE2MAIAAAAEMTA1NQQAAAABMAcAAAAIMy82LzIwMjYIAAAACjEyLzMxLzIwMjMJAAAAATD+UMHkzXveCDgyQjnOe94IKkNJUS5OWVNFOklCTS5JUV9BUi4xOTkyLjA2LzAzLzIwMjYuLi5VU0QuSAEAAADetgEAAgAAAAQ3NzE5AQgAAAAFAAAAATEBAAAACy0xOTA0ODYwNjcwAwAAAAMxNjACAAAABDEwMjEEAAAAATAHAAAACDMvNi8yMDI2CAAAAAoxMi8zMS8yMDIzCQAAAAEw/lDB5M173gg4MkI5znveCDVDSVEuTllTRTpJQk0uSVFfVU5MRVZFUkVEX0ZDRi4xOTkyLjA2LzAzLzIwMjYuLi5VU0QuSAEAAADe</t>
  </si>
  <si>
    <t>tgEAAgAAAAkxMTUyNi4xMjUBCAAAAAUAAAABMQEAAAALLTE5MDQ4NjA2NzADAAAAAzE2MAIAAAAENDQyMwQAAAABMAcAAAAIMy82LzIwMjYIAAAACjEyLzMxLzIwMjMJAAAAATD+UMHkzXveCMNrQjnOe94IPENJUS5OWVNFOklCTS5JUV9DQVNIX0lOVEVSRVNUX0lOVkVTVC4xOTkyLjA2LzAzLzIwMjYuLi5VU0QuSAEAAADetgEAAwAAAAAA/lDB5M173gjDa0I5znveCDlDSVEuTllTRTpJQk0uSVFfQ0FTSF9JTlRFUkVTVF9ORVQuMTk5Mi4wNi8wMy8yMDI2Li4uVVNELkgBAAAA3rYBAAMAAAAAAP5QweTNe94Iw2tCOc573gg2Q0lRLk5ZU0U6SUJNLklRX01JU0NfQURKVVNUX0NGLjE5OTIuMDYvMDMvMjAyNi4uLlVTRC5IAQAAAN62AQADAAAAAAD+UMHkzXveCMNrQjnOe94IMUNJUS5OWVNFOklCTS5JUV9TVF9JTlZFU1QuMTk5Mi4wNi8wMy8yMDI2Li4uVVNELkgBAAAA3rYBAAIAAAADMzczAQgAAAAFAAAAATEBAAAACy0xOTA0ODYwNjcwAwAAAAMxNjACAAAABDEwNjkEAAAAATAHAAAACDMvNi8yMDI2CAAAAAoxMi8zMS8yMDIzCQAAAAEw/lDB5M173gjDa0I5znveCDZDSVEuTllTRTpJQk0uSVFfT1RIRVJfT1BFUl9BQ1QuMTk5Mi4wNi8wMy8yMDI2Li4uVVNELkgBAAAA3rYBAAIAAAAFLTExMTQBCAAAAAUAAAABMQEAAAALLTE5MDQ4NjA2NzADAAAAAzE2MAIAAAAEMjA0NwQAAAABMAcAAAAIMy82LzIw</t>
  </si>
  <si>
    <t>MjYIAAAACjEyLzMxLzIwMjMJAAAAATD+UMHkzXveCCWTQjnOe94IMkNJUS5OWVNFOklCTS5JUV9PSUxfSU1QQUlSLjE5OTIuMDYvMDMvMjAyNi4uLlVTRC5IAQAAAN62AQADAAAAAAD+UMHkzXveCCWTQjnOe94IM0NJUS5OWVNFOklCTS5JUV9EQV9TVVBQTF9DRi4xOTkyLjA2LzAzLzIwMjYuLi5VU0QuSAEAAADetgEAAgAAAAQyMTA5AQgAAAAFAAAAATEBAAAACy0xOTA0ODYwNjcwAwAAAAMxNjACAAAABDIxNzEEAAAAATAHAAAACDMvNi8yMDI2CAAAAAoxMi8zMS8yMDIzCQAAAAEw/lDB5M173gglk0I5znveCD9DSVEuTllTRTpJQk0uSVFfUkVTVFJfU1RPQ0tfQ09NUF9QUkVUQVguMTk5Mi4wNi8wMy8yMDI2Li4uVVNELkgBAAAA3rYBAAMAAAAAAP5QweTNe94IJZNCOc573gg7Q0lRLk5ZU0U6SUJNLklRX0xFR0FMX1NFVFRMRV9TVVBQTEUuMTk5Mi4wNi8wMy8yMDI2Li4uVVNELkgBAAAA3rYBAAMAAAAAAP5QweTNe94Iw2tCOc573gg9Q0lRLk5ZU0U6SUJNLklRX0ZJTl9ESVZfTE9BTlNfQ1VSUkVOVC4xOTkyLjA2LzAzLzIwMjYuLi5VU0QuSAEAAADetgEAAgAAAAQ2MTAyAQgAAAAFAAAAATEBAAAACy0xOTA0ODYwNjcwAwAAAAMxNjACAAAABDEwMzIEAAAAATAHAAAACDMvNi8yMDI2CAAAAAoxMi8zMS8yMDIzCQAAAAEw/lDB5M173gglk0I5znveCDpDSVEuTllTRTpJQk0uSVFfQ0FTSF9JTlRFUkVT</t>
  </si>
  <si>
    <t>VF9PUEVSLjE5OTIuMDYvMDMvMjAyNi4uLlVTRC5IAQAAAN62AQADAAAAAAD+UMHkzXveCCWTQjnOe94IL0NJUS5OWVNFOklCTS5JUV9ERVBfUlVBLjE5OTIuMDYvMDMvMjAyNi4uLlVTRC5IAQAAAN62AQACAAAAAzkwMAEIAAAABQAAAAExAQAAAAstMTkwNDg2MDY3MAMAAAADMTYwAgAAAAU0ODM1NwQAAAABMAcAAAAIMy82LzIwMjYIAAAACjEyLzMxLzIwMjMJAAAAATD+UMHkzXveCCWTQjnOe94INUNJUS5OWVNFOklCTS5JUV9DT01NT05fRElWX0NGLjE5OTIuMDYvMDMvMjAyNi4uLlVTRC5IAQAAAN62AQACAAAABS02MDQwAQgAAAAFAAAAATEBAAAACy0xOTA0ODYwNjcwAwAAAAMxNjACAAAABDIwNzQEAAAAATAHAAAACDMvNi8yMDI2CAAAAAoxMi8zMS8yMDIzCQAAAAEw/lDB5M173gglk0I5znveCDlDSVEuTllTRTpJQk0uSVFfVE9UQUxfREVCVF9SRVBBSUQuMTk5Mi4wNi8wMy8yMDI2Li4uVVNELkgBAAAA3rYBAAIAAAAFLTUwODkBCAAAAAUAAAABMQEAAAALLTE5MDQ4NjA2NzADAAAAAzE2MAIAAAAEMjE2NgQAAAABMAcAAAAIMy82LzIwMjYIAAAACjEyLzMxLzIwMjMJAAAAATD+UMHkzXveCCWTQjnOe94IMUNJUS5OWVNFOklCTS5JUV9DSEFOR0VfQVAuMTk5Mi4wNi8wMy8yMDI2Li4uVVNELkgBAAAA3rYBAAIAAAACNjUBCAAAAAUAAAABMQEAAAALLTE5MDQ4NjA2NzADAAAAAzE2MAIAAAAEMjAx</t>
  </si>
  <si>
    <t>NwQAAAABMAcAAAAIMy82LzIwMjYIAAAACjEyLzMxLzIwMjMJAAAAATD+UMHkzXveCCWTQjnOe94IMUNJUS5OWVNFOklCTS5JUV9DSEFOR0VfQVIuMTk5Mi4wNi8wMy8yMDI2Li4uVVNELkgBAAAA3rYBAAIAAAADNzI1AQgAAAAFAAAAATEBAAAACy0xOTA0ODYwNjcwAwAAAAMxNjACAAAABDIwMTgEAAAAATAHAAAACDMvNi8yMDI2CAAAAAoxMi8zMS8yMDIzCQAAAAEw/lDB5M173gglk0I5znveCDJDSVEuTllTRTpJQk0uSVFfQ0FTSF9FUVVJVi4xOTkyLjA2LzAzLzIwMjYuLi5VU0QuSAEAAADetgEAAgAAAAUxMzA2OAEIAAAABQAAAAExAQAAAAstMTkwNDg2MDY3MAMAAAADMTYwAgAAAAQxMDk2BAAAAAEwBwAAAAgzLzYvMjAyNggAAAAKMTIvMzEvMjAyMwkAAAABMP5QweTNe94IJZNCOc573ghEQ0lRLk5ZU0U6SUJNLklRX0NIQU5HRV9PVEhFUl9ORVRfT1BFUl9BU1NFVFMuMTk5Mi4wNi8wMy8yMDI2Li4uVVNELkgBAAAA3rYBAAIAAAAEMTAwNAEIAAAABQAAAAExAQAAAAstMTkwNDg2MDY3MAMAAAADMTYwAgAAAAQyMDQ1BAAAAAEwBwAAAAgzLzYvMjAyNggAAAAKMTIvMzEvMjAyMwkAAAABMP5QweTNe94IJZNCOc573gg2Q0lRLk5ZU0U6SUJNLklRX0NIQU5HRV9JTkNfVEFYLjE5OTIuMDYvMDMvMjAyNi4uLlVTRC5IAQAAAN62AQADAAAAAAD+UMHkzXveCCWTQjnOe94IQUNJUS5OWVNFOklCTS5JUV9T</t>
  </si>
  <si>
    <t>VE9DS19CQVNFRF9FWFBMT1JFX0RSSUxMLjE5OTIuMDYvMDMvMjAyNi4uLlVTRC5IAQAAAN62AQADAAAAAAD+UMHkzXveCPjNQjnOe94INkNJUS5OWVNFOklCTS5JUV9TVE9DS19CQVNFRF9HQS4xOTkyLjA2LzAzLzIwMjYuLi5VU0QuSAEAAADetgEAAwAAAAAA/lDB5M173gj4zUI5znveCDpDSVEuTllTRTpJQk0uSVFfUkVTVFJVQ1RVUkVfU1VQUExFLjE5OTIuMDYvMDMvMjAyNi4uLlVTRC5IAQAAAN62AQADAAAAAAD+UMHkzXveCPjNQjnOe94ILUNJUS5OWVNFOklCTS5JUV9GSUxJTkdEQVRFX0NGLjE5OTIuMDYvMDMvMjAyNgEAAADetgEABQAAAAoyNC8wMi8yMDI2AP5QweTNe94I+M1COc573gg5Q0lRLk5ZU0U6SUJNLklRX1RPVEFMX0RJVl9QQUlEX0NGLjE5OTIuMDYvMDMvMjAyNi4uLlVTRC5IAQAAAN62AQACAAAABS02MDQwAQgAAAAFAAAAATEBAAAACy0xOTA0ODYwNjcwAwAAAAMxNjACAAAABDIwMjIEAAAAATAHAAAACDMvNi8yMDI2CAAAAAoxMi8zMS8yMDIzCQAAAAEw/lDB5M173gj4zUI5znveCDJDSVEuTllTRTpJQk0uSVFfQ09NTU9OX0RJVi4xOTkyLjA2LzAzLzIwMjYuLi5VU0QuSAEAAADetgEAAgAAAAQ2MDQwAP5QweTNe94I+M1COc573ggvQ0lRLk5ZU0U6SUJNLklRX1BFUklPRExFTkdUSF9JUy4xOTkyLjA2LzAzLzIwMjYBAAAA3rYBAAEAAAACMTIA/lDB5M173gj4zUI5znveCDZD</t>
  </si>
  <si>
    <t>SVEuTllTRTpJQk0uSVFfRElMVVRfRVBTX05PUk0uMTk5Mi4wNi8wMy8yMDI2Li4uVVNELkgBAAAA3rYBAAIAAAAHNS44NjM4MgEIAAAABQAAAAExAQAAAAstMTkwNDg2MDY3MAMAAAADMTYwAgAAAAQ0MzgwBAAAAAEwBwAAAAgzLzYvMjAyNggAAAAKMTIvMzEvMjAyMwkAAAABMP5QweTNe94I+M1COc573gg2Q0lRLk5ZU0U6SUJNLklRX1BSRUZfRElWX09USEVSLjE5OTIuMDYvMDMvMjAyNi4uLlVTRC5IAQAAAN62AQADAAAAAAD+UMHkzXveCPjNQjnOe94IK0NJUS5OWVNFOklCTS5JUV9FQlQuMTk5Mi4wNi8wMy8yMDI2Li4uVVNELkgBAAAA3rYBAAIAAAAEODY5MAEIAAAABQAAAAExAQAAAAstMTkwNDg2MDY3MAMAAAADMTYwAgAAAAMxMzkEAAAAATAHAAAACDMvNi8yMDI2CAAAAAoxMi8zMS8yMDIzCQAAAAEw/lDB5M173gg+9UI5znveCDBDSVEuTllTRTpJQk0uSVFfRUJUX0VYQ0wuMTk5Mi4wNi8wMy8yMDI2Li4uVVNELkgBAAAA3rYBAAIAAAAEODY1MQEIAAAABQAAAAExAQAAAAstMTkwNDg2MDY3MAMAAAADMTYwAgAAAAE0BAAAAAEwBwAAAAgzLzYvMjAyNggAAAAKMTIvMzEvMjAyMwkAAAABMP5QweTNe94IPvVCOc573gg6Q0lRLk5ZU0U6SUJNLklRX1NUT0NLX09QVElPTlNfQ09NUC4xOTkyLjA2LzAzLzIwMjYuLi5VU0QuSAEAAADetgEAAwAAAAAAtmXB5M173gg+9UI5znveCDxDSVEuTllTRTpJ</t>
  </si>
  <si>
    <t>Qk0uSVFfVE9UQUxfVU5VU1VBTF9TVVBQTEUuMTk5Mi4wNi8wMy8yMDI2Li4uVVNELkgBAAAA3rYBAAMAAAAAALZlweTNe94IPvVCOc573gg1Q0lRLk5ZU0U6SUJNLklRX01FUkdFUl9TVVBQTEUuMTk5Mi4wNi8wMy8yMDI2Li4uVVNELkgBAAAA3rYBAAMAAAAAALZlweTNe94I+M1COc573gg9Q0lRLk5ZU0U6SUJNLklRX0lNUFVUX09QRVJfTEVBU0VfREVQUi4xOTkyLjA2LzAzLzIwMjYuLi5VU0QuSAEAAADetgEAAgAAAAo5OTguODQwMDMyAQgAAAAFAAAAATEBAAAACy0xOTA0ODYwNjcwAwAAAAMxNjACAAAABTIxNjczBAAAAAEwBwAAAAgzLzYvMjAyNggAAAAKMTIvMzEvMjAyMwkAAAABMLZlweTNe94IPvVCOc573ghHQ0lRLk5ZU0U6SUJNLklRX0RJU1RSSUJVVEFCTEVfQ0FTSF9TVEFOREFSRElaRUQuMTk5Mi4wNi8wMy8yMDI2Li4uVVNELkgBAAAA3rYBAAMAAAAAALZlweTNe94IPvVCOc573ggsQ0lRLk5ZU0U6SUJNLklRX0RJTFVUX1dFSUdIVC4xOTkyLjA2LzAzLzIwMjYBAAAA3rYBAAIAAAAKOTIyLjA3MzgyOAC2ZcHkzXveCD71QjnOe94IOENJUS5OWVNFOklCTS5JUV9UT1RBTF9PVEhFUl9PUEVSLjE5OTIuMDYvMDMvMjAyNi4uLlVTRC5IAQAAAN62AQACAAAABTI0ODc5AQgAAAAFAAAAATEBAAAACy0xOTA0ODYwNjcwAwAAAAMxNjACAAAAAzM4MAQAAAABMAcAAAAIMy82LzIwMjYIAAAACjEy</t>
  </si>
  <si>
    <t>LzMxLzIwMjMJAAAAATC2ZcHkzXveCD71QjnOe94IM0NJUS5OWVNFOklCTS5JUV9SRVNUUlVDVFVSRS4xOTkyLjA2LzAzLzIwMjYuLi5VU0QuSAEAAADetgEAAwAAAAAAtmXB5M173gg+9UI5znveCDJDSVEuTllTRTpJQk0uSVFfSU1QQUlSX09JTC4xOTkyLjA2LzAzLzIwMjYuLi5VU0QuSAEAAADetgEAAwAAAAAAtmXB5M173ghMHEM5znveCDNDSVEuTllTRTpJQk0uSVFfSU5TX0RJVl9SRVYuMTk5Mi4wNi8wMy8yMDI2Li4uVVNELkgBAAAA3rYBAAMAAAAAALZlweTNe94IPvVCOc573gg0Q0lRLk5ZU0U6SUJNLklRX0RPX0lOVkVTVF9DRi4xOTkyLjA2LzAzLzIwMjYuLi5VU0QuSAEAAADetgEAAwAAAAAAtmXB5M173gg+9UI5znveCDVDSVEuTllTRTpJQk0uSVFfQ09NTU9OX0lTU1VFRC4xOTkyLjA2LzAzLzIwMjYuLi5VU0QuSAEAAADetgEAAgAAAAM0MTQBCAAAAAUAAAABMQEAAAALLTE5MDQ4NjA2NzADAAAAAzE2MAIAAAAEMjE2OQQAAAABMAcAAAAIMy82LzIwMjYIAAAACjEyLzMxLzIwMjMJAAAAATC2ZcHkzXveCD71QjnOe94INkNJUS5OWVNFOklCTS5JUV9HQUlOX0FTU0VUU19DRi4xOTkyLjA2LzAzLzIwMjYuLi5VU0QuSAEAAADetgEAAgAAAAQtMTcwAQgAAAAFAAAAATEBAAAACy0xOTA0ODYwNjcwAwAAAAMxNjACAAAABDIwMjYEAAAAATAHAAAACDMvNi8yMDI2CAAAAAoxMi8zMS8yMDIzCQAA</t>
  </si>
  <si>
    <t>AAEwtmXB5M173ghMHEM5znveCDhDSVEuTllTRTpJQk0uSVFfUkVTVFJfU1RPQ0tfQ09NUC4xOTkyLjA2LzAzLzIwMjYuLi5VU0QuSAEAAADetgEAAwAAAAAAtmXB5M173ghMHEM5znveCDZDSVEuTllTRTpJQk0uSVFfU1RPQ0tfQkFTRURfQVQuMTk5Mi4wNi8wMy8yMDI2Li4uVVNELkgBAAAA3rYBAAMAAAAAALZlweTNe94ITBxDOc573ggsQ0lRLk5ZU0U6SUJNLklRX1BBWU9VVF9SQVRJTy4xOTkyLjA2LzAzLzIwMjYBAAAA3rYBAAIAAAAHODAuNTExOAEIAAAABQAAAAExAQAAAAstMTkwNDg2MDY3MAMAAAADMTYwAgAAAAQ0Mzc3BAAAAAEwBwAAAAgzLzYvMjAyNggAAAAKMTIvMzEvMjAyMwkAAAABMLZlweTNe94ITBxDOc573ghBQ0lRLk5ZU0U6SUJNLklRX0RJU1RSSUJVVEFCTEVfQ0FTSF9TSEFSRVNfRElMVVRFRC4xOTkyLjA2LzAzLzIwMjYBAAAA3rYBAAMAAAAAALZlweTNe94IwVtEOc573ghJQ0lRLk5ZU0U6SUJNLklRX0lOVEVSRVNUX0VYUF9MRUFTRV9MSUFCSUxJVFlfREVCVC4xOTkyLjA2LzAzLzIwMjYuLi5VU0QuSAEAAADetgEAAwAAAAAAtmXB5M173ghMHEM5znveCD9DSVEuTllTRTpJQk0uSVFfRVhDSVNFX1RBWEVTX0lOQ0xfU0FMRVMuMTk5Mi4wNi8wMy8yMDI2Li4uVVNELkgBAAAA3rYBAAMAAAAAALZlweTNe94ITBxDOc573gg0Q0lRLk5ZU0U6SUJNLklRX0xFR0FMX1NFVFRMRS4x</t>
  </si>
  <si>
    <t>OTkyLjA2LzAzLzIwMjYuLi5VU0QuSAEAAADetgEAAwAAAAAAtmXB5M173ghMHEM5znveCDVDSVEuTllTRTpJQk0uSVFfQ1VSUkVOQ1lfR0FJTi4xOTkyLjA2LzAzLzIwMjYuLi5VU0QuSAEAAADetgEAAgAAAAMtNjkBCAAAAAUAAAABMQEAAAALLTE5MDQ4NjA2NzADAAAAAzE2MAIAAAACMzgEAAAAATAHAAAACDMvNi8yMDI2CAAAAAoxMi8zMS8yMDIzCQAAAAEwtmXB5M173ghMHEM5znveCCxDSVEuTllTRTpJQk0uSVFfQ09HUy4xOTkyLjA2LzAzLzIwMjYuLi5VU0QuSAEAAADetgEAAgAAAAUyNzE3OAEIAAAABQAAAAExAQAAAAstMTkwNDg2MDY3MAMAAAADMTYwAgAAAAIzNAQAAAABMAcAAAAIMy82LzIwMjYIAAAACjEyLzMxLzIwMjMJAAAAATC2ZcHkzXveCEwcQznOe94INkNJUS5OWVNFOklCTS5JUV9QUk9WX0JBRF9ERUJUUy4xOTkyLjA2LzAzLzIwMjYuLi5VU0QuSAEAAADetgEAAwAAAAAAtmXB5M173ghKQ0M5znveCDlDSVEuTllTRTpJQk0uSVFfSU5WRVNUTUVOVF9JTkNPTUUuMTk5Mi4wNi8wMy8yMDI2Li4uVVNELkgBAAAA3rYBAAMAAAAAALZlweTNe94ISkNDOc573ggvQ0lRLk5ZU0U6SUJNLklRX05JX1NGQVMuMTk5Mi4wNi8wMy8yMDI2Li4uVVNELkgBAAAA3rYBAAMAAAAAALZlweTNe94ITBxDOc573gg9Q0lRLk5ZU0U6SUJNLklRX1RPVEFMX1JFVl9BU19SRVBPUlRFRC4xOTkyLjA2LzAz</t>
  </si>
  <si>
    <t>LzIwMjYuLi5VU0QuSAEAAADetgEAAgAAAAU2MTg2MAEIAAAABQAAAAExAQAAAAstMTkwNDg2MDY3MAMAAAADMTYwAgAAAAMzMzkEAAAAATAHAAAACDMvNi8yMDI2CAAAAAoxMi8zMS8yMDIzCQAAAAEwtmXB5M173ghMHEM5znveCDZDSVEuTllTRTpJQk0uSVFfRElMVVRfRVBTX0lOQ0wuMTk5Mi4wNi8wMy8yMDI2Li4uVVNELkgBAAAA3rYBAAIAAAAIOC4xMzY5ODUBCAAAAAUAAAABMQEAAAALLTE5MDQ4NjA2NzADAAAAAzE2MAIAAAABOAQAAAABMAcAAAAIMy82LzIwMjYIAAAACjEyLzMxLzIwMjMJAAAAATC2ZcHkzXveCEpDQznOe94IN0NJUS5OWVNFOklCTS5JUV9FWFRSQV9BQ0NfSVRFTVMuMTk5Mi4wNi8wMy8yMDI2Li4uVVNELkgBAAAA3rYBAAMAAAAAALZlweTNe94ISkNDOc573ggvQ0lRLk5ZU0U6SUJNLklRX0VCSVREQVIuMTk5Mi4wNi8wMy8yMDI2Li4uVVNELkgBAAAA3rYBAAIAAAAFMTM1NDkBCAAAAAUAAAABMQEAAAALLTE5MDQ4NjA2NzADAAAAAzE2MAIAAAAFMjE2NzQEAAAAATAHAAAACDMvNi8yMDI2CAAAAAoxMi8zMS8yMDIzCQAAAAEwtmXB5M173ghKQ0M5znveCD1DSVEuTllTRTpJQk0uSVFfRUJJVEFfRVFfSU5DX0VYQ0xfU0JDLjE5OTIuMDYvMDMvMjAyNi4uLlVTRC5IAQAAAN62AQACAAAABTEyMTgyAQgAAAAFAAAAATEBAAAACy0xOTA0ODYwNjcwAwAAAAMxNjACAAAABTI0MTMy</t>
  </si>
  <si>
    <t>BAAAAAEwBwAAAAgzLzYvMjAyNggAAAAKMTIvMzEvMjAyMwkAAAABMLZlweTNe94ISkNDOc573gg8Q0lRLk5ZU0U6SUJNLklRX0VCSVRfRVFfSU5DX0VYQ0xfU0JDLjE5OTIuMDYvMDMvMjAyNi4uLlVTRC5IAQAAAN62AQACAAAABTEwNTU1AQgAAAAFAAAAATEBAAAACy0xOTA0ODYwNjcwAwAAAAMxNjACAAAABTI0MTMwBAAAAAEwBwAAAAgzLzYvMjAyNggAAAAKMTIvMzEvMjAyMwkAAAABMLZlweTNe94ISkNDOc573ggxQ0lRLk5ZU0U6SUJNLklRX0NBU0hfT1BFUi4xOTkyLjA2LzAzLzIwMjYuLi5VU0QuSAEAAADetgEAAgAAAAUxMzkzMQEIAAAABQAAAAExAQAAAAstMTkwNDg2MDY3MAMAAAADMTYwAgAAAAQyMDA2BAAAAAEwBwAAAAgzLzYvMjAyNggAAAAKMTIvMzEvMjAyMwkAAAABMLZlweTNe94ISkNDOc573ggzQ0lRLk5ZU0U6SUJNLklRX0lQUkRfU1VQUExFLjE5OTIuMDYvMDMvMjAyNi4uLlVTRC5IAQAAAN62AQADAAAAAAC2ZcHkzXveCEpDQznOe94IN0NJUS5OWVNFOklCTS5JUV9TQUxFU19NQVJLRVRJTkcuMTk5Mi4wNi8wMy8yMDI2Li4uVVNELkgBAAAA3rYBAAIAAAAEMTIzNwEIAAAABQAAAAExAQAAAAstMTkwNDg2MDY3MAMAAAADMTYwAgAAAAUyMTU2MQQAAAABMAcAAAAIMy82LzIwMjYIAAAACjEyLzMxLzIwMjMJAAAAATC2ZcHkzXveCEpDQznOe94IOUNJUS5OWVNFOklCTS5JUV9ESVNU</t>
  </si>
  <si>
    <t>UklCVVRBQkxFX0NBU0hfUEFZT1VULjE5OTIuMDYvMDMvMjAyNgEAAADetgEAAwAAAAAAtmXB5M173ghKQ0M5znveCDxDSVEuTllTRTpJQk0uSVFfTUlOT1JJVFlfSU5URVJFU1RfQ0YuMTk5Mi4wNi8wMy8yMDI2Li4uVVNELkgBAAAA3rYBAAMAAAAAALZlweTNe94ISkNDOc573gg5Q0lRLk5ZU0U6SUJNLklRX0dXX0lOVEFOX0FNT1JUX0NGLjE5OTIuMDYvMDMvMjAyNi4uLlVTRC5IAQAAAN62AQACAAAABDE2MjcBCAAAAAUAAAABMQEAAAALLTE5MDQ4NjA2NzADAAAAAzE2MAIAAAAEMjE4MgQAAAABMAcAAAAIMy82LzIwMjYIAAAACjEyLzMxLzIwMjMJAAAAATC2ZcHkzXveCD1wQznOe94IPENJUS5OWVNFOklCTS5JUV9SRVNUUl9TVE9DS19DT01QX1RBWC4xOTkyLjA2LzAzLzIwMjYuLi5VU0QuSAEAAADetgEAAwAAAAAAtmXB5M173gg9cEM5znveCCxDSVEuTllTRTpJQk0uSVFfRUJJVC4xOTkyLjA2LzAzLzIwMjYuLi5VU0QuSAEAAADetgEAAgAAAAQ5NDIxAQgAAAAFAAAAATEBAAAACy0xOTA0ODYwNjcwAwAAAAMxNjACAAAAAzQwMAQAAAABMAcAAAAIMy82LzIwMjYIAAAACjEyLzMxLzIwMjMJAAAAATC2ZcHkzXveCD1wQznOe94ILkNJUS5OWVNFOklCTS5JUV9FQklUREEuMTk5Mi4wNi8wMy8yMDI2Li4uVVNELkgBAAAA3rYBAAIAAAAFMTIyNTcBCAAAAAUAAAABMQEAAAALLTE5MDQ4NjA2NzADAAAA</t>
  </si>
  <si>
    <t>AzE2MAIAAAAENDA1MQQAAAABMAcAAAAIMy82LzIwMjYIAAAACjEyLzMxLzIwMjMJAAAAATC2ZcHkzXveCEpDQznOe94IOUNJUS5OWVNFOklCTS5JUV9TUEVDSUFMX0RJVl9TSEFSRS4xOTkyLjA2LzAzLzIwMjYuLi5VU0QuSAEAAADetgEAAwAAAAAAtmXB5M173ghKQ0M5znveCCxDSVEuTllTRTpJQk0uSVFfSVBSRC4xOTkyLjA2LzAzLzIwMjYuLi5VU0QuSAEAAADetgEAAwAAAAAAtmXB5M173gg9cEM5znveCDBDSVEuTllTRTpJQk0uSVFfTE9BTlNfQ0YuMTk5Mi4wNi8wMy8yMDI2Li4uVVNELkgBAAAA3rYBAAMAAAAAALZlweTNe94IPXBDOc573ggnQ0lRLk5ZU0U6SUJNLklRX0dBQVBfSVMuMTk5Mi4wNi8wMy8yMDI2AQAAAN62AQADAAAAB1VTIEdBQVAAtmXB5M173gg9cEM5znveCDdDSVEuTllTRTpJQk0uSVFfVE9UQUxfUkVWX1NIQVJFLjE5OTIuMDYvMDMvMjAyNi4uLlVTRC5IAQAAAN62AQACAAAACTY3Ljg4NzcyOQEIAAAABQAAAAExAQAAAAstMTkwNDg2MDY3MAMAAAADMTYwAgAAAAQ0MzgyBAAAAAEwBwAAAAgzLzYvMjAyNggAAAAKMTIvMzEvMjAyMwkAAAABMLZlweTNe94IPXBDOc573ggyQ0lRLk5ZU0U6SUJNLklRX0VBUk5JTkdfQ08uMTk5Mi4wNi8wMy8yMDI2Li4uVVNELkgBAAAA3rYBAAIAAAAENzUxNAEIAAAABQAAAAExAQAAAAstMTkwNDg2MDY3MAMAAAADMTYwAgAAAAE3BAAAAAEw</t>
  </si>
  <si>
    <t>BwAAAAgzLzYvMjAyNggAAAAKMTIvMzEvMjAyMwkAAAABMLZlweTNe94IPXBDOc573gg3Q0lRLk5ZU0U6SUJNLklRX09USEVSX1JFVl9TVVBQTC4xOTkyLjA2LzAzLzIwMjYuLi5VU0QuSAEAAADetgEAAwAAAAAAtmXB5M173gh8l0M5znveCD1DSVEuTllTRTpJQk0uSVFfTkVUX1JFTlRBTF9FWFBfU1VQUExFLjE5OTIuMDYvMDMvMjAyNi4uLlVTRC5IAQAAAN62AQACAAAABDEyOTIBCAAAAAUAAAABMQEAAAALLTE5MDQ4NjA2NzADAAAAAzE2MAIAAAAFMjQyNjMEAAAAATAHAAAACDMvNi8yMDI2CAAAAAoxMi8zMS8yMDIzCQAAAAEwtmXB5M173gg9cEM5znveCDFDSVEuTllTRTpJQk0uSVFfUkRfRVhQX0ZOLjE5OTIuMDYvMDMvMjAyNi4uLlVTRC5IAQAAAN62AQACAAAABDY3NzUBCAAAAAUAAAABMQEAAAALLTE5MDQ4NjA2NzADAAAAAzE2MAIAAAAEMzE2OAQAAAABMAcAAAAIMy82LzIwMjYIAAAACjEyLzMxLzIwMjMJAAAAATC2ZcHkzXveCD1wQznOe94IOkNJUS5OWVNFOklCTS5JUV9ESVNUUklCVVRBQkxFX0NBU0guMTk5Mi4wNi8wMy8yMDI2Li4uVVNELkgBAAAA3rYBAAMAAAAAALZlweTNe94IPXBDOc573ggwQ0lRLk5ZU0U6SUJNLklRX0RJTFVUX05JLjE5OTIuMDYvMDMvMjAyNi4uLlVTRC5IAQAAAN62AQACAAAACzc1MTQuOTAxNjk4AQgAAAAFAAAAATEBAAAACy0xOTA0ODYwNjcwAwAAAAMxNjAC</t>
  </si>
  <si>
    <t>AAAABDM1MjIEAAAAATAHAAAACDMvNi8yMDI2CAAAAAoxMi8zMS8yMDIzCQAAAAEwtmXB5M173gh8l0M5znveCDFDSVEuTllTRTpJQk0uSVFfRElWX1NIQVJFLjE5OTIuMDYvMDMvMjAyNi4uLlVTRC5IAQAAAN62AQACAAAABDYuNjMBCAAAAAUAAAABMQEAAAALLTE5MDQ4NjA2NzADAAAAAzE2MAIAAAAEMzA1OAQAAAABMAcAAAAIMy82LzIwMjYIAAAACjEyLzMxLzIwMjMJAAAAATC2ZcHkzXveCHyXQznOe94IQENJUS5OWVNFOklCTS5JUV9PVEhFUl9OT05fT1BFUl9FWFBfU1VQUEwuMTk5Mi4wNi8wMy8yMDI2Li4uVVNELkgBAAAA3rYBAAIAAAADMjM2AQgAAAAFAAAAATEBAAAACy0xOTA0ODYwNjcwAwAAAAMxNjACAAAAAjg1BAAAAAEwBwAAAAgzLzYvMjAyNggAAAAKMTIvMzEvMjAyMwkAAAABMLZlweTNe94IfJdDOc573ggzQ0lRLk5ZU0U6SUJNLklRX0NBU0hfSU5WRVNULjE5OTIuMDYvMDMvMjAyNi4uLlVTRC5IAQAAAN62AQACAAAABS03MDcwAQgAAAAFAAAAATEBAAAACy0xOTA0ODYwNjcwAwAAAAMxNjACAAAABDIwMDUEAAAAATAHAAAACDMvNi8yMDI2CAAAAAoxMi8zMS8yMDIzCQAAAAEwtmXB5M173gh8l0M5znveCDxDSVEuTllTRTpJQk0uSVFfTkVHQVRJVkVfR1dfQU1PUlRfQVQuMTk5Mi4wNi8wMy8yMDI2Li4uVVNELkgBAAAA3rYBAAMAAAAAALZlweTNe94IfJdDOc573gg/Q0lRLk5ZU0U6</t>
  </si>
  <si>
    <t>SUJNLklRX0RJU1RSSUJVVEFCTEVfQ0FTSF9TSEFSRVNfQkFTSUMuMTk5Mi4wNi8wMy8yMDI2AQAAAN62AQADAAAAAAC2ZcHkzXveCHi+QznOe94IMkNJUS5OWVNFOklCTS5JUV9OSV9DT01QQU5ZLjE5OTIuMDYvMDMvMjAyNi4uLlVTRC5IAQAAAN62AQACAAAABDc1MDIBCAAAAAUAAAABMQEAAAALLTE5MDQ4NjA2NzADAAAAAzE2MAIAAAAFNDE1NzEEAAAAATAHAAAACDMvNi8yMDI2CAAAAAoxMi8zMS8yMDIzCQAAAAEwtmXB5M173gh8l0M5znveCDNDSVEuTllTRTpJQk0uSVFfR0FJTl9BU1NFVFMuMTk5Mi4wNi8wMy8yMDI2Li4uVVNELkgBAAAA3rYBAAMAAAAAALZlweTNe94IfJdDOc573ggxQ0lRLk5ZU0U6SUJNLklRX1NHQV9TVVBQTC4xOTkyLjA2LzAzLzIwMjYuLi5VU0QuSAEAAADetgEAAgAAAAUxODk2NAEIAAAABQAAAAExAQAAAAstMTkwNDg2MDY3MAMAAAADMTYwAgAAAAMxMDIEAAAAATAHAAAACDMvNi8yMDI2CAAAAAoxMi8zMS8yMDIzCQAAAAEwtmXB5M173gh8l0M5znveCCtDSVEuTllTRTpJQk0uSVFfUkVWLjE5OTIuMDYvMDMvMjAyNi4uLlVTRC5IAQAAAN62AQACAAAABTYxMTIzAQgAAAAFAAAAATEBAAAACy0xOTA0ODYwNjcwAwAAAAMxNjACAAAAAzExMgQAAAABMAcAAAAIMy82LzIwMjYIAAAACjEyLzMxLzIwMjMJAAAAATC2ZcHkzXveCHyXQznOe94IM0NJUS5OWVNFOklCTS5JUV9G</t>
  </si>
  <si>
    <t>SU5fRElWX1JFVi4xOTkyLjA2LzAzLzIwMjYuLi5VU0QuSAEAAADetgEAAgAAAAM3MzcBCAAAAAUAAAABMQEAAAALLTE5MDQ4NjA2NzADAAAAAzE2MAIAAAACNTIEAAAAATAHAAAACDMvNi8yMDI2CAAAAAoxMi8zMS8yMDIzCQAAAAEwtmXB5M173gh4vkM5znveCDVDSVEuTllTRTpJQk0uSVFfRVhQTE9SRV9EUklMTC4xOTkyLjA2LzAzLzIwMjYuLi5VU0QuSAEAAADetgEAAwAAAAAAtmXB5M173gh4vkM5znveCDVDSVEuTllTRTpJQk0uSVFfUFJFX09QRU5fQ09TVC4xOTkyLjA2LzAzLzIwMjYuLi5VU0QuSAEAAADetgEAAwAAAAAAtmXB5M173gh4vkM5znveCDNDSVEuTllTRTpJQk0uSVFfSU5TX0RJVl9FWFAuMTk5Mi4wNi8wMy8yMDI2Li4uVVNELkgBAAAA3rYBAAMAAAAAALZlweTNe94IeL5DOc573gg0Q0lRLk5ZU0U6SUJNLklRX0lOVEVSRVNUX0VYUC4xOTkyLjA2LzAzLzIwMjYuLi5VU0QuSAEAAADetgEAAgAAAAUtMTYwNwEIAAAABQAAAAExAQAAAAstMTkwNDg2MDY3MAMAAAADMTYwAgAAAAI4MgQAAAABMAcAAAAIMy82LzIwMjYIAAAACjEyLzMxLzIwMjMJAAAAATC2ZcHkzXveCHyXQznOe94INUNJUS5OWVNFOklCTS5JUV9FQklUREFfRVFfSU5DLjE5OTIuMDYvMDMvMjAyNi4uLlVTRC5IAQAAAN62AQACAAAABTEzNTQ5AQgAAAAFAAAAATEBAAAACy0xOTA0ODYwNjcwAwAAAAMxNjACAAAABTIx</t>
  </si>
  <si>
    <t>Njc3BAAAAAEwBwAAAAgzLzYvMjAyNggAAAAKMTIvMzEvMjAyMwkAAAABMLZlweTNe94IeL5DOc573gg0Q0lRLk5ZU0U6SUJNLklRX0VCSVRBX0VRX0lOQy4xOTkyLjA2LzAzLzIwMjYuLi5VU0QuSAEAAADetgEAAgAAAAUxMTA0OAEIAAAABQAAAAExAQAAAAstMTkwNDg2MDY3MAMAAAADMTYwAgAAAAUyMTY3NgQAAAABMAcAAAAIMy82LzIwMjYIAAAACjEyLzMxLzIwMjMJAAAAATC2ZcHkzXveCHi+QznOe94IP0NJUS5OWVNFOklCTS5JUV9FWFBMT1JFX0RSSUxMX0VYUF9UT1RBTC4xOTkyLjA2LzAzLzIwMjYuLi5VU0QuSAEAAADetgEAAwAAAAAAtmXB5M173gh4vkM5znveCDlDSVEuTllTRTpJQk0uSVFfQ0hBTkdFX1VORUFSTl9SRVYuMTk5Mi4wNi8wMy8yMDI2Li4uVVNELkgBAAAA3rYBAAMAAAAAALZlweTNe94IeL5DOc573gg2Q0lRLk5ZU0U6SUJNLklRX1NQRUNJQUxfRElWX0NGLjE5OTIuMDYvMDMvMjAyNi4uLlVTRC5IAQAAAN62AQADAAAAAAC2ZcHkzXveCJzlQznOe94IMkNJUS5OWVNFOklCTS5JUV9JTlNfU0VUVExFLjE5OTIuMDYvMDMvMjAyNi4uLlVTRC5IAQAAAN62AQADAAAAAAC2ZcHkzXveCJzlQznOe94INUNJUS5OWVNFOklCTS5JUV9OSV9BVkFJTF9FWENMLjE5OTIuMDYvMDMvMjAyNi4uLlVTRC5IAQAAAN62AQACAAAABDc1MTQBCAAAAAUAAAABMQEAAAALLTE5MDQ4NjA2NzADAAAA</t>
  </si>
  <si>
    <t>AzE2MAIAAAADMzc5BAAAAAEwBwAAAAgzLzYvMjAyNggAAAAKMTIvMzEvMjAyMwkAAAABMLZlweTNe94IeL5DOc573gg3Q0lRLk5ZU0U6SUJNLklRX0VCSVREQV9FWENMX1NCQy4xOTkyLjA2LzAzLzIwMjYuLi5VU0QuSAEAAADetgEAAgAAAAUxMzM5MQEIAAAABQAAAAExAQAAAAstMTkwNDg2MDY3MAMAAAADMTYwAgAAAAUyNDEzNQQAAAABMAcAAAAIMy82LzIwMjYIAAAACjEyLzMxLzIwMjMJAAAAATC2ZcHkzXveCHi+QznOe94INkNJUS5OWVNFOklCTS5JUV9FQklUQV9FWENMX1NCQy4xOTkyLjA2LzAzLzIwMjYuLi5VU0QuSAEAAADetgEAAgAAAAUxMjE4MgEIAAAABQAAAAExAQAAAAstMTkwNDg2MDY3MAMAAAADMTYwAgAAAAUyNDEzNgQAAAABMAcAAAAIMy82LzIwMjYIAAAACjEyLzMxLzIwMjMJAAAAATC2ZcHkzXveCHi+QznOe94IP0NJUS5OWVNFOklCTS5JUV9TVE9DS19CQVNFRF9DT01QX1BSRVRBWC4xOTkyLjA2LzAzLzIwMjYuLi5VU0QuSAEAAADetgEAAgAAAAQxMTM0ALZlweTNe94ITyBEOc573gg7Q0lRLk5ZU0U6SUJNLklRX0NBU0hfSU5URVJFU1RfRklOQU4uMTk5Mi4wNi8wMy8yMDI2Li4uVVNELkgBAAAA3rYBAAMAAAAAALZlweTNe94ITyBEOc573ggzQ0lRLk5ZU0U6SUJNLklRX1NUT0NLX0JBU0VELjE5OTIuMDYvMDMvMjAyNi4uLlVTRC5IAQAAAN62AQADAAAAAAC2ZcHkzXveCJzl</t>
  </si>
  <si>
    <t>QznOe94ILkNJUS5OWVNFOklCTS5JUV9NRVJHRVIuMTk5Mi4wNi8wMy8yMDI2Li4uVVNELkgBAAAA3rYBAAMAAAAAALZlweTNe94InOVDOc573gg2Q0lRLk5ZU0U6SUJNLklRX0VCSVREQVJfRVFfSU5DLjE5OTIuMDYvMDMvMjAyNi4uLlVTRC5IAQAAAN62AQACAAAABTE0ODQxAQgAAAAFAAAAATEBAAAACy0xOTA0ODYwNjcwAwAAAAMxNjACAAAABTI0MTI5BAAAAAEwBwAAAAgzLzYvMjAyNggAAAAKMTIvMzEvMjAyMwkAAAABMLZlweTNe94InOVDOc573gg5Q0lRLk5ZU0U6SUJNLklRX0ZFRVNfT1RIRVJfSU5DT01FLjE5OTIuMDYvMDMvMjAyNi4uLlVTRC5IAQAAAN62AQADAAAAAAC2ZcHkzXveCE80RDnOe94IN0NJUS5OWVNFOklCTS5JUV9JTlRFUkVTVF9JTkNPTUUuMTk5Mi4wNi8wMy8yMDI2Li4uVVNELkgBAAAA3rYBAAIAAAADNjcwAQgAAAAFAAAAATEBAAAACy0xOTA0ODYwNjcwAwAAAAMxNjACAAAAAzIxMAQAAAABMAcAAAAIMy82LzIwMjYIAAAACjEyLzMxLzIwMjMJAAAAATC2ZcHkzXveCE80RDnOe94IOUNJUS5OWVNFOklCTS5JUV9ORVRfUkVOVEFMX0VYUF9GTi4xOTkyLjA2LzAzLzIwMjYuLi5VU0QuSAEAAADetgEAAgAAAAQxMjkyAQgAAAAFAAAAATEBAAAACy0xOTA0ODYwNjcwAwAAAAMxNjACAAAABDMxNzAEAAAAATAHAAAACDMvNi8yMDI2CAAAAAoxMi8zMS8yMDIzCQAAAAEwtmXB5M17</t>
  </si>
  <si>
    <t>3ghPIEQ5znveCD9DSVEuTllTRTpJQk0uSVFfU0FMQVJJRVNfT1RIRVJfQkVORUZJVFMuMTk5Mi4wNi8wMy8yMDI2Li4uVVNELkgBAAAA3rYBAAMAAAAAALZlweTNe94ITyBEOc573gg5Q0lRLk5ZU0U6SUJNLklRX1NUT0NLX0JBU0VEX1RPVEFMLjE5OTIuMDYvMDMvMjAyNi4uLlVTRC5IAQAAAN62AQACAAAABDExMzQBCAAAAAUAAAABMQEAAAALLTE5MDQ4NjA2NzADAAAAAzE2MAIAAAAFMjQwMzQEAAAAATAHAAAACDMvNi8yMDI2CAAAAAoxMi8zMS8yMDIzCQAAAAEwtmXB5M173ghPIEQ5znveCDNDSVEuTllTRTpJQk0uSVFfU0FMRV9QUEVfQ0YuMTk5Mi4wNi8wMy8yMDI2Li4uVVNELkgBAAAA3rYBAAIAAAADMzIxAQgAAAAFAAAAATEBAAAACy0xOTA0ODYwNjcwAwAAAAMxNjACAAAABDIwNDIEAAAAATAHAAAACDMvNi8yMDI2CAAAAAoxMi8zMS8yMDIzCQAAAAEwtmXB5M173ghPNEQ5znveCDpDSVEuTllTRTpJQk0uSVFfSU5WRVNUX1NFQ1VSSVRZX0NGLjE5OTIuMDYvMDMvMjAyNi4uLlVTRC5IAQAAAN62AQACAAAABC00OTYBCAAAAAUAAAABMQEAAAALLTE5MDQ4NjA2NzADAAAAAzE2MAIAAAAEMjAyNwQAAAABMAcAAAAIMy82LzIwMjYIAAAACjEyLzMxLzIwMjMJAAAAATC2ZcHkzXveCE80RDnOe94IN0NJUS5OWVNFOklCTS5JUV9HQUlOX0FTU0VUU19SRVYuMTk5Mi4wNi8wMy8yMDI2Li4uVVNELkgB</t>
  </si>
  <si>
    <t>AAAA3rYBAAMAAAAAALZlweTNe94ITzREOc573gg4Q0lRLk5ZU0U6SUJNLklRX05FVF9JTlRFUkVTVF9FWFAuMTk5Mi4wNi8wMy8yMDI2Li4uVVNELkgBAAAA3rYBAAIAAAAELTkzNwEIAAAABQAAAAExAQAAAAstMTkwNDg2MDY3MAMAAAADMTYwAgAAAAMzNjgEAAAAATAHAAAACDMvNi8yMDI2CAAAAAoxMi8zMS8yMDIzCQAAAAEwtmXB5M173ghPNEQ5znveCDtDSVEuTllTRTpJQk0uSVFfT1RIRVJfVU5VU1VBTF9TVVBQTC4xOTkyLjA2LzAzLzIwMjYuLi5VU0QuSAEAAADetgEAAwAAAAAAtmXB5M173ghPNEQ5znveCD9DSVEuTllTRTpJQk0uSVFfRVhDSVNFX1RBWEVTX0VYQ0xfU0FMRVMuMTk5Mi4wNi8wMy8yMDI2Li4uVVNELkgBAAAA3rYBAAMAAAAAALZlweTNe94ITzREOc573ggyQ0lRLk5ZU0U6SUJNLklRX0NVUlJfVEFYRVMuMTk5Mi4wNi8wMy8yMDI2Li4uVVNELkgBAAAA3rYBAAIAAAAEMjI4MQEIAAAABQAAAAExAQAAAAstMTkwNDg2MDY3MAMAAAADMTYwAgAAAAUzNTM4MwQAAAABMAcAAAAIMy82LzIwMjYIAAAACjEyLzMxLzIwMjMJAAAAATC2ZcHkzXveCE80RDnOe94IPkNJUS5OWVNFOklCTS5JUV9ERUZFUlJFRF9GT1JFSUdOX1RBWEVTLjE5OTIuMDYvMDMvMjAyNi4uLlVTRC5IAQAAAN62AQACAAAAAzQyOAEIAAAABQAAAAExAQAAAAstMTkwNDg2MDY3MAMAAAADMTYwAgAAAAQzMDU1BAAA</t>
  </si>
  <si>
    <t>AAEwBwAAAAgzLzYvMjAyNggAAAAKMTIvMzEvMjAyMwkAAAABMLZlweTNe94ITzREOc573gg5Q0lRLk5ZU0U6SUJNLklRX0NPTlRJTkdFTlRfUkVOVEFMLjE5OTIuMDYvMDMvMjAyNi4uLlVTRC5IAQAAAN62AQACAAAAAzMzMQC2ZcHkzXveCE80RDnOe94IL0NJUS5OWVNFOklCTS5JUV9QRVJJT0RMRU5HVEhfQ0YuMTk5Mi4wNi8wMy8yMDI2AQAAAN62AQABAAAAAjEyALZlweTNe94ITzREOc573ggzQ0lRLk5ZU0U6SUJNLklRX0ZJTl9ESVZfRVhQLjE5OTIuMDYvMDMvMjAyNi4uLlVTRC5IAQAAAN62AQACAAAAAzM4MgEIAAAABQAAAAExAQAAAAstMTkwNDg2MDY3MAMAAAADMTYwAgAAAAI1MQQAAAABMAcAAAAIMy82LzIwMjYIAAAACjEyLzMxLzIwMjMJAAAAATC2ZcHkzXveCMFbRDnOe94IKkNJUS5OWVNFOklCTS5JUV9HUC4xOTkyLjA2LzAzLzIwMjYuLi5VU0QuSAEAAADetgEAAgAAAAUzNDMwMAEIAAAABQAAAAExAQAAAAstMTkwNDg2MDY3MAMAAAADMTYwAgAAAAIxMAQAAAABMAcAAAAIMy82LzIwMjYIAAAACjEyLzMxLzIwMjMJAAAAATC2ZcHkzXveCMFbRDnOe94INUNJUS5OWVNFOklCTS5JUV9BSVJDUkFGVF9SRU5ULjE5OTIuMDYvMDMvMjAyNi4uLlVTRC5IAQAAAN62AQADAAAAAAC2ZcHkzXveCMFbRDnOe94IPENJUS5OWVNFOklCTS5JUV9TVE9DS19CQVNFRF9DT01QX1RBWC4xOTkyLjA2LzAz</t>
  </si>
  <si>
    <t>LzIwMjYuLi5VU0QuSAEAAADetgEAAgAAAAQtMjkwALZlweTNe94IwVtEOc573gg2Q0lRLk5ZU0U6SUJNLklRX0dBSU5fSU5WRVNUX0NGLjE5OTIuMDYvMDMvMjAyNi4uLlVTRC5IAQAAAN62AQADAAAAAAC2ZcHkzXveCE80RDnOe94IMENJUS5OWVNFOklCTS5JUV9PUEVSX0lOQy4xOTkyLjA2LzAzLzIwMjYuLi5VU0QuSAEAAADetgEAAgAAAAQ5NDIxAQgAAAAFAAAAATEBAAAACy0xOTA0ODYwNjcwAwAAAAMxNjACAAAAAjIxBAAAAAEwBwAAAAgzLzYvMjAyNggAAAAKMTIvMzEvMjAyMwkAAAABMLZlweTNe94IwVtEOc573ggqQ0lRLk5ZU0U6SUJNLklRX05JLjE5OTIuMDYvMDMvMjAyNi4uLlVTRC5IAQAAAN62AQACAAAABDc1MDIBCAAAAAUAAAABMQEAAAALLTE5MDQ4NjA2NzADAAAAAzE2MAIAAAACMTUEAAAAATAHAAAACDMvNi8yMDI2CAAAAAoxMi8zMS8yMDIzCQAAAAEwtmXB5M173gjBW0Q5znveCDBDSVEuTllTRTpJQk0uSVFfRVBTX05PUk0uMTk5Mi4wNi8wMy8yMDI2Li4uVVNELkgBAAAA3rYBAAIAAAAINS45MzM3MjgBCAAAAAUAAAABMQEAAAALLTE5MDQ4NjA2NzADAAAAAzE2MAIAAAAENDM3OQQAAAABMAcAAAAIMy82LzIwMjYIAAAACjEyLzMxLzIwMjMJAAAAATC2ZcHkzXveCMFbRDnOe94ILUNJUS5OWVNFOklCTS5JUV9OSV9DRi4xOTkyLjA2LzAzLzIwMjYuLi5VU0QuSAEAAADetgEAAgAA</t>
  </si>
  <si>
    <t>AAQ3NTAyAQgAAAAFAAAAATEBAAAACy0xOTA0ODYwNjcwAwAAAAMxNjACAAAABDIxNTAEAAAAATAHAAAACDMvNi8yMDI2CAAAAAoxMi8zMS8yMDIzCQAAAAEwtmXB5M173gjBW0Q5znveCC1DSVEuTllTRTpJQk0uSVFfREFfQ0YuMTk5Mi4wNi8wMy8yMDI2Li4uVVNELkgBAAAA3rYBAAIAAAAEMzczNgEIAAAABQAAAAExAQAAAAstMTkwNDg2MDY3MAMAAAADMTYwAgAAAAQyMTYwBAAAAAEwBwAAAAgzLzYvMjAyNggAAAAKMTIvMzEvMjAyMwkAAAABMLZlweTNe94IwVtEOc573ggzQ0lRLk5ZU0U6SUJNLklRX0lOVF9JTlZfSU5DLjE5OTIuMDYvMDMvMjAyNi4uLlVTRC5IAQAAAN62AQADAAAAAAC2ZcHkzXveCMOCRDnOe94ILkNJUS5OWVNFOklCTS5JUV9SRF9FWFAuMTk5Mi4wNi8wMy8yMDI2Li4uVVNELkgBAAAA3rYBAAIAAAAENjc3NQEIAAAABQAAAAExAQAAAAstMTkwNDg2MDY3MAMAAAADMTYwAgAAAAMxMDAEAAAAATAHAAAACDMvNi8yMDI2CAAAAAoxMi8zMS8yMDIzCQAAAAEwtmXB5M173gjDgkQ5znveCC9DSVEuTllTRTpJQk0uSVFfSU5DX1RBWC4xOTkyLjA2LzAzLzIwMjYuLi5VU0QuSAEAAADetgEAAgAAAAQxMTc2AQgAAAAFAAAAATEBAAAACy0xOTA0ODYwNjcwAwAAAAMxNjACAAAAAjc1BAAAAAEwBwAAAAgzLzYvMjAyNggAAAAKMTIvMzEvMjAyMwkAAAABMLZlweTNe94IwVtEOc573gguQ0lR</t>
  </si>
  <si>
    <t>Lk5ZU0U6SUJNLklRX0dBX0VYUC4xOTkyLjA2LzAzLzIwMjYuLi5VU0QuSAEAAADetgEAAwAAAAAAtmXB5M173gjBW0Q5znveCDxDSVEuTllTRTpJQk0uSVFfSU1QQUlSTUVOVF9HV19TVVBQTEUuMTk5Mi4wNi8wMy8yMDI2Li4uVVNELkgBAAAA3rYBAAMAAAAAALZlweTNe94Iw4JEOc573ghBQ0lRLk5ZU0U6SUJNLklRX1NUT0NLX09QVElPTlNfQ09NUF9QUkVUQVguMTk5Mi4wNi8wMy8yMDI2Li4uVVNELkgBAAAA3rYBAAMAAAAAALZlweTNe94Iw4JEOc573gg3Q0lRLk5ZU0U6SUJNLklRX0FTU0VUX1dSSVRFRE9XTi4xOTkyLjA2LzAzLzIwMjYuLi5VU0QuSAEAAADetgEAAwAAAAAAtmXB5M173gjDgkQ5znveCDVDSVEuTllTRTpJQk0uSVFfTklfQVZBSUxfSU5DTC4xOTkyLjA2LzAzLzIwMjYuLi5VU0QuSAEAAADetgEAAgAAAAQ3NTAyAQgAAAAFAAAAATEBAAAACy0xOTA0ODYwNjcwAwAAAAMxNjACAAAAAjE2BAAAAAEwBwAAAAgzLzYvMjAyNggAAAAKMTIvMzEvMjAyMwkAAAABMLZlweTNe94Iw4JEOc573ggwQ0lRLk5ZU0U6SUJNLklRX0RSX1JBVElPX1BSSU1BUlkuMTk5Mi4wNi8wMy8yMDI2AQAAAN62AQACAAAAATEAtmXB5M173gjDgkQ5znveCEBDSVEuTllTRTpJQk0uSVFfRElTVFJJQlVUQUJMRV9DQVNIX1NIQVJFLjE5OTIuMDYvMDMvMjAyNi4uLlVTRC5IAQAAAN62AQADAAAAAAC2ZcHkzXve</t>
  </si>
  <si>
    <t>CMOCRDnOe94IPUNJUS5OWVNFOklCTS5JUV9FQklUREFfTEVBU0VfQURKVVNURUQuMTk5Mi4wNi8wMy8yMDI2Li4uVVNELkgBAAAA3rYBAAIAAAAFMTM1NDkBCAAAAAUAAAABMQEAAAALLTE5MDQ4NjA2NzADAAAAAzE2MAIAAAAFNDg5OTMEAAAAATAHAAAACDMvNi8yMDI2CAAAAAoxMi8zMS8yMDIzCQAAAAEwtmXB5M173gjDgkQ5znveCDpDSVEuTllTRTpJQk0uSVFfQVNTRVRfV1JJVEVET1dOX0NGLjE5OTIuMDYvMDMvMjAyNi4uLlVTRC5IAQAAAN62AQADAAAAAAC2ZcHkzXveCMOCRDnOe94IPUNJUS5OWVNFOklCTS5JUV9DSEFOR0VfVFJBRElOR19BU1NFVFMuMTk5Mi4wNi8wMy8yMDI2Li4uVVNELkgBAAAA3rYBAAMAAAAAALZlweTNe94Iw4JEOc573gg0Q0lRLk5ZU0U6SUJNLklRX0FNT1JUX0RJQ19DRi4xOTkyLjA2LzAzLzIwMjYuLi5VU0QuSAEAAADetgEAAwAAAAAAtmXB5M173gjDgkQ5znveCDtDSVEuTllTRTpJQk0uSVFfSU5URVJFU1RfSU5WRVNUX0lOQy4xOTkyLjA2LzAzLzIwMjYuLi5VU0QuSAEAAADetgEAAgAAAAM2NzABCAAAAAUAAAABMQEAAAALLTE5MDQ4NjA2NzADAAAAAzE2MAIAAAACNjUEAAAAATAHAAAACDMvNi8yMDI2CAAAAAoxMi8zMS8yMDIzCQAAAAEwtmXB5M173gjRqUQ5znveCElDSVEuTllTRTpJQk0uSVFfRUJJVERBX0VRX0lOQ19FWENMX09QRVJfTEVBU0VfQURKLjE5</t>
  </si>
  <si>
    <t>OTIuMDYvMDMvMjAyNi4uLlVTRC5IAQAAAN62AQACAAAABTEyMjU3AQgAAAAFAAAAATEBAAAACy0xOTA0ODYwNjcwAwAAAAMxNjACAAAABTQ4OTg3BAAAAAEwBwAAAAgzLzYvMjAyNggAAAAKMTIvMzEvMjAyMwkAAAABMLZlweTNe94I0alEOc573ggzQ0lRLk5ZU0U6SUJNLklRX0VCSVRfRVFfSU5DLjE5OTIuMDYvMDMvMjAyNi4uLlVTRC5IAQAAAN62AQACAAAABDk0MjEBCAAAAAUAAAABMQEAAAALLTE5MDQ4NjA2NzADAAAAAzE2MAIAAAAFMjE2NzUEAAAAATAHAAAACDMvNi8yMDI2CAAAAAoxMi8zMS8yMDIzCQAAAAEwtmXB5M173gjRqUQ5znveCD9DSVEuTllTRTpJQk0uSVFfRUJJVERBUl9FUV9JTkNfRVhDTF9TQkMuMTk5Mi4wNi8wMy8yMDI2Li4uVVNELkgBAAAA3rYBAAIAAAAFMTQ2ODMBCAAAAAUAAAABMQEAAAALLTE5MDQ4NjA2NzADAAAAAzE2MAIAAAAFMjQxMzMEAAAAATAHAAAACDMvNi8yMDI2CAAAAAoxMi8zMS8yMDIzCQAAAAEwtmXB5M173gjRqUQ5znveCC9DSVEuTllTRTpJQk0uSVFfTklfTk9STS4xOTkyLjA2LzAzLzIwMjYuLi5VU0QuSAEAAADetgEAAgAAAAg1NDA2Ljg3NQEIAAAABQAAAAExAQAAAAstMTkwNDg2MDY3MAMAAAADMTYwAgAAAAQ0Mzc4BAAAAAEwBwAAAAgzLzYvMjAyNggAAAAKMTIvMzEvMjAyMwkAAAABMLZlweTNe94Iw4JEOc573ggxQ0lRLk5ZU0U6SUJNLklRX0RB</t>
  </si>
  <si>
    <t>X0VCSVREQS4xOTkyLjA2LzAzLzIwMjYuLi5VU0QuSAEAAADetgEAAgAAAAQyODM2AQgAAAAFAAAAATEBAAAACy0xOTA0ODYwNjcwAwAAAAMxNjACAAAABDIyMDYEAAAAATAHAAAACDMvNi8yMDI2CAAAAAoxMi8zMS8yMDIzCQAAAAEwtmXB5M173gjRqUQ5znveCCtDSVEuTllTRTpJQk0uSVFfRElDLjE5OTIuMDYvMDMvMjAyNi4uLlVTRC5IAQAAAN62AQADAAAAAAC2ZcHkzXveCNGpRDnOe94INkNJUS5OWVNFOklCTS5JUV9NSU5JTVVNX1JFTlRBTC4xOTkyLjA2LzAzLzIwMjYuLi5VU0QuSAEAAADetgEAAwAAAAAAtmXB5M173gjRqUQ5znveCEJDSVEuTllTRTpJQk0uSVFfREVQUkVDSUFUSU9OX1JFTlRBTF9BU1NFVFMuMTk5Mi4wNi8wMy8yMDI2Li4uVVNELkgBAAAA3rYBAAMAAAAAALZlweTNe94I0alEOc573ghBQ0lRLk5ZU0U6SUJNLklRX0dXX0lOVEFOX0FNT1JUX1BBUlRJQUxfQ0YuMTk5Mi4wNi8wMy8yMDI2Li4uVVNELkgBAAAA3rYBAAMAAAAAALZlweTNe94I0alEOc573gg4Q0lRLk5ZU0U6SUJNLklRX0NBU0hfVEFYRVNfRklOQU4uMTk5Mi4wNi8wMy8yMDI2Li4uVVNELkgBAAAA3rYBAAMAAAAAALZlweTNe94Iv9BEOc573ggqQ0lRLk5ZU0U6SUJNLklRX0RPLjE5OTIuMDYvMDMvMjAyNi4uLlVTRC5IAQAAAN62AQACAAAAAy0xMgEIAAAABQAAAAExAQAAAAstMTkwNDg2MDY3MAMAAAADMTYw</t>
  </si>
  <si>
    <t>AgAAAAI0MAQAAAABMAcAAAAIMy82LzIwMjYIAAAACjEyLzMxLzIwMjMJAAAAATC2ZcHkzXveCL/QRDnOe94INkNJUS5OWVNFOklCTS5JUV9CQVNJQ19FUFNfSU5DTC4xOTkyLjA2LzAzLzIwMjYuLi5VU0QuSAEAAADetgEAAgAAAAg4LjIzMzAwNQEIAAAABQAAAAExAQAAAAstMTkwNDg2MDY3MAMAAAADMTYwAgAAAAE5BAAAAAEwBwAAAAgzLzYvMjAyNggAAAAKMTIvMzEvMjAyMwkAAAABMLZlweTNe94I0alEOc573gg1Q0lRLk5ZU0U6SUJNLklRX0VCSVRfRVhDTF9TQkMuMTk5Mi4wNi8wMy8yMDI2Li4uVVNELkgBAAAA3rYBAAIAAAAFMTA1NTUBCAAAAAUAAAABMQEAAAALLTE5MDQ4NjA2NzADAAAAAzE2MAIAAAAFMjQxMzQEAAAAATAHAAAACDMvNi8yMDI2CAAAAAoxMi8zMS8yMDIzCQAAAAEwtmXB5M173gjRqUQ5znveCDRDSVEuTllTRTpJQk0uSVFfRUJJVERBX0NBUEVYLjE5OTIuMDYvMDMvMjAyNi4uLlVTRC5IAQAAAN62AQACAAAABTExMDEyAQgAAAAFAAAAATEBAAAACy0xOTA0ODYwNjcwAwAAAAMxNjACAAAABTM1Mzc5BAAAAAEwBwAAAAgzLzYvMjAyNggAAAAKMTIvMzEvMjAyMwkAAAABMLZlweTNe94I0alEOc573ggqQ0lRLk5ZU0U6SUJNLklRX1NBTUVfU1RPUkUuMTk5Mi4wNi8wMy8yMDI2AQAAAN62AQADAAAAAAC2ZcHkzXveCGnkRDnOe94IP0NJUS5OWVNFOklCTS5JUV9ERUZFUlJFRF9E</t>
  </si>
  <si>
    <t>T01FU1RJQ19UQVhFUy4xOTkyLjA2LzAzLzIwMjYuLi5VU0QuSAEAAADetgEAAgAAAAUtMTUzMwEIAAAABQAAAAExAQAAAAstMTkwNDg2MDY3MAMAAAADMTYwAgAAAAQzMDU0BAAAAAEwBwAAAAgzLzYvMjAyNggAAAAKMTIvMzEvMjAyMwkAAAABMLZlweTNe94Iv9BEOc573gg8Q0lRLk5ZU0U6SUJNLklRX0RFRkVSUkVEX1RBWEVTX1RPVEFMLjE5OTIuMDYvMDMvMjAyNi4uLlVTRC5IAQAAAN62AQACAAAABS0xMTA1AQgAAAAFAAAAATEBAAAACy0xOTA0ODYwNjcwAwAAAAMxNjACAAAABTM1Mzg1BAAAAAEwBwAAAAgzLzYvMjAyNggAAAAKMTIvMzEvMjAyMwkAAAABMLZlweTNe94Iv9BEOc573gg4Q0lRLk5ZU0U6SUJNLklRX0lOVF9FWFBfSU5DTF9DQVAuMTk5Mi4wNi8wMy8yMDI2Li4uVVNELkgBAAAA3rYBAAIAAAAEMTYxNgEIAAAABQAAAAExAQAAAAstMTkwNDg2MDY3MAMAAAADMTYwAgAAAAUyMTg2MQQAAAABMAcAAAAIMy82LzIwMjYIAAAACjEyLzMxLzIwMjMJAAAAATC2ZcHkzXveCL/QRDnOe94IPkNJUS5OWVNFOklCTS5JUV9BTk5VX0RJU1RSSUJVVElPTl9VTklULjE5OTIuMDYvMDMvMjAyNi4uLlVTRC5IAQAAAN62AQADAAAAAAC2ZcHkzXveCL/QRDnOe94IPkNJUS5OWVNFOklCTS5JUV9PVEhFUl9JTlZFU1RfQUNUX1NVUFBMLjE5OTIuMDYvMDMvMjAyNi4uLlVTRC5IAQAAAN62AQACAAAAATEB</t>
  </si>
  <si>
    <t>CAAAAAUAAAABMQEAAAALLTE5MDQ4NjA2NzADAAAAAzE2MAIAAAAEMjA1MQQAAAABMAcAAAAIMy82LzIwMjYIAAAACjEyLzMxLzIwMjMJAAAAATC2ZcHkzXveCOwDRTnOe94IN0NJUS5OWVNFOklCTS5JUV9GSU5fRElWX0lOVF9FWFAuMTk5Mi4wNi8wMy8yMDI2Li4uVVNELkgBAAAA3rYBAAMAAAAAALZlweTNe94I7ANFOc573gg3Q0lRLk5ZU0U6SUJNLklRX0dBSU5fSU5WRVNUX1JFVi4xOTkyLjA2LzAzLzIwMjYuLi5VU0QuSAEAAADetgEAAwAAAAAAtmXB5M173ghp5EQ5znveCDFDSVEuTllTRTpJQk0uSVFfVE9UQUxfUkVWLjE5OTIuMDYvMDMvMjAyNi4uLlVTRC5IAQAAAN62AQACAAAABTYxODYwAQgAAAAFAAAAATEBAAAACy0xOTA0ODYwNjcwAwAAAAMxNjACAAAAAjI4BAAAAAEwBwAAAAgzLzYvMjAyNggAAAAKMTIvMzEvMjAyMwkAAAABMLZlweTNe94IaeREOc573ggyQ0lRLk5ZU0U6SUJNLklRX0lOQ19FUVVJVFkuMTk5Mi4wNi8wMy8yMDI2Li4uVVNELkgBAAAA3rYBAAMAAAAAALZlweTNe94IaeREOc573gg6Q0lRLk5ZU0U6SUJNLklRX0FTX1JFUE9SVEVEX0VCSVREQS4xOTkyLjA2LzAzLzIwMjYuLi5VU0QuSAEAAADetgEAAwAAAAAAtmXB5M173gjXF0U5znveCDpDSVEuTllTRTpJQk0uSVFfQ1VSUl9GT1JFSUdOX1RBWEVTLjE5OTIuMDYvMDMvMjAyNi4uLlVTRC5IAQAAAN62AQACAAAABDE1</t>
  </si>
  <si>
    <t>OTQBCAAAAAUAAAABMQEAAAALLTE5MDQ4NjA2NzADAAAAAzE2MAIAAAAEMzAzMAQAAAABMAcAAAAIMy82LzIwMjYIAAAACjEyLzMxLzIwMjMJAAAAATC2ZcHkzXveCNcXRTnOe94ILENJUS5OWVNFOklCTS5JUV9DQUxDX1RZUEVfSVMuMTk5Mi4wNi8wMy8yMDI2AQAAAN62AQADAAAAA1JFUAC2ZcHkzXveCNcXRTnOe94IP0NJUS5OWVNFOklCTS5JUV9HQUlOX0JBUkdBSU5fQUNRX1NVUFBMRS4xOTkyLjA2LzAzLzIwMjYuLi5VU0QuSAEAAADetgEAAwAAAAAAtmXB5M173gjXF0U5znveCDxDSVEuTllTRTpJQk0uSVFfT1RIRVJfVU5VU1VBTF9TVVBQTEUuMTk5Mi4wNi8wMy8yMDI2Li4uVVNELkgBAAAA3rYBAAMAAAAAALZlweTNe94I1xdFOc573gg2Q0lRLk5ZU0U6SUJNLklRX1NUT0NLX0JBU0VEX1NNLjE5OTIuMDYvMDMvMjAyNi4uLlVTRC5IAQAAAN62AQADAAAAAAC2ZcHkzXveCNcXRTnOe94ILENJUS5OWVNFOklCTS5JUV9CQVNJQ19XRUlHSFQuMTk5Mi4wNi8wMy8yMDI2AQAAAN62AQACAAAACjkxMS4yMTAzMTkAtmXB5M173gjXF0U5znveCEFDSVEuTllTRTpJQk0uSVFfRUFSTklOR19QQVJFTlRfRVhDTF9FWFRSQS4xOTkyLjA2LzAzLzIwMjYuLi5VU0QuSAEAAADetgEAAgAAAAQ3NTE0AQgAAAAFAAAAATEBAAAACy0xOTA0ODYwNjcwAwAAAAMxNjACAAAABTQxNTk2BAAAAAEwBwAAAAgzLzYvMjAy</t>
  </si>
  <si>
    <t>NggAAAAKMTIvMzEvMjAyMwkAAAABMLZlweTNe94I1xdFOc573ggzQ0lRLk5ZU0U6SUJNLklRX0lOVF9FWFBfTFRELjE5OTIuMDYvMDMvMjAyNi4uLlVTRC5IAQAAAN62AQADAAAAAAC2ZcHkzXveCNcXRTnOe94IMUNJUS5OWVNFOklCTS5JUV9NQVJLRVRJTkcuMTk5Mi4wNi8wMy8yMDI2Li4uVVNELkgBAAAA3rYBAAMAAAAAALZlweTNe94I1xdFOc573gg5Q0lRLk5ZU0U6SUJNLklRX1NUT0NLX0JBU0VEX09USEVSLjE5OTIuMDYvMDMvMjAyNi4uLlVTRC5IAQAAAN62AQADAAAAAAC2ZcHkzXveCEQ/RTnOe94IM0NJUS5OWVNFOklCTS5JUV9PVEhFUl9BTU9SVC4xOTkyLjA2LzAzLzIwMjYuLi5VU0QuSAEAAADetgEAAgAAAAM2NjABCAAAAAUAAAABMQEAAAALLTE5MDQ4NjA2NzADAAAAAzE2MAIAAAAEMjAxNAQAAAABMAcAAAAIMy82LzIwMjYIAAAACjEyLzMxLzIwMjMJAAAAATC2ZcHkzXveCEQ/RTnOe94IMUNJUS5OWVNFOklCTS5JUV9ESVZFU1RfQ0YuMTk5Mi4wNi8wMy8yMDI2Li4uVVNELkgBAAAA3rYBAAIAAAACLTQBCAAAAAUAAAABMQEAAAALLTE5MDQ4NjA2NzADAAAAAzE2MAIAAAAEMjA3NwQAAAABMAcAAAAIMy82LzIwMjYIAAAACjEyLzMxLzIwMjMJAAAAATC2ZcHkzXveCEQ/RTnOe94INUNJUS5OWVNFOklCTS5JUV9DQVNIX0lOVEVSRVNULjE5OTIuMDYvMDMvMjAyNi4uLlVTRC5IAQAAAN62</t>
  </si>
  <si>
    <t>AQACAAAABDE2NjgBCAAAAAUAAAABMQEAAAALLTE5MDQ4NjA2NzADAAAAAzE2MAIAAAAEMzAyOAQAAAABMAcAAAAIMy82LzIwMjYIAAAACjEyLzMxLzIwMjMJAAAAATC2ZcHkzXveCEQ/RTnOe94INkNJUS5OWVNFOklCTS5JUV9HV19JTlRBTl9BTU9SVC4xOTkyLjA2LzAzLzIwMjYuLi5VU0QuSAEAAADetgEAAwAAAAAAtmXB5M173ghEP0U5znveCDVDSVEuTllTRTpJQk0uSVFfSU1QQUlSTUVOVF9HVy4xOTkyLjA2LzAzLzIwMjYuLi5VU0QuSAEAAADetgEAAwAAAAAAtmXB5M173ghEP0U5znveCDZDSVEuTllTRTpJQk0uSVFfVE9UQUxfUkVWXzVZUl9BTk5fQ0FHUi4xOTkxLjA2LzAzLzIwMjYBAAAA3rYBAAIAAAAHLTUuMzEzNwEIAAAABQAAAAExAQAAAAstMTk3MTE3NTI4NwMAAAADMTYwAgAAAAQ0MjMzBAAAAAEwBwAAAAgzLzYvMjAyNggAAAAJOS8zMC8yMDIzCQAAAAEwtmXB5M173gjbe0U5znveCCdDSVEuTllTRTpJQk0uSVFfWl9TQ09SRS4xOTkxLjA2LzAzLzIwMjYBAAAA3rYBAAIAAAAIMi45OTc1NjUBCAAAAAUAAAABMQEAAAALLTE5NzExNzUyODcDAAAAAzE2MAIAAAAGMTAwMTIzBAAAAAEwBwAAAAgzLzYvMjAyNggAAAAJOS8zMC8yMDIzCQAAAAEwtmXB5M173gjbe0U5znveCCpDSVEuTllTRTpJQk0uSVFfRUJJVERBX0lOVC4xOTkxLjA2LzAzLzIwMjYBAAAA3rYBAAIAAAAIOC41NDIyNDQB</t>
  </si>
  <si>
    <t>CAAAAAUAAAABMQEAAAALLTE5NzExNzUyODcDAAAAAzE2MAIAAAAENDE5MAQAAAABMAcAAAAIMy82LzIwMjYIAAAACTkvMzAvMjAyMwkAAAABMLZlweTNe94I23tFOc573ggvQ0lRLk5ZU0U6SUJNLklRX0xUX0RFQlRfQ0FQSVRBTC4xOTkxLjA2LzAzLzIwMjYBAAAA3rYBAAIAAAAHNjIuODEwMgEIAAAABQAAAAExAQAAAAstMTk3MTE3NTI4NwMAAAADMTYwAgAAAAQ0MTg3BAAAAAEwBwAAAAgzLzYvMjAyNggAAAAJOS8zMC8yMDIzCQAAAAEwtmXB5M173gjbe0U5znveCDFDSVEuTllTRTpJQk0uSVFfRklYRURfQVNTRVRfVFVSTlMuMTk5MS4wNi8wMy8yMDI2AQAAAN62AQACAAAACDcuNDczMDkyAQgAAAAFAAAAATEBAAAACy0xOTcxMTc1Mjg3AwAAAAMxNjACAAAABDQwNjYEAAAAATAHAAAACDMvNi8yMDI2CAAAAAk5LzMwLzIwMjMJAAAAATC2ZcHkzXveCNt7RTnOe94IUENJUS5OWVNFOklCTS5JUV9JTVBBQ1RfVU5SRUNPR19UQVhfQkVORUZJVF9FRkZFQ1RJVkVfVEFYLjE5OTEuMDYvMDMvMjAyNi4uLlVTRC5IAQAAAN62AQADAAAAAAC2ZcHkzXveCNt7RTnOe94IQ0NJUS5OWVNFOklCTS5JUV9BRERfVEFYX1BPU0lUSU9OU19QUklPUl9ZUlMuMTk5MS4wNi8wMy8yMDI2Li4uVVNELkgBAAAA3rYBAAMAAAAAALZlweTNe94I23tFOc573gg6Q0lRLk5ZU0U6SUJNLklRX1RBWF9CRU5FRklUX0NGXzVZUi4x</t>
  </si>
  <si>
    <t>OTkxLjA2LzAzLzIwMjYuLi5VU0QuSAEAAADetgEAAwAAAAAAtmXB5M173gjbe0U5znveCDpDSVEuTllTRTpJQk0uSVFfVEFYX0JFTkVGSVRfQ0ZfMllSLjE5OTEuMDYvMDMvMjAyNi4uLlVTRC5IAQAAAN62AQADAAAAAAC2ZcHkzXveCNt7RTnOe94INUNJUS5OWVNFOklCTS5JUV9OT0xfQ0ZfTk9fRVhQLjE5OTEuMDYvMDMvMjAyNi4uLlVTRC5IAQAAAN62AQADAAAAAAC2ZcHkzXveCGejRTnOe94IPkNJUS5OWVNFOklCTS5JUV9BU1NFVFNfT1BFUl9MRUFTRV9ERVBSLjE5OTEuMDYvMDMvMjAyNi4uLlVTRC5IAQAAAN62AQADAAAAAAC2ZcHkzXveCGejRTnOe94INkNJUS5OWVNFOklCTS5JUV9UT1RBTF9SRVZfM1lSX0FOTl9DQUdSLjE5OTEuMDYvMDMvMjAyNgEAAADetgEAAgAAAActNi41ODA3AQgAAAAFAAAAATEBAAAACy0xOTcxMTc1Mjg3AwAAAAMxNjACAAAABDQyMjAEAAAAATAHAAAACDMvNi8yMDI2CAAAAAk5LzMwLzIwMjMJAAAAATC2ZcHkzXveCGejRTnOe94IM0NJUS5OWVNFOklCTS5JUV9FQklUXzFZUl9BTk5fR1JPV1RILjE5OTEuMDYvMDMvMjAyNgEAAADetgEAAgAAAAYzMy4zNjIBCAAAAAUAAAABMQEAAAALLTE5NzExNzUyODcDAAAAAzE2MAIAAAAENDE5NwQAAAABMAcAAAAIMy82LzIwMjYIAAAACTkvMzAvMjAyMwkAAAABMLZlweTNe94I23tFOc573ggxQ0lRLk5ZU0U6SUJNLklRX1RP</t>
  </si>
  <si>
    <t>VEFMX0RFQlRfRUJJVERBLjE5OTEuMDYvMDMvMjAyNgEAAADetgEAAgAAAAg0LjUyMjI3MwEIAAAABQAAAAExAQAAAAstMTk3MTE3NTI4NwMAAAADMTYwAgAAAAQ0MTkyBAAAAAEwBwAAAAgzLzYvMjAyNggAAAAJOS8zMC8yMDIzCQAAAAEwtmXB5M173gjbe0U5znveCDJDSVEuTllTRTpJQk0uSVFfREFZU19JTlZFTlRPUllfT1VULjE5OTEuMDYvMDMvMjAyNgEAAADetgEAAgAAAAgyMS40ODMxNwEIAAAABQAAAAExAQAAAAstMTk3MTE3NTI4NwMAAAADMTYwAgAAAAQ0MDM1BAAAAAEwBwAAAAgzLzYvMjAyNggAAAAJOS8zMC8yMDIzCQAAAAEwtmXB5M173ghno0U5znveCCxDSVEuTllTRTpJQk0uSVFfR1JPU1NfTUFSR0lOLjE5OTEuMDYvMDMvMjAyNgEAAADetgEAAgAAAAc1NS4wMzU4AQgAAAAFAAAAATEBAAAACy0xOTcxMTc1Mjg3AwAAAAMxNjACAAAABDQwNzQEAAAAATAHAAAACDMvNi8yMDI2CAAAAAk5LzMwLzIwMjMJAAAAATC2ZcHkzXveCGejRTnOe94IS0NJUS5OWVNFOklCTS5JUV9JTlRFUkVTVF9QRU5BTFRJRVNfUkVDT0dfSVNfUFJFX1RBWC4xOTkxLjA2LzAzLzIwMjYuLi5VU0QuSAEAAADetgEAAwAAAAAAtmXB5M173ghno0U5znveCEVDSVEuTllTRTpJQk0uSVFfVU5SRUNPR19UQVhfQkVORUZJVF9PVEhFUl9BREouMTk5MS4wNi8wMy8yMDI2Li4uVVNELkgBAAAA3rYBAAMAAAAAALZlweTN</t>
  </si>
  <si>
    <t>e94IZ6NFOc573gg3Q0lRLk5ZU0U6SUJNLklRX1RBWF9CRU5FRklUX0NGX01BWF9ZRUFSLjE5OTEuMDYvMDMvMjAyNgEAAADetgEAAwAAAAAAtmXB5M173ghno0U5znveCDdDSVEuTllTRTpJQk0uSVFfQ0FQX0xPU1NfQ0ZfNVlSLjE5OTEuMDYvMDMvMjAyNi4uLlVTRC5IAQAAAN62AQADAAAAAAC2ZcHkzXveCGejRTnOe94IMkNJUS5OWVNFOklCTS5JUV9OT0xfQ0ZfMVlSLjE5OTEuMDYvMDMvMjAyNi4uLlVTRC5IAQAAAN62AQADAAAAAAC2ZcHkzXveCGejRTnOe94IOUNJUS5OWVNFOklCTS5JUV9BVkdfUkVWX1BFUl9UUkFERS4xOTkxLjA2LzAzLzIwMjYuLi5VU0QuSAEAAADetgEAAwAAAAAAtmXB5M173ghno0U5znveCDZDSVEuTllTRTpJQk0uSVFfTlVNQkVSX1RSQURFU19FWEVDVVRFRC4xOTkxLjA2LzAzLzIwMjYBAAAA3rYBAAMAAAAAALZlweTNe94IZ6NFOc573ghCQ0lRLk5ZU0U6SUJNLklRX0FVTV9BQ1FVSVNJVElPTlNfVFJBTlNGRVJTLjE5OTEuMDYvMDMvMjAyNi4uLlVTRC5IAQAAAN62AQADAAAAAAC2ZcHkzXveCGejRTnOe94IN0NJUS5OWVNFOklCTS5JUV9BVU1fRkVFX0VBUk5JTkcuMTk5MS4wNi8wMy8yMDI2Li4uVVNELkgBAAAA3rYBAAMAAAAAALZlweTNe94IbspFOc573gg4Q0lRLk5ZU0U6SUJNLklRX0FVTV9FUVVJVFlfRlVORFMuMTk5MS4wNi8wMy8yMDI2Li4uVVNELkgBAAAA</t>
  </si>
  <si>
    <t>3rYBAAMAAAAAALZlweTNe94IbspFOc573ghIQ0lRLk5ZU0U6SUJNLklRX09QRUJfREVDUkVBU0VfRUZGRUNUX1BCT19GT1JFSUdOLjE5OTEuMDYvMDMvMjAyNi4uLlVTRC5IAQAAAN62AQADAAAAAAC2ZcHkzXveCG7KRTnOe94IQUNJUS5OWVNFOklCTS5JUV9PUEVCX0FDQ1JVRURfTElBQl9GT1JFSUdOLjE5OTEuMDYvMDMvMjAyNi4uLlVTRC5IAQAAAN62AQADAAAAAAC2ZcHkzXveCG7KRTnOe94IRENJUS5OWVNFOklCTS5JUV9PUEVCX1RSQU5TSVRJT05fTkVYVF9GT1JFSUdOLjE5OTEuMDYvMDMvMjAyNi4uLlVTRC5IAQAAAN62AQADAAAAAAC2ZcHkzXveCG7KRTnOe94IPUNJUS5OWVNFOklCTS5JUV9PUEVCX0JSRUFLRE9XTl9QQ1RfUkVfRk9SRUlHTi4xOTkxLjA2LzAzLzIwMjYBAAAA3rYBAAMAAAAAALZlweTNe94IgN5FOc573ghCQ0lRLk5ZU0U6SUJNLklRX09QRUJfQVNTRVRTX0ZYX0FESl9GT1JFSUdOLjE5OTEuMDYvMDMvMjAyNi4uLlVTRC5IAQAAAN62AQADAAAAAAC2ZcHkzXveCIDeRTnOe94IUkNJUS5OWVNFOklCTS5JUV9PUEVCX0FTU0VUU19FTVBMT1lFUl9DT05UUklCVVRJT05TX0ZPUkVJR04uMTk5MS4wNi8wMy8yMDI2Li4uVVNELkgBAAAA3rYBAAMAAAAAALZlweTNe94IgN5FOc573ggvQ0lRLk5ZU0U6SUJNLklRX05JXzNZUl9BTk5fQ0FHUi4xOTkxLjA2LzAzLzIwMjYBAAAA3rYB</t>
  </si>
  <si>
    <t>AAIAAAAHLTQuMzE2NgEIAAAABQAAAAExAQAAAAstMTk3MTE3NTI4NwMAAAADMTYwAgAAAAQ0MjI1BAAAAAEwBwAAAAgzLzYvMjAyNggAAAAJOS8zMC8yMDIzCQAAAAEwtmXB5M173ghuykU5znveCEZDSVEuTllTRTpJQk0uSVFfTkVUX0RFQlRfRUJJVERBX0VYQ0xfT1BFUl9MRUFTRVNfQ0FQRVguMTk5MS4wNi8wMy8yMDI2AQAAAN62AQACAAAACDQuNTM1NjI5AQgAAAAFAAAAATEBAAAACy0xOTcxMTc1Mjg3AwAAAAMxNjACAAAABTQ5MTgyBAAAAAEwBwAAAAgzLzYvMjAyNggAAAAJOS8zMC8yMDIzCQAAAAEwtmXB5M173ghuykU5znveCDdDSVEuTllTRTpJQk0uSVFfVE9UQUxfTElBQl9UT1RBTF9BU1NFVFMuMTk5MS4wNi8wMy8yMDI2AQAAAN62AQACAAAABzgyLjA5NDEBCAAAAAUAAAABMQEAAAALLTE5NzExNzUyODcDAAAAAzE2MAIAAAAENDE4OAQAAAABMAcAAAAIMy82LzIwMjYIAAAACTkvMzAvMjAyMwkAAAABMLZlweTNe94IgN5FOc573ggoQ0lRLk5ZU0U6SUJNLklRX0FSX1RVUk5TLjE5OTEuMDYvMDMvMjAyNgEAAADetgEAAgAAAAkxMC4yMTUxNzkBCAAAAAUAAAABMQEAAAALLTE5NzExNzUyODcDAAAAAzE2MAIAAAAENDAwMQQAAAABMAcAAAAIMy82LzIwMjYIAAAACTkvMzAvMjAyMwkAAAABMLZlweTNe94IgN5FOc573ggtQ0lRLk5ZU0U6SUJNLklRX0NBUEVYX1BDVF9SRVYuMTk5MS4wNi8w</t>
  </si>
  <si>
    <t>My8yMDI2AQAAAN62AQACAAAABjIuMjEzNAEIAAAABQAAAAExAQAAAAstMTk3MTE3NTI4NwMAAAADMTYwAgAAAAUzNTM4MAQAAAABMAcAAAAIMy82LzIwMjYIAAAACTkvMzAvMjAyMwkAAAABMLZlweTNe94IgN5FOc573ghLQ0lRLk5ZU0U6SUJNLklRX0NIQU5HRV9VTlJFQ09HX1RBWF9CRU5FRklUXzFfWVJfTUlOLjE5OTEuMDYvMDMvMjAyNi4uLlVTRC5IAQAAAN62AQADAAAAAAC2ZcHkzXveCIDeRTnOe94IRENJUS5OWVNFOklCTS5JUV9BRERfVEFYX1BPU0lUSU9OU19DVVJSRU5UX1lSLjE5OTEuMDYvMDMvMjAyNi4uLlVTRC5IAQAAAN62AQADAAAAAAC2ZcHkzXveCIDeRTnOe94IOkNJUS5OWVNFOklCTS5JUV9UQVhfQkVORUZJVF9DRl8zWVIuMTk5MS4wNi8wMy8yMDI2Li4uVVNELkgBAAAA3rYBAAMAAAAAALZlweTNe94IgN5FOc573gg0Q0lRLk5ZU0U6SUJNLklRX05PTF9DRl9UT1RBTC4xOTkxLjA2LzAzLzIwMjYuLi5VU0QuSAEAAADetgEAAwAAAAAAtmXB5M173giA3kU5znveCDJDSVEuTllTRTpJQk0uSVFfTk9MX0NGXzVZUi4xOTkxLjA2LzAzLzIwMjYuLi5VU0QuSAEAAADetgEAAwAAAAAAtmXB5M173giA3kU5znveCD1DSVEuTllTRTpJQk0uSVFfQVNTRVRTX0NBUF9MRUFTRV9ERVBSLjE5OTEuMDYvMDMvMjAyNi4uLlVTRC5IAQAAAN62AQADAAAAAAC2ZcHkzXveCIDeRTnOe94IP0NJUS5O</t>
  </si>
  <si>
    <t>WVNFOklCTS5JUV9NVVRVQUxfRlVORF9SRURFTVBUSU9OUy4xOTkxLjA2LzAzLzIwMjYuLi5VU0QuSAEAAADetgEAAwAAAAAAtmXB5M173giA3kU5znveCC9DSVEuTllTRTpJQk0uSVFfQVVNX0JPUC4xOTkxLjA2LzAzLzIwMjYuLi5VU0QuSAEAAADetgEAAwAAAAAAtmXB5M173giA3kU5znveCDlDSVEuTllTRTpJQk0uSVFfQVVNX0lOU1RJVFVUSU9OQUwuMTk5MS4wNi8wMy8yMDI2Li4uVVNELkgBAAAA3rYBAAMAAAAAALZlweTNe94IgN5FOc573ggrQ0lRLk5ZU0U6SUJNLklRX0FVTS4xOTkxLjA2LzAzLzIwMjYuLi5VU0QuSAEAAADetgEAAwAAAAAAtmXB5M173giA3kU5znveCEJDSVEuTllTRTpJQk0uSVFfT1BFQl9VTlJFQ09HX1BSSU9SX0ZPUkVJR04uMTk5MS4wNi8wMy8yMDI2Li4uVVNELkgBAAAA3rYBAAMAAAAAALZlweTNe94IgN5FOc573ghEQ0lRLk5ZU0U6SUJNLklRX09QRUJfRVNUX0JFTkVGSVRfMllSX0ZPUkVJR04uMTk5MS4wNi8wMy8yMDI2Li4uVVNELkgBAAAA3rYBAAMAAAAAALZlweTNe94IgN5FOc573ghFQ0lRLk5ZU0U6SUJNLklRX09QRUJfQ0lfUFJJT1JfU0VSVklDRV9GT1JFSUdOLjE5OTEuMDYvMDMvMjAyNi4uLlVTRC5IAQAAAN62AQADAAAAAAC2ZcHkzXveCDQZRjnOe94IQUNJUS5OWVNFOklCTS5JUV9PUEVCX0JSRUFLRE9XTl9SRV9GT1JFSUdOLjE5OTEuMDYvMDMvMjAy</t>
  </si>
  <si>
    <t>Ni4uLlVTRC5IAQAAAN62AQADAAAAAAC2ZcHkzXveCDQZRjnOe94IO0NJUS5OWVNFOklCTS5JUV9PUEVCX0FTU0VUU19GT1JFSUdOLjE5OTEuMDYvMDMvMjAyNi4uLlVTRC5IAQAAAN62AQADAAAAAAC2ZcHkzXveCDQZRjnOe94IMENJUS5OWVNFOklCTS5JUV9FUFNfNVlSX0FOTl9DQUdSLjE5OTEuMDYvMDMvMjAyNgEAAADetgEAAgAAAAY0LjMxOTQBCAAAAAUAAAABMQEAAAALLTE5NzExNzUyODcDAAAAAzE2MAIAAAAENDIzOQQAAAABMAcAAAAIMy82LzIwMjYIAAAACTkvMzAvMjAyMwkAAAABMLZlweTNe94INBlGOc573ggxQ0lRLk5ZU0U6SUJNLklRX05JXzFZUl9BTk5fR1JPV1RILjE5OTEuMDYvMDMvMjAyNgEAAADetgEAAgAAAAg0NDguNjUyOQEIAAAABQAAAAExAQAAAAstMTk3MTE3NTI4NwMAAAADMTYwAgAAAAQ0MTk5BAAAAAEwBwAAAAgzLzYvMjAyNggAAAAJOS8zMC8yMDIzCQAAAAEwtmXB5M173giA3kU5znveCEJDSVEuTllTRTpJQk0uSVFfVE9UQUxfREVCVF9FQklUREFfRVhDTF9PUEVSX0xFQVNFUy4xOTkxLjA2LzAzLzIwMjYBAAAA3rYBAAIAAAAINC45NDQyNDIBCAAAAAUAAAABMQEAAAALLTE5NzExNzUyODcDAAAAAzE2MAIAAAAFNDg5OTQEAAAAATAHAAAACDMvNi8yMDI2CAAAAAk5LzMwLzIwMjMJAAAAATC2ZcHkzXveCDQZRjnOe94IMENJUS5OWVNFOklCTS5JUV9FQklUREFfQ0FQ</t>
  </si>
  <si>
    <t>RVhfSU5ULjE5OTEuMDYvMDMvMjAyNgEAAADetgEAAgAAAAg3LjY0ODUxNAEIAAAABQAAAAExAQAAAAstMTk3MTE3NTI4NwMAAAADMTYwAgAAAAQ0MTkxBAAAAAEwBwAAAAgzLzYvMjAyNggAAAAJOS8zMC8yMDIzCQAAAAEwtmXB5M173gg0GUY5znveCDBDSVEuTllTRTpJQk0uSVFfQ0ZPX0NVUlJFTlRfTElBQi4xOTkxLjA2LzAzLzIwMjYBAAAA3rYBAAIAAAAGMC40Mzg5AQgAAAAFAAAAATEBAAAACy0xOTcxMTc1Mjg3AwAAAAMxNjACAAAABDQxODUEAAAAATAHAAAACDMvNi8yMDI2CAAAAAk5LzMwLzIwMjMJAAAAATC2ZcHkzXveCDQZRjnOe94ILUNJUS5OWVNFOklCTS5JUV9SRVRVUk5fRVFVSVRZLjE5OTEuMDYvMDMvMjAyNgEAAADetgEAAgAAAAczMi43ODI5AQgAAAAFAAAAATEBAAAACy0xOTcxMTc1Mjg3AwAAAAMxNjACAAAABDQxMjgEAAAAATAHAAAACDMvNi8yMDI2CAAAAAk5LzMwLzIwMjMJAAAAATC2ZcHkzXveCDQZRjnOe94IRkNJUS5OWVNFOklCTS5JUV9VTlJFQ09HX1RBWF9CRU5FRklUX0VORF9QRVJJT0QuMTk5MS4wNi8wMy8yMDI2Li4uVVNELkgBAAAA3rYBAAMAAAAAALZlweTNe94INBlGOc573ghKQ0lRLk5ZU0U6SUJNLklRX1RSQU5TX0lNUEFDVF9GSU5fNDhfQ1VSUkVOVF9BU1NFVFMuMTk5MS4wNi8wMy8yMDI2Li4uVVNELkgBAAAA3rYBAAMAAAAAALZlweTNe94INBlGOc573gg9</t>
  </si>
  <si>
    <t>Q0lRLk5ZU0U6SUJNLklRX1RBWF9CRU5FRklUX0NGX05PX0VYUC4xOTkxLjA2LzAzLzIwMjYuLi5VU0QuSAEAAADetgEAAwAAAAAAtmXB5M173gg0GUY5znveCDdDSVEuTllTRTpJQk0uSVFfQ0FQX0xPU1NfQ0ZfM1lSLjE5OTEuMDYvMDMvMjAyNi4uLlVTRC5IAQAAAN62AQADAAAAAAC2ZcHkzXveCDQZRjnOe94IRkNJUS5OWVNFOklCTS5JUV9DQVBJVEFMSVpFRF9JTlRFUkVTVF9PVEhFUl9BREouMTk5MS4wNi8wMy8yMDI2Li4uVVNELkgBAAAA3rYBAAMAAAAAALZlweTNe94INBlGOc573ggzQ0lRLk5ZU0U6SUJNLklRX09SR0FOSUNfR1JPV1RIX1JBVEUuMTk5MS4wNi8wMy8yMDI2AQAAAN62AQADAAAAAAC2ZcHkzXveCDQZRjnOe94IPUNJUS5OWVNFOklCTS5JUV9BVU1fT1RIRVJfQURKVVNUTUVOVFMuMTk5MS4wNi8wMy8yMDI2Li4uVVNELkgBAAAA3rYBAAMAAAAAALZlweTNe94INBlGOc573ghAQ0lRLk5ZU0U6SUJNLklRX0FVTV9DQVNIX0ZMT1dTX0RJVklERU5EUy4xOTkxLjA2LzAzLzIwMjYuLi5VU0QuSAEAAADetgEAAwAAAAAAtmXB5M173gg0GUY5znveCDRDSVEuTllTRTpJQk0uSVFfQVVNX0RPTUVTVElDLjE5OTEuMDYvMDMvMjAyNi4uLlVTRC5IAQAAAN62AQADAAAAAAC2ZcHkzXveCDQZRjnOe94IPkNJUS5OWVNFOklCTS5JUV9PUEVCX0JFTkVGSVRfSU5GT19EQVRFX0ZPUkVJR04uMTk5</t>
  </si>
  <si>
    <t>MS4wNi8wMy8yMDI2AQAAAN62AQADAAAAAAC2ZcHkzXveCDQZRjnOe94IRkNJUS5OWVNFOklCTS5JUV9PUEVCX0hFQUxUSF9DT1NUX1RSRU5EX0lOSVRJQUxfRk9SRUlHTi4xOTkxLjA2LzAzLzIwMjYBAAAA3rYBAAMAAAAAALZlweTNe94IelRGOc573ghBQ0lRLk5ZU0U6SUJNLklRX09QRUJfSU5UQU5fQVNTRVRTX0ZPUkVJR04uMTk5MS4wNi8wMy8yMDI2Li4uVVNELkgBAAAA3rYBAAMAAAAAALZlweTNe94IelRGOc573ghHQ0lRLk5ZU0U6SUJNLklRX09QRUJfRVNUX0JFTkVGSVRfQUZURVI1X0ZPUkVJR04uMTk5MS4wNi8wMy8yMDI2Li4uVVNELkgBAAAA3rYBAAMAAAAAALZlweTNe94IelRGOc573ghHQ0lRLk5ZU0U6SUJNLklRX09QRUJfUFJJT1JfU0VSVklDRV9ORVhUX0ZPUkVJR04uMTk5MS4wNi8wMy8yMDI2Li4uVVNELkgBAAAA3rYBAAMAAAAAALZlweTNe94IelRGOc573ggwQ0lRLk5ZU0U6SUJNLklRX0VQU18zWVJfQU5OX0NBR1IuMTk5MS4wNi8wMy8yMDI2AQAAAN62AQACAAAABy00LjYxMDQBCAAAAAUAAAABMQEAAAALLTE5NzExNzUyODcDAAAAAzE2MAIAAAAENDIyNgQAAAABMAcAAAAIMy82LzIwMjYIAAAACTkvMzAvMjAyMwkAAAABMLZlweTNe94INBlGOc573ggzQ0lRLk5ZU0U6SUJNLklRX0VCSVREQV8zWVJfQU5OX0NBR1IuMTk5MS4wNi8wMy8yMDI2AQAAAN62AQACAAAABy04Ljk2</t>
  </si>
  <si>
    <t>NTUBCAAAAAUAAAABMQEAAAALLTE5NzExNzUyODcDAAAAAzE2MAIAAAAENDIyMgQAAAABMAcAAAAIMy82LzIwMjYIAAAACTkvMzAvMjAyMwkAAAABMLZlweTNe94IymhGOc573ghIQ0lRLk5ZU0U6SUJNLklRX1RPVEFMX0RFQlRfRUJJVERBX0VYQ0xfT1BFUl9MRUFTRVNfQ0FQRVguMTk5MS4wNi8wMy8yMDI2AQAAAN62AQACAAAACDUuNTgyODQ4AQgAAAAFAAAAATEBAAAACy0xOTcxMTc1Mjg3AwAAAAMxNjACAAAABTQ5MTgzBAAAAAEwBwAAAAgzLzYvMjAyNggAAAAJOS8zMC8yMDIzCQAAAAEwtmXB5M173gjKaEY5znveCC5DSVEuTllTRTpJQk0uSVFfTFRfREVCVF9FUVVJVFkuMTk5MS4wNi8wMy8yMDI2AQAAAN62AQACAAAACDIyMS41NTgxAQgAAAAFAAAAATEBAAAACy0xOTcxMTc1Mjg3AwAAAAMxNjACAAAABDQwODUEAAAAATAHAAAACDMvNi8yMDI2CAAAAAk5LzMwLzIwMjMJAAAAATC2ZcHkzXveCMpoRjnOe94IK0NJUS5OWVNFOklCTS5JUV9BU1NFVF9UVVJOUy4xOTkxLjA2LzAzLzIwMjYBAAAA3rYBAAIAAAAIMC40Nzk0NTEBCAAAAAUAAAABMQEAAAALLTE5NzExNzUyODcDAAAAAzE2MAIAAAAENDE3NwQAAAABMAcAAAAIMy82LzIwMjYIAAAACTkvMzAvMjAyMwkAAAABMLZlweTNe94IelRGOc573ghLQ0lRLk5ZU0U6SUJNLklRX0NIQU5HRV9VTlJFQ09HX1RBWF9CRU5FRklUXzFfWVJfTUFYLjE5</t>
  </si>
  <si>
    <t>OTEuMDYvMDMvMjAyNi4uLlVTRC5IAQAAAN62AQADAAAAAAC2ZcHkzXveCHpURjnOe94IS0NJUS5OWVNFOklCTS5JUV9JTlRFUkVTVF9QRU5BTFRJRVNfUkVDT0dfQlNfUFJFX1RBWC4xOTkxLjA2LzAzLzIwMjYuLi5VU0QuSAEAAADetgEAAwAAAAAAtmXB5M173gjKaEY5znveCE1DSVEuTllTRTpJQk0uSVFfVFJBTlNfSU1QQUNUX0ZJTl80OF9SRVRBSU5FRF9FQVJOSU5HUy4xOTkxLjA2LzAzLzIwMjYuLi5VU0QuSAEAAADetgEAAwAAAAAAtmXB5M173gjKaEY5znveCDpDSVEuTllTRTpJQk0uSVFfVEFYX0JFTkVGSVRfQ0ZfMVlSLjE5OTEuMDYvMDMvMjAyNi4uLlVTRC5IAQAAAN62AQADAAAAAAC2ZcHkzXveCMpoRjnOe94IOUNJUS5OWVNFOklCTS5JUV9OT0xfQ0ZfQUZURVJfRklWRS4xOTkxLjA2LzAzLzIwMjYuLi5VU0QuSAEAAADetgEAAwAAAAAAtmXB5M173gjKaEY5znveCD5DSVEuTllTRTpJQk0uSVFfQVNTRVRTX0NBUF9MRUFTRV9HUk9TUy4xOTkxLjA2LzAzLzIwMjYuLi5VU0QuSAEAAADetgEAAwAAAAAAtmXB5M173gjKaEY5znveCD1DSVEuTllTRTpJQk0uSVFfVkFMVUVfQ1VTVE9NRVJfQVNTRVRTLjE5OTEuMDYvMDMvMjAyNi4uLlVTRC5IAQAAAN62AQADAAAAAAC2ZcHkzXveCMpoRjnOe94IMUNJUS5OWVNFOklCTS5JUV9FQklUXzVZUl9BTk5fQ0FHUi4xOTkxLjA2LzAzLzIwMjYBAAAA</t>
  </si>
  <si>
    <t>3rYBAAIAAAAHLTUuNjc0NAEIAAAABQAAAAExAQAAAAstMTk3MTE3NTI4NwMAAAADMTYwAgAAAAQ0MjM2BAAAAAEwBwAAAAgzLzYvMjAyNggAAAAJOS8zMC8yMDIzCQAAAAEwtmXB5M173gjKaEY5znveCDVDSVEuTllTRTpJQk0uSVFfRUJJVERBXzFZUl9BTk5fR1JPV1RILjE5OTEuMDYvMDMvMjAyNgEAAADetgEAAgAAAActMS40MzIzAQgAAAAFAAAAATEBAAAACy0xOTcxMTc1Mjg3AwAAAAMxNjACAAAABDQxOTYEAAAAATAHAAAACDMvNi8yMDI2CAAAAAk5LzMwLzIwMjMJAAAAATC2ZcHkzXveCMpoRjnOe94IQUNJUS5OWVNFOklCTS5JUV9FQklUREFfRVhDTF9PUEVSX0xFQVNFU19DQVBFWF9JTlQuMTk5MS4wNi8wMy8yMDI2AQAAAN62AQACAAAACDYuOTE5NDcxAQgAAAAFAAAAATEBAAAACy0xOTcxMTc1Mjg3AwAAAAMxNjACAAAABTQ5MTc0BAAAAAEwBwAAAAgzLzYvMjAyNggAAAAJOS8zMC8yMDIzCQAAAAEwtmXB5M173gjKaEY5znveCC5DSVEuTllTRTpJQk0uSVFfREFZU19TQUxFU19PVVQuMTk5MS4wNi8wMy8yMDI2AQAAAN62AQACAAAACTM1LjczMDk0NQEIAAAABQAAAAExAQAAAAstMTk3MTE3NTI4NwMAAAADMTYwAgAAAAQ0MDQyBAAAAAEwBwAAAAgzLzYvMjAyNggAAAAJOS8zMC8yMDIzCQAAAAEwtmXB5M173gjKaEY5znveCC1DSVEuTllTRTpJQk0uSVFfQ1VSUkVOVF9SQVRJTy4xOTkxLjA2</t>
  </si>
  <si>
    <t>LzAzLzIwMjYBAAAA3rYBAAIAAAAIMC45MDUyMTQBCAAAAAUAAAABMQEAAAALLTE5NzExNzUyODcDAAAAAzE2MAIAAAAENDAzMAQAAAABMAcAAAAIMy82LzIwMjYIAAAACTkvMzAvMjAyMwkAAAABMLZlweTNe94ITpBGOc573ggtQ0lRLk5ZU0U6SUJNLklRX1JFVFVSTl9BU1NFVFMuMTk5MS4wNi8wMy8yMDI2AQAAAN62AQACAAAABjQuNTQ4OQEIAAAABQAAAAExAQAAAAstMTk3MTE3NTI4NwMAAAADMTYwAgAAAAQ0MTc4BAAAAAEwBwAAAAgzLzYvMjAyNggAAAAJOS8zMC8yMDIzCQAAAAEwtmXB5M173ghOkEY5znveCEFDSVEuTllTRTpJQk0uSVFfTEFQU0VfU1RBVFVURV9MSU1JVEFUSU9OUy4xOTkxLjA2LzAzLzIwMjYuLi5VU0QuSAEAAADetgEAAwAAAAAAtmXB5M173ghOkEY5znveCDxDSVEuTllTRTpJQk0uSVFfVEFYX0JFTkVGSVRfQ0ZfVE9UQUwuMTk5MS4wNi8wMy8yMDI2Li4uVVNELkgBAAAA3rYBAAMAAAAAALZlweTNe94ITpBGOc573gg3Q0lRLk5ZU0U6SUJNLklRX0NBUF9MT1NTX0NGXzRZUi4xOTkxLjA2LzAzLzIwMjYuLi5VU0QuSAEAAADetgEAAwAAAAAAtmXB5M173ghOkEY5znveCDFDSVEuTllTRTpJQk0uSVFfRUJJVF8zWVJfQU5OX0NBR1IuMTk5MS4wNi8wMy8yMDI2AQAAAN62AQACAAAABjAuODg0MQEIAAAABQAAAAExAQAAAAstMTk3MTE3NTI4NwMAAAADMTYwAgAAAAQ0MjIzBAAA</t>
  </si>
  <si>
    <t>AAEwBwAAAAgzLzYvMjAyNggAAAAJOS8zMC8yMDIzCQAAAAEwtmXB5M173ghOkEY5znveCDVDSVEuTllTRTpJQk0uSVFfTkVUX0RFQlRfRUJJVERBX0NBUEVYLjE5OTEuMDYvMDMvMjAyNgEAAADetgEAAgAAAAY0LjEwMzMBCAAAAAUAAAABMQEAAAALLTE5NzExNzUyODcDAAAAAzE2MAIAAAAFMjMzMTQEAAAAATAHAAAACDMvNi8yMDI2CAAAAAk5LzMwLzIwMjMJAAAAATC2ZcHkzXveCE6QRjnOe94IQENJUS5OWVNFOklCTS5JUV9ORVRfREVCVF9FQklUREFfRVhDTF9PUEVSX0xFQVNFUy4xOTkxLjA2LzAzLzIwMjYBAAAA3rYBAAIAAAAINC4wMTY4MTEBCAAAAAUAAAABMQEAAAALLTE5NzExNzUyODcDAAAAAzE2MAIAAAAFNDkxNzUEAAAAATAHAAAACDMvNi8yMDI2CAAAAAk5LzMwLzIwMjMJAAAAATC2ZcHkzXveCE6QRjnOe94IMUNJUS5OWVNFOklCTS5JUV9UT1RBTF9ERUJUX0VRVUlUWS4xOTkxLjA2LzAzLzIwMjYBAAAA3rYBAAIAAAAIMjUyLjc0MjIBCAAAAAUAAAABMQEAAAALLTE5NzExNzUyODcDAAAAAzE2MAIAAAAENDAzNAQAAAABMAcAAAAIMy82LzIwMjYIAAAACTkvMzAvMjAyMwkAAAABMLZlweTNe94ITpBGOc573ggvQ0lRLk5ZU0U6SUJNLklRX05JXzVZUl9BTk5fQ0FHUi4xOTkxLjA2LzAzLzIwMjYBAAAA3rYBAAIAAAAGMy44ODM1AQgAAAAFAAAAATEBAAAACy0xOTcxMTc1Mjg3AwAAAAMx</t>
  </si>
  <si>
    <t>NjACAAAABDQyMzgEAAAAATAHAAAACDMvNi8yMDI2CAAAAAk5LzMwLzIwMjMJAAAAATC2ZcHkzXveCE6QRjnOe94IL0NJUS5OWVNFOklCTS5JUV9HUF81WVJfQU5OX0NBR1IuMTk5MS4wNi8wMy8yMDI2AQAAAN62AQACAAAABy0yLjAyODIBCAAAAAUAAAABMQEAAAALLTE5NzExNzUyODcDAAAAAzE2MAIAAAAENDIzNAQAAAABMAcAAAAIMy82LzIwMjYIAAAACTkvMzAvMjAyMwkAAAABMLZlweTNe94ITpBGOc573gg4Q0lRLk5ZU0U6SUJNLklRX1RPVEFMX1JFVl8xWVJfQU5OX0dST1dUSC4xOTkxLjA2LzAzLzIwMjYBAAAA3rYBAAIAAAAGMS4wNTIzAQgAAAAFAAAAATEBAAAACy0xOTcxMTc1Mjg3AwAAAAMxNjACAAAABDQxOTQEAAAAATAHAAAACDMvNi8yMDI2CAAAAAk5LzMwLzIwMjMJAAAAATC2ZcHkzXveCE6QRjnOe94IO0NJUS5OWVNFOklCTS5JUV9FQklUREFfRVhDTF9PUEVSX0xFQVNFU19JTlQuMTk5MS4wNi8wMy8yMDI2AQAAAN62AQACAAAACDcuODEzMjAxAQgAAAAFAAAAATEBAAAACy0xOTcxMTc1Mjg3AwAAAAMxNjACAAAABTQ5MTczBAAAAAEwBwAAAAgzLzYvMjAyNggAAAAJOS8zMC8yMDIzCQAAAAEwtmXB5M173ghOkEY5znveCCtDSVEuTllTRTpJQk0uSVFfUVVJQ0tfUkFUSU8uMTk5MS4wNi8wMy8yMDI2AQAAAN62AQACAAAACDAuNzM1OTM0AQgAAAAFAAAAATEBAAAACy0xOTcxMTc1Mjg3</t>
  </si>
  <si>
    <t>AwAAAAMxNjACAAAABDQxMjEEAAAAATAHAAAACDMvNi8yMDI2CAAAAAk5LzMwLzIwMjMJAAAAATC2ZcHkzXveCE6QRjnOe94ILkNJUS5OWVNFOklCTS5JUV9SRVRVUk5fQ0FQSVRBTC4xOTkxLjA2LzAzLzIwMjYBAAAA3rYBAAIAAAAGNy40NTcyAQgAAAAFAAAAATEBAAAACy0xOTcxMTc1Mjg3AwAAAAMxNjACAAAABDQzNjMEAAAAATAHAAAACDMvNi8yMDI2CAAAAAk5LzMwLzIwMjMJAAAAATC2ZcHkzXveCE6QRjnOe94ISENJUS5OWVNFOklCTS5JUV9SRURVQ1RJT05fVEFYX1BPU0lUSU9OX1BSSU9SX1lSUy4xOTkxLjA2LzAzLzIwMjYuLi5VU0QuSAEAAADetgEAAwAAAAAAtmXB5M173ghqvUY5znveCEFDSVEuTllTRTpJQk0uSVFfVEFYX0JFTkVGSVRfQ0ZfQUZURVJfRklWRS4xOTkxLjA2LzAzLzIwMjYuLi5VU0QuSAEAAADetgEAAwAAAAAAtmXB5M173ghqvUY5znveCDdDSVEuTllTRTpJQk0uSVFfQ0FQX0xPU1NfQ0ZfMllSLjE5OTEuMDYvMDMvMjAyNi4uLlVTRC5IAQAAAN62AQADAAAAAAC2ZcHkzXveCGq9RjnOe94IRkNJUS5OWVNFOklCTS5JUV9DQVBJVEFMSVpFRF9JTlRFUkVTVF9XUklURV9PRkYuMTk5MS4wNi8wMy8yMDI2Li4uVVNELkgBAAAA3rYBAAMAAAAAALZlweTNe94Iar1GOc573gg/Q0lRLk5ZU0U6SUJNLklRX0FTU0VUU19PUEVSX0xFQVNFX0dST1NTLjE5OTEuMDYvMDMvMjAyNi4u</t>
  </si>
  <si>
    <t>LlVTRC5IAQAAAN62AQADAAAAAAC2ZcHkzXveCGq9RjnOe94IRkNJUS5OWVNFOklCTS5JUV9NVVRVQUxfRlVORF9BQ1FVSVNJVElPTlNfT1RIRVIuMTk5MS4wNi8wMy8yMDI2Li4uVVNELkgBAAAA3rYBAAMAAAAAALZlweTNe94Iar1GOc573ghAQ0lRLk5ZU0U6SUJNLklRX0FVTV9ORVRfSU5GTE9XU19PVVRGTE9XUy4xOTkxLjA2LzAzLzIwMjYuLi5VU0QuSAEAAADetgEAAwAAAAAAtmXB5M173ghqvUY5znveCDlDSVEuTllTRTpJQk0uSVFfQVVNX09USEVSX0NMSUVOVFMuMTk5MS4wNi8wMy8yMDI2Li4uVVNELkgBAAAA3rYBAAMAAAAAALZlweTNe94Iar1GOc573ggvQ0lRLk5ZU0U6SUJNLklRX0dQXzNZUl9BTk5fQ0FHUi4xOTkxLjA2LzAzLzIwMjYBAAAA3rYBAAIAAAAHLTIuMzQ3NwEIAAAABQAAAAExAQAAAAstMTk3MTE3NTI4NwMAAAADMTYwAgAAAAQ0MjIxBAAAAAEwBwAAAAgzLzYvMjAyNggAAAAJOS8zMC8yMDIzCQAAAAEwtmXB5M173ghqvUY5znveCDdDSVEuTllTRTpJQk0uSVFfVE9UQUxfREVCVF9FQklUREFfQ0FQRVguMTk5MS4wNi8wMy8yMDI2AQAAAN62AQACAAAACDUuMDUwNzAxAQgAAAAFAAAAATEBAAAACy0xOTcxMTc1Mjg3AwAAAAMxNjACAAAABTIzMzEzBAAAAAEwBwAAAAgzLzYvMjAyNggAAAAJOS8zMC8yMDIzCQAAAAEwtmXB5M173ghqvUY5znveCDJDSVEuTllTRTpJQk0uSVFf</t>
  </si>
  <si>
    <t>VE9UQUxfREVCVF9DQVBJVEFMLjE5OTEuMDYvMDMvMjAyNgEAAADetgEAAgAAAAc3MS42NTA2AQgAAAAFAAAAATEBAAAACy0xOTcxMTc1Mjg3AwAAAAMxNjACAAAABDQxODYEAAAAATAHAAAACDMvNi8yMDI2CAAAAAk5LzMwLzIwMjMJAAAAATC2ZcHkzXveCEXkRjnOe94IMENJUS5OWVNFOklCTS5JUV9EQVlTX1BBWUFCTEVfT1VULjE5OTEuMDYvMDMvMjAyNgEAAADetgEAAgAAAAk0OC44MjEzMDUBCAAAAAUAAAABMQEAAAALLTE5NzExNzUyODcDAAAAAzE2MAIAAAAENDE4MwQAAAABMAcAAAAIMy82LzIwMjYIAAAACTkvMzAvMjAyMwkAAAABMLZlweTNe94IReRGOc573ggtQ0lRLk5ZU0U6SUJNLklRX0VCSVREQV9NQVJHSU4uMTk5MS4wNi8wMy8yMDI2AQAAAN62AQACAAAABzE5LjM1MDYBCAAAAAUAAAABMQEAAAALLTE5NzExNzUyODcDAAAAAzE2MAIAAAAENDA0NwQAAAABMAcAAAAIMy82LzIwMjYIAAAACTkvMzAvMjAyMwkAAAABMLZlweTNe94Iar1GOc573ghNQ0lRLk5ZU0U6SUJNLklRX0lOVEVSRVNUX1BFTkFMVElFU19SRUNPR19JU19BRlRFUl9UQVguMTk5MS4wNi8wMy8yMDI2Li4uVVNELkgBAAAA3rYBAAMAAAAAALZlweTNe94Iar1GOc573ghTQ0lRLk5ZU0U6SUJNLklRX1RSQU5TX0lNUEFDVF9GSU5fNDhfTk9OX0NVUlJFTlRfTElBQklMSVRJRVMuMTk5MS4wNi8wMy8yMDI2Li4uVVNELkgB</t>
  </si>
  <si>
    <t>AAAA3rYBAAMAAAAAALZlweTNe94Iar1GOc573gg0Q0lRLk5ZU0U6SUJNLklRX0NBUF9MT1NTX0NGX01BWF9ZRUFSLjE5OTEuMDYvMDMvMjAyNgEAAADetgEAAwAAAAAAtmXB5M173ghF5EY5znveCD5DSVEuTllTRTpJQk0uSVFfQ0FQX0xPU1NfQ0ZfQUZURVJfRklWRS4xOTkxLjA2LzAzLzIwMjYuLi5VU0QuSAEAAADetgEAAwAAAAAAtmXB5M173ghF5EY5znveCDJDSVEuTllTRTpJQk0uSVFfTk9MX0NGXzJZUi4xOTkxLjA2LzAzLzIwMjYuLi5VU0QuSAEAAADetgEAAwAAAAAAtmXB5M173ghF5EY5znveCENDSVEuTllTRTpJQk0uSVFfQVNTRVRTX1VOREVSX0FETUlOSVNUUkFUSU9OLjE5OTEuMDYvMDMvMjAyNi4uLlVTRC5IAQAAAN62AQADAAAAAAC2ZcHkzXveCEXkRjnOe94INkNJUS5OWVNFOklCTS5JUV9BVU1fTkVUX0NIQU5HRS4xOTkxLjA2LzAzLzIwMjYuLi5VU0QuSAEAAADetgEAAwAAAAAAtmXB5M173ghF5EY5znveCDFDSVEuTllTRTpJQk0uSVFfQVVNX1NNRV9DVVNUT01FUlMuMTk5MS4wNi8wMy8yMDI2AQAAAN62AQADAAAAAAC2ZcHkzXveCEXkRjnOe94IO0NJUS5OWVNFOklCTS5JUV9BVU1fTk9OX0ZFRV9FQVJOSU5HLjE5OTEuMDYvMDMvMjAyNi4uLlVTRC5IAQAAAN62AQADAAAAAAC2ZcHkzXveCEXkRjnOe94IPkNJUS5OWVNFOklCTS5JUV9BVU1fRklYRURfSU5DT01FX0ZVTkRTLjE5</t>
  </si>
  <si>
    <t>OTEuMDYvMDMvMjAyNi4uLlVTRC5IAQAAAN62AQADAAAAAAC2ZcHkzXveCEXkRjnOe94IN0NJUS5OWVNFOklCTS5JUV9PUEVCX0NMX0ZPUkVJR04uMTk5MS4wNi8wMy8yMDI2Li4uVVNELkgBAAAA3rYBAAMAAAAAALZlweTNe94IReRGOc573ghHQ0lRLk5ZU0U6SUJNLklRX09QRUJfUEJPX1JBVEVfQ09NUF9JTkNSRUFTRV9NSU5fRk9SRUlHTi4xOTkxLjA2LzAzLzIwMjYBAAAA3rYBAAMAAAAAALZlweTNe94IReRGOc573ggzQ0lRLk5ZU0U6SUJNLklRX0VCSVREQV81WVJfQU5OX0NBR1IuMTk5MS4wNi8wMy8yMDI2AQAAAN62AQACAAAABy02LjkzMjMBCAAAAAUAAAABMQEAAAALLTE5NzExNzUyODcDAAAAAzE2MAIAAAAENDIzNQQAAAABMAcAAAAIMy82LzIwMjYIAAAACTkvMzAvMjAyMwkAAAABMLZlweTNe94IfQtHOc573ggxQ0lRLk5ZU0U6SUJNLklRX0dQXzFZUl9BTk5fR1JPV1RILjE5OTEuMDYvMDMvMjAyNgEAAADetgEAAgAAAAYzLjQwOTUBCAAAAAUAAAABMQEAAAALLTE5NzExNzUyODcDAAAAAzE2MAIAAAAENDE5NQQAAAABMAcAAAAIMy82LzIwMjYIAAAACTkvMzAvMjAyMwkAAAABMLZlweTNe94IfQtHOc573gg6Q0lRLk5ZU0U6SUJNLklRX1RPVEFMX1JFVl9FTVBMT1lFRS4xOTkxLjA2LzAzLzIwMjYuLi5VU0QuSAEAAADetgEAAwAAAAAAtmXB5M173gh9C0c5znveCChDSVEuTllTRTpJQk0u</t>
  </si>
  <si>
    <t>SVFfRUJJVF9JTlQuMTk5MS4wNi8wMy8yMDI2AQAAAN62AQACAAAACDYuMTI5MzcyAQgAAAAFAAAAATEBAAAACy0xOTcxMTc1Mjg3AwAAAAMxNjACAAAABDQxODkEAAAAATAHAAAACDMvNi8yMDI2CAAAAAk5LzMwLzIwMjMJAAAAATC2ZcHkzXveCH0LRznOe94IL0NJUS5OWVNFOklCTS5JUV9JTlZFTlRPUllfVFVSTlMuMTk5MS4wNi8wMy8yMDI2AQAAAN62AQACAAAACTE2Ljk4OTk3NAEIAAAABQAAAAExAQAAAAstMTk3MTE3NTI4NwMAAAADMTYwAgAAAAQ0MDgyBAAAAAEwBwAAAAgzLzYvMjAyNggAAAAJOS8zMC8yMDIzCQAAAAEwtmXB5M173gh9C0c5znveCENDSVEuTllTRTpJQk0uSVFfU0VUVExFTUVOVFNfVEFYX0FVVEhPUklUSUVTLjE5OTEuMDYvMDMvMjAyNi4uLlVTRC5IAQAAAN62AQADAAAAAAC2ZcHkzXveCH0LRznOe94ISUNJUS5OWVNFOklCTS5JUV9SRURVQ1RJT05fVEFYX1BPU0lUSU9OX0NVUlJFTlRfWVIuMTk5MS4wNi8wMy8yMDI2Li4uVVNELkgBAAAA3rYBAAMAAAAAALZlweTNe94IfQtHOc573gg6Q0lRLk5ZU0U6SUJNLklRX1RBWF9CRU5FRklUX0NGXzRZUi4xOTkxLjA2LzAzLzIwMjYuLi5VU0QuSAEAAADetgEAAwAAAAAAtmXB5M173gh9C0c5znveCC9DSVEuTllTRTpJQk0uSVFfTk9MX0NGX01BWF9ZRUFSLjE5OTEuMDYvMDMvMjAyNgEAAADetgEAAwAAAAAAtmXB5M173gh9C0c5</t>
  </si>
  <si>
    <t>znveCEBDSVEuTllTRTpJQk0uSVFfQ0FQSVRBTElaRURfSU5URVJFU1RfQk9QLjE5OTEuMDYvMDMvMjAyNi4uLlVTRC5IAQAAAN62AQADAAAAAAC2ZcHkzXveCFkyRznOe94IN0NJUS5OWVNFOklCTS5JUV9NVVRVQUxfRlVORF9FT1AuMTk5MS4wNi8wMy8yMDI2Li4uVVNELkgBAAAA3rYBAAMAAAAAALZlweTNe94IWTJHOc573gg9Q0lRLk5ZU0U6SUJNLklRX01VVFVBTF9GVU5EX05FVF9TQUxFUy4xOTkxLjA2LzAzLzIwMjYuLi5VU0QuSAEAAADetgEAAwAAAAAAtmXB5M173gh9C0c5znveCDNDSVEuTllTRTpJQk0uSVFfQVVNX0lORkxPV1MuMTk5MS4wNi8wMy8yMDI2Li4uVVNELkgBAAAA3rYBAAMAAAAAALZlweTNe94IfQtHOc573ggyQ0lRLk5ZU0U6SUJNLklRX0FVTV9SRVRBSUwuMTk5MS4wNi8wMy8yMDI2Li4uVVNELkgBAAAA3rYBAAMAAAAAALZlweTNe94IfQtHOc573ggyQ0lRLk5ZU0U6SUJNLklRX0VQU18xWVJfQU5OX0dST1dUSC4xOTkxLjA2LzAzLzIwMjYBAAAA3rYBAAIAAAAINDA0LjI0NzYBCAAAAAUAAAABMQEAAAALLTE5NzExNzUyODcDAAAAAzE2MAIAAAAENDIwMAQAAAABMAcAAAAIMy82LzIwMjYIAAAACTkvMzAvMjAyMwkAAAABMLZlweTNe94IWTJHOc573ggvQ0lRLk5ZU0U6SUJNLklRX05FVF9ERUJUX0VCSVREQS4xOTkxLjA2LzAzLzIwMjYBAAAA3rYBAAIAAAAIMy42NzM5OTQB</t>
  </si>
  <si>
    <t>CAAAAAUAAAABMQEAAAALLTE5NzExNzUyODcDAAAAAzE2MAIAAAAENDE5MwQAAAABMAcAAAAIMy82LzIwMjYIAAAACTkvMzAvMjAyMwkAAAABMLZlweTNe94IWTJHOc573ggvQ0lRLk5ZU0U6SUJNLklRX0NBU0hfQ09OVkVSU0lPTi4xOTkxLjA2LzAzLzIwMjYBAAAA3rYBAAIAAAAHOC4zOTI4MQEIAAAABQAAAAExAQAAAAstMTk3MTE3NTI4NwMAAAADMTYwAgAAAAQ0MTg0BAAAAAEwBwAAAAgzLzYvMjAyNggAAAAJOS8zMC8yMDIzCQAAAAEwtmXB5M173ghZMkc5znveCCtDSVEuTllTRTpJQk0uSVFfRUJJVF9NQVJHSU4uMTk5MS4wNi8wMy8yMDI2AQAAAN62AQACAAAABzE1LjE4MDMBCAAAAAUAAAABMQEAAAALLTE5NzExNzUyODcDAAAAAzE2MAIAAAAENDA1MwQAAAABMAcAAAAIMy82LzIwMjYIAAAACTkvMzAvMjAyMwkAAAABMLZlweTNe94IWTJHOc573gg0Q0lRLk5ZU0U6SUJNLklRX1JFVFVSTl9DT01NT05fRVFVSVRZLjE5OTEuMDYvMDMvMjAyNgEAAADetgEAAgAAAAczMi44OTM4AQgAAAAFAAAAATEBAAAACy0xOTcxMTc1Mjg3AwAAAAMxNjACAAAABTMzMzIwBAAAAAEwBwAAAAgzLzYvMjAyNggAAAAJOS8zMC8yMDIzCQAAAAEwtmXB5M173ghZMkc5znveCEdDSVEuTllTRTpJQk0uSVFfQUNDT1VOVF9DT0RFX0lOVEVSRVNUX1BFTkFMVElFUy4xOTkxLjA2LzAzLzIwMjYuLi5VU0QuSAEAAADetgEA</t>
  </si>
  <si>
    <t>AwAAAAAAtmXB5M173ghZMkc5znveCEVDSVEuTllTRTpJQk0uSVFfVFJBTlNfSU1QQUNUX0ZJTl80OF9MVF9BU1NFVFMuMTk5MS4wNi8wMy8yMDI2Li4uVVNELkgBAAAA3rYBAAMAAAAAALZlweTNe94IWTJHOc573gg6Q0lRLk5ZU0U6SUJNLklRX0NBUF9MT1NTX0NGX05PX0VYUC4xOTkxLjA2LzAzLzIwMjYuLi5VU0QuSAEAAADetgEAAwAAAAAAtmXB5M173ghZMkc5znveCDJDSVEuTllTRTpJQk0uSVFfTk9MX0NGXzNZUi4xOTkxLjA2LzAzLzIwMjYuLi5VU0QuSAEAAADetgEAAwAAAAAAtmXB5M173ghZMkc5znveCEBDSVEuTllTRTpJQk0uSVFfQ0FQSVRBTElaRURfSU5URVJFU1RfRU9QLjE5OTEuMDYvMDMvMjAyNi4uLlVTRC5IAQAAAN62AQADAAAAAAC2ZcHkzXveCFkyRznOe94IPUNJUS5OWVNFOklCTS5JUV9ORVRfTkVXX0NMSUVOVF9BU1NFVFMuMTk5MS4wNi8wMy8yMDI2Li4uVVNELkgBAAAA3rYBAAMAAAAAALZlweTNe94IWTJHOc573ggvQ0lRLk5ZU0U6SUJNLklRX0FVTV9FT1AuMTk5MS4wNi8wMy8yMDI2Li4uVVNELkgBAAAA3rYBAAMAAAAAALZlweTNe94IWTJHOc573gg0Q0lRLk5ZU0U6SUJNLklRX0FVTV9SRVRBSUxfQ1VTVE9NRVJTLjE5OTEuMDYvMDMvMjAyNgEAAADetgEAAwAAAAAAtmXB5M173ghZMkc5znveCD5DSVEuTllTRTpJQk0uSVFfQVVNX01PTkVZX01BUktFVF9GVU5EUy4x</t>
  </si>
  <si>
    <t>OTkxLjA2LzAzLzIwMjYuLi5VU0QuSAEAAADetgEAAwAAAAAAtmXB5M173ghZMkc5znveCEdDSVEuTllTRTpJQk0uSVFfT1BFQl9IRUFMVEhfQ09TVF9UUkVORF9VTFRJTUFURV9GT1JFSUdOLjE5OTEuMDYvMDMvMjAyNgEAAADetgEAAwAAAAAAtmXB5M173ghZMkc5znveCENDSVEuTllTRTpJQk0uSVFfT1BFQl9BQ0NVTV9PVEhFUl9DSV9GT1JFSUdOLjE5OTEuMDYvMDMvMjAyNi4uLlVTRC5IAQAAAN62AQADAAAAAAC2ZcHkzXveCARrRznOe94IRUNJUS5OWVNFOklCTS5JUV9PUEVCX1BCT19BU1NVTUVEX1JBVEVfUkVUX01JTl9GT1JFSUdOLjE5OTEuMDYvMDMvMjAyNgEAAADetgEAAwAAAAAAtmXB5M173ggEa0c5znveCDlDSVEuTllTRTpJQk0uSVFfQVNTRVRfTUFOQUdFRF9HUk9XVEhfUkFURS4xOTkxLjA2LzAzLzIwMjYBAAAA3rYBAAMAAAAAALZlweTNe94IBGtHOc573gg7Q0lRLk5ZU0U6SUJNLklRX09QRUJfQVNTRVRTX0JFR19ET00uMTk5My4wNi8wMy8yMDI2Li4uVVNELkgBAAAA3rYBAAMAAAAAAIWg6uTNe94IR3ItOc573ghCQ0lRLk5ZU0U6SUJNLklRX1BFTlNJT05fQUNDVU1fT1RIRVJfQ0lfRE9NLjE5OTMuMDYvMDMvMjAyNi4uLlVTRC5IAQAAAN62AQADAAAAAACFoOrkzXveCEdyLTnOe94IUENJUS5OWVNFOklCTS5JUV9QRU5TSU9OX0VTVF9DT05UUklCVVRJT05TX05FWFRZUl9GT1JF</t>
  </si>
  <si>
    <t>SUdOLjE5OTMuMDYvMDMvMjAyNi4uLlVTRC5IAQAAAN62AQADAAAAAACFoOrkzXveCEdyLTnOe94IUUNJUS5OWVNFOklCTS5JUV9PUEVCX0RFQ1JFQVNFX0VGRkVDVF9TRVJWSUNFX0lOVF9DT1NUX0RPTS4xOTkzLjA2LzAzLzIwMjYuLi5VU0QuSAEAAADetgEAAwAAAAAAhaDq5M173giMmS05znveCDdDSVEuTllTRTpJQk0uSVFfT1BFQl9BU1NFVFNfRE9NLjE5OTMuMDYvMDMvMjAyNi4uLlVTRC5IAQAAAN62AQADAAAAAACFoOrkzXveCIyZLTnOe94IUENJUS5OWVNFOklCTS5JUV9QRU5TSU9OX1FVQVJUX0FERExfQ09OVFJJQlVUSU9OU19FWFBfRE9NLjE5OTMuMDYvMDMvMjAyNi4uLlVTRC5IAQAAAN62AQADAAAAAACFoOrkzXveCIyZLTnOe94IQ0NJUS5OWVNFOklCTS5JUV9QRU5TSU9OX0VTVF9CRU5FRklUXzVZUl9ET00uMTk5My4wNi8wMy8yMDI2Li4uVVNELkgBAAAA3rYBAAMAAAAAAIWg6uTNe94IjJktOc573ghDQ0lRLk5ZU0U6SUJNLklRX1BFTlNJT05fRVNUX0JFTkVGSVRfMVlSX0RPTS4xOTkzLjA2LzAzLzIwMjYuLi5VU0QuSAEAAADetgEAAwAAAAAAhaDq5M173giMmS05znveCENDSVEuTllTRTpJQk0uSVFfT1BFQl9PQkxJR0FUSU9OX0NVUlRBSUxfRE9NLjE5OTQuMDYvMDMvMjAyNi4uLlVTRC5IAQAAAN62AQADAAAAAAAA9PjkzXveCOUdITnOe94IP0NJUS5OWVNFOklCTS5JUV9QRU5T</t>
  </si>
  <si>
    <t>SU9OX0VYUF9SQVRFX1JFVFVSTl9NQVhfRE9NLjE5OTMuMDYvMDMvMjAyNgEAAADetgEAAwAAAAAAAPT45M173giMmS05znveCE9DSVEuTllTRTpJQk0uSVFfUEVOU0lPTl9BQ0NVTVVMQVRFRF9PQkxJR0FUSU9OX0RPTUVTVElDLjE5OTQuMDYvMDMvMjAyNi4uLlVTRC5IAQAAAN62AQADAAAAAADyGvnkzXveCOL2IDnOe94IQUNJUS5OWVNFOklCTS5JUV9QRU5TSU9OX0FTU0VUU19GWF9BREpfRE9NLjE5OTMuMDYvMDMvMjAyNi4uLlVTRC5IAQAAAN62AQADAAAAAADyGvnkzXveCIyZLTnOe94IUkNJUS5OWVNFOklCTS5JUV9QRU5TSU9OX09CTElHQVRJT05fQUNUVUFSSUFMX0dBSU5fTE9TU19ET00uMTk5My4wNi8wMy8yMDI2Li4uVVNELkgBAAAA3rYBAAMAAAAAAPIa+eTNe94IjJktOc573ghGQ0lRLk5ZU0U6SUJNLklRX1BFTlNJT05fT0JMSUdBVElPTl9DVVJUQUlMX0RPTS4xOTk0LjA2LzAzLzIwMjYuLi5VU0QuSAEAAADetgEAAwAAAAAA8hr55M173gji9iA5znveCE1DSVEuTllTRTpJQk0uSVFfT1BFQl9JTkNSRUFTRV9FRkZFQ1RfU0VSVklDRV9JTlRfQ09TVC4xOTkzLjA2LzAzLzIwMjYuLi5VU0QuSAEAAADetgEAAwAAAAAA8hr55M173giMmS05znveCFVDSVEuTllTRTpJQk0uSVFfUEVOU0lPTl9PQkxJR0FUSU9OX0VNUExPWUVFX0NPTlRSSUJVVElPTlNfRE9NLjE5OTQuMDYvMDMvMjAyNi4u</t>
  </si>
  <si>
    <t>LlVTRC5IAQAAAN62AQADAAAAAADyGvnkzXveCOL2IDnOe94INENJUS5OWVNFOklCTS5JUV9PUEVCX0xUX0xJQUIuMTk5NC4wNi8wMy8yMDI2Li4uVVNELkgBAAAA3rYBAAMAAAAAAPIa+eTNe94I5R0hOc573gg/Q0lRLk5ZU0U6SUJNLklRX09QRUJfRVNUX0JFTkVGSVRfQUZURVI1LjE5OTQuMDYvMDMvMjAyNi4uLlVTRC5IAQAAAN62AQADAAAAAADyGvnkzXveCOUdITnOe94IPENJUS5OWVNFOklCTS5JUV9PUEVCX0VTVF9CRU5FRklUXzRZUi4xOTk0LjA2LzAzLzIwMjYuLi5VU0QuSAEAAADetgEAAwAAAAAA8hr55M173gjlHSE5znveCDVDSVEuTllTRTpJQk0uSVFfT1BFQl9BQ1RfTkVYVC4xOTk0LjA2LzAzLzIwMjYuLi5VU0QuSAEAAADetgEAAwAAAAAA8hr55M173gjlHSE5znveCDlDSVEuTllTRTpJQk0uSVFfT1BFQl9CUkVBS0RPV05fUkUuMTk5NC4wNi8wMy8yMDI2Li4uVVNELkgBAAAA3rYBAAMAAAAAAPIa+eTNe94I5R0hOc573gg5Q0lRLk5ZU0U6SUJNLklRX1BFTlNJT05fT1RIRVJfRE9NLjE5OTQuMDYvMDMvMjAyNi4uLlVTRC5IAQAAAN62AQADAAAAAADyGvnkzXveCOUdITnOe94IQENJUS5OWVNFOklCTS5JUV9QRU5TSU9OX1BSRVBBSURfQ09TVF9ET00uMTk5NC4wNi8wMy8yMDI2Li4uVVNELkgBAAAA3rYBAAMAAAAAAPIa+eTNe94I5R0hOc573gg5Q0lRLk5ZU0U6SUJNLklRX1BFTlNJ</t>
  </si>
  <si>
    <t>T05fRElTQ19SQVRFX01JTl9ET00uMTk5NC4wNi8wMy8yMDI2AQAAAN62AQADAAAAAADyGvnkzXveCOUdITnOe94IQUNJUS5OWVNFOklCTS5JUV9QRU5TSU9OX0lOVEVSRVNUX0NPU1RfRE9NLjE5OTQuMDYvMDMvMjAyNi4uLlVTRC5IAQAAAN62AQADAAAAAADyGvnkzXveCOUdITnOe94IPENJUS5OWVNFOklCTS5JUV9PUEVCX05FVF9BU1NFVF9SRUNPRy4xOTk0LjA2LzAzLzIwMjYuLi5VU0QuSAEAAADetgEAAwAAAAAA8hr55M173gjlHSE5znveCD1DSVEuTllTRTpJQk0uSVFfT1BFQl9DSV9ORVRfQU1UX1JFQ09HLjE5OTQuMDYvMDMvMjAyNi4uLlVTRC5IAQAAAN62AQADAAAAAADyGvnkzXveCN5EITnOe94ISkNJUS5OWVNFOklCTS5JUV9PUEVCX0FTU0VUU19QQVJUSUNJUF9DT05UUklCVVRJT05TLjE5OTQuMDYvMDMvMjAyNi4uLlVTRC5IAQAAAN62AQADAAAAAADyGvnkzXveCN5EITnOe94IVkNJUS5OWVNFOklCTS5JUV9QRU5TSU9OX09CTElHQVRJT05fU1VQUExFX1BMQU5TX1RPVEFMX0NPU1RfRE9NLjE5OTQuMDYvMDMvMjAyNi4uLlVTRC5IAQAAAN62AQADAAAAAABcm0blzXveCN5EITnOe94ISUNJUS5OWVNFOklCTS5JUV9QRU5TSU9OX09CTElHQVRJT05fT1RIRVJfQ09TVF9ET00uMTk5NC4wNi8wMy8yMDI2Li4uVVNELkgBAAAA3rYBAAMAAAAAAPIa+eTNe94I5R0hOc573ghAQ0lRLk5ZU0U6</t>
  </si>
  <si>
    <t>SUJNLklRX09QRUJfREVDUkVBU0VfRUZGRUNUX1BCTy4xOTk0LjA2LzAzLzIwMjYuLi5VU0QuSAEAAADetgEAAwAAAAAA8hr55M173gjlHSE5znveCEBDSVEuTllTRTpJQk0uSVFfT1BFQl9JTkNSRUFTRV9FRkZFQ1RfUEJPLjE5OTQuMDYvMDMvMjAyNi4uLlVTRC5IAQAAAN62AQADAAAAAADyGvnkzXveCN5EITnOe94IPENJUS5OWVNFOklCTS5JUV9PUEVCX0VTVF9CRU5FRklUXzJZUi4xOTk0LjA2LzAzLzIwMjYuLi5VU0QuSAEAAADetgEAAwAAAAAA8hr55M173gjeRCE5znveCDNDSVEuTllTRTpJQk0uSVFfT1BFQl9BU1NFVFMuMTk5NC4wNi8wMy8yMDI2Li4uVVNELkgBAAAA3rYBAAMAAAAAAPIa+eTNe94I3kQhOc573ghIQ0lRLk5ZU0U6SUJNLklRX1BFTlNJT05fRVNUX0NPTlRSSUJVVElPTlNfTkVYVFlSLjE5OTQuMDYvMDMvMjAyNi4uLlVTRC5IAQAAAN62AQADAAAAAADyGvnkzXveCN5EITnOe94IQkNJUS5OWVNFOklCTS5JUV9QRU5TSU9OX0VTVF9CRU5FRklUX0FGVEVSNS4xOTk0LjA2LzAzLzIwMjYuLi5VU0QuSAEAAADetgEAAwAAAAAA8hr55M173gjeRCE5znveCD9DSVEuTllTRTpJQk0uSVFfUEVOU0lPTl9FU1RfQkVORUZJVF8zWVIuMTk5NC4wNi8wMy8yMDI2Li4uVVNELkgBAAAA3rYBAAMAAAAAAPIa+eTNe94I52shOc573gg9Q0lRLk5ZU0U6SUJNLklRX1BFTlNJT05fQ0lfVFJBTlNJ</t>
  </si>
  <si>
    <t>VElPTi4xOTk0LjA2LzAzLzIwMjYuLi5VU0QuSAEAAADetgEAAwAAAAAA8hr55M173gjnayE5znveCD9DSVEuTllTRTpJQk0uSVFfT1BFQl9PQkxJR0FUSU9OX0FDUV9ET00uMTk5NC4wNi8wMy8yMDI2Li4uVVNELkgBAAAA3rYBAAMAAAAAAPIa+eTNe94I52shOc573ghKQ0lRLk5ZU0U6SUJNLklRX1BFTlNJT05fVU5GVU5ERURfQURETF9NSU5fTElBQl9ET00uMTk5NC4wNi8wMy8yMDI2Li4uVVNELkgBAAAA3rYBAAMAAAAAAPIa+eTNe94I3kQhOc573gg5Q0lRLk5ZU0U6SUJNLklRX09QRUJfQlJFQUtET1dOX0VRLjE5OTQuMDYvMDMvMjAyNi4uLlVTRC5IAQAAAN62AQADAAAAAADyGvnkzXveCN5EITnOe94IO0NJUS5OWVNFOklCTS5JUV9PUEVCX09CTElHQVRJT05fQUNRLjE5OTQuMDYvMDMvMjAyNi4uLlVTRC5IAQAAAN62AQADAAAAAADyGvnkzXveCOdrITnOe94ISENJUS5OWVNFOklCTS5JUV9QRU5TSU9OX0NJX05FVF9BTVRfUkVDT0dfRk9SRUlHTi4xOTkzLjA2LzAzLzIwMjYuLi5VU0QuSAEAAADetgEAAwAAAAAA8hr55M173giMmS05znveCDdDSVEuTllTRTpJQk0uSVFfT1BFQl9PVEhFUl9DT1NULjE5OTQuMDYvMDMvMjAyNi4uLlVTRC5IAQAAAN62AQADAAAAAADyGvnkzXveCOdrITnOe94IQENJUS5OWVNFOklCTS5JUV9QRU5TSU9OX1JBVEVfQ09NUF9HUk9XVEhfRk9SRUlHTi4xOTkzLjA2</t>
  </si>
  <si>
    <t>LzAzLzIwMjYBAAAA3rYBAAMAAAAAAPIa+eTNe94Ia8AtOc573ghRQ0lRLk5ZU0U6SUJNLklRX1BFTlNJT05fT0JMSUdBVElPTl9PVEhFUl9QTEFOX0FESl9GT1JFSUdOLjE5OTMuMDYvMDMvMjAyNi4uLlVTRC5IAQAAAN62AQADAAAAAADyGvnkzXveCGvALTnOe94IOUNJUS5OWVNFOklCTS5JUV9QRU5TSU9OX0JFTkVGSVRfSU5GT19EQVRFLjE5OTQuMDYvMDMvMjAyNgEAAADetgEAAwAAAAAA8hr55M173gjnayE5znveCD9DSVEuTllTRTpJQk0uSVFfT1BFQl9QQk9fUkFURV9DT01QX0lOQ1JFQVNFX01BWC4xOTk0LjA2LzAzLzIwMjYBAAAA3rYBAAMAAAAAAPIa+eTNe94I52shOc573ggzQ0lRLk5ZU0U6SUJNLklRX09QRUJfQ0xfRE9NLjE5OTMuMDYvMDMvMjAyNi4uLlVTRC5IAQAAAN62AQADAAAAAADyGvnkzXveCGvALTnOe94IPENJUS5OWVNFOklCTS5JUV9PUEVCX0JSRUFLRE9XTl9QQ1RfT1RIRVJfRE9NLjE5OTMuMDYvMDMvMjAyNgEAAADetgEAAwAAAAAA8hr55M173ghrwC05znveCD1DSVEuTllTRTpJQk0uSVFfT1BFQl9TRVJWSUNFX0NPU1RfRE9NLjE5OTMuMDYvMDMvMjAyNi4uLlVTRC5IAQAAAN62AQADAAAAAADyGvnkzXveCIyZLTnOe94IQUNJUS5OWVNFOklCTS5JUV9QRU5TSU9OX1VOUkVDT0dfUFJJT1JfRE9NLjE5OTMuMDYvMDMvMjAyNi4uLlVTRC5IAQAAAN62AQADAAAAAADyGvnk</t>
  </si>
  <si>
    <t>zXveCGvALTnOe94IRENJUS5OWVNFOklCTS5JUV9QRU5TSU9OX0NJX1BSSU9SX1NFUlZJQ0VfRE9NLjE5OTMuMDYvMDMvMjAyNi4uLlVTRC5IAQAAAN62AQADAAAAAADyGvnkzXveCGvALTnOe94IR0NJUS5OWVNFOklCTS5JUV9QRU5TSU9OX0VTVF9CRU5FRklUXzNZUl9GT1JFSUdOLjE5OTMuMDYvMDMvMjAyNi4uLlVTRC5IAQAAAN62AQADAAAAAADyGvnkzXveCGvALTnOe94ISENJUS5OWVNFOklCTS5JUV9QRU5TSU9OX1BCT19BU1NVTUVEX1JBVEVfUkVUX01JTl9GT1JFSUdOLjE5OTMuMDYvMDMvMjAyNgEAAADetgEAAwAAAAAA8hr55M173ghrwC05znveCEZDSVEuTllTRTpJQk0uSVFfUEVOU0lPTl9QQk9fUkFURV9DT01QX0lOQ1JFQVNFX01JTl9ET00uMTk5My4wNi8wMy8yMDI2AQAAAN62AQADAAAAAADyGvnkzXveCGvALTnOe94IQ0NJUS5OWVNFOklCTS5JUV9QRU5TSU9OX0JSRUFLRE9XTl9PVEhFUl9ET00uMTk5My4wNi8wMy8yMDI2Li4uVVNELkgBAAAA3rYBAAMAAAAAAPIa+eTNe94IWuctOc573gg5Q0lRLk5ZU0U6SUJNLklRX1BFTlNJT05fRElTQ19SQVRFX01JTl9ET00uMTk5My4wNi8wMy8yMDI2AQAAAN62AQADAAAAAADyGvnkzXveCGvALTnOe94IP0NJUS5OWVNFOklCTS5JUV9PUEVCX09USEVSX0NPU1RfRk9SRUlHTi4xOTkzLjA2LzAzLzIwMjYuLi5VU0QuSAEAAADetgEAAwAAAAAA</t>
  </si>
  <si>
    <t>8hr55M173ghrwC05znveCEJDSVEuTllTRTpJQk0uSVFfUEVOU0lPTl9BU1NFVFNfQUNRX0ZPUkVJR04uMTk5My4wNi8wMy8yMDI2Li4uVVNELkgBAAAA3rYBAAMAAAAAAPIa+eTNe94Ia8AtOc573ghAQ0lRLk5ZU0U6SUJNLklRX09QRUJfRVNUX0JFTkVGSVRfNFlSX0RPTS4xOTkzLjA2LzAzLzIwMjYuLi5VU0QuSAEAAADetgEAAwAAAAAA8hr55M173ghrwC05znveCEFDSVEuTllTRTpJQk0uSVFfT1BFQl9DSV9QUklPUl9TRVJWSUNFX0RPTS4xOTkzLjA2LzAzLzIwMjYuLi5VU0QuSAEAAADetgEAAwAAAAAA8hr55M173gha5y05znveCDtDSVEuTllTRTpJQk0uSVFfT1BFQl9FWFBfUkVUVVJOX0RPTS4xOTkzLjA2LzAzLzIwMjYuLi5VU0QuSAEAAADetgEAAwAAAAAA8hr55M173gha5y05znveCElDSVEuTllTRTpJQk0uSVFfUEVOU0lPTl9PQkxJR0FUSU9OX0ZYX0FESl9GT1JFSUdOLjE5OTMuMDYvMDMvMjAyNi4uLlVTRC5IAQAAAN62AQADAAAAAADyGvnkzXveCFrnLTnOe94IQENJUS5OWVNFOklCTS5JUV9PUEVCX09CTElHQVRJT05fUEFJRF9ET00uMTk5My4wNi8wMy8yMDI2Li4uVVNELkgBAAAA3rYBAAMAAAAAAPIa+eTNe94IWuctOc573ghQQ0lRLk5ZU0U6SUJNLklRX1BFTlNJT05fUVVBUlRfRU1QTE9ZRVJfQ09OVFJJQlVUSU9OU19ET00uMTk5My4wNi8wMy8yMDI2Li4uVVNELkgBAAAA3rYB</t>
  </si>
  <si>
    <t>AAMAAAAAAPIa+eTNe94IWuctOc573ghGQ0lRLk5ZU0U6SUJNLklRX1BFTlNJT05fT0JMSUdBVElPTl9DVVJUQUlMX0RPTS4xOTkzLjA2LzAzLzIwMjYuLi5VU0QuSAEAAADetgEAAwAAAAAA8hr55M173gj9+i05znveCFVDSVEuTllTRTpJQk0uSVFfUEVOU0lPTl9PQkxJR0FUSU9OX0VNUExPWUVFX0NPTlRSSUJVVElPTlNfRE9NLjE5OTMuMDYvMDMvMjAyNi4uLlVTRC5IAQAAAN62AQADAAAAAADyGvnkzXveCP36LTnOe94IO0NJUS5OWVNFOklCTS5JUV9PUEVCX0FDQ1VNX09USEVSX0NJLjE5OTMuMDYvMDMvMjAyNi4uLlVTRC5IAQAAAN62AQADAAAAAADyGvnkzXveCP36LTnOe94IOUNJUS5OWVNFOklCTS5JUV9PUEVCX0FDQ1JVRURfTElBQi4xOTkzLjA2LzAzLzIwMjYuLi5VU0QuSAEAAADetgEAAwAAAAAA8hr55M173gj9+i05znveCD9DSVEuTllTRTpJQk0uSVFfT1BFQl9FU1RfQkVORUZJVF9BRlRFUjUuMTk5My4wNi8wMy8yMDI2Li4uVVNELkgBAAAA3rYBAAMAAAAAAPIa+eTNe94I/fotOc573gg1Q0lRLk5ZU0U6SUJNLklRX09QRUJfQlJFQUtET1dOX1BDVF9FUS4xOTkzLjA2LzAzLzIwMjYBAAAA3rYBAAMAAAAAAPIa+eTNe94IjhUuOc573ghMQ0lRLk5ZU0U6SUJNLklRX1BFTlNJT05fUVVBUlRfQURETF9DT05UUklCVVRJT05TX0VYUC4xOTkzLjA2LzAzLzIwMjYuLi5VU0QuSAEAAADetgEA</t>
  </si>
  <si>
    <t>AwAAAAAA8hr55M173giOFS45znveCDxDSVEuTllTRTpJQk0uSVFfUEVOU0lPTl9BQ0NSVUVEX0xJQUIuMTk5My4wNi8wMy8yMDI2Li4uVVNELkgBAAAA3rYBAAMAAAAAAPIa+eTNe94IjhUuOc573gg/Q0lRLk5ZU0U6SUJNLklRX1BFTlNJT05fVFJBTlNJVElPTl9ORVhULjE5OTMuMDYvMDMvMjAyNi4uLlVTRC5IAQAAAN62AQADAAAAAADyGvnkzXveCP36LTnOe94IOENJUS5OWVNFOklCTS5JUV9QRU5TSU9OX0JSRUFLRE9XTl9QQ1RfUkUuMTk5My4wNi8wMy8yMDI2AQAAAN62AQADAAAAAADyGvnkzXveCP36LTnOe94IPUNJUS5OWVNFOklCTS5JUV9QRU5TSU9OX0FTU0VUU19GWF9BREouMTk5My4wNi8wMy8yMDI2Li4uVVNELkgBAAAA3rYBAAMAAAAAAPIa+eTNe94IjhUuOc573ghNQ0lRLk5ZU0U6SUJNLklRX1BFTlNJT05fQVNTRVRTX0VNUExPWUVSX0NPTlRSSUJVVElPTlMuMTk5My4wNi8wMy8yMDI2Li4uVVNELkgBAAAA3rYBAAMAAAAAAPIa+eTNe94IjhUuOc573ghHQ0lRLk5ZU0U6SUJNLklRX1BFTlNJT05fT0JMSUdBVElPTl9TRVJWSUNFX0NPU1QuMTk5My4wNi8wMy8yMDI2Li4uVVNELkgBAAAA3rYBAAMAAAAAAPIa+eTNe94IjhUuOc573ggnQ0lRLk5ZU0U6SUJNLklRX0dBQVBfQlMuMTk5My4wNi8wMy8yMDI2AQAAAN62AQADAAAAB1VTIEdBQVAA8hr55M173giOFS45znveCDlDSVEuTllT</t>
  </si>
  <si>
    <t>RTpJQk0uSVFfT1BFQl9CUkVBS0RPV05fUkUuMTk5My4wNi8wMy8yMDI2Li4uVVNELkgBAAAA3rYBAAMAAAAAAPIa+eTNe94IjhUuOc573ghOQ0lRLk5ZU0U6SUJNLklRX09QRUJfT0JMSUdBVElPTl9FTVBMT1lFRV9DT05UUklCVVRJT05TLjE5OTMuMDYvMDMvMjAyNi4uLlVTRC5IAQAAAN62AQADAAAAAADyGvnkzXveCMw8LjnOe94IQkNJUS5OWVNFOklCTS5JUV9QRU5TSU9OX0FTU0VUU19DVVJUQUlMX0RPTS4xOTkzLjA2LzAzLzIwMjYuLi5VU0QuSAEAAADetgEAAwAAAAAA8hr55M173gjMPC45znveCENDSVEuTllTRTpJQk0uSVFfUEVOU0lPTl9PQkxJR0FUSU9OX1BBSURfRE9NLjE5OTMuMDYvMDMvMjAyNi4uLlVTRC5IAQAAAN62AQADAAAAAADyGvnkzXveCMw8LjnOe94IQkNJUS5OWVNFOklCTS5JUV9PUEVCX0FTU0VUU19PVEhFUl9QTEFOX0FESi4xOTkzLjA2LzAzLzIwMjYuLi5VU0QuSAEAAADetgEAAwAAAAAA8hr55M173gjMPC45znveCEZDSVEuTllTRTpJQk0uSVFfT1BFQl9PQkxJR0FUSU9OX09USEVSX1BMQU5fQURKLjE5OTMuMDYvMDMvMjAyNi4uLlVTRC5IAQAAAN62AQADAAAAAADyGvnkzXveCI4VLjnOe94IRENJUS5OWVNFOklCTS5JUV9QRU5TSU9OX1NFUlZJQ0VfQ09TVF9GT1JFSUdOLjE5OTMuMDYvMDMvMjAyNi4uLlVTRC5IAQAAAN62AQADAAAAAADyGvnkzXveCMw8LjnOe94I</t>
  </si>
  <si>
    <t>VkNJUS5OWVNFOklCTS5JUV9QRU5TSU9OX09CTElHQVRJT05fU1VQUExFX1BMQU5TX1RPVEFMX0NPU1RfRE9NLjE5OTMuMDYvMDMvMjAyNi4uLlVTRC5IAQAAAN62AQADAAAAAADe0wflzXveCMw8LjnOe94IQENJUS5OWVNFOklCTS5JUV9PUEVCX0RFQ1JFQVNFX0VGRkVDVF9QQk8uMTk5My4wNi8wMy8yMDI2Li4uVVNELkgBAAAA3rYBAAMAAAAAAPIa+eTNe94IzDwuOc573gg/Q0lRLk5ZU0U6SUJNLklRX09QRUJfUEJPX1JBVEVfQ09NUF9JTkNSRUFTRV9NSU4uMTk5My4wNi8wMy8yMDI2AQAAAN62AQADAAAAAADyGvnkzXveCMw8LjnOe94IPUNJUS5OWVNFOklCTS5JUV9PUEVCX0NJX1BSSU9SX1NFUlZJQ0UuMTk5My4wNi8wMy8yMDI2Li4uVVNELkgBAAAA3rYBAAMAAAAAAPIa+eTNe94IzDwuOc573gg4Q0lRLk5ZU0U6SUJNLklRX09QRUJfRVhQX1JBVEVfUkVUVVJOX01JTi4xOTkzLjA2LzAzLzIwMjYBAAAA3rYBAAMAAAAAAPIa+eTNe94IzDwuOc573ghEQ0lRLk5ZU0U6SUJNLklRX09QRUJfT0JMSUdBVElPTl9TRVJWSUNFX0NPU1QuMTk5My4wNi8wMy8yMDI2Li4uVVNELkgBAAAA3rYBAAMAAAAAAPIa+eTNe94IzDwuOc573ghFQ0lRLk5ZU0U6SUJNLklRX09QRUJfQVNTRVRTX0FDVFVBTF9SRVRVUk5fRE9NLjE5OTMuMDYvMDMvMjAyNi4uLlVTRC5IAQAAAN62AQADAAAAAADyGvnkzXveCMw8LjnO</t>
  </si>
  <si>
    <t>e94IPUNJUS5OWVNFOklCTS5JUV9QRU5TSU9OX0xUX0FTU0VUU19ET00uMTk5My4wNi8wMy8yMDI2Li4uVVNELkgBAAAA3rYBAAMAAAAAAPIa+eTNe94IzDwuOc573ghDQ0lRLk5ZU0U6SUJNLklRX1BFTlNJT05fRVNUX0JFTkVGSVRfNFlSX0RPTS4xOTkzLjA2LzAzLzIwMjYuLi5VU0QuSAEAAADetgEAAwAAAAAA8hr55M173gjMPC45znveCD9DSVEuTllTRTpJQk0uSVFfT1BFQl9IRUFMVEhfQ09TVF9UUkVORF9VTFRJTUFURS4xOTkzLjA2LzAzLzIwMjYBAAAA3rYBAAMAAAAAAPIa+eTNe94I1XcuOc573gg3Q0lRLk5ZU0U6SUJNLklRX09QRUJfQVNTRVRTX0JFRy4xOTkzLjA2LzAzLzIwMjYuLi5VU0QuSAEAAADetgEAAwAAAAAA8hr55M173gjMPC45znveCEBDSVEuTllTRTpJQk0uSVFfT1BFQl9CUkVBS0RPV05fT1RIRVJfRE9NLjE5OTMuMDYvMDMvMjAyNi4uLlVTRC5IAQAAAN62AQADAAAAAADyGvnkzXveCMw8LjnOe94IPUNJUS5OWVNFOklCTS5JUV9PUEVCX1BCT19BU1NVTUVEX1JBVEVfUkVUX01JTi4xOTkzLjA2LzAzLzIwMjYBAAAA3rYBAAMAAAAAAPIa+eTNe94IzDwuOc573gg3Q0lRLk5ZU0U6SUJNLklRX09QRUJfQVNTRVRTX0FDUS4xOTkzLjA2LzAzLzIwMjYuLi5VU0QuSAEAAADetgEAAwAAAAAA8hr55M173gjMPC45znveCDlDSVEuTllTRTpJQk0uSVFfT1BFQl9TRVJWSUNFX0NPU1Qu</t>
  </si>
  <si>
    <t>MTk5My4wNi8wMy8yMDI2Li4uVVNELkgBAAAA3rYBAAMAAAAAAPIa+eTNe94I1XcuOc573ghCQ0lRLk5ZU0U6SUJNLklRX1BFTlNJT05fT0JMSUdBVElPTl9BQ1FfRE9NLjE5OTMuMDYvMDMvMjAyNi4uLlVTRC5IAQAAAN62AQADAAAAAADyGvnkzXveCNV3LjnOe94ITENJUS5OWVNFOklCTS5JUV9QRU5TSU9OX09CTElHQVRJT05fSU5URVJFU1RfQ09TVF9ET00uMTk5My4wNi8wMy8yMDI2Li4uVVNELkgBAAAA3rYBAAMAAAAAAPIa+eTNe94I1XcuOc573gg5Q0lRLk5ZU0U6SUJNLklRX09QRUJfSU5UQU5fQVNTRVRTLjE5OTMuMDYvMDMvMjAyNi4uLlVTRC5IAQAAAN62AQADAAAAAADyGvnkzXveCNV3LjnOe94IPENJUS5OWVNFOklCTS5JUV9PUEVCX1RSQU5TSVRJT05fTkVYVC4xOTkzLjA2LzAzLzIwMjYuLi5VU0QuSAEAAADetgEAAwAAAAAA8hr55M173gjVdy45znveCDxDSVEuTllTRTpJQk0uSVFfT1BFQl9CUkVBS0RPV05fT1RIRVIuMTk5My4wNi8wMy8yMDI2Li4uVVNELkgBAAAA3rYBAAMAAAAAAPIa+eTNe94I1XcuOc573gg7Q0lRLk5ZU0U6SUJNLklRX09QRUJfUkFURV9DT01QX0lOQ1JFQVNFX01JTi4xOTkzLjA2LzAzLzIwMjYBAAAA3rYBAAMAAAAAAPIa+eTNe94I1XcuOc573gg3Q0lRLk5ZU0U6SUJNLklRX1BPU1RfUkVUSVJFX0VYUC4xOTkzLjA2LzAzLzIwMjYuLi5VU0QuSAEAAADetgEA</t>
  </si>
  <si>
    <t>AwAAAAAA8hr55M173gjVdy45znveCDdDSVEuTllTRTpJQk0uSVFfUEVOU0lPTl9MVF9MSUFCLjE5OTMuMDYvMDMvMjAyNi4uLlVTRC5IAQAAAN62AQADAAAAAADyGvnkzXveCNV3LjnOe94IQkNJUS5OWVNFOklCTS5JUV9QRU5TSU9OX1BCT19SQVRFX0NPTVBfSU5DUkVBU0VfTUFYLjE5OTMuMDYvMDMvMjAyNgEAAADetgEAAwAAAAAA8hr55M173gjVdy45znveCD9DSVEuTllTRTpJQk0uSVFfUEVOU0lPTl9CUkVBS0RPV05fT1RIRVIuMTk5My4wNi8wMy8yMDI2Li4uVVNELkgBAAAA3rYBAAMAAAAAAPIa+eTNe94IXp8uOc573ghJQ0lRLk5ZU0U6SUJNLklRX09QRUJfT0JMSUdBVElPTl9JTlRFUkVTVF9DT1NUX0RPTS4xOTkzLjA2LzAzLzIwMjYuLi5VU0QuSAEAAADetgEAAwAAAAAA8hr55M173gheny45znveCERDSVEuTllTRTpJQk0uSVFfUEVOU0lPTl9QQk9fQVNTVU1FRF9SQVRFX1JFVF9NQVhfRE9NLjE5OTMuMDYvMDMvMjAyNgEAAADetgEAAwAAAAAA8hr55M173gheny45znveCDlDSVEuTllTRTpJQk0uSVFfT1BFQl9QUkVQQUlEX0NPU1QuMTk5My4wNi8wMy8yMDI2Li4uVVNELkgBAAAA3rYBAAMAAAAAAPIa+eTNe94IXp8uOc573gg8Q0lRLk5ZU0U6SUJNLklRX09QRUJfRVNUX0JFTkVGSVRfNVlSLjE5OTMuMDYvMDMvMjAyNi4uLlVTRC5IAQAAAN62AQADAAAAAADyGvnkzXveCNV3LjnOe94I</t>
  </si>
  <si>
    <t>QkNJUS5OWVNFOklCTS5JUV9QRU5TSU9OX09CTElHQVRJT05fUk9BX0RPTS4xOTkzLjA2LzAzLzIwMjYuLi5VU0QuSAEAAADetgEAAwAAAAAA8hr55M173gheny45znveCEBDSVEuTllTRTpJQk0uSVFfUEVOU0lPTl9TRVJWSUNFX0NPU1RfRE9NLjE5OTMuMDYvMDMvMjAyNi4uLlVTRC5IAQAAAN62AQADAAAAAADyGvnkzXveCF6fLjnOe94INkNJUS5OWVNFOklCTS5JUV9PUEVCX09USEVSX0FESi4xOTkzLjA2LzAzLzIwMjYuLi5VU0QuSAEAAADetgEAAwAAAAAA8hr55M173gheny45znveCD9DSVEuTllTRTpJQk0uSVFfT1BFQl9QUklPUl9TRVJWSUNFX05FWFQuMTk5My4wNi8wMy8yMDI2Li4uVVNELkgBAAAA3rYBAAMAAAAAAPIa+eTNe94IXp8uOc573gg4Q0lRLk5ZU0U6SUJNLklRX09QRUJfRVhQX1JBVEVfUkVUVVJOX01BWC4xOTkzLjA2LzAzLzIwMjYBAAAA3rYBAAMAAAAAAPIa+eTNe94IXp8uOc573ghBQ0lRLk5ZU0U6SUJNLklRX09QRUJfQVNTRVRTX0JFTkVGSVRTX1BBSUQuMTk5My4wNi8wMy8yMDI2Li4uVVNELkgBAAAA3rYBAAMAAAAAAPIa+eTNe94IXp8uOc573ghFQ0lRLk5ZU0U6SUJNLklRX09QRUJfT0JMSUdBVElPTl9JTlRFUkVTVF9DT1NULjE5OTMuMDYvMDMvMjAyNi4uLlVTRC5IAQAAAN62AQADAAAAAADyGvnkzXveCF6fLjnOe94ITENJUS5OWVNFOklCTS5JUV9QRU5TSU9OX1FV</t>
  </si>
  <si>
    <t>QVJUX0VNUExPWUVSX0NPTlRSSUJVVElPTlMuMTk5My4wNi8wMy8yMDI2Li4uVVNELkgBAAAA3rYBAAMAAAAAAPIa+eTNe94IXp8uOc573gg8Q0lRLk5ZU0U6SUJNLklRX1BFTlNJT05fUFJFUEFJRF9DT1NULjE5OTMuMDYvMDMvMjAyNi4uLlVTRC5IAQAAAN62AQADAAAAAADyGvnkzXveCF6fLjnOe94IOENJUS5OWVNFOklCTS5JUV9QRU5TSU9OX0FDVF9ORVhULjE5OTMuMDYvMDMvMjAyNi4uLlVTRC5IAQAAAN62AQADAAAAAADyGvnkzXveCF6fLjnOe94IQUNJUS5OWVNFOklCTS5JUV9QRU5TSU9OX0NJX09USEVSX01JU0NfQURKLjE5OTMuMDYvMDMvMjAyNi4uLlVTRC5IAQAAAN62AQADAAAAAADyGvnkzXveCF6fLjnOe94IO0NJUS5OWVNFOklCTS5JUV9QRU5TSU9OX0VYUF9SQVRFX1JFVFVSTl9NSU4uMTk5My4wNi8wMy8yMDI2AQAAAN62AQADAAAAAADyGvnkzXveCF6fLjnOe94IRENJUS5OWVNFOklCTS5JUV9QRU5TSU9OX0FTU0VUU19BQ1RVQUxfUkVUVVJOLjE5OTMuMDYvMDMvMjAyNi4uLlVTRC5IAQAAAN62AQADAAAAAADyGvnkzXveCF6fLjnOe94IPkNJUS5OWVNFOklCTS5JUV9QRU5TSU9OX09CTElHQVRJT05fQkVHLjE5OTMuMDYvMDMvMjAyNi4uLlVTRC5IAQAAAN62AQADAAAAAADyGvnkzXveCF6fLjnOe94ILENJUS5OWVNFOklCTS5JUV9DQUxDX1RZUEVfQlMuMTk5My4wNi8wMy8yMDI2</t>
  </si>
  <si>
    <t>AQAAAN62AQADAAAAA1JVUADyGvnkzXveCF6fLjnOe94IO0NJUS5OWVNFOklCTS5JUV9JTlRFUkNPTVBBTllfTk9OX0NMLjE5OTMuMDYvMDMvMjAyNi4uLlVTRC5IAQAAAN62AQADAAAAAADyGvnkzXveCEDgLjnOe94IRUNJUS5OWVNFOklCTS5JUV9PUEVCX09CTElHQVRJT05fUFJPSkVDVEVEX0RPTS4xOTkzLjA2LzAzLzIwMjYuLi5VU0QuSAEAAADetgEAAwAAAAAA8hr55M173ghA4C45znveCD9DSVEuTllTRTpJQk0uSVFfUEVOU0lPTl9CUkVBS0RPV05fUENUX09USEVSX0RPTS4xOTkzLjA2LzAzLzIwMjYBAAAA3rYBAAMAAAAAAPIa+eTNe94IQOAuOc573gg6Q0lRLk5ZU0U6SUJNLklRX1BFTlNJT05fQVNTRVRTX0RPTS4xOTkzLjA2LzAzLzIwMjYuLi5VU0QuSAEAAADetgEAAwAAAAAA8hr55M173gheny45znveCD5DSVEuTllTRTpJQk0uSVFfUEVOU0lPTl9BU1NFVFNfQkVHX0RPTS4xOTkzLjA2LzAzLzIwMjYuLi5VU0QuSAEAAADetgEAAwAAAAAA8hr55M173gheny45znveCDxDSVEuTllTRTpJQk0uSVFfT1BFQl9FU1RfQkVORUZJVF8zWVIuMTk5My4wNi8wMy8yMDI2Li4uVVNELkgBAAAA3rYBAAMAAAAAAPIa+eTNe94IaPQuOc573gg5Q0lRLk5ZU0U6SUJNLklRX09QRUJfQlJFQUtET1dOX0ZJLjE5OTMuMDYvMDMvMjAyNi4uLlVTRC5IAQAAAN62AQADAAAAAADyGvnkzXveCGj0LjnOe94IP0NJ</t>
  </si>
  <si>
    <t>US5OWVNFOklCTS5JUV9PUEVCX09CTElHQVRJT05fQ1VSVEFJTC4xOTkzLjA2LzAzLzIwMjYuLi5VU0QuSAEAAADetgEAAwAAAAAA8hr55M173ghA4C45znveCD5DSVEuTllTRTpJQk0uSVFfUEVOU0lPTl9BU1NFVFNfQUNRX0RPTS4xOTkzLjA2LzAzLzIwMjYuLi5VU0QuSAEAAADetgEAAwAAAAAA8hr55M173ghA4C45znveCFFDSVEuTllTRTpJQk0uSVFfUEVOU0lPTl9BU1NFVFNfUEFSVElDSVBfQ09OVFJJQlVUSU9OU19ET00uMTk5My4wNi8wMy8yMDI2Li4uVVNELkgBAAAA3rYBAAMAAAAAAPIa+eTNe94IQOAuOc573ghbQ0lRLk5ZU0U6SUJNLklRX1BFTlNJT05fT0JMSUdBVElPTl9UT1RBTF9DT1NUX0lOQ0xfU1VQUExFX1BMQU5TX0RPTS4xOTkzLjA2LzAzLzIwMjYuLi5VU0QuSAEAAADetgEAAwAAAAAA8hr55M173gho9C45znveCD5DSVEuTllTRTpJQk0uSVFfT1BFQl9IRUFMVEhfQ09TVF9UUkVORF9JTklUSUFMLjE5OTMuMDYvMDMvMjAyNgEAAADetgEAAwAAAAAA8hr55M173gho9C45znveCE1DSVEuTllTRTpJQk0uSVFfT1BFQl9ERUNSRUFTRV9FRkZFQ1RfU0VSVklDRV9JTlRfQ09TVC4xOTkzLjA2LzAzLzIwMjYuLi5VU0QuSAEAAADetgEAAwAAAAAA8hr55M173gho9C45znveCD5DSVEuTllTRTpJQk0uSVFfT1BFQl9DSV9PVEhFUl9NSVNDX0FESi4xOTkzLjA2LzAzLzIwMjYuLi5VU0Qu</t>
  </si>
  <si>
    <t>SAEAAADetgEAAwAAAAAA8hr55M173gho9C45znveCEpDSVEuTllTRTpJQk0uSVFfT1BFQl9BU1NFVFNfRU1QTE9ZRVJfQ09OVFJJQlVUSU9OUy4xOTkzLjA2LzAzLzIwMjYuLi5VU0QuSAEAAADetgEAAwAAAAAA8hr55M173gho9C45znveCDlDSVEuTllTRTpJQk0uSVFfUEVOU0lPTl9ESVNDX1JBVEVfTUFYX0RPTS4xOTkzLjA2LzAzLzIwMjYBAAAA3rYBAAMAAAAAAPIa+eTNe94IaPQuOc573ghFQ0lRLk5ZU0U6SUJNLklRX1BFTlNJT05fT0JMSUdBVElPTl9GWF9BREpfRE9NLjE5OTMuMDYvMDMvMjAyNi4uLlVTRC5IAQAAAN62AQADAAAAAADyGvnkzXveCGj0LjnOe94IOENJUS5OWVNFOklCTS5JUV9PUEVCX0JSRUFLRE9XTl9QQ1RfT1RIRVIuMTk5My4wNi8wMy8yMDI2AQAAAN62AQADAAAAAADyGvnkzXveCGj0LjnOe94IPUNJUS5OWVNFOklCTS5JUV9QRU5TSU9OX0JFTkVGSVRfSU5GT19EQVRFX0RPTS4xOTkzLjA2LzAzLzIwMjYBAAAA3rYBAAMAAAAAAPIa+eTNe94IaPQuOc573ghDQ0lRLk5ZU0U6SUJNLklRX1BFTlNJT05fRVNUX0JFTkVGSVRfMllSX0RPTS4xOTkzLjA2LzAzLzIwMjYuLi5VU0QuSAEAAADetgEAAwAAAAAA8hr55M173gho9C45znveCERDSVEuTllTRTpJQk0uSVFfUEVOU0lPTl9DSV9ORVRfQU1UX1JFQ09HX0RPTS4xOTkzLjA2LzAzLzIwMjYuLi5VU0QuSAEAAADetgEAAwAA</t>
  </si>
  <si>
    <t>AAAA8hr55M173gho9C45znveCE9DSVEuTllTRTpJQk0uSVFfUEVOU0lPTl9BQ0NVTVVMQVRFRF9PQkxJR0FUSU9OX0RPTUVTVElDLjE5OTMuMDYvMDMvMjAyNi4uLlVTRC5IAQAAAN62AQADAAAAAADyGvnkzXveCGj0LjnOe94INENJUS5OWVNFOklCTS5JUV9PUEVCX0xUX0xJQUIuMTk5My4wNi8wMy8yMDI2Li4uVVNELkgBAAAA3rYBAAMAAAAAAPIa+eTNe94IaPQuOc573gg1Q0lRLk5ZU0U6SUJNLklRX09QRUJfQUNUX05FWFQuMTk5My4wNi8wMy8yMDI2Li4uVVNELkgBAAAA3rYBAAMAAAAAAPIa+eTNe94IaPQuOc573ghEQ0lRLk5ZU0U6SUJNLklRX09QRUJfU1VQUExFX1BMQU5TX1RPVEFMX0NPU1QuMTk5My4wNi8wMy8yMDI2Li4uVVNELkgBAAAA3rYBAAMAAAAAAPIa+eTNe94IoDIvOc573ggyQ0lRLk5ZU0U6SUJNLklRX1BFTlNJT05fQ0wuMTk5My4wNi8wMy8yMDI2Li4uVVNELkgBAAAA3rYBAAMAAAAAAPIa+eTNe94IoDIvOc573ghCQ0lRLk5ZU0U6SUJNLklRX1BFTlNJT05fUEJPX1JBVEVfQ09NUF9JTkNSRUFTRV9NSU4uMTk5My4wNi8wMy8yMDI2AQAAAN62AQADAAAAAADyGvnkzXveCKAyLznOe94IQENJUS5OWVNFOklCTS5JUV9QRU5TSU9OX0FNVF9SRUNPR19QRVJJT0QuMTk5My4wNi8wMy8yMDI2Li4uVVNELkgBAAAA3rYBAAMAAAAAAPIa+eTNe94IaPQuOc573gg7Q0lRLk5ZU0U6SUJN</t>
  </si>
  <si>
    <t>LklRX1BFTlNJT05fQlJFQUtET1dOX1BDVF9PVEhFUi4xOTkzLjA2LzAzLzIwMjYBAAAA3rYBAAMAAAAAAPIa+eTNe94IaPQuOc573gg6Q0lRLk5ZU0U6SUJNLklRX1BFTlNJT05fQVNTRVRTX0FDUS4xOTkzLjA2LzAzLzIwMjYuLi5VU0QuSAEAAADetgEAAwAAAAAA8hr55M173gigMi85znveCD9DSVEuTllTRTpJQk0uSVFfUEVOU0lPTl9PQkxJR0FUSU9OX1BBSUQuMTk5My4wNi8wMy8yMDI2Li4uVVNELkgBAAAA3rYBAAMAAAAAAPIa+eTNe94IoDIvOc573gg8Q0lRLk5ZU0U6SUJNLklRX1BFTlNJT05fU0VSVklDRV9DT1NULjE5OTMuMDYvMDMvMjAyNi4uLlVTRC5IAQAAAN62AQADAAAAAADyGvnkzXveCKAyLznOe94ILENJUS5OWVNFOklCTS5JUV9BVURJVE9SX05BTUUuMTk5My4wNi8wMy8yMDI2AQAAAN62AQADAAAAAADyGvnkzXveCKAyLznOe94IOkNJUS5OWVNFOklCTS5JUV9MVF9NQVJLX1NFQ1VSSVRJRVMuMTk5My4wNi8wMy8yMDI2Li4uVVNELkgBAAAA3rYBAAMAAAAAAPIa+eTNe94IoDIvOc573gg8Q0lRLk5ZU0U6SUJNLklRX1dBUlJBTlRZX0xJQUJJTElUSUVTLjE5OTMuMDYvMDMvMjAyNi4uLlVTRC5IAQAAAN62AQADAAAAAADyGvnkzXveCKAyLznOe94IQENJUS5OWVNFOklCTS5JUV9QRU5TSU9OX0FDQ1JVRURfTElBQl9ET00uMTk5My4wNi8wMy8yMDI2Li4uVVNELkgBAAAA3rYBAAMA</t>
  </si>
  <si>
    <t>AAAAAPIa+eTNe94IoDIvOc573ghBQ0lRLk5ZU0U6SUJNLklRX1BFTlNJT05fSU5URVJFU1RfQ09TVF9ET00uMTk5My4wNi8wMy8yMDI2Li4uVVNELkgBAAAA3rYBAAMAAAAAAPIa+eTNe94IoDIvOc573gg6Q0lRLk5ZU0U6SUJNLklRX09QRUJfVU5SRUNPR19QUklPUi4xOTkzLjA2LzAzLzIwMjYuLi5VU0QuSAEAAADetgEAAwAAAAAA8hr55M173gigMi85znveCD1DSVEuTllTRTpJQk0uSVFfT1BFQl9DSV9ORVRfQU1UX1JFQ09HLjE5OTMuMDYvMDMvMjAyNi4uLlVTRC5IAQAAAN62AQADAAAAAADyGvnkzXveCKAyLznOe94INUNJUS5OWVNFOklCTS5JUV9PUEVCX0JSRUFLRE9XTl9QQ1RfRkkuMTk5My4wNi8wMy8yMDI2AQAAAN62AQADAAAAAADyGvnkzXveCKAyLznOe94ISkNJUS5OWVNFOklCTS5JUV9PUEVCX0FTU0VUU19QQVJUSUNJUF9DT05UUklCVVRJT05TLjE5OTMuMDYvMDMvMjAyNi4uLlVTRC5IAQAAAN62AQADAAAAAADyGvnkzXveCKAyLznOe94ISUNJUS5OWVNFOklCTS5JUV9QRU5TSU9OX09CTElHQVRJT05fT1RIRVJfQ09TVF9ET00uMTk5My4wNi8wMy8yMDI2Li4uVVNELkgBAAAA3rYBAAMAAAAAAPIa+eTNe94IoDIvOc573gg2Q0lRLk5ZU0U6SUJNLklRX09QRUJfQkVORUZJVF9JTkZPX0RBVEUuMTk5My4wNi8wMy8yMDI2AQAAAN62AQADAAAAAADyGvnkzXveCKAyLznOe94IQENJUS5O</t>
  </si>
  <si>
    <t>WVNFOklCTS5JUV9PUEVCX0lOQ1JFQVNFX0VGRkVDVF9QQk8uMTk5My4wNi8wMy8yMDI2Li4uVVNELkgBAAAA3rYBAAMAAAAAAPIa+eTNe94ICW4vOc573gg8Q0lRLk5ZU0U6SUJNLklRX09QRUJfRVNUX0JFTkVGSVRfMllSLjE5OTMuMDYvMDMvMjAyNi4uLlVTRC5IAQAAAN62AQADAAAAAADyGvnkzXveCAluLznOe94IM0NJUS5OWVNFOklCTS5JUV9PUEVCX0FTU0VUUy4xOTkzLjA2LzAzLzIwMjYuLi5VU0QuSAEAAADetgEAAwAAAAAA8hr55M173ggJbi85znveCEhDSVEuTllTRTpJQk0uSVFfUEVOU0lPTl9FU1RfQ09OVFJJQlVUSU9OU19ORVhUWVIuMTk5My4wNi8wMy8yMDI2Li4uVVNELkgBAAAA3rYBAAMAAAAAAPIa+eTNe94IoDIvOc573gg5Q0lRLk5ZU0U6SUJNLklRX1BFTlNJT05fT1RIRVJfQURKLjE5OTMuMDYvMDMvMjAyNi4uLlVTRC5IAQAAAN62AQADAAAAAADyGvnkzXveCKAyLznOe94IP0NJUS5OWVNFOklCTS5JUV9QRU5TSU9OX0VTVF9CRU5FRklUXzNZUi4xOTkzLjA2LzAzLzIwMjYuLi5VU0QuSAEAAADetgEAAwAAAAAA8hr55M173ghcgi85znveCD1DSVEuTllTRTpJQk0uSVFfUEVOU0lPTl9DSV9UUkFOU0lUSU9OLjE5OTMuMDYvMDMvMjAyNi4uLlVTRC5IAQAAAN62AQADAAAAAADyGvnkzXveCFyCLznOe94IOUNJUS5OWVNFOklCTS5JUV9PUEVCX0JSRUFLRE9XTl9QQ1RfRVFfRE9N</t>
  </si>
  <si>
    <t>LjE5OTMuMDYvMDMvMjAyNgEAAADetgEAAwAAAAAA8hr55M173ggJbi85znveCD9DSVEuTllTRTpJQk0uSVFfT1BFQl9PQkxJR0FUSU9OX0FDUV9ET00uMTk5My4wNi8wMy8yMDI2Li4uVVNELkgBAAAA3rYBAAMAAAAAAPIa+eTNe94ICW4vOc573ghKQ0lRLk5ZU0U6SUJNLklRX1BFTlNJT05fVU5GVU5ERURfQURETF9NSU5fTElBQl9ET00uMTk5My4wNi8wMy8yMDI2Li4uVVNELkgBAAAA3rYBAAMAAAAAAPIa+eTNe94ICW4vOc573ghAQ0lRLk5ZU0U6SUJNLklRX1BFTlNJT05fUFJFUEFJRF9DT1NUX0RPTS4xOTkzLjA2LzAzLzIwMjYuLi5VU0QuSAEAAADetgEAAwAAAAAA8hr55M173ghcgi85znveCDlDSVEuTllTRTpJQk0uSVFfT1BFQl9CUkVBS0RPV05fRVEuMTk5My4wNi8wMy8yMDI2Li4uVVNELkgBAAAA3rYBAAMAAAAAAPIa+eTNe94IXIIvOc573gg7Q0lRLk5ZU0U6SUJNLklRX09QRUJfT0JMSUdBVElPTl9BQ1EuMTk5My4wNi8wMy8yMDI2Li4uVVNELkgBAAAA3rYBAAMAAAAAAPIa+eTNe94IXIIvOc573gg3Q0lRLk5ZU0U6SUJNLklRX09QRUJfT1RIRVJfQ09TVC4xOTkzLjA2LzAzLzIwMjYuLi5VU0QuSAEAAADetgEAAwAAAAAA8hr55M173ghcgi85znveCDlDSVEuTllTRTpJQk0uSVFfUEVOU0lPTl9CRU5FRklUX0lORk9fREFURS4xOTkzLjA2LzAzLzIwMjYBAAAA3rYBAAMAAAAAAPIa+eTN</t>
  </si>
  <si>
    <t>e94IXIIvOc573ghCQ0lRLk5ZU0U6SUJNLklRX1BFTlNJT05fUkFURV9DT01QX0lOQ1JFQVNFX01BWF9ET00uMTk5My4wNi8wMy8yMDI2AQAAAN62AQADAAAAAADyGvnkzXveCFyCLznOe94IP0NJUS5OWVNFOklCTS5JUV9PUEVCX1BCT19SQVRFX0NPTVBfSU5DUkVBU0VfTUFYLjE5OTMuMDYvMDMvMjAyNgEAAADetgEAAwAAAAAA8hr55M173ghcgi85znveCDpDSVEuTllTRTpJQk0uSVFfT1BFQl9DSV9UUkFOU0lUSU9OLjE5OTMuMDYvMDMvMjAyNi4uLlVTRC5IAQAAAN62AQADAAAAAADyGvnkzXveCFyCLznOe94IQUNJUS5OWVNFOklCTS5JUV9PUEVCX0FTU0VUU19BQ1RVQUxfUkVUVVJOLjE5OTMuMDYvMDMvMjAyNi4uLlVTRC5IAQAAAN62AQADAAAAAADyGvnkzXveCFyCLznOe94IPkNJUS5OWVNFOklCTS5JUV9QRU5TSU9OX0FDQ1VNX09USEVSX0NJLjE5OTMuMDYvMDMvMjAyNi4uLlVTRC5IAQAAAN62AQADAAAAAADyGvnkzXveCNypLznOe94IRUNJUS5OWVNFOklCTS5JUV9QRU5TSU9OX0NJX09USEVSX01JU0NfQURKX0RPTS4xOTkzLjA2LzAzLzIwMjYuLi5VU0QuSAEAAADetgEAAwAAAAAA8hr55M173gjcqS85znveCElDSVEuTllTRTpJQk0uSVFfUEVOU0lPTl9BU1NFVFNfT1RIRVJfUExBTl9BREpfRE9NLjE5OTMuMDYvMDMvMjAyNi4uLlVTRC5IAQAAAN62AQADAAAAAADyGvnkzXveCNypLznO</t>
  </si>
  <si>
    <t>e94INUNJUS5OWVNFOklCTS5JUV9PUEVCX0JSRUFLRE9XTl9QQ1RfUkUuMTk5My4wNi8wMy8yMDI2AQAAAN62AQADAAAAAADyGvnkzXveCFyCLznOe94IO0NJUS5OWVNFOklCTS5JUV9PUEVCX0FTU0VUU19DVVJUQUlMLjE5OTMuMDYvMDMvMjAyNi4uLlVTRC5IAQAAAN62AQADAAAAAADyGvnkzXveCFyCLznOe94IRkNJUS5OWVNFOklCTS5JUV9QRU5TSU9OX0VTVF9CRU5FRklUX0FGVEVSNV9ET00uMTk5My4wNi8wMy8yMDI2Li4uVVNELkgBAAAA3rYBAAMAAAAAAPIa+eTNe94I3KkvOc573gg8Q0lRLk5ZU0U6SUJNLklRX09QRUJfT0JMSUdBVElPTl9QQUlELjE5OTMuMDYvMDMvMjAyNi4uLlVTRC5IAQAAAN62AQADAAAAAADyGvnkzXveCNypLznOe94IP0NJUS5OWVNFOklCTS5JUV9QRU5TSU9OX05FVF9BU1NFVF9SRUNPRy4xOTkzLjA2LzAzLzIwMjYuLi5VU0QuSAEAAADetgEAAwAAAAAA8hr55M173gjcqS85znveCENDSVEuTllTRTpJQk0uSVFfUEVOU0lPTl9UUkFOU0lUSU9OX05FWFRfRE9NLjE5OTMuMDYvMDMvMjAyNi4uLlVTRC5IAQAAAN62AQADAAAAAADyGvnkzXveCNypLznOe94IQENJUS5OWVNFOklCTS5JUV9QRU5TSU9OX0JSRUFLRE9XTl9GSV9ET00uMTk5My4wNi8wMy8yMDI2Li4uVVNELkgBAAAA3rYBAAMAAAAAAPIa+eTNe94I3KkvOc573ggvQ0lRLk5ZU0U6SUJNLklRX09QRUJfQ0wu</t>
  </si>
  <si>
    <t>MTk5My4wNi8wMy8yMDI2Li4uVVNELkgBAAAA3rYBAAMAAAAAAPIa+eTNe94ItNAvOc573gg7Q0lRLk5ZU0U6SUJNLklRX09QRUJfQU1UX1JFQ09HX05FWFQuMTk5My4wNi8wMy8yMDI2Li4uVVNELkgBAAAA3rYBAAMAAAAAAPIa+eTNe94I3KkvOc573ggyQ0lRLk5ZU0U6SUJNLklRX09QRUJfRElTQ19SQVRFX01JTi4xOTkzLjA2LzAzLzIwMjYBAAAA3rYBAAMAAAAAAPIa+eTNe94I3KkvOc573ghDQ0lRLk5ZU0U6SUJNLklRX09QRUJfT0JMSUdBVElPTl9BQ0NVTVVMQVRFRC4xOTkzLjA2LzAzLzIwMjYuLi5VU0QuSAEAAADetgEAAwAAAAAA8hr55M173gjcqS85znveCElDSVEuTllTRTpJQk0uSVFfUEVOU0lPTl9PQkxJR0FUSU9OX09USEVSX1BMQU5fQURKLjE5OTMuMDYvMDMvMjAyNi4uLlVTRC5IAQAAAN62AQADAAAAAADyGvnkzXveCNypLznOe94IMENJUS5OWVNFOklCTS5JUV9HUk9TU19HVy4xOTkzLjA2LzAzLzIwMjYuLi5VU0QuSAEAAADetgEAAwAAAAAA8hr55M173gi00C85znveCDtDSVEuTllTRTpJQk0uSVFfU1RfREVCVF9ERVJJVkFUSVZFUy4xOTkzLjA2LzAzLzIwMjYuLi5VU0QuSAEAAADetgEAAwAAAAAA8hr55M173gi00C85znveCENDSVEuTllTRTpJQk0uSVFfUkVTVFJJQ1RFRF9DQVNIX05PTl9DVVJSRU5ULjE5OTMuMDYvMDMvMjAyNi4uLlVTRC5IAQAAAN62AQADAAAAAADyGvnk</t>
  </si>
  <si>
    <t>zXveCLTQLznOe94IOkNJUS5OWVNFOklCTS5JUV9PUEVCX0FTU0VUU19GWF9BREouMTk5My4wNi8wMy8yMDI2Li4uVVNELkgBAAAA3rYBAAMAAAAAAPIa+eTNe94ItNAvOc573ghLQ0lRLk5ZU0U6SUJNLklRX09QRUJfT0JMSUdBVElPTl9BQ1RVQVJJQUxfR0FJTl9MT1NTLjE5OTMuMDYvMDMvMjAyNi4uLlVTRC5IAQAAAN62AQADAAAAAADyGvnkzXveCLTQLznOe94IOUNJUS5OWVNFOklCTS5JUV9QRU5TSU9OX1RPVEFMX0VYUC4xOTkzLjA2LzAzLzIwMjYuLi5VU0QuSAEAAADetgEAAwAAAAAA8hr55M173gi00C85znveCDdDSVEuTllTRTpJQk0uSVFfUEVOU0lPTl9VVl9MSUFCLjE5OTMuMDYvMDMvMjAyNi4uLlVTRC5IAQAAAN62AQADAAAAAADyGvnkzXveCLTQLznOe94IQENJUS5OWVNFOklCTS5JUV9QRU5TSU9OX0NJX1BSSU9SX1NFUlZJQ0UuMTk5My4wNi8wMy8yMDI2Li4uVVNELkgBAAAA3rYBAAMAAAAAAPIa+eTNe94ItNAvOc573gg6Q0lRLk5ZU0U6SUJNLklRX0ZJTl9ESVZfREVCVF9UT1RBTC4xOTkzLjA2LzAzLzIwMjYuLi5VU0QuSAEAAADetgEAAgAAAAQ5OTIxAQgAAAAFAAAAATEBAAAACy0xOTQ4ODM3NTE1AwAAAAMxNjACAAAABTI0NTE2BAAAAAEwBwAAAAgzLzYvMjAyNggAAAAJMy8zMS8yMDI0CQAAAAEw8hr55M173gi00C85znveCDFDSVEuTllTRTpJQk0uSVFfTlVNQkVSX0FEUkhP</t>
  </si>
  <si>
    <t>TERFUlMuMTk5My4wNi8wMy8yMDI2AQAAAN62AQADAAAAAADyGvnkzXveCLTQLznOe94IOUNJUS5OWVNFOklCTS5JUV9BU1NFVFNfRkFJUl9WQUxVRS4xOTkzLjA2LzAzLzIwMjYuLi5VU0QuSAEAAADetgEAAgAAAAUxMjU3OQDyGvnkzXveCL33LznOe94IQUNJUS5OWVNFOklCTS5JUV9GSU5fRElWX01JTk9SSVRZX0lOVEVSRVNULjE5OTMuMDYvMDMvMjAyNi4uLlVTRC5IAQAAAN62AQADAAAAAADyGvnkzXveCL33LznOe94IL0NJUS5OWVNFOklCTS5JUV9XSVBfSU5WLjE5OTMuMDYvMDMvMjAyNi4uLlVTRC5IAQAAAN62AQACAAAABDEwODEBCAAAAAUAAAABMQEAAAALLTE5NDg4Mzc1MTUDAAAAAzE2MAIAAAAEMzIxOQQAAAABMAcAAAAIMy82LzIwMjYIAAAACTMvMzEvMjAyNAkAAAABMPIa+eTNe94IvfcvOc573gg6Q0lRLk5ZU0U6SUJNLklRX1RPVEFMX0RFQlRfQ1VSUkVOVC4xOTkzLjA2LzAzLzIwMjYuLi5VU0QuSAEAAADetgEAAgAAAAQ2MjU1AQgAAAAFAAAAATEBAAAACy0xOTQ4ODM3NTE1AwAAAAMxNjACAAAABTI1MjIzBAAAAAEwBwAAAAgzLzYvMjAyNggAAAAJMy8zMS8yMDI0CQAAAAEw8hr55M173gi00C85znveCDBDSVEuTllTRTpJQk0uSVFfR1dfSU5UQU4uMTk5My4wNi8wMy8yMDI2Li4uVVNELkgBAAAA3rYBAAIAAAAFNzAyODQBCAAAAAUAAAABMQEAAAALLTE5NDg4Mzc1MTUDAAAAAzE2</t>
  </si>
  <si>
    <t>MAIAAAAFMzUzODEEAAAAATAHAAAACDMvNi8yMDI2CAAAAAkzLzMxLzIwMjQJAAAAATDyGvnkzXveCLTQLznOe94IUENJUS5OWVNFOklCTS5JUV9GSU5BTkNJTkdfT0JMSUdfQ1VSUkVOVF9FWENMX09QRVJfTEVBU0VTLjE5OTMuMDYvMDMvMjAyNi4uLlVTRC5IAQAAAN62AQACAAAABDU0NzEBCAAAAAUAAAABMQEAAAALLTE5NDg4Mzc1MTUDAAAAAzE2MAIAAAAFNDg5ODAEAAAAATAHAAAACDMvNi8yMDI2CAAAAAkzLzMxLzIwMjQJAAAAATDyGvnkzXveCL33LznOe94IQUNJUS5OWVNFOklCTS5JUV9SVUFfT1BFUkFUSU5HX0xFQVNFX0dST1NTLjE5OTMuMDYvMDMvMjAyNi4uLlVTRC5IAQAAAN62AQACAAAABDMyMDQBCAAAAAUAAAABMQEAAAALLTE5NDg4Mzc1MTUDAAAAAzE2MAIAAAAFNDgzNzcEAAAAATAHAAAACDMvNi8yMDI2CAAAAAkzLzMxLzIwMjQJAAAAATDyGvnkzXveCL33LznOe94IKkNJUS5OWVNFOklCTS5JUV9SRS4xOTkzLjA2LzAzLzIwMjYuLi5VU0QuSAEAAADetgEAAgAAAAYxNTEzNjIBCAAAAAUAAAABMQEAAAALLTE5NDg4Mzc1MTUDAAAAAzE2MAIAAAAEMTIyMgQAAAABMAcAAAAIMy82LzIwMjYIAAAACTMvMzEvMjAyNAkAAAABMPIa+eTNe94IvfcvOc573gg3Q0lRLk5ZU0U6SUJNLklRX0ZJTl9ESVZfTElBQl9MVC4xOTkzLjA2LzAzLzIwMjYuLi5VU0QuSAEAAADetgEAAwAAAAAA8hr5</t>
  </si>
  <si>
    <t>5M173gi99y85znveCC9DSVEuTllTRTpJQk0uSVFfTFRfREVCVC4xOTkzLjA2LzAzLzIwMjYuLi5VU0QuSAEAAADetgEAAgAAAAU1MzMyOAEIAAAABQAAAAExAQAAAAstMTk0ODgzNzUxNQMAAAADMTYwAgAAAAQxMDQ5BAAAAAEwBwAAAAgzLzYvMjAyNggAAAAJMy8zMS8yMDI0CQAAAAEw8hr55M173gi99y85znveCDRDSVEuTllTRTpJQk0uSVFfVE9UQUxfQVNTRVRTLjE5OTMuMDYvMDMvMjAyNi4uLlVTRC5IAQAAAN62AQACAAAABjEzNzE2OQEIAAAABQAAAAExAQAAAAstMTk0ODgzNzUxNQMAAAADMTYwAgAAAAQxMDA3BAAAAAEwBwAAAAgzLzYvMjAyNggAAAAJMy8zMS8yMDI0CQAAAAEw8hr55M173gi99y85znveCEBDSVEuTllTRTpJQk0uSVFfUEVOU0lPTl9QQk9fQVNTVU1FRF9SQVRFX1JFVF9NSU4uMTk5My4wNi8wMy8yMDI2AQAAAN62AQADAAAAAADyGvnkzXveCL33LznOe94IO0NJUS5OWVNFOklCTS5JUV9QRU5TSU9OX0VYUF9SQVRFX1JFVFVSTl9NQVguMTk5My4wNi8wMy8yMDI2AQAAAN62AQADAAAAAADyGvnkzXveCL33LznOe94IPkNJUS5OWVNFOklCTS5JUV9QRU5TSU9OX0FTU0VUU19DVVJUQUlMLjE5OTMuMDYvMDMvMjAyNi4uLlVTRC5IAQAAAN62AQADAAAAAADyGvnkzXveCL33LznOe94IRkNJUS5OWVNFOklCTS5JUV9QRU5TSU9OX0FDQ1VNVUxBVEVEX09CTElHQVRJT04uMTk5My4w</t>
  </si>
  <si>
    <t>Ni8wMy8yMDI2Li4uVVNELkgBAAAA3rYBAAMAAAAAAPIa+eTNe94IvfcvOc573gg/Q0lRLk5ZU0U6SUJNLklRX0RFUklWQVRJVkVfTElBQl9DVVJSRU5ULjE5OTMuMDYvMDMvMjAyNi4uLlVTRC5IAQAAAN62AQACAAAAAjk1AQgAAAAFAAAAATEBAAAACy0xOTQ4ODM3NTE1AwAAAAMxNjACAAAABTQwNDE3BAAAAAEwBwAAAAgzLzYvMjAyNggAAAAJMy8zMS8yMDI0CQAAAAEw8hr55M173gjNHjA5znveCEJDSVEuTllTRTpJQk0uSVFfUEVOU0lPTl9FU1RfQkVORUZJVF9BRlRFUjUuMTk5My4wNi8wMy8yMDI2Li4uVVNELkgBAAAA3rYBAAMAAAAAAPIa+eTNe94IzR4wOc573gg8Q0lRLk5ZU0U6SUJNLklRX1BFTlNJT05fQlJFQUtET1dOX1JFLjE5OTMuMDYvMDMvMjAyNi4uLlVTRC5IAQAAAN62AQADAAAAAADyGvnkzXveCM0eMDnOe94IRENJUS5OWVNFOklCTS5JUV9QRU5TSU9OX0FTU0VUU19CRU5FRklUU19QQUlELjE5OTMuMDYvMDMvMjAyNi4uLlVTRC5IAQAAAN62AQADAAAAAADyGvnkzXveCM0eMDnOe94IQUNJUS5OWVNFOklCTS5JUV9QRU5TSU9OX09CTElHQVRJT05fRlhfQURKLjE5OTMuMDYvMDMvMjAyNi4uLlVTRC5IAQAAAN62AQADAAAAAADyGvnkzXveCM0eMDnOe94IPkNJUS5OWVNFOklCTS5JUV9QRU5TSU9OX09CTElHQVRJT05fUk9BLjE5OTMuMDYvMDMvMjAyNi4uLlVTRC5IAQAAAN62AQAD</t>
  </si>
  <si>
    <t>AAAAAADyGvnkzXveCM0eMDnOe94IPUNJUS5OWVNFOklCTS5JUV9ERUJUX0VRVUlWX09QRVJfTEVBU0UuMTk5My4wNi8wMy8yMDI2Li4uVVNELkgBAAAA3rYBAAMAAAAAAPIa+eTNe94IzR4wOc573ggpQ0lRLk5ZU0U6SUJNLklRX0ZVTExfVElNRS4xOTkzLjA2LzAzLzIwMjYBAAAA3rYBAAMAAAAAAPIa+eTNe94IzR4wOc573ghOQ0lRLk5ZU0U6SUJNLklRX0xJUVVJREFUSU9OX1ZBTFVFX1BSRUZFUlJFRF9OT05fUkVERUVNLjE5OTMuMDYvMDMvMjAyNi4uLlVTRC5IAQAAAN62AQADAAAAAADyGvnkzXveCM0eMDnOe94IPkNJUS5OWVNFOklCTS5JUV9OQVRVUkFMX1JFU09VUkNFU19DT1NULjE5OTMuMDYvMDMvMjAyNi4uLlVTRC5IAQAAAN62AQADAAAAAADyGvnkzXveCM0eMDnOe94IMUNJUS5OWVNFOklCTS5JUV9CVUlMRElOR1MuMTk5My4wNi8wMy8yMDI2Li4uVVNELkgBAAAA3rYBAAMAAAAAAPIa+eTNe94I20UwOc573ggxQ0lRLk5ZU0U6SUJNLklRX1RPVEFMX0NBUC4xOTkzLjA2LzAzLzIwMjYuLi5VU0QuSAEAAADetgEAAgAAAAU4NjIwNAEIAAAABQAAAAExAQAAAAstMTk0ODgzNzUxNQMAAAADMTYwAgAAAAQ0MTc1BAAAAAEwBwAAAAgzLzYvMjAyNggAAAAJMy8zMS8yMDI0CQAAAAEw8hr55M173gjbRTA5znveCEJDSVEuTllTRTpJQk0uSVFfUEVOU0lPTl9QUklPUl9TRVJWSUNFX05FWFQuMTk5</t>
  </si>
  <si>
    <t>My4wNi8wMy8yMDI2Li4uVVNELkgBAAAA3rYBAAMAAAAAAPIa+eTNe94IzR4wOc573ghFQ0lRLk5ZU0U6SUJNLklRX1BFTlNJT05fT0JMSUdBVElPTl9UT1RBTF9DT1NULjE5OTMuMDYvMDMvMjAyNi4uLlVTRC5IAQAAAN62AQADAAAAAADyGvnkzXveCM0eMDnOe94IRUNJUS5OWVNFOklCTS5JUV9DVVJSRU5UX1BPUlRfREVCVF9ERVJJVkFUSVZFUy4xOTkzLjA2LzAzLzIwMjYuLi5VU0QuSAEAAADetgEAAwAAAAAA8hr55M173gjNHjA5znveCDlDSVEuTllTRTpJQk0uSVFfUEVOU0lPTl9MVF9BU1NFVFMuMTk5My4wNi8wMy8yMDI2Li4uVVNELkgBAAAA3rYBAAMAAAAAAPIa+eTNe94I20UwOc573gg/Q0lRLk5ZU0U6SUJNLklRX1BFTlNJT05fRVNUX0JFTkVGSVRfMVlSLjE5OTMuMDYvMDMvMjAyNi4uLlVTRC5IAQAAAN62AQADAAAAAADyGvnkzXveCNtFMDnOe94IQkNJUS5OWVNFOklCTS5JUV9QRU5TSU9OX09CTElHQVRJT05fQ1VSVEFJTC4xOTkzLjA2LzAzLzIwMjYuLi5VU0QuSAEAAADetgEAAwAAAAAA8hr55M173gjbRTA5znveCFFDSVEuTllTRTpJQk0uSVFfUEVOU0lPTl9PQkxJR0FUSU9OX0VNUExPWUVFX0NPTlRSSUJVVElPTlMuMTk5My4wNi8wMy8yMDI2Li4uVVNELkgBAAAA3rYBAAMAAAAAAPIa+eTNe94I20UwOc573gg9Q0lRLk5ZU0U6SUJNLklRX0FEVkFOQ0VTX0ZPUl9TVVBQTElFUy4x</t>
  </si>
  <si>
    <t>OTkzLjA2LzAzLzIwMjYuLi5VU0QuSAEAAADetgEAAwAAAAAA8hr55M173gjbRTA5znveCD1DSVEuTllTRTpJQk0uSVFfRklOX0RJVl9MVF9ERUJUX1RPVEFMLjE5OTMuMDYvMDMvMjAyNi4uLlVTRC5IAQAAAN62AQACAAAABDk5MjEBCAAAAAUAAAABMQEAAAALLTE5NDg4Mzc1MTUDAAAAAzE2MAIAAAAFMjQ1MTUEAAAAATAHAAAACDMvNi8yMDI2CAAAAAkzLzMxLzIwMjQJAAAAATDyGvnkzXveCNtFMDnOe94IO0NJUS5OWVNFOklCTS5JUV9MSUFCSUxJVElFU19MRVZFTF8xLjE5OTMuMDYvMDMvMjAyNi4uLlVTRC5IAQAAAN62AQADAAAAAADyGvnkzXveCNtFMDnOe94INkNJUS5OWVNFOklCTS5JUV9BU1NFVFNfTEVWRUxfMy4xOTkzLjA2LzAzLzIwMjYuLi5VU0QuSAEAAADetgEAAwAAAAAA8hr55M173gjbRTA5znveCDtDSVEuTllTRTpJQk0uSVFfT1BFQl9PQkxJR0FUSU9OX0JFRy4xOTkzLjA2LzAzLzIwMjYuLi5VU0QuSAEAAADetgEAAwAAAAAA8hr55M173gjbRTA5znveCD9DSVEuTllTRTpJQk0uSVFfUEVOU0lPTl9FU1RfQkVORUZJVF81WVIuMTk5My4wNi8wMy8yMDI2Li4uVVNELkgBAAAA3rYBAAMAAAAAAPIa+eTNe94I20UwOc573gg8Q0lRLk5ZU0U6SUJNLklRX1BFTlNJT05fQlJFQUtET1dOX0ZJLjE5OTMuMDYvMDMvMjAyNi4uLlVTRC5IAQAAAN62AQADAAAAAADyGvnkzXveCAFtMDnOe94I</t>
  </si>
  <si>
    <t>R0NJUS5OWVNFOklCTS5JUV9QRU5TSU9OX0NPTlRSSUJVVElPTl9UT1RBTF9DT1NULjE5OTMuMDYvMDMvMjAyNi4uLlVTRC5IAQAAAN62AQADAAAAAADyGvnkzXveCAFtMDnOe94IKkNJUS5OWVNFOklCTS5JUV9QRVJJT0REQVRFLjE5OTMuMDYvMDMvMjAyNgEAAADetgEABQAAAAozMS8wMy8yMDI0AN7TB+XNe94II+s1Oc573gg2Q0lRLk5ZU0U6SUJNLklRX0FDQ1VNX0FNT1JUX0dXLjE5OTMuMDYvMDMvMjAyNi4uLlVTRC5IAQAAAN62AQADAAAAAADyGvnkzXveCNtFMDnOe94IQENJUS5OWVNFOklCTS5JUV9BQ0NVTV9BTU9SVF9JTlRBTl9BU1NFVFMuMTk5My4wNi8wMy8yMDI2Li4uVVNELkgBAAAA3rYBAAIAAAAFLTY4NTMBCAAAAAUAAAABMQEAAAALLTE5NDg4Mzc1MTUDAAAAAzE2MAIAAAAFMjQzMzEEAAAAATAHAAAACDMvNi8yMDI2CAAAAAkzLzMxLzIwMjQJAAAAATDyGvnkzXveCNtFMDnOe94IQENJUS5OWVNFOklCTS5JUV9QRU5TSU9OX0NJX05FVF9BTVRfUkVDT0cuMTk5My4wNi8wMy8yMDI2Li4uVVNELkgBAAAA3rYBAAMAAAAAAPIa+eTNe94IAW0wOc573gg+Q0lRLk5ZU0U6SUJNLklRX1BFTlNJT05fUkFURV9DT01QX0lOQ1JFQVNFX01JTi4xOTkzLjA2LzAzLzIwMjYBAAAA3rYBAAMAAAAAAPIa+eTNe94IAW0wOc573gg2Q0lRLk5ZU0U6SUJNLklRX1BFTlNJT05fQVNTRVRTLjE5OTMuMDYv</t>
  </si>
  <si>
    <t>MDMvMjAyNi4uLlVTRC5IAQAAAN62AQADAAAAAADyGvnkzXveCAFtMDnOe94IPENJUS5OWVNFOklCTS5JUV9ERVJJVkFUSVZFX0FTU0VUU19MVC4xOTkzLjA2LzAzLzIwMjYuLi5VU0QuSAEAAADetgEAAgAAAAIxMgEIAAAABQAAAAExAQAAAAstMTk0ODgzNzUxNQMAAAADMTYwAgAAAAQxMTEwBAAAAAEwBwAAAAgzLzYvMjAyNggAAAAJMy8zMS8yMDI0CQAAAAEw8hr55M173ggBbTA5znveCC5DSVEuTllTRTpJQk0uSVFfQ09TVF9CT1JST1dJTkcuMTk5My4wNi8wMy8yMDI2AQAAAN62AQACAAAABjIuNjg0OQEIAAAABQAAAAExAQAAAAstMTk0ODgzNzUxNQMAAAADMTYwAgAAAAUyMTY4MQQAAAABMAcAAAAIMy82LzIwMjYIAAAACTMvMzEvMjAyNAkAAAABMPIa+eTNe94IAW0wOc573gg5Q0lRLk5ZU0U6SUJNLklRX0ZJTl9ESVZfU1RfSU5WRVNULjE5OTMuMDYvMDMvMjAyNi4uLlVTRC5IAQAAAN62AQADAAAAAADyGvnkzXveCDaUMDnOe94IPkNJUS5OWVNFOklCTS5JUV9MSUFCSUxJVElFU19GQUlSX1ZBTFVFLjE5OTMuMDYvMDMvMjAyNi4uLlVTRC5IAQAAAN62AQACAAAABTUyMjIwAPIa+eTNe94INpQwOc573ghGQ0lRLk5ZU0U6SUJNLklRX1RPVEFMX0dFTkVSQUxfUEFSVE5FUl9JTlRFUkVTVC4xOTkzLjA2LzAzLzIwMjYuLi5VU0QuSAEAAADetgEAAwAAAAAA8hr55M173gg2lDA5znveCDFDSVEuTllT</t>
  </si>
  <si>
    <t>RTpJQk0uSVFfTUFDSElORVJZLjE5OTMuMDYvMDMvMjAyNi4uLlVTRC5IAQAAAN62AQADAAAAAADyGvnkzXveCAFtMDnOe94IM0NJUS5OWVNFOklCTS5JUV9XT1JLSU5HX0NBUC4xOTkzLjA2LzAzLzIwMjYuLi5VU0QuSAEAAADetgEAAgAAAAQ0MjY2AQgAAAAFAAAAATEBAAAACy0xOTQ4ODM3NTE1AwAAAAMxNjACAAAABDQxNjUEAAAAATAHAAAACDMvNi8yMDI2CAAAAAkzLzMxLzIwMjQJAAAAATDyGvnkzXveCAFtMDnOe94IMENJUS5OWVNFOklCTS5JUV9ORVRfREVCVC4xOTkzLjA2LzAzLzIwMjYuLi5VU0QuSAEAAADetgEAAgAAAAU0Mzc1NgEIAAAABQAAAAExAQAAAAstMTk0ODgzNzUxNQMAAAADMTYwAgAAAAQ0MzY0BAAAAAEwBwAAAAgzLzYvMjAyNggAAAAJMy8zMS8yMDI0CQAAAAEw8hr55M173gg2lDA5znveCC1DSVEuTllTRTpJQk0uSVFfRklMSU5HREFURV9CUy4xOTkzLjA2LzAzLzIwMjYBAAAA3rYBAAUAAAAKMjQvMDQvMjAyNQDyGvnkzXveCDaUMDnOe94IRkNJUS5OWVNFOklCTS5JUV9QRU5TSU9OX1VORlVOREVEX0FERExfTUlOX0xJQUIuMTk5My4wNi8wMy8yMDI2Li4uVVNELkgBAAAA3rYBAAMAAAAAAClC+eTNe94INpQwOc573gg/Q0lRLk5ZU0U6SUJNLklRX1BFTlNJT05fRVNUX0JFTkVGSVRfNFlSLjE5OTMuMDYvMDMvMjAyNi4uLlVTRC5IAQAAAN62AQADAAAAAAApQvnkzXveCDaU</t>
  </si>
  <si>
    <t>MDnOe94ITUNJUS5OWVNFOklCTS5JUV9QRU5TSU9OX0FTU0VUU19QQVJUSUNJUF9DT05UUklCVVRJT05TLjE5OTMuMDYvMDMvMjAyNi4uLlVTRC5IAQAAAN62AQADAAAAAAApQvnkzXveCDaUMDnOe94IRENJUS5OWVNFOklCTS5JUV9QRU5TSU9OX09CTElHQVRJT05fUFJPSkVDVEVELjE5OTMuMDYvMDMvMjAyNi4uLlVTRC5IAQAAAN62AQADAAAAAAApQvnkzXveCB+7MDnOe94IPUNJUS5OWVNFOklCTS5JUV9QRU5TSU9OX0lOVEVSRVNUX0NPU1QuMTk5My4wNi8wMy8yMDI2Li4uVVNELkgBAAAA3rYBAAMAAAAAAClC+eTNe94IH7swOc573gguQ0lRLk5ZU0U6SUJNLklRX1JFU1RBVEVNRU5UX0JTLjE5OTMuMDYvMDMvMjAyNgEAAADetgEAAwAAAAJOQwApQvnkzXveCDaUMDnOe94IQUNJUS5OWVNFOklCTS5JUV9ERVJJVkFUSVZFX1RSQURJTkdfQVNTRVRTLjE5OTMuMDYvMDMvMjAyNi4uLlVTRC5IAQAAAN62AQADAAAAAAApQvnkzXveCDaUMDnOe94INUNJUS5OWVNFOklCTS5JUV9PUkRFUl9CQUNLTE9HLjE5OTMuMDYvMDMvMjAyNi4uLlVTRC5IAQAAAN62AQADAAAAAAApQvnkzXveCDaUMDnOe94IMkNJUS5OWVNFOklCTS5JUV9BVkdfVEVNUF9FTVBMT1lFRVMuMTk5My4wNi8wMy8yMDI2AQAAAN62AQADAAAAAAApQvnkzXveCB+7MDnOe94ISENJUS5OWVNFOklCTS5JUV9BU1NFVFNfTkVUVElOR19PVEhF</t>
  </si>
  <si>
    <t>Ul9BREpVU1RNRU5UUy4xOTkzLjA2LzAzLzIwMjYuLi5VU0QuSAEAAADetgEAAwAAAAAAKUL55M173ggfuzA5znveCD9DSVEuTllTRTpJQk0uSVFfTUlOT1JJVFlfSU5UX1JFREVFTV9UT1QuMTk5My4wNi8wMy8yMDI2Li4uVVNELkgBAAAA3rYBAAMAAAAAAClC+eTNe94IH7swOc573gg9Q0lRLk5ZU0U6SUJNLklRX0xFQVNFSE9MRF9JTVBST1ZFTUVOVC4xOTkzLjA2LzAzLzIwMjYuLi5VU0QuSAEAAADetgEAAwAAAAAAKUL55M173ggfuzA5znveCD1DSVEuTllTRTpJQk0uSVFfUEVOU0lPTl9VTlJFQ09HX1BSSU9SLjE5OTMuMDYvMDMvMjAyNi4uLlVTRC5IAQAAAN62AQADAAAAAAApQvnkzXveCB+7MDnOe94IPkNJUS5OWVNFOklCTS5JUV9QRU5TSU9OX09CTElHQVRJT05fQUNRLjE5OTMuMDYvMDMvMjAyNi4uLlVTRC5IAQAAAN62AQADAAAAAAApQvnkzXveCB+7MDnOe94IRUNJUS5OWVNFOklCTS5JUV9QRU5TSU9OX09CTElHQVRJT05fT1RIRVJfQ09TVC4xOTkzLjA2LzAzLzIwMjYuLi5VU0QuSAEAAADetgEAAwAAAAAAKUL55M173ggfuzA5znveCDxDSVEuTllTRTpJQk0uSVFfUEVOU0lPTl9JTlRBTl9BU1NFVFMuMTk5My4wNi8wMy8yMDI2Li4uVVNELkgBAAAA3rYBAAMAAAAAAClC+eTNe94IH7swOc573ghFQ0lRLk5ZU0U6SUJNLklRX1BFTlNJT05fQVNTRVRTX09USEVSX1BMQU5fQURKLjE5OTMu</t>
  </si>
  <si>
    <t>MDYvMDMvMjAyNi4uLlVTRC5IAQAAAN62AQADAAAAAAApQvnkzXveCB+7MDnOe94IOkNJUS5OWVNFOklCTS5JUV9QRU5TSU9OX0FTU0VUU19CRUcuMTk5My4wNi8wMy8yMDI2Li4uVVNELkgBAAAA3rYBAAMAAAAAAClC+eTNe94IH7swOc573ghIQ0lRLk5ZU0U6SUJNLklRX1BFTlNJT05fT0JMSUdBVElPTl9JTlRFUkVTVF9DT1NULjE5OTMuMDYvMDMvMjAyNi4uLlVTRC5IAQAAAN62AQADAAAAAAApQvnkzXveCB+7MDnOe94IOkNJUS5OWVNFOklCTS5JUV9ERUJUX0VRVUlWX05FVF9QQk8uMTk5My4wNi8wMy8yMDI2Li4uVVNELkgBAAAA3rYBAAMAAAAAAClC+eTNe94IH7swOc573ghHQ0lRLk5ZU0U6SUJNLklRX0ZBSVJfVkFMVUVfQ0hBTkdFX0lOQ0xfRUFSTklOR1MuMTk5My4wNi8wMy8yMDI2Li4uVVNELkgBAAAA3rYBAAMAAAAAAClC+eTNe94IH7swOc573gg7Q0lRLk5ZU0U6SUJNLklRX0xJQUJJTElUSUVTX0xFVkVMXzMuMTk5My4wNi8wMy8yMDI2Li4uVVNELkgBAAAA3rYBAAMAAAAAAClC+eTNe94IH7swOc573ghDQ0lRLk5ZU0U6SUJNLklRX0dFTkVSQUxfUEFSVE5FUl9QUkVGX0VRVUlUWS4xOTkzLjA2LzAzLzIwMjYuLi5VU0QuSAEAAADetgEAAwAAAAAAKUL55M173ggfuzA5znveCCxDSVEuTllTRTpJQk0uSVFfTEFORC4xOTkzLjA2LzAzLzIwMjYuLi5VU0QuSAEAAADetgEAAwAAAAAAKUL5</t>
  </si>
  <si>
    <t>5M173ggs9jA5znveCD9DSVEuTllTRTpJQk0uSVFfTUlOT1JJVFlfSU5URVJFU1RfVE9UQUwuMTk5My4wNi8wMy8yMDI2Li4uVVNELkgBAAAA3rYBAAIAAAACNzIBCAAAAAUAAAABMQEAAAALLTE5NDg4Mzc1MTUDAAAAAzE2MAIAAAAEMTMxMgQAAAABMAcAAAAIMy82LzIwMjYIAAAACTMvMzEvMjAyNAkAAAABMClC+eTNe94ILPYwOc573gg9Q0lRLk5ZU0U6SUJNLklRX1RPVEFMX09VVFNUQU5ESU5HX0ZJTElOR19EQVRFLjE5OTMuMDYvMDMvMjAyNgEAAADetgEAAgAAAAo5MTguNjAyNjY2AQQAAAAFAAAAATUBAAAACy0xOTQ4ODM3NTE1AgAAAAUyNDE1MwYAAAABMClC+eTNe94ILPYwOc573gg+Q0lRLk5ZU0U6SUJNLklRX1RPVEFMX0RFQlRfRVhDTF9MRUFTRVMuMTk5My4wNi8wMy8yMDI2Li4uVVNELkgBAAAA3rYBAAIAAAAFNTg3OTkBCAAAAAUAAAABMQEAAAALLTE5NDg4Mzc1MTUDAAAAAzE2MAIAAAAFNDg5OTIEAAAAATAHAAAACDMvNi8yMDI2CAAAAAkzLzMxLzIwMjQJAAAAATApQvnkzXveCB+7MDnOe94IPUNJUS5OWVNFOklCTS5JUV9HUFBFX0VYQ0xfT1BFUl9MRUFTRVMuMTk5My4wNi8wMy8yMDI2Li4uVVNELkgBAAAA3rYBAAIAAAAFMTgwNzEBCAAAAAUAAAABMQEAAAALLTE5NDg4Mzc1MTUDAAAAAzE2MAIAAAAFNDg5NzQEAAAAATAHAAAACDMvNi8yMDI2CAAAAAkzLzMxLzIwMjQJAAAAATAp</t>
  </si>
  <si>
    <t>QvnkzXveCB+7MDnOe94IO0NJUS5OWVNFOklCTS5JUV9UT1RBTF9DT01NT05fRVFVSVRZLjE5OTMuMDYvMDMvMjAyNi4uLlVTRC5IAQAAAN62AQACAAAABTIzMjYxAQgAAAAFAAAAATEBAAAACy0xOTQ4ODM3NTE1AwAAAAMxNjACAAAABDEwMDYEAAAAATAHAAAACDMvNi8yMDI2CAAAAAkzLzMxLzIwMjQJAAAAATApQvnkzXveCCz2MDnOe94IN0NJUS5OWVNFOklCTS5JUV9ERUZfVEFYX0xJQUJfTFQuMTk5My4wNi8wMy8yMDI2Li4uVVNELkgBAAAA3rYBAAMAAAAAAClC+eTNe94ILPYwOc573gg8Q0lRLk5ZU0U6SUJNLklRX0ZJTl9ESVZfREVCVF9DVVJSRU5ULjE5OTMuMDYvMDMvMjAyNi4uLlVTRC5IAQAAAN62AQADAAAAAAApQvnkzXveCCz2MDnOe94IL0NJUS5OWVNFOklCTS5JUV9TVF9ERUJULjE5OTMuMDYvMDMvMjAyNi4uLlVTRC5IAQAAAN62AQACAAAAATIBCAAAAAUAAAABMQEAAAALLTE5NDg4Mzc1MTUDAAAAAzE2MAIAAAAEMTA0NgQAAAABMAcAAAAIMy82LzIwMjYIAAAACTMvMzEvMjAyNAkAAAABMClC+eTNe94ILPYwOc573ggxQ0lRLk5ZU0U6SUJNLklRX0xUX0lOVkVTVC4xOTkzLjA2LzAzLzIwMjYuLi5VU0QuSAEAAADetgEAAgAAAAQxNTY2AQgAAAAFAAAAATEBAAAACy0xOTQ4ODM3NTE1AwAAAAMxNjACAAAABDEwNTQEAAAAATAHAAAACDMvNi8yMDI2CAAAAAkzLzMxLzIwMjQJAAAAATAp</t>
  </si>
  <si>
    <t>QvnkzXveCCz2MDnOe94INkNJUS5OWVNFOklCTS5JUV9QRU5TSU9OX0NJX0FDVC4xOTkzLjA2LzAzLzIwMjYuLi5VU0QuSAEAAADetgEAAwAAAAAAKUL55M173ggs9jA5znveCDxDSVEuTllTRTpJQk0uSVFfUEVOU0lPTl9CUkVBS0RPV05fRVEuMTk5My4wNi8wMy8yMDI2Li4uVVNELkgBAAAA3rYBAAMAAAAAAClC+eTNe94ILPYwOc573gg1Q0lRLk5ZU0U6SUJNLklRX1BFTlNJT05fT1RIRVIuMTk5My4wNi8wMy8yMDI2Li4uVVNELkgBAAAA3rYBAAMAAAAAAClC+eTNe94ILPYwOc573ghSQ0lRLk5ZU0U6SUJNLklRX1BFTlNJT05fT0JMSUdBVElPTl9TVVBQTEVfUExBTlNfVE9UQUxfQ09TVC4xOTkzLjA2LzAzLzIwMjYuLi5VU0QuSAEAAADetgEAAwAAAAAAKUL55M173ggs9jA5znveCC9DSVEuTllTRTpJQk0uSVFfQVVESVRPUl9PUElOSU9OLjE5OTMuMDYvMDMvMjAyNgEAAADetgEAAwAAAAAAKUL55M173ggs9jA5znveCDdDSVEuTllTRTpJQk0uSVFfSU5URVJDT01QQU5ZX0NMLjE5OTMuMDYvMDMvMjAyNi4uLlVTRC5IAQAAAN62AQADAAAAAAApQvnkzXveCK8dMTnOe94IN0NJUS5OWVNFOklCTS5JUV9JTlRFUkNPTVBBTllfQ0EuMTk5My4wNi8wMy8yMDI2Li4uVVNELkgBAAAA3rYBAAMAAAAAAClC+eTNe94Irx0xOc573gguQ0lRLk5ZU0U6SUJNLklRX0dXX05FVC4xOTkzLjA2LzAzLzIwMjYuLi5V</t>
  </si>
  <si>
    <t>U0QuSAEAAADetgEAAgAAAAU1OTUzNAEIAAAABQAAAAExAQAAAAstMTk0ODgzNzUxNQMAAAADMTYwAgAAAAU0ODk2MAQAAAABMAcAAAAIMy82LzIwMjYIAAAACTMvMzEvMjAyNAkAAAABMClC+eTNe94Irx0xOc573gg6Q0lRLk5ZU0U6SUJNLklRX0dST1NTX0lOVEFOX0FTU0VUUy4xOTkzLjA2LzAzLzIwMjYuLi5VU0QuSAEAAADetgEAAgAAAAUxNjcwMAEIAAAABQAAAAExAQAAAAstMTk0ODgzNzUxNQMAAAADMTYwAgAAAAUyNDI5MwQAAAABMAcAAAAIMy82LzIwMjYIAAAACTMvMzEvMjAyNAkAAAABMClC+eTNe94Irx0xOc573gg9Q0lRLk5ZU0U6SUJNLklRX1JFU1RSSUNURURfQ0FTSF9UT1RBTC4xOTkzLjA2LzAzLzIwMjYuLi5VU0QuSAEAAADetgEAAgAAAAMxNjIBCAAAAAUAAAABMQEAAAALLTE5NDg4Mzc1MTUDAAAAAzE2MAIAAAAFMjQxOTIEAAAAATAHAAAACDMvNi8yMDI2CAAAAAkzLzMxLzIwMjQJAAAAATApQvnkzXveCK8dMTnOe94IP0NJUS5OWVNFOklCTS5JUV9FTVBMT1lFRVNfVU5ERVJfVU5JT05fQ09OVFJBQ1RTLjE5OTMuMDYvMDMvMjAyNgEAAADetgEAAwAAAAAAKUL55M173givHTE5znveCDZDSVEuTllTRTpJQk0uSVFfQVNTRVRTX0xFVkVMXzIuMTk5My4wNi8wMy8yMDI2Li4uVVNELkgBAAAA3rYBAAIAAAAFMTIwODUAKUL55M173givHTE5znveCDtDSVEuTllTRTpJQk0uSVFfTUlO</t>
  </si>
  <si>
    <t>T1JJVFlfSU5UX1JFREVFTS4xOTkzLjA2LzAzLzIwMjYuLi5VU0QuSAEAAADetgEAAwAAAAAAKUL55M173givHTE5znveCDtDSVEuTllTRTpJQk0uSVFfT1BFQl9SQVRFX0NPTVBfSU5DUkVBU0VfTUFYLjE5OTMuMDYvMDMvMjAyNgEAAADetgEAAwAAAAAAKUL55M173givHTE5znveCDVDSVEuTllTRTpJQk0uSVFfUEVOU0lPTl9ESVNDX1JBVEVfTUFYLjE5OTMuMDYvMDMvMjAyNgEAAADetgEAAwAAAAAAKUL55M173givHTE5znveCDhDSVEuTllTRTpJQk0uSVFfUEVOU0lPTl9CUkVBS0RPV05fUENUX0ZJLjE5OTMuMDYvMDMvMjAyNgEAAADetgEAAwAAAAAAKUL55M173gjJRDE5znveCC9DSVEuTllTRTpJQk0uSVFfRklMSU5HX0NVUlJFTkNZLjE5OTMuMDYvMDMvMjAyNgEAAADetgEAAwAAAANVU0QAKUL55M173gj0BzQ5znveCDpDSVEuTllTRTpJQk0uSVFfRklOX0RJVl9DQVNIX0VRVUlWLjE5OTMuMDYvMDMvMjAyNi4uLlVTRC5IAQAAAN62AQADAAAAAAApQvnkzXveCK8dMTnOe94ITUNJUS5OWVNFOklCTS5JUV9MSUFCSUxJVElFU19ORVRUSU5HX09USEVSX0FESlVTVE1FTlRTLjE5OTMuMDYvMDMvMjAyNi4uLlVTRC5IAQAAAN62AQADAAAAAAApQvnkzXveCK8dMTnOe94ISUNJUS5OWVNFOklCTS5JUV9HRU5FUkFMX1BBUlRORVJfTUlOT1JJVFlfSU5URVJFU1QuMTk5My4wNi8wMy8yMDI2Li4uVVNE</t>
  </si>
  <si>
    <t>LkgBAAAA3rYBAAMAAAAAAClC+eTNe94Irx0xOc573ghDQ0lRLk5ZU0U6SUJNLklRX0RFRl9UQVhfVkFMVUFUSU9OX0FMTE9XQU5DRS4xOTkzLjA2LzAzLzIwMjYuLi5VU0QuSAEAAADetgEAAwAAAAAAKUL55M173gjJRDE5znveCDRDSVEuTllTRTpJQk0uSVFfRklOSVNIRURfSU5WLjE5OTMuMDYvMDMvMjAyNi4uLlVTRC5IAQAAAN62AQACAAAAAzEzMQEIAAAABQAAAAExAQAAAAstMTk0ODgzNzUxNQMAAAADMTYwAgAAAAQzMDc1BAAAAAEwBwAAAAgzLzYvMjAyNggAAAAJMy8zMS8yMDI0CQAAAAEwKUL55M173gjJRDE5znveCENDSVEuTllTRTpJQk0uSVFfREVSSVZBVElWRV9MSUFCX05PTl9DVVJSRU5ULjE5OTMuMDYvMDMvMjAyNi4uLlVTRC5IAQAAAN62AQACAAAAAzQ2OQEIAAAABQAAAAExAQAAAAstMTk0ODgzNzUxNQMAAAADMTYwAgAAAAU0MDQxOQQAAAABMAcAAAAIMy82LzIwMjYIAAAACTMvMzEvMjAyNAkAAAABMClC+eTNe94IyUQxOc573gg+Q0lRLk5ZU0U6SUJNLklRX09QRUJfT0JMSUdBVElPTl9GWF9BREouMTk5My4wNi8wMy8yMDI2Li4uVVNELkgBAAAA3rYBAAMAAAAAAClC+eTNe94IyUQxOc573gg7Q0lRLk5ZU0U6SUJNLklRX1RPVEFMX0RFQlRfRVhDTF9GSU4uMTk5My4wNi8wMy8yMDI2Li4uVVNELkgBAAAA3rYBAAIAAAAFNjI4NzEBCAAAAAUAAAABMQEAAAALLTE5NDg4Mzc1MTUD</t>
  </si>
  <si>
    <t>AAAAAzE2MAIAAAAFMjE4NjAEAAAAATAHAAAACDMvNi8yMDI2CAAAAAkzLzMxLzIwMjQJAAAAATApQvnkzXveCMlEMTnOe94ILUNJUS5OWVNFOklCTS5JUV9BVkdfRU1QTE9ZRUVTLjE5OTMuMDYvMDMvMjAyNgEAAADetgEAAwAAAAAAKUL55M173gixWDE5znveCClDSVEuTllTRTpJQk0uSVFfUEFSVF9USU1FLjE5OTMuMDYvMDMvMjAyNgEAAADetgEAAwAAAAAAKUL55M173gixWDE5znveCEpDSVEuTllTRTpJQk0uSVFfTElRVUlEQVRJT05fVkFMVUVfUFJFRkVSUkVEX1JFREVFTS4xOTkzLjA2LzAzLzIwMjYuLi5VU0QuSAEAAADetgEAAwAAAAAAKUL55M173gixWDE5znveCCtDSVEuTllTRTpJQk0uSVFfQ0lQLjE5OTMuMDYvMDMvMjAyNi4uLlVTRC5IAQAAAN62AQADAAAAAAApQvnkzXveCLFYMTnOe94IN0NJUS5OWVNFOklCTS5JUV9PUEVCX0VYUF9SRVRVUk4uMTk5My4wNi8wMy8yMDI2Li4uVVNELkgBAAAA3rYBAAMAAAAAAClC+eTNe94IsVgxOc573gg/Q0lRLk5ZU0U6SUJNLklRX1BFTlNJT05fRVNUX0JFTkVGSVRfMllSLjE5OTMuMDYvMDMvMjAyNi4uLlVTRC5IAQAAAN62AQADAAAAAAApQvnkzXveCLFYMTnOe94IPkNJUS5OWVNFOklCTS5JUV9QRU5TSU9OX1JBVEVfQ09NUF9JTkNSRUFTRV9NQVguMTk5My4wNi8wMy8yMDI2AQAAAN62AQADAAAAAAApQvnkzXveCLFYMTnOe94INUNJUS5OWVNF</t>
  </si>
  <si>
    <t>OklCTS5JUV9QRU5TSU9OX0RJU0NfUkFURV9NSU4uMTk5My4wNi8wMy8yMDI2AQAAAN62AQADAAAAAAApQvnkzXveCLFYMTnOe94IO0NJUS5OWVNFOklCTS5JUV9MVF9ERUJUX0RFUklWQVRJVkVTLjE5OTMuMDYvMDMvMjAyNi4uLlVTRC5IAQAAAN62AQADAAAAAAApQvnkzXveCLFYMTnOe94IQENJUS5OWVNFOklCTS5JUV9QRU5TSU9OX1BCT19BU1NVTUVEX1JBVEVfUkVUX01BWC4xOTkzLjA2LzAzLzIwMjYBAAAA3rYBAAMAAAAAAClC+eTNe94IsVgxOc573gg4Q0lRLk5ZU0U6SUJNLklRX1BFTlNJT05fQlJFQUtET1dOX1BDVF9FUS4xOTkzLjA2LzAzLzIwMjYBAAAA3rYBAAMAAAAAAClC+eTNe94IJYAxOc573ghOQ0lRLk5ZU0U6SUJNLklRX1BFTlNJT05fT0JMSUdBVElPTl9BQ1RVQVJJQUxfR0FJTl9MT1NTLjE5OTMuMDYvMDMvMjAyNi4uLlVTRC5IAQAAAN62AQADAAAAAAApQvnkzXveCLFYMTnOe94IO0NJUS5OWVNFOklCTS5JUV9JTlRFUkNPTVBBTllfTk9OX0NBLjE5OTMuMDYvMDMvMjAyNi4uLlVTRC5IAQAAAN62AQADAAAAAAApQvnkzXveCLFYMTnOe94IMUNJUS5OWVNFOklCTS5JUV9JTlRBTl9ORVQuMTk5My4wNi8wMy8yMDI2Li4uVVNELkgBAAAA3rYBAAIAAAAFMTA3NTABCAAAAAUAAAABMQEAAAALLTE5NDg4Mzc1MTUDAAAAAzE2MAIAAAAFNDg5NjIEAAAAATAHAAAACDMvNi8yMDI2CAAA</t>
  </si>
  <si>
    <t>AAkzLzMxLzIwMjQJAAAAATApQvnkzXveCLFYMTnOe94INENJUS5OWVNFOklCTS5JUV9HV19JTlRBTl9ORVQuMTk5My4wNi8wMy8yMDI2Li4uVVNELkgBAAAA3rYBAAMAAAAAAClC+eTNe94IsVgxOc573gg+Q0lRLk5ZU0U6SUJNLklRX0NPTlRJTkdFTlRfTElBQklMSVRJRVMuMTk5My4wNi8wMy8yMDI2Li4uVVNELkgBAAAA3rYBAAMAAAAAAClC+eTNe94IJYAxOc573ggyQ0lRLk5ZU0U6SUJNLklRX1BSRUZfT1RIRVIuMTk5My4wNi8wMy8yMDI2Li4uVVNELkgBAAAA3rYBAAMAAAAAAClC+eTNe94IJYAxOc573ghUQ0lRLk5ZU0U6SUJNLklRX0ZJTkFOQ0lOR19PQkxJR19OT05fQ1VSUkVOVF9FWENMX09QRVJfTEVBU0VTLjE5OTMuMDYvMDMvMjAyNi4uLlVTRC5IAQAAAN62AQACAAAABTU0MDMzAQgAAAAFAAAAATEBAAAACy0xOTQ4ODM3NTE1AwAAAAMxNjACAAAABTQ4OTgxBAAAAAEwBwAAAAgzLzYvMjAyNggAAAAJMy8zMS8yMDI0CQAAAAEwKUL55M173gglgDE5znveCEVDSVEuTllTRTpJQk0uSVFfUlVBX09QRVJBVElOR19MRUFTRV9BQ0NVTV9ERVAuMTk5My4wNi8wMy8yMDI2Li4uVVNELkgBAAAA3rYBAAMAAAAAAClC+eTNe94IJYAxOc573gguQ0lRLk5ZU0U6SUJNLklRX0NPTU1PTi4xOTkzLjA2LzAzLzIwMjYuLi5VU0QuSAEAAADetgEAAgAAAAU2MDE0NQEIAAAABQAAAAExAQAAAAstMTk0ODgz</t>
  </si>
  <si>
    <t>NzUxNQMAAAADMTYwAgAAAAQxMTAzBAAAAAEwBwAAAAgzLzYvMjAyNggAAAAJMy8zMS8yMDI0CQAAAAEwKUL55M173gglgDE5znveCDZDSVEuTllTRTpJQk0uSVFfT1RIRVJfQ0xfU1VQUEwuMTk5My4wNi8wMy8yMDI2Li4uVVNELkgBAAAA3rYBAAIAAAACOTMBCAAAAAUAAAABMQEAAAALLTE5NDg4Mzc1MTUDAAAAAzE2MAIAAAAEMTA1NwQAAAABMAcAAAAIMy82LzIwMjYIAAAACTMvMzEvMjAyNAkAAAABMClC+eTNe94IJYAxOc573gg6Q0lRLk5ZU0U6SUJNLklRX1VORUFSTl9SRVZfQ1VSUkVOVC4xOTkzLjA2LzAzLzIwMjYuLi5VU0QuSAEAAADetgEAAgAAAAUxNDA1MQEIAAAABQAAAAExAQAAAAstMTk0ODgzNzUxNQMAAAADMTYwAgAAAAQxMDc0BAAAAAEwBwAAAAgzLzYvMjAyNggAAAAJMy8zMS8yMDI0CQAAAAEwKUL55M173gglgDE5znveCDFDSVEuTllTRTpJQk0uSVFfSU5WRU5UT1JZLjE5OTMuMDYvMDMvMjAyNi4uLlVTRC5IAQAAAN62AQACAAAABDEyMTIBCAAAAAUAAAABMQEAAAALLTE5NDg4Mzc1MTUDAAAAAzE2MAIAAAAEMTA0MwQAAAABMAcAAAAIMy82LzIwMjYIAAAACTMvMzEvMjAyNAkAAAABMClC+eTNe94IJYAxOc573ghAQ0lRLk5ZU0U6SUJNLklRX0ZJTkFOQ0VfTEVBU0VTX0xPTkdfVEVSTS4xOTkzLjA2LzAzLzIwMjYuLi5VU0QuSAEAAADetgEAAgAAAAM3MDUBCAAAAAUAAAABMQEA</t>
  </si>
  <si>
    <t>AAALLTE5NDg4Mzc1MTUDAAAAAzE2MAIAAAAFNDg5OTEEAAAAATAHAAAACDMvNi8yMDI2CAAAAAkzLzMxLzIwMjQJAAAAATApQvnkzXveCCWAMTnOe94IPUNJUS5OWVNFOklCTS5JUV9OUFBFX0VYQ0xfT1BFUl9MRUFTRVMuMTk5My4wNi8wMy8yMDI2Li4uVVNELkgBAAAA3rYBAAIAAAAENTU5NAEIAAAABQAAAAExAQAAAAstMTk0ODgzNzUxNQMAAAADMTYwAgAAAAU0ODk3NgQAAAABMAcAAAAIMy82LzIwMjYIAAAACTMvMzEvMjAyNAkAAAABMClC+eTNe94IK6cxOc573gg0Q0lRLk5ZU0U6SUJNLklRX09USEVSX0VRVUlUWS4xOTkzLjA2LzAzLzIwMjYuLi5VU0QuSAEAAADetgEAAgAAAAYtMTg0ODcBCAAAAAUAAAABMQEAAAALLTE5NDg4Mzc1MTUDAAAAAzE2MAIAAAAEMTAyOAQAAAABMAcAAAAIMy82LzIwMjYIAAAACTMvMzEvMjAyNAkAAAABMClC+eTNe94IK6cxOc573gg2Q0lRLk5ZU0U6SUJNLklRX0RFRl9DSEFSR0VTX0xULjE5OTMuMDYvMDMvMjAyNi4uLlVTRC5IAQAAAN62AQACAAAAAzgxMAEIAAAABQAAAAExAQAAAAstMTk0ODgzNzUxNQMAAAADMTYwAgAAAAQxMDI1BAAAAAEwBwAAAAgzLzYvMjAyNggAAAAJMy8zMS8yMDI0CQAAAAEwKUL55M173ggrpzE5znveCCpDSVEuTllTRTpJQk0uSVFfR1cuMTk5My4wNi8wMy8yMDI2Li4uVVNELkgBAAAA3rYBAAIAAAAFNTk1MzQBCAAAAAUAAAABMQEA</t>
  </si>
  <si>
    <t>AAALLTE5NDg4Mzc1MTUDAAAAAzE2MAIAAAAEMTE3MQQAAAABMAcAAAAIMy82LzIwMjYIAAAACTMvMzEvMjAyNAkAAAABMClC+eTNe94IJYAxOc573gg+Q0lRLk5ZU0U6SUJNLklRX0ZJTl9ESVZfQVNTRVRTX0NVUlJFTlQuMTk5My4wNi8wMy8yMDI2Li4uVVNELkgBAAAA3rYBAAIAAAADNjQ0AQgAAAAFAAAAATEBAAAACy0xOTQ4ODM3NTE1AwAAAAMxNjACAAAABDEwMjkEAAAAATAHAAAACDMvNi8yMDI2CAAAAAkzLzMxLzIwMjQJAAAAATApQvnkzXveCCWAMTnOe94INkNJUS5OWVNFOklCTS5JUV9UUkFESU5HX0FTU0VUUy4xOTkzLjA2LzAzLzIwMjYuLi5VU0QuSAEAAADetgEAAwAAAAAAKUL55M173ggrpzE5znveCEBDSVEuTllTRTpJQk0uSVFfT1BFUkFUSU5HX0xFQVNFX1BBWU1FTlRTLjE5OTMuMDYvMDMvMjAyNi4uLlVTRC5IAQAAAN62AQADAAAAAAApQvnkzXveCCunMTnOe94IMkNJUS5OWVNFOklCTS5JUV9DQVNIX1RBWEVTLjE5OTMuMDYvMDMvMjAyNi4uLlVTRC5IAQAAAN62AQACAAAABDE1NjQBCAAAAAUAAAABMQEAAAALLTE5NDg4Mzc1MTUDAAAAAzE2MAIAAAAEMzA1MwQAAAABMAcAAAAIMy82LzIwMjYIAAAACTMvMzEvMjAyNAkAAAABMClC+eTNe94IK6cxOc573gg6Q0lRLk5ZU0U6SUJNLklRX0NBU0hfSU5URVJFU1RfT1BFUi4xOTkzLjA2LzAzLzIwMjYuLi5VU0QuSAEAAADetgEAAwAA</t>
  </si>
  <si>
    <t>AAAAKUL55M173ggrpzE5znveCEFDSVEuTllTRTpJQk0uSVFfR1dfSU5UQU5fQU1PUlRfUEFSVElBTF9DRi4xOTkzLjA2LzAzLzIwMjYuLi5VU0QuSAEAAADetgEAAwAAAAAAKUL55M173ggrpzE5znveCDNDSVEuTllTRTpJQk0uSVFfUFJFRl9ESVZfQ0YuMTk5My4wNi8wMy8yMDI2Li4uVVNELkgBAAAA3rYBAAMAAAAAAClC+eTNe94IK6cxOc573gg+Q0lRLk5ZU0U6SUJNLklRX09USEVSX0lOVkVTVF9BQ1RfU1VQUEwuMTk5My4wNi8wMy8yMDI2Li4uVVNELkgBAAAA3rYBAAIAAAABMQEIAAAABQAAAAExAQAAAAstMTk0ODgzNzUxNQMAAAADMTYwAgAAAAQyMDUxBAAAAAEwBwAAAAgzLzYvMjAyNggAAAAJMy8zMS8yMDI0CQAAAAEwKUL55M173ggrpzE5znveCDlDSVEuTllTRTpJQk0uSVFfQ0hBTkdFX1VORUFSTl9SRVYuMTk5My4wNi8wMy8yMDI2Li4uVVNELkgBAAAA3rYBAAMAAAAAAClC+eTNe94IK6cxOc573ggxQ0lRLk5ZU0U6SUJNLklRX0NIQU5HRV9BUi4xOTkzLjA2LzAzLzIwMjYuLi5VU0QuSAEAAADetgEAAgAAAAM3MjUBCAAAAAUAAAABMQEAAAALLTE5NDg4Mzc1MTUDAAAAAzE2MAIAAAAEMjAxOAQAAAABMAcAAAAIMy82LzIwMjYIAAAACTMvMzEvMjAyNAkAAAABMClC+eTNe94IK6cxOc573gg8Q0lRLk5ZU0U6SUJNLklRX01JTk9SSVRZX0lOVEVSRVNUX0NGLjE5OTMuMDYvMDMvMjAyNi4u</t>
  </si>
  <si>
    <t>LlVTRC5IAQAAAN62AQADAAAAAAApQvnkzXveCCunMTnOe94IQUNJUS5OWVNFOklCTS5JUV9TVE9DS19PUFRJT05TX0NPTVBfUFJFVEFYLjE5OTMuMDYvMDMvMjAyNi4uLlVTRC5IAQAAAN62AQADAAAAAAApQvnkzXveCDvOMTnOe94IPENJUS5OWVNFOklCTS5JUV9ORUdBVElWRV9HV19BTU9SVF9BVC4xOTkzLjA2LzAzLzIwMjYuLi5VU0QuSAEAAADetgEAAwAAAAAAKUL55M173gg7zjE5znveCD9DSVEuTllTRTpJQk0uSVFfU0FMQVJJRVNfT1RIRVJfQkVORUZJVFMuMTk5My4wNi8wMy8yMDI2Li4uVVNELkgBAAAA3rYBAAMAAAAAAClC+eTNe94IO84xOc573gg0Q0lRLk5ZU0U6SUJNLklRX01BSU5UX1JFUEFJUi4xOTkzLjA2LzAzLzIwMjYuLi5VU0QuSAEAAADetgEAAwAAAAAAKUL55M173gg7zjE5znveCDNDSVEuTllTRTpJQk0uSVFfQVJfVU5CSUxMRUQuMTk5My4wNi8wMy8yMDI2Li4uVVNELkgBAAAA3rYBAAIAAAADNTI3AQgAAAAFAAAAATEBAAAACy0xOTQ4ODM3NTE1AwAAAAMxNjACAAAABTQ1NDIwBAAAAAEwBwAAAAgzLzYvMjAyNggAAAAJMy8zMS8yMDI0CQAAAAEwKUL55M173gg7zjE5znveCDdDSVEuTllTRTpJQk0uSVFfTkVUX1dPUktJTkdfQ0FQLjE5OTMuMDYvMDMvMjAyNi4uLlVTRC5IAQAAAN62AQACAAAABS04NTk0AQgAAAAFAAAAATEBAAAACy0xOTQ4ODM3NTE1AwAAAAMxNjACAAAA</t>
  </si>
  <si>
    <t>BDEzMTEEAAAAATAHAAAACDMvNi8yMDI2CAAAAAkzLzMxLzIwMjQJAAAAATApQvnkzXveCDvOMTnOe94ILENJUS5OWVNFOklCTS5JUV9OUFBFLjE5OTMuMDYvMDMvMjAyNi4uLlVTRC5IAQAAAN62AQACAAAABDg3OTgBCAAAAAUAAAABMQEAAAALLTE5NDg4Mzc1MTUDAAAAAzE2MAIAAAAEMTAwNAQAAAABMAcAAAAIMy82LzIwMjYIAAAACTMvMzEvMjAyNAkAAAABMClC+eTNe94IO84xOc573gg2Q0lRLk5ZU0U6SUJNLklRX0FTU0VUU19MRVZFTF8xLjE5OTMuMDYvMDMvMjAyNi4uLlVTRC5IAQAAAN62AQACAAAAAzQ5NAApQvnkzXveCDvOMTnOe94ITkNJUS5OWVNFOklCTS5JUV9DVVJSRU5UX1BPUlRJT05fT1BFUl9MRUFTRV9MSUFCSUxJVElFUy4xOTkzLjA2LzAzLzIwMjYuLi5VU0QuSAEAAADetgEAAgAAAAM3ODQBCAAAAAUAAAABMQEAAAALLTE5NDg4Mzc1MTUDAAAAAzE2MAIAAAAFNDgzODUEAAAAATAHAAAACDMvNi8yMDI2CAAAAAkzLzMxLzIwMjQJAAAAATApQvnkzXveCDvOMTnOe94INUNJUS5OWVNFOklCTS5JUV9PVEhFUl9MSUFCX0xULjE5OTMuMDYvMDMvMjAyNi4uLlVTRC5IAQAAAN62AQACAAAABTEwOTE0AQgAAAAFAAAAATEBAAAACy0xOTQ4ODM3NTE1AwAAAAMxNjACAAAABDEwNjIEAAAAATAHAAAACDMvNi8yMDI2CAAAAAkzLzMxLzIwMjQJAAAAATApQvnkzXveCDvOMTnOe94IL0NJUS5O</t>
  </si>
  <si>
    <t>WVNFOklCTS5JUV9QRU5TSU9OLjE5OTMuMDYvMDMvMjAyNi4uLlVTRC5IAQAAAN62AQACAAAABTEwNDIxAQgAAAAFAAAAATEBAAAACy0xOTQ4ODM3NTE1AwAAAAMxNjACAAAABDEyMTMEAAAAATAHAAAACDMvNi8yMDI2CAAAAAkzLzMxLzIwMjQJAAAAATApQvnkzXveCFP1MTnOe94IOUNJUS5OWVNFOklCTS5JUV9DVVJSRU5UX1BPUlRfREVCVC4xOTkzLjA2LzAzLzIwMjYuLi5VU0QuSAEAAADetgEAAgAAAAQ1NDY5AQgAAAAFAAAAATEBAAAACy0xOTQ4ODM3NTE1AwAAAAMxNjACAAAABDEyOTcEAAAAATAHAAAACDMvNi8yMDI2CAAAAAkzLzMxLzIwMjQJAAAAATApQvnkzXveCFP1MTnOe94IKkNJUS5OWVNFOklCTS5JUV9BRS4xOTkzLjA2LzAzLzIwMjYuLi5VU0QuSAEAAADetgEAAgAAAAQ2NzAwAQgAAAAFAAAAATEBAAAACy0xOTQ4ODM3NTE1AwAAAAMxNjACAAAABDEwMTYEAAAAATAHAAAACDMvNi8yMDI2CAAAAAkzLzMxLzIwMjQJAAAAATApQvnkzXveCDvOMTnOe94ILENJUS5OWVNFOklCTS5JUV9HUFBFLjE5OTMuMDYvMDMvMjAyNi4uLlVTRC5IAQAAAN62AQACAAAABTIxMjc1AQgAAAAFAAAAATEBAAAACy0xOTQ4ODM3NTE1AwAAAAMxNjACAAAABDExNjkEAAAAATAHAAAACDMvNi8yMDI2CAAAAAkzLzMxLzIwMjQJAAAAATApQvnkzXveCDvOMTnOe94ILkNJUS5OWVNFOklCTS5JUV9SRVNUQVRFTUVO</t>
  </si>
  <si>
    <t>VF9DRi4xOTkzLjA2LzAzLzIwMjYBAAAA3rYBAAMAAAACTkMAKUL55M173gg7zjE5znveCEVDSVEuTllTRTpJQk0uSVFfVE9UQUxfREVCVF9SRVBBSURfRVhDTF9MRUFTRVMuMTk5My4wNi8wMy8yMDI2Li4uVVNELkgBAAAA3rYBAAIAAAAFLTUwNjcBCAAAAAUAAAABMQEAAAALLTE5NDg4Mzc1MTUDAAAAAzE2MAIAAAAFNDg5ODYEAAAAATAHAAAACDMvNi8yMDI2CAAAAAkzLzMxLzIwMjQJAAAAATApQvnkzXveCFP1MTnOe94IPENJUS5OWVNFOklCTS5JUV9DSEFOR0VfREVGX1RBWF9UT1RBTC4xOTkzLjA2LzAzLzIwMjYuLi5VU0QuSAEAAADetgEAAgAAAAUtMTExNAEIAAAABQAAAAExAQAAAAstMTk0ODgzNzUxNQMAAAADMTYwAgAAAAUzMDkyNAQAAAABMAcAAAAIMy82LzIwMjYIAAAACTMvMzEvMjAyNAkAAAABMClC+eTNe94IU/UxOc573gg0Q0lRLk5ZU0U6SUJNLklRX0FNT1JUX0RJQ19DRi4xOTkzLjA2LzAzLzIwMjYuLi5VU0QuSAEAAADetgEAAwAAAAAAKUL55M173ghT9TE5znveCC9DSVEuTllTRTpJQk0uSVFfUlVBX05FVC4xOTkzLjA2LzAzLzIwMjYuLi5VU0QuSAEAAADetgEAAwAAAAAAKUL55M173ghT9TE5znveCDtDSVEuTllTRTpJQk0uSVFfTElBQklMSVRJRVNfTEVWRUxfMi4xOTkzLjA2LzAzLzIwMjYuLi5VU0QuSAEAAADetgEAAgAAAAU1MjIyMAApQvnkzXveCFP1MTnOe94IQ0NJUS5O</t>
  </si>
  <si>
    <t>WVNFOklCTS5JUV9SVUFfQ0FQSVRBTF9MRUFTRV9BQ0NVTV9ERVAuMTk5My4wNi8wMy8yMDI2Li4uVVNELkgBAAAA3rYBAAMAAAAAAClC+eTNe94IbRwyOc573ggzQ0lRLk5ZU0U6SUJNLklRX1BSRUZfRVFVSVRZLjE5OTMuMDYvMDMvMjAyNi4uLlVTRC5IAQAAAN62AQADAAAAAAApQvnkzXveCG0cMjnOe94INENJUS5OWVNFOklCTS5JUV9QUkVGX0NPTlZFUlQuMTk5My4wNi8wMy8yMDI2Li4uVVNELkgBAAAA3rYBAAMAAAAAAClC+eTNe94IbRwyOc573ggzQ0lRLk5ZU0U6SUJNLklRX1BSRUZfUkVERUVNLjE5OTMuMDYvMDMvMjAyNi4uLlVTRC5IAQAAAN62AQADAAAAAAApQvnkzXveCG0cMjnOe94INkNJUS5OWVNFOklCTS5JUV9PVEhFUl9DQV9TVVBQTC4xOTkzLjA2LzAzLzIwMjYuLi5VU0QuSAEAAADetgEAAgAAAAQxNDQ0AQgAAAAFAAAAATEBAAAACy0xOTQ4ODM3NTE1AwAAAAMxNjACAAAABDEwNTUEAAAAATAHAAAACDMvNi8yMDI2CAAAAAkzLzMxLzIwMjQJAAAAATApQvnkzXveCFP1MTnOe94IMkNJUS5OWVNFOklCTS5JUV9DQVNIX0VRVUlWLjE5OTMuMDYvMDMvMjAyNi4uLlVTRC5IAQAAAN62AQACAAAABTE0NjAzAQgAAAAFAAAAATEBAAAACy0xOTQ4ODM3NTE1AwAAAAMxNjACAAAABDEwOTYEAAAAATAHAAAACDMvNi8yMDI2CAAAAAkzLzMxLzIwMjQJAAAAATApQvnkzXveCG0cMjnOe94IMENJ</t>
  </si>
  <si>
    <t>US5OWVNFOklCTS5JUV9CVl9TSEFSRS4xOTkzLjA2LzAzLzIwMjYuLi5VU0QuSAEAAADetgEAAgAAAAkyNS4zMjIxNTUBCAAAAAUAAAABMQEAAAALLTE5NDg4Mzc1MTUDAAAAAzE2MAIAAAAENDAyMAQAAAABMAcAAAAIMy82LzIwMjYIAAAACTMvMzEvMjAyNAkAAAABMClC+eTNe94IbRwyOc573gg7Q0lRLk5ZU0U6SUJNLklRX0FEX0VYQ0xfT1BFUl9MRUFTRVMuMTk5My4wNi8wMy8yMDI2Li4uVVNELkgBAAAA3rYBAAIAAAAGLTEyNDc3AQgAAAAFAAAAATEBAAAACy0xOTQ4ODM3NTE1AwAAAAMxNjACAAAABTQ4OTc1BAAAAAEwBwAAAAgzLzYvMjAyNggAAAAJMy8zMS8yMDI0CQAAAAEwKUL55M173ghtHDI5znveCD9DSVEuTllTRTpJQk0uSVFfUlVBX09QRVJBVElOR19MRUFTRV9ORVQuMTk5My4wNi8wMy8yMDI2Li4uVVNELkgBAAAA3rYBAAMAAAAAAClC+eTNe94IbRwyOc573gg0Q0lRLk5ZU0U6SUJNLklRX1RPVEFMX1JFQ0VJVi4xOTkzLjA2LzAzLzIwMjYuLi5VU0QuSAEAAADetgEAAgAAAAQ3MjYwAQgAAAAFAAAAATEBAAAACy0xOTQ4ODM3NTE1AwAAAAMxNjACAAAABDEwMDEEAAAAATAHAAAACDMvNi8yMDI2CAAAAAkzLzMxLzIwMjQJAAAAATApQvnkzXveCG0cMjnOe94IO0NJUS5OWVNFOklCTS5JUV9HQUlOX0JBUkdBSU5fQUNRX0NGLjE5OTMuMDYvMDMvMjAyNi4uLlVTRC5IAQAAAN62AQADAAAA</t>
  </si>
  <si>
    <t>AAApQvnkzXveCHVDMjnOe94IQkNJUS5OWVNFOklCTS5JUV9DSEFOR0VfTkVUX1dPUktJTkdfQ0FQSVRBTC4xOTkzLjA2LzAzLzIwMjYuLi5VU0QuSAEAAADetgEAAgAAAAUtMTk0NQEIAAAABQAAAAExAQAAAAstMTk0ODgzNzUxNQMAAAADMTYwAgAAAAQ0NDIxBAAAAAEwBwAAAAgzLzYvMjAyNggAAAAJMy8zMS8yMDI0CQAAAAEwKUL55M173ghtHDI5znveCDlDSVEuTllTRTpJQk0uSVFfQ0FTSF9UQVhFU19JTlZFU1QuMTk5My4wNi8wMy8yMDI2Li4uVVNELkgBAAAA3rYBAAMAAAAAAClC+eTNe94IbRwyOc573ghDQ0lRLk5ZU0U6SUJNLklRX0ZJTl9ESVZfTUlOT1JJVFlfSU5UX1JFREVFTS4xOTkzLjA2LzAzLzIwMjYuLi5VU0QuSAEAAADetgEAAwAAAAAAKUL55M173ghtHDI5znveCC9DSVEuTllTRTpJQk0uSVFfUkFXX0lOVi4xOTkzLjA2LzAzLzIwMjYuLi5VU0QuSAEAAADetgEAAwAAAAAAKUL55M173ghtHDI5znveCDVDSVEuTllTRTpJQk0uSVFfRVFVSVRZX01FVEhPRC4xOTkzLjA2LzAzLzIwMjYuLi5VU0QuSAEAAADetgEAAwAAAAAAKUL55M173gh1QzI5znveCDdDSVEuTllTRTpJQk0uSVFfT1RIRVJfTFRfQVNTRVRTLjE5OTMuMDYvMDMvMjAyNi4uLlVTRC5IAQAAAN62AQACAAAABDc1NTYBCAAAAAUAAAABMQEAAAALLTE5NDg4Mzc1MTUDAAAAAzE2MAIAAAAEMTA2MAQAAAABMAcAAAAIMy82</t>
  </si>
  <si>
    <t>LzIwMjYIAAAACTMvMzEvMjAyNAkAAAABMClC+eTNe94IdUMyOc573gg5Q0lRLk5ZU0U6SUJNLklRX0RFRl9UQVhfQVNTRVRTX0xULjE5OTMuMDYvMDMvMjAyNi4uLlVTRC5IAQAAAN62AQACAAAABDY0NjUBCAAAAAUAAAABMQEAAAALLTE5NDg4Mzc1MTUDAAAAAzE2MAIAAAAEMTAyNgQAAAABMAcAAAAIMy82LzIwMjYIAAAACTMvMzEvMjAyNAkAAAABMClC+eTNe94IdUMyOc573gg+Q0lRLk5ZU0U6SUJNLklRX0RFRl9UQVhfQVNTRVRTX0NVUlJFTlQuMTk5My4wNi8wMy8yMDI2Li4uVVNELkgBAAAA3rYBAAMAAAAAAClC+eTNe94IdUMyOc573ggvQ0lRLk5ZU0U6SUJNLklRX1RPVEFMX0VNUExPWUVFUy4xOTkzLjA2LzAzLzIwMjYBAAAA3rYBAAMAAAAAAClC+eTNe94IdUMyOc573ggxQ0lRLk5ZU0U6SUJNLklRX09USEVSX0lOVi4xOTkzLjA2LzAzLzIwMjYuLi5VU0QuSAEAAADetgEAAwAAAAAAKUL55M173gh1QzI5znveCDFDSVEuTllTRTpJQk0uSVFfVEJWX1NIQVJFLjE5OTMuMDYvMDMvMjAyNi4uLlVTRC5IAQAAAN62AQACAAAACi01MS4xODk3MDUBCAAAAAUAAAABMQEAAAALLTE5NDg4Mzc1MTUDAAAAAzE2MAIAAAAENDE1NgQAAAABMAcAAAAIMy82LzIwMjYIAAAACTMvMzEvMjAyNAkAAAABMClC+eTNe94IdUMyOc573gg5Q0lRLk5ZU0U6SUJNLklRX01JTk9SSVRZX0lOVEVSRVNULjE5OTMuMDYv</t>
  </si>
  <si>
    <t>MDMvMjAyNi4uLlVTRC5IAQAAAN62AQACAAAAAjcyAQgAAAAFAAAAATEBAAAACy0xOTQ4ODM3NTE1AwAAAAMxNjACAAAABDEwNTIEAAAAATAHAAAACDMvNi8yMDI2CAAAAAkzLzMxLzIwMjQJAAAAATApQvnkzXveCHVDMjnOe94INUNJUS5OWVNFOklCTS5JUV9VTkVBUk5fUkVWX0xULjE5OTMuMDYvMDMvMjAyNi4uLlVTRC5IAQAAAN62AQACAAAABDM0ODgBCAAAAAUAAAABMQEAAAALLTE5NDg4Mzc1MTUDAAAAAzE2MAIAAAAEMTI1NgQAAAABMAcAAAAIMy82LzIwMjYIAAAACTMvMzEvMjAyNAkAAAABMClC+eTNe94IdUMyOc573gg3Q0lRLk5ZU0U6SUJNLklRX0ZJTl9ESVZfREVCVF9MVC4xOTkzLjA2LzAzLzIwMjYuLi5VU0QuSAEAAADetgEAAwAAAAAAKUL55M173gh1QzI5znveCCpDSVEuTllTRTpJQk0uSVFfQVAuMTk5My4wNi8wMy8yMDI2Li4uVVNELkgBAAAA3rYBAAIAAAAEMzU4OAEIAAAABQAAAAExAQAAAAstMTk0ODgzNzUxNQMAAAADMTYwAgAAAAQxMDE4BAAAAAEwBwAAAAgzLzYvMjAyNggAAAAJMy8zMS8yMDI0CQAAAAEwKUL55M173gh1QzI5znveCC1DSVEuTllTRTpJQk0uSVFfQVJfTFQuMTk5My4wNi8wMy8yMDI2Li4uVVNELkgBAAAA3rYBAAMAAAAAAClC+eTNe94IdUMyOc573ggxQ0lRLk5ZU0U6SUJNLklRX1NUX0lOVkVTVC4xOTkzLjA2LzAzLzIwMjYuLi5VU0QuSAEAAADetgEAAgAA</t>
  </si>
  <si>
    <t>AAQ0NTEyAQgAAAAFAAAAATEBAAAACy0xOTQ4ODM3NTE1AwAAAAMxNjACAAAABDEwNjkEAAAAATAHAAAACDMvNi8yMDI2CAAAAAkzLzMxLzIwMjQJAAAAATApQvnkzXveCHVDMjnOe94IJ0NJUS5OWVNFOklCTS5JUV9HQUFQX0NGLjE5OTMuMDYvMDMvMjAyNgEAAADetgEAAwAAAAAAKUL55M173gh1QzI5znveCDdDSVEuTllTRTpJQk0uSVFfTkVUX0RFQlRfSVNTVUVELjE5OTMuMDYvMDMvMjAyNi4uLlVTRC5IAQAAAN62AQACAAAAAzU3NAEIAAAABQAAAAExAQAAAAstMTk0ODgzNzUxNQMAAAADMTYwAgAAAAQyMDAzBAAAAAEwBwAAAAgzLzYvMjAyNggAAAAJMy8zMS8yMDI0CQAAAAEwKUL55M173gh1QzI5znveCD5DSVEuTllTRTpJQk0uSVFfQ0FTSF9JTlRFUkVTVF9SRUNFSVZFRC4xOTkzLjA2LzAzLzIwMjYuLi5VU0QuSAEAAADetgEAAwAAAAAAKUL55M173ghefjI5znveCDtDSVEuTllTRTpJQk0uSVFfREFfU1VQUExfUEFSVElBTF9DRi4xOTkzLjA2LzAzLzIwMjYuLi5VU0QuSAEAAADetgEAAwAAAAAAKUL55M173ghefjI5znveCDVDSVEuTllTRTpJQk0uSVFfQ09NTU9OX0RJVl9DRi4xOTkzLjA2LzAzLzIwMjYuLi5VU0QuSAEAAADetgEAAgAAAAUtNjA2NQEIAAAABQAAAAExAQAAAAstMTk0ODgzNzUxNQMAAAADMTYwAgAAAAQyMDc0BAAAAAEwBwAAAAgzLzYvMjAyNggAAAAJMy8zMS8yMDI0CQAA</t>
  </si>
  <si>
    <t>AAEwKUL55M173gh1QzI5znveCDJDSVEuTllTRTpJQk0uSVFfQ09NTU9OX1JFUC4xOTkzLjA2LzAzLzIwMjYuLi5VU0QuSAEAAADetgEAAgAAAAQtNTA1AQgAAAAFAAAAATEBAAAACy0xOTQ4ODM3NTE1AwAAAAMxNjACAAAABDIxNjQEAAAAATAHAAAACDMvNi8yMDI2CAAAAAkzLzMxLzIwMjQJAAAAATApQvnkzXveCHVDMjnOe94IO0NJUS5OWVNFOklCTS5JUV9TQUxFX1JFQUxfRVNUQVRFX0NGLjE5OTMuMDYvMDMvMjAyNi4uLlVTRC5IAQAAAN62AQADAAAAAAApQvnkzXveCHVDMjnOe94IPUNJUS5OWVNFOklCTS5JUV9DSEFOR0VfVFJBRElOR19BU1NFVFMuMTk5My4wNi8wMy8yMDI2Li4uVVNELkgBAAAA3rYBAAMAAAAAAClC+eTNe94IXn4yOc573ggzQ0lRLk5ZU0U6SUJNLklRX09USEVSX0FNT1JULjE5OTMuMDYvMDMvMjAyNi4uLlVTRC5IAQAAAN62AQACAAAAAzgzMAEIAAAABQAAAAExAQAAAAstMTk0ODgzNzUxNQMAAAADMTYwAgAAAAQyMDE0BAAAAAEwBwAAAAgzLzYvMjAyNggAAAAJMy8zMS8yMDI0CQAAAAEwKUL55M173ghefjI5znveCDhDSVEuTllTRTpJQk0uSVFfUkVTVFJfU1RPQ0tfQ09NUC4xOTkzLjA2LzAzLzIwMjYuLi5VU0QuSAEAAADetgEAAwAAAAAAKUL55M173ghefjI5znveCDlDSVEuTllTRTpJQk0uSVFfU1RPQ0tfQkFTRURfVE9UQUwuMTk5My4wNi8wMy8yMDI2Li4uVVNELkgB</t>
  </si>
  <si>
    <t>AAAA3rYBAAIAAAAEMTE4NQEIAAAABQAAAAExAQAAAAstMTk0ODgzNzUxNQMAAAADMTYwAgAAAAUyNDAzNAQAAAABMAcAAAAIMy82LzIwMjYIAAAACTMvMzEvMjAyNAkAAAABMClC+eTNe94IXn4yOc573ghFQ0lRLk5ZU0U6SUJNLklRX0dFTkVSQUxfUEFSVE5FUl9DT01NT05fRVFVSVRZLjE5OTMuMDYvMDMvMjAyNi4uLlVTRC5IAQAAAN62AQADAAAAAAApQvnkzXveCF5+MjnOe94IOENJUS5OWVNFOklCTS5JUV9GSU5fRElWX0xPQU5TX0xULjE5OTMuMDYvMDMvMjAyNi4uLlVTRC5IAQAAAN62AQACAAAABDQ5MjcBCAAAAAUAAAABMQEAAAALLTE5NDg4Mzc1MTUDAAAAAzE2MAIAAAAEMTAzMwQAAAABMAcAAAAIMy82LzIwMjYIAAAACTMvMzEvMjAyNAkAAAABMClC+eTNe94IXn4yOc573ggwQ0lRLk5ZU0U6SUJNLklRX1RPVEFMX0NBLjE5OTMuMDYvMDMvMjAyNi4uLlVTRC5IAQAAAN62AQACAAAABTM2NjYzAQgAAAAFAAAAATEBAAAACy0xOTQ4ODM3NTE1AwAAAAMxNjACAAAABDEwMDgEAAAAATAHAAAACDMvNi8yMDI2CAAAAAkzLzMxLzIwMjQJAAAAATApQvnkzXveCF5+MjnOe94ILUNJUS5OWVNFOklCTS5JUV9MSUZPUi4xOTkzLjA2LzAzLzIwMjYuLi5VU0QuSAEAAADetgEAAwAAAAAAKUL55M173ghefjI5znveCDlDSVEuTllTRTpJQk0uSVFfVE9UQUxfT1BFUl9MRUFTRVMuMTk5My4wNi8wMy8yMDI2</t>
  </si>
  <si>
    <t>Li4uVVNELkgBAAAA3rYBAAIAAAAEMzM2NwEIAAAABQAAAAExAQAAAAstMTk0ODgzNzUxNQMAAAADMTYwAgAAAAU0ODk3OAQAAAABMAcAAAAIMy82LzIwMjYIAAAACTMvMzEvMjAyNAkAAAABMClC+eTNe94IXn4yOc573gg/Q0lRLk5ZU0U6SUJNLklRX1JVQV9DQVBJVEFMX0xFQVNFX0dST1NTLjE5OTMuMDYvMDMvMjAyNi4uLlVTRC5IAQAAAN62AQADAAAAAAApQvnkzXveCF5+MjnOe94INUNJUS5OWVNFOklCTS5JUV9SVUFfQUNDVU1fREVQLjE5OTMuMDYvMDMvMjAyNi4uLlVTRC5IAQAAAN62AQADAAAAAAApQvnkzXveCF5+MjnOe94IOUNJUS5OWVNFOklCTS5JUV9UT1RBTF9MSUFCX0VRVUlUWS4xOTkzLjA2LzAzLzIwMjYuLi5VU0QuSAEAAADetgEAAgAAAAYxMzcxNjkBCAAAAAUAAAABMQEAAAALLTE5NDg4Mzc1MTUDAAAAAzE2MAIAAAAEMTAxMwQAAAABMAcAAAAIMy82LzIwMjYIAAAACTMvMzEvMjAyNAkAAAABMClC+eTNe94IXn4yOc573ggyQ0lRLk5ZU0U6SUJNLklRX1RPVEFMX0xJQUIuMTk5My4wNi8wMy8yMDI2Li4uVVNELkgBAAAA3rYBAAIAAAAGMTEzODM2AQgAAAAFAAAAATEBAAAACy0xOTQ4ODM3NTE1AwAAAAMxNjACAAAABDEyNzYEAAAAATAHAAAACDMvNi8yMDI2CAAAAAkzLzMxLzIwMjQJAAAAATApQvnkzXveCF5+MjnOe94INENJUS5OWVNFOklCTS5JUV9PVEhFUl9SRUNFSVYuMTk5</t>
  </si>
  <si>
    <t>My4wNi8wMy8yMDI2Li4uVVNELkgBAAAA3rYBAAIAAAADNjkyAQgAAAAFAAAAATEBAAAACy0xOTQ4ODM3NTE1AwAAAAMxNjACAAAABDEyMDYEAAAAATAHAAAACDMvNi8yMDI2CAAAAAkzLzMxLzIwMjQJAAAAATApQvnkzXveCF5+MjnOe94ISUNJUS5OWVNFOklCTS5JUV9MT05HX1RFUk1fREVCVF9SRVBBSURfRVhDTF9MRUFTRVMuMTk5My4wNi8wMy8yMDI2Li4uVVNELkgBAAAA3rYBAAIAAAAFLTUwNjMBCAAAAAUAAAABMQEAAAALLTE5NDg4Mzc1MTUDAAAAAzE2MAIAAAAFNDg5ODQEAAAAATAHAAAACDMvNi8yMDI2CAAAAAkzLzMxLzIwMjQJAAAAATApQvnkzXveCF5+MjnOe94IOENJUS5OWVNFOklCTS5JUV9DQVNIX1RBWEVTX0ZJTkFOLjE5OTMuMDYvMDMvMjAyNi4uLlVTRC5IAQAAAN62AQADAAAAAAApQvnkzXveCL65MjnOe94IPENJUS5OWVNFOklCTS5JUV9ORUdBVElWRV9HV19BTU9SVF9DRi4xOTkzLjA2LzAzLzIwMjYuLi5VU0QuSAEAAADetgEAAwAAAAAAKUL55M173gi+uTI5znveCC9DSVEuTllTRTpJQk0uSVFfREVQX1JVQS4xOTkzLjA2LzAzLzIwMjYuLi5VU0QuSAEAAADetgEAAgAAAAM5MDABCAAAAAUAAAABMQEAAAALLTE5NDg4Mzc1MTUDAAAAAzE2MAIAAAAFNDgzNTcEAAAAATAHAAAACDMvNi8yMDI2CAAAAAkzLzMxLzIwMjQJAAAAATApQvnkzXveCF5+MjnOe94INkNJUS5OWVNFOklC</t>
  </si>
  <si>
    <t>TS5JUV9TUEVDSUFMX0RJVl9DRi4xOTkzLjA2LzAzLzIwMjYuLi5VU0QuSAEAAADetgEAAwAAAAAAKUL55M173ghefjI5znveCDZDSVEuTllTRTpJQk0uSVFfTFRfREVCVF9JU1NVRUQuMTk5My4wNi8wMy8yMDI2Li4uVVNELkgBAAAA3rYBAAMAAAAAAClC+eTNe94IXn4yOc573ghBQ0lRLk5ZU0U6SUJNLklRX0RFUklWQVRJVkVfQVNTRVRTX0NVUlJFTlQuMTk5My4wNi8wMy8yMDI2Li4uVVNELkgBAAAA3rYBAAIAAAADMzI4AQgAAAAFAAAAATEBAAAACy0xOTQ4ODM3NTE1AwAAAAMxNjACAAAABDExMDkEAAAAATAHAAAACDMvNi8yMDI2CAAAAAkzLzMxLzIwMjQJAAAAATApQvnkzXveCAzOMjnOe94IMkNJUS5OWVNFOklCTS5JUV9UT1RBTF9ERUJULjE5OTMuMDYvMDMvMjAyNi4uLlVTRC5IAQAAAN62AQACAAAABTYyODcxAQgAAAAFAAAAATEBAAAACy0xOTQ4ODM3NTE1AwAAAAMxNjACAAAABDQxNzMEAAAAATAHAAAACDMvNi8yMDI2CAAAAAkzLzMxLzIwMjQJAAAAATApQvnkzXveCL65MjnOe94IK0NJUS5OWVNFOklCTS5JUV9UQlYuMTk5My4wNi8wMy8yMDI2Li4uVVNELkgBAAAA3rYBAAIAAAAGLTQ3MDIzAQgAAAAFAAAAATEBAAAACy0xOTQ4ODM3NTE1AwAAAAMxNjACAAAABDEzMTAEAAAAATAHAAAACDMvNi8yMDI2CAAAAAkzLzMxLzIwMjQJAAAAATApQvnkzXveCL65MjnOe94IOUNJUS5OWVNFOklC</t>
  </si>
  <si>
    <t>TS5JUV9UT1RBTF9PVVRTVEFORElOR19CU19EQVRFLjE5OTMuMDYvMDMvMjAyNgEAAADetgEAAgAAAAo5MTguNjAyNjY2AQQAAAAFAAAAATUBAAAACy0xOTQ4ODM3NTE1AgAAAAUyNDE1MgYAAAABMClC+eTNe94IvrkyOc573gg9Q0lRLk5ZU0U6SUJNLklRX1JVQV9DQVBJVEFMX0xFQVNFX05FVC4xOTkzLjA2LzAzLzIwMjYuLi5VU0QuSAEAAADetgEAAwAAAAAAKUL55M173gi+uTI5znveCDdDSVEuTllTRTpJQk0uSVFfUkVTVFJJQ1RFRF9DQVNILjE5OTMuMDYvMDMvMjAyNi4uLlVTRC5IAQAAAN62AQACAAAAAzE2MgEIAAAABQAAAAExAQAAAAstMTk0ODgzNzUxNQMAAAADMTYwAgAAAAQxMTA0BAAAAAEwBwAAAAgzLzYvMjAyNggAAAAJMy8zMS8yMDI0CQAAAAEwKUL55M173ggMzjI5znveCDBDSVEuTllTRTpJQk0uSVFfU09GVFdBUkUuMTk5My4wNi8wMy8yMDI2Li4uVVNELkgBAAAA3rYBAAMAAAAAAClC+eTNe94IDM4yOc573gg8Q0lRLk5ZU0U6SUJNLklRX0RFRl9UQVhfTElBQl9DVVJSRU5ULjE5OTMuMDYvMDMvMjAyNi4uLlVTRC5IAQAAAN62AQADAAAAAAApQvnkzXveCAzOMjnOe94IO0NJUS5OWVNFOklCTS5JUV9JTkNfVEFYX1BBWV9DVVJSRU5ULjE5OTMuMDYvMDMvMjAyNi4uLlVTRC5IAQAAAN62AQACAAAABDE3MTABCAAAAAUAAAABMQEAAAALLTE5NDg4Mzc1MTUDAAAAAzE2MAIAAAAEMTA5</t>
  </si>
  <si>
    <t>NAQAAAABMAcAAAAIMy82LzIwMjYIAAAACTMvMzEvMjAyNAkAAAABMClC+eTNe94IDM4yOc573ggzQ0lRLk5ZU0U6SUJNLklRX01BSU5UX0NBUEVYLjE5OTMuMDYvMDMvMjAyNi4uLlVTRC5IAQAAAN62AQADAAAAAAApQvnkzXveCAzOMjnOe94INUNJUS5OWVNFOklCTS5JUV9VTkxFVkVSRURfRkNGLjE5OTMuMDYvMDMvMjAyNi4uLlVTRC5IAQAAAN62AQACAAAABTEyMDc4AQgAAAAFAAAAATEBAAAACy0xOTQ4ODM3NTE1AwAAAAMxNjACAAAABDQ0MjMEAAAAATAHAAAACDMvNi8yMDI2CAAAAAkzLzMxLzIwMjQJAAAAATApQvnkzXveCAzOMjnOe94IMENJUS5OWVNFOklCTS5JUV9UT1RBTF9DTC4xOTkzLjA2LzAzLzIwMjYuLi5VU0QuSAEAAADetgEAAgAAAAUzMjM5NwEIAAAABQAAAAExAQAAAAstMTk0ODgzNzUxNQMAAAADMTYwAgAAAAQxMDA5BAAAAAEwBwAAAAgzLzYvMjAyNggAAAAJMy8zMS8yMDI0CQAAAAEwKUL55M173ggMzjI5znveCENDSVEuTllTRTpJQk0uSVFfVE9UQUxfREVCVF9FWENMX09QRVJfTEVBU0VTLjE5OTMuMDYvMDMvMjAyNi4uLlVTRC5IAQAAAN62AQACAAAABTU5NTA0AQgAAAAFAAAAATEBAAAACy0xOTQ4ODM3NTE1AwAAAAMxNjACAAAABTQ4OTgyBAAAAAEwBwAAAAgzLzYvMjAyNggAAAAJMy8zMS8yMDI0CQAAAAEwKUL55M173ggMzjI5znveCDBDSVEuTllTRTpJQk0uSVFfVFJF</t>
  </si>
  <si>
    <t>QVNVUlkuMTk5My4wNi8wMy8yMDI2Li4uVVNELkgBAAAA3rYBAAIAAAAHLTE2OTc1OQEIAAAABQAAAAExAQAAAAstMTk0ODgzNzUxNQMAAAADMTYwAgAAAAQxMjQ4BAAAAAEwBwAAAAgzLzYvMjAyNggAAAAJMy8zMS8yMDI0CQAAAAEwKUL55M173ggMzjI5znveCCxDSVEuTllTRTpJQk0uSVFfQVBJQy4xOTkzLjA2LzAzLzIwMjYuLi5VU0QuSAEAAADetgEAAwAAAAAAKUL55M173gh99TI5znveCDhDSVEuTllTRTpJQk0uSVFfTE9OR19URVJNX0xFQVNFUy4xOTkzLjA2LzAzLzIwMjYuLi5VU0QuSAEAAADetgEAAgAAAAQzMjg4AQgAAAAFAAAAATEBAAAACy0xOTQ4ODM3NTE1AwAAAAMxNjACAAAABDExODMEAAAAATAHAAAACDMvNi8yMDI2CAAAAAkzLzMxLzIwMjQJAAAAATApQvnkzXveCH31MjnOe94IOUNJUS5OWVNFOklCTS5JUV9GSU5fRElWX0FTU0VUU19MVC4xOTkzLjA2LzAzLzIwMjYuLi5VU0QuSAEAAADetgEAAwAAAAAAKUL55M173ggMzjI5znveCDZDSVEuTllTRTpJQk0uSVFfTE9BTlNfRk9SX1NBTEUuMTk5My4wNi8wMy8yMDI2Li4uVVNELkgBAAAA3rYBAAMAAAAAAClC+eTNe94IDM4yOc573gg2Q0lRLk5ZU0U6SUJNLklRX1NUX05PVEVfUkVDRUlWLjE5OTMuMDYvMDMvMjAyNi4uLlVTRC5IAQAAAN62AQADAAAAAAApQvnkzXveCAzOMjnOe94INkNJUS5OWVNFOklCTS5JUV9DQVNIX1NUX0lO</t>
  </si>
  <si>
    <t>VkVTVC4xOTkzLjA2LzAzLzIwMjYuLi5VU0QuSAEAAADetgEAAgAAAAUxOTExNQEIAAAABQAAAAExAQAAAAstMTk0ODgzNzUxNQMAAAADMTYwAgAAAAQxMDAyBAAAAAEwBwAAAAgzLzYvMjAyNggAAAAJMy8zMS8yMDI0CQAAAAEwKUL55M173gh99TI5znveCENDSVEuTllTRTpJQk0uSVFfT1BFUkFUSU5HX0xFQVNFX0xJQUJJTElUSUVTLjE5OTMuMDYvMDMvMjAyNi4uLlVTRC5IAQAAAN62AQADAAAAAAApQvnkzXveCH31MjnOe94IN0NJUS5OWVNFOklCTS5JUV9DQVNIX1RBWEVTX09QRVIuMTk5My4wNi8wMy8yMDI2Li4uVVNELkgBAAAA3rYBAAMAAAAAAClC+eTNe94IffUyOc573ghEQ0lRLk5ZU0U6SUJNLklRX0RBX1NVUFBMX0NGX0VYQ0xfT1BFUl9MRUFTRVMuMTk5My4wNi8wMy8yMDI2Li4uVVNELkgBAAAA3rYBAAIAAAAEMTIxNQEIAAAABQAAAAExAQAAAAstMTk0ODgzNzUxNQMAAAADMTYwAgAAAAU0ODk4MwQAAAABMAcAAAAIMy82LzIwMjYIAAAACTMvMzEvMjAyNAkAAAABMClC+eTNe94IffUyOc573gg/Q0lRLk5ZU0U6SUJNLklRX09USEVSX0ZJTkFOQ0VfQUNUX1NVUFBMLjE5OTMuMDYvMDMvMjAyNi4uLlVTRC5IAQAAAN62AQACAAAABC0yNzgBCAAAAAUAAAABMQEAAAALLTE5NDg4Mzc1MTUDAAAAAzE2MAIAAAAEMjA1MAQAAAABMAcAAAAIMy82LzIwMjYIAAAACTMvMzEvMjAyNAkAAAABMClC</t>
  </si>
  <si>
    <t>+eTNe94IffUyOc573gg6Q0lRLk5ZU0U6SUJNLklRX0NPTU1PTl9QUkVGX0RJVl9DRi4xOTkzLjA2LzAzLzIwMjYuLi5VU0QuSAEAAADetgEAAwAAAAAAKUL55M173gh99TI5znveCDNDSVEuTllTRTpJQk0uSVFfQ0FTSF9JTlZFU1QuMTk5My4wNi8wMy8yMDI2Li4uVVNELkgBAAAA3rYBAAIAAAAFLTMzMjABCAAAAAUAAAABMQEAAAALLTE5NDg4Mzc1MTUDAAAAAzE2MAIAAAAEMjAwNQQAAAABMAcAAAAIMy82LzIwMjYIAAAACTMvMzEvMjAyNAkAAAABMClC+eTNe94IffUyOc573gg2Q0lRLk5ZU0U6SUJNLklRX0NIQU5HRV9JTkNfVEFYLjE5OTMuMDYvMDMvMjAyNi4uLlVTRC5IAQAAAN62AQADAAAAAAApQvnkzXveCH31MjnOe94IMENJUS5OWVNFOklCTS5JUV9MT0FOU19DRi4xOTkzLjA2LzAzLzIwMjYuLi5VU0QuSAEAAADetgEAAwAAAAAAKUL55M173gh99TI5znveCCpDSVEuTllTRTpJQk0uSVFfSU5WX01FVEhPRC4xOTkzLjA2LzAzLzIwMjYBAAAA3rYBAAMAAAAAAClC+eTNe94IffUyOc573gg+Q0lRLk5ZU0U6SUJNLklRX1RPVEFMX0RFQlRfTk9OX0NVUlJFTlQuMTk5My4wNi8wMy8yMDI2Li4uVVNELkgBAAAA3rYBAAIAAAAFNTY2MTYBCAAAAAUAAAABMQEAAAALLTE5NDg4Mzc1MTUDAAAAAzE2MAIAAAAFMjUyMjQEAAAAATAHAAAACDMvNi8yMDI2CAAAAAkzLzMxLzIwMjQJAAAAATApQvnkzXve</t>
  </si>
  <si>
    <t>CIAcMznOe94IMkNJUS5OWVNFOklCTS5JUV9DQVNIX1NIQVJFLjE5OTMuMDYvMDMvMjAyNi4uLlVTRC5IAQAAAN62AQACAAAACTE1Ljg5Njk3MQEIAAAABQAAAAExAQAAAAstMTk0ODgzNzUxNQMAAAADMTYwAgAAAAQ0MzgxBAAAAAEwBwAAAAgzLzYvMjAyNggAAAAJMy8zMS8yMDI0CQAAAAEwKUL55M173giAHDM5znveCDdDSVEuTllTRTpJQk0uSVFfTE9BTlNfUkVDRUlWX0xULjE5OTMuMDYvMDMvMjAyNi4uLlVTRC5IAQAAAN62AQACAAAAAzEwMAEIAAAABQAAAAExAQAAAAstMTk0ODgzNzUxNQMAAAADMTYwAgAAAAQxMDUwBAAAAAEwBwAAAAgzLzYvMjAyNggAAAAJMy8zMS8yMDI0CQAAAAEwKUL55M173giAHDM5znveCDNDSVEuTllTRTpJQk0uSVFfT1RIRVJfSU5UQU4uMTk5My4wNi8wMy8yMDI2Li4uVVNELkgBAAAA3rYBAAIAAAAFMTA3NTABCAAAAAUAAAABMQEAAAALLTE5NDg4Mzc1MTUDAAAAAzE2MAIAAAAEMTA0MAQAAAABMAcAAAAIMy82LzIwMjYIAAAACTMvMzEvMjAyNAkAAAABMClC+eTNe94IgBwzOc573gg9Q0lRLk5ZU0U6SUJNLklRX0ZJTl9ESVZfU1RfREVCVF9UT1RBTC4xOTkzLjA2LzAzLzIwMjYuLi5VU0QuSAEAAADetgEAAwAAAAAAKUL55M173gi5QzM5znveCDhDSVEuTllTRTpJQk0uSVFfQUxMT1dfRE9VQlRfQUNDVC4xOTkzLjA2LzAzLzIwMjYuLi5VU0QuSAEAAADetgEAAgAA</t>
  </si>
  <si>
    <t>AAMxNTIBCAAAAAUAAAABMQEAAAALLTE5NDg4Mzc1MTUDAAAAAzE2MAIAAAAEMzAxMgQAAAABMAcAAAAIMy82LzIwMjYIAAAACTMvMzEvMjAyNAkAAAABMClC+eTNe94IgBwzOc573gg5Q0lRLk5ZU0U6SUJNLklRX0JWX1NIQVJFX1JFUE9SVEVELjE5OTMuMDYvMDMvMjAyNi4uLlVTRC5IAQAAAN62AQADAAAAAAApQvnkzXveCIAcMznOe94ISUNJUS5OWVNFOklCTS5JUV9MVF9QT1JUSU9OX09QRVJfTEVBU0VfTElBQklMSVRJRVMuMTk5My4wNi8wMy8yMDI2Li4uVVNELkgBAAAA3rYBAAIAAAAEMjU4MwEIAAAABQAAAAExAQAAAAstMTk0ODgzNzUxNQMAAAADMTYwAgAAAAU0ODM4MwQAAAABMAcAAAAIMy82LzIwMjYIAAAACTMvMzEvMjAyNAkAAAABMClC+eTNe94IgBwzOc573gg8Q0lRLk5ZU0U6SUJNLklRX1RPVEFMX0ZJTkFOQ0VfTEVBU0VTLjE5OTMuMDYvMDMvMjAyNi4uLlVTRC5IAQAAAN62AQACAAAAAzcwNQEIAAAABQAAAAExAQAAAAstMTk0ODgzNzUxNQMAAAADMTYwAgAAAAU0OTAzMQQAAAABMAcAAAAIMy82LzIwMjYIAAAACTMvMzEvMjAyNAkAAAABMClC+eTNe94IgBwzOc573gg+Q0lRLk5ZU0U6SUJNLklRX0ZJTkFOQ0VfTEVBU0VTX0NVUlJFTlQuMTk5My4wNi8wMy8yMDI2Li4uVVNELkgBAAAA3rYBAAMAAAAAAClC+eTNe94IhWozOc573ghLQ0lRLk5ZU0U6SUJNLklRX0xJUVVJREFUSU9O</t>
  </si>
  <si>
    <t>X1ZBTFVFX1BSRUZFUlJFRF9DT05WRVJULjE5OTMuMDYvMDMvMjAyNi4uLlVTRC5IAQAAAN62AQADAAAAAAApQvnkzXveCIVqMznOe94INENJUS5OWVNFOklCTS5JUV9UT1RBTF9MRUFTRVMuMTk5My4wNi8wMy8yMDI2Li4uVVNELkgBAAAA3rYBAAIAAAAENDA3MgEIAAAABQAAAAExAQAAAAstMTk0ODgzNzUxNQMAAAADMTYwAgAAAAU0ODk3OQQAAAABMAcAAAAIMy82LzIwMjYIAAAACTMvMzEvMjAyNAkAAAABMClC+eTNe94IuUMzOc573gg6Q0lRLk5ZU0U6SUJNLklRX1RCVl9TSEFSRV9SRVBPUlRFRC4xOTkzLjA2LzAzLzIwMjYuLi5VU0QuSAEAAADetgEAAwAAAAAAKUL55M173gi5QzM5znveCDNDSVEuTllTRTpJQk0uSVFfUFJFUEFJRF9FWFAuMTk5My4wNi8wMy8yMDI2Li4uVVNELkgBAAAA3rYBAAIAAAAEMTk0OQEIAAAABQAAAAExAQAAAAstMTk0ODgzNzUxNQMAAAADMTYwAgAAAAQxMjEyBAAAAAEwBwAAAAgzLzYvMjAyNggAAAAJMy8zMS8yMDI0CQAAAAEwKUL55M173gi5QzM5znveCC1DSVEuTllTRTpJQk0uSVFfQ0FQRVguMTk5My4wNi8wMy8yMDI2Li4uVVNELkgBAAAA3rYBAAIAAAAFLTExODQBCAAAAAUAAAABMQEAAAALLTE5NDg4Mzc1MTUDAAAAAzE2MAIAAAAEMjAyMQQAAAABMAcAAAAIMy82LzIwMjYIAAAACTMvMzEvMjAyNAkAAAABMClC+eTNe94IhWozOc573gg/Q0lRLk5ZU0U6SUJN</t>
  </si>
  <si>
    <t>LklRX0dBSU5fQkFSR0FJTl9BQ1FfU1VQUExFLjE5OTMuMDYvMDMvMjAyNi4uLlVTRC5IAQAAAN62AQADAAAAAAApQvnkzXveCIVqMznOe94ILkNJUS5OWVNFOklCTS5JUV9SRVNUQVRFTUVOVF9JUy4xOTkzLjA2LzAzLzIwMjYBAAAA3rYBAAMAAAACUkMAKUL55M173giFajM5znveCCxDSVEuTllTRTpJQk0uSVFfUEFZT1VUX1JBVElPLjE5OTMuMDYvMDMvMjAyNgEAAADetgEAAgAAAAc3NC4xNDQyAQgAAAAFAAAAATEBAAAACy0xOTQ4ODM3NTE1AwAAAAMxNjACAAAABDQzNzcEAAAAATAHAAAACDMvNi8yMDI2CAAAAAkzLzMxLzIwMjQJAAAAATApQvnkzXveCIVqMznOe94IM0NJUS5OWVNFOklCTS5JUV9JTlRfRVhQX0xURC4xOTkzLjA2LzAzLzIwMjYuLi5VU0QuSAEAAADetgEAAwAAAAAAKUL55M173giFajM5znveCDlDSVEuTllTRTpJQk0uSVFfSU5WRVNUTUVOVF9JTkNPTUUuMTk5My4wNi8wMy8yMDI2Li4uVVNELkgBAAAA3rYBAAMAAAAAAClC+eTNe94IhWozOc573ggvQ0lRLk5ZU0U6SUJNLklRX0VCSVREQVIuMTk5My4wNi8wMy8yMDI2Li4uVVNELkgBAAAA3rYBAAMAAAAAAClC+eTNe94IhWozOc573gg+Q0lRLk5ZU0U6SUJNLklRX0VCSVREQV9FUV9JTkNfRVhDTF9TQkMuMTk5My4wNi8wMy8yMDI2Li4uVVNELkgBAAAA3rYBAAIAAAAFMTM4NDQBCAAAAAUAAAABMQEAAAALLTE5NDg4Mzc1MTUD</t>
  </si>
  <si>
    <t>AAAAAzE2MAIAAAAFMjQxMzEEAAAAATAHAAAACDMvNi8yMDI2CAAAAAkzLzMxLzIwMjQJAAAAATApQvnkzXveCIVqMznOe94IL0NJUS5OWVNFOklCTS5JUV9QRVJJT0RMRU5HVEhfSVMuMTk5My4wNi8wMy8yMDI2AQAAAN62AQABAAAAAjEyAClC+eTNe94IhWozOc573gg8Q0lRLk5ZU0U6SUJNLklRX0ZJTl9ESVZfTElBQl9DVVJSRU5ULjE5OTMuMDYvMDMvMjAyNi4uLlVTRC5IAQAAAN62AQADAAAAAAApQvnkzXveCMeRMznOe94IN0NJUS5OWVNFOklCTS5JUV9QUkVGX05PTl9SRURFRU0uMTk5My4wNi8wMy8yMDI2Li4uVVNELkgBAAAA3rYBAAMAAAAAAClC+eTNe94Ix5EzOc573ggwQ0lRLk5ZU0U6SUJNLklRX0NGX1NIQVJFLjE5OTMuMDYvMDMvMjAyNi4uLlVTRC5IAQAAAN62AQACAAAACTEzLjgwMjE4NwEIAAAABQAAAAExAQAAAAstMTk0ODgzNzUxNQMAAAADMTYwAgAAAAU0MzkyMwQAAAABMAcAAAAIMy82LzIwMjYIAAAACTMvMzEvMjAyNAkAAAABMClC+eTNe94Ix5EzOc573ghFQ0lRLk5ZU0U6SUJNLklRX0RFUFJFQ0lBVElPTl9SRU5UQUxfQVNTRVRTX0NGLjE5OTMuMDYvMDMvMjAyNi4uLlVTRC5IAQAAAN62AQADAAAAAAApQvnkzXveCMeRMznOe94IO0NJUS5OWVNFOklCTS5JUV9UQVhfQkVORUZJVF9PUFRJT05TLjE5OTMuMDYvMDMvMjAyNi4uLlVTRC5IAQAAAN62AQADAAAAAAApQvnkzXve</t>
  </si>
  <si>
    <t>CIVqMznOe94ILENJUS5OWVNFOklCTS5JUV9DQUxDX1RZUEVfQ0YuMTk5My4wNi8wMy8yMDI2AQAAAN62AQADAAAAA0xUTQApQvnkzXveCMWlMznOe94IOUNJUS5OWVNFOklCTS5JUV9UT1RBTF9ERUJUX0lTU1VFRC4xOTkzLjA2LzAzLzIwMjYuLi5VU0QuSAEAAADetgEAAgAAAAQ1NjQxAQgAAAAFAAAAATEBAAAACy0xOTQ4ODM3NTE1AwAAAAMxNjACAAAABDIxNjEEAAAAATAHAAAACDMvNi8yMDI2CAAAAAkzLzMxLzIwMjQJAAAAATApQvnkzXveCMWlMznOe94IO0NJUS5OWVNFOklCTS5JUV9DVVJSRU5UX1BPUlRfTEVBU0VTLjE5OTMuMDYvMDMvMjAyNi4uLlVTRC5IAQAAAN62AQACAAAAAzc4NAEIAAAABQAAAAExAQAAAAstMTk0ODgzNzUxNQMAAAADMTYwAgAAAAQxMDkwBAAAAAEwBwAAAAgzLzYvMjAyNggAAAAJMy8zMS8yMDI0CQAAAAEwKUL55M173gjHkTM5znveCDlDSVEuTllTRTpJQk0uSVFfQ0FTSF9JTlRFUkVTVF9ORVQuMTk5My4wNi8wMy8yMDI2Li4uVVNELkgBAAAA3rYBAAMAAAAAAClC+eTNe94Ix5EzOc573gg+Q0lRLk5ZU0U6SUJNLklRX0RBX0NGX0VYQ0xfT1BFUl9MRUFTRVMuMTk5My4wNi8wMy8yMDI2Li4uVVNELkgBAAAA3rYBAAIAAAAEMjcyMwEIAAAABQAAAAExAQAAAAstMTk0ODgzNzUxNQMAAAADMTYwAgAAAAU0ODk4NQQAAAABMAcAAAAIMy82LzIwMjYIAAAACTMvMzEvMjAy</t>
  </si>
  <si>
    <t>NAkAAAABMClC+eTNe94Ix5EzOc573gg5Q0lRLk5ZU0U6SUJNLklRX0dXX0lOVEFOX0FNT1JUX0NGLjE5OTMuMDYvMDMvMjAyNi4uLlVTRC5IAQAAAN62AQACAAAABDE1MDgBCAAAAAUAAAABMQEAAAALLTE5NDg4Mzc1MTUDAAAAAzE2MAIAAAAEMjE4MgQAAAABMAcAAAAIMy82LzIwMjYIAAAACTMvMzEvMjAyNAkAAAABMClC+eTNe94IxaUzOc573ggtQ0lRLk5ZU0U6SUJNLklRX05JX0NGLjE5OTMuMDYvMDMvMjAyNi4uLlVTRC5IAQAAAN62AQACAAAABDgxODABCAAAAAUAAAABMQEAAAALLTE5NDg4Mzc1MTUDAAAAAzE2MAIAAAAEMjE1MAQAAAABMAcAAAAIMy82LzIwMjYIAAAACTMvMzEvMjAyNAkAAAABMClC+eTNe94IxaUzOc573gg4Q0lRLk5ZU0U6SUJNLklRX1NUT0NLX0JBU0VEX0NPTVAuMTk5My4wNi8wMy8yMDI2Li4uVVNELkgBAAAA3rYBAAIAAAADODQyAClC+eTNe94IxaUzOc573gg/Q0lRLk5ZU0U6SUJNLklRX1NUT0NLX0JBU0VEX0NPTVBfUFJFVEFYLjE5OTMuMDYvMDMvMjAyNi4uLlVTRC5IAQAAAN62AQACAAAABDExODUAKUL55M173gjFpTM5znveCDJDSVEuTllTRTpJQk0uSVFfREVQUkVfU1VQUC4xOTkzLjA2LzAzLzIwMjYuLi5VU0QuSAEAAADetgEAAwAAAAAAKUL55M173gjFpTM5znveCDpDSVEuTllTRTpJQk0uSVFfQVNTRVRfV1JJVEVET1dOX0NGLjE5OTMuMDYvMDMvMjAyNi4u</t>
  </si>
  <si>
    <t>LlVTRC5IAQAAAN62AQADAAAAAAApQvnkzXveCMWlMznOe94INkNJUS5OWVNFOklCTS5JUV9DUkVESVRfTE9TU19DRi4xOTkzLjA2LzAzLzIwMjYuLi5VU0QuSAEAAADetgEAAwAAAAAAKUL55M173gjFpTM5znveCDhDSVEuTllTRTpJQk0uSVFfU1RPQ0tfQkFTRURfQ09HUy4xOTkzLjA2LzAzLzIwMjYuLi5VU0QuSAEAAADetgEAAgAAAAMyMDABCAAAAAUAAAABMQEAAAALLTE5NDg4Mzc1MTUDAAAAAzE2MAIAAAAFMjI2NzQEAAAAATAHAAAACDMvNi8yMDI2CAAAAAkzLzMxLzIwMjQJAAAAATApQvnkzXveCMWlMznOe94IOENJUS5OWVNFOklCTS5JUV9HQUlOX0JBUkdBSU5fQUNRLjE5OTMuMDYvMDMvMjAyNi4uLlVTRC5IAQAAAN62AQADAAAAAAApQvnkzXveCMWlMznOe94INkNJUS5OWVNFOklCTS5JUV9ORVRfUkVOVEFMX0VYUC4xOTkzLjA2LzAzLzIwMjYuLi5VU0QuSAEAAADetgEAAwAAAAAAKUL55M173gjFpTM5znveCC9DSVEuTllTRTpJQk0uSVFfRUZGRUNUX1RBWF9SQVRFLjE5OTMuMDYvMDMvMjAyNgEAAADetgEAAgAAAAY2LjMxODIBCAAAAAUAAAABMQEAAAALLTE5NDg4Mzc1MTUDAAAAAzE2MAIAAAAENDM3NgQAAAABMAcAAAAIMy82LzIwMjYIAAAACTMvMzEvMjAyNAkAAAABMClC+eTNe94IDc0zOc573gg8Q0lRLk5ZU0U6SUJNLklRX0NBUElUQUxJWkVEX0lOVEVSRVNULjE5OTMuMDYvMDMv</t>
  </si>
  <si>
    <t>MjAyNi4uLlVTRC5IAQAAAN62AQADAAAAAAApQvnkzXveCA3NMznOe94IN0NJUS5OWVNFOklCTS5JUV9DQVNIX0FDUVVJUkVfQ0YuMTk5My4wNi8wMy8yMDI2Li4uVVNELkgBAAAA3rYBAAIAAAAFLTUxNDIBCAAAAAUAAAABMQEAAAALLTE5NDg4Mzc1MTUDAAAAAzE2MAIAAAAEMjA1NwQAAAABMAcAAAAIMy82LzIwMjYIAAAACTMvMzEvMjAyNAkAAAABMClC+eTNe94IDc0zOc573gg2Q0lRLk5ZU0U6SUJNLklRX1NUT0NLX0JBU0VEX0NGLjE5OTMuMDYvMDMvMjAyNi4uLlVTRC5IAQAAAN62AQACAAAABDExODUBCAAAAAUAAAABMQEAAAALLTE5NDg4Mzc1MTUDAAAAAzE2MAIAAAAEMjEyNwQAAAABMAcAAAAIMy82LzIwMjYIAAAACTMvMzEvMjAyNAkAAAABMClC+eTNe94IDc0zOc573ghAQ0lRLk5ZU0U6SUJNLklRX0lNUFVUX09QRVJfTEVBU0VfSU5UX0VYUC4xOTkzLjA2LzAzLzIwMjYuLi5VU0QuSAEAAADetgEAAwAAAAAAKUL55M173gjFpTM5znveCDFDSVEuTllTRTpJQk0uSVFfUlVBX0dST1NTLjE5OTMuMDYvMDMvMjAyNi4uLlVTRC5IAQAAAN62AQADAAAAAAApQvnkzXveCA3NMznOe94INUNJUS5OWVNFOklCTS5JUV9ET19GSU5BTkNFX0NGLjE5OTMuMDYvMDMvMjAyNi4uLlVTRC5IAQAAAN62AQADAAAAAAApQvnkzXveCA3NMznOe94IM0NJUS5OWVNFOklCTS5JUV9QUkVGX0lTU1VFRC4xOTkzLjA2</t>
  </si>
  <si>
    <t>LzAzLzIwMjYuLi5VU0QuSAEAAADetgEAAwAAAAAAKUL55M173ggNzTM5znveCDZDSVEuTllTRTpJQk0uSVFfT1RIRVJfT1BFUl9BQ1QuMTk5My4wNi8wMy8yMDI2Li4uVVNELkgBAAAA3rYBAAIAAAAFLTExMTUBCAAAAAUAAAABMQEAAAALLTE5NDg4Mzc1MTUDAAAAAzE2MAIAAAAEMjA0NwQAAAABMAcAAAAIMy82LzIwMjYIAAAACTMvMzEvMjAyNAkAAAABMClC+eTNe94IDc0zOc573gg5Q0lRLk5ZU0U6SUJNLklRX1BST1ZfQkFEX0RFQlRTX0NGLjE5OTMuMDYvMDMvMjAyNi4uLlVTRC5IAQAAAN62AQADAAAAAAApQvnkzXveCA3NMznOe94IOUNJUS5OWVNFOklCTS5JUV9ORUdBVElWRV9HV19BTU9SVC4xOTkzLjA2LzAzLzIwMjYuLi5VU0QuSAEAAADetgEAAwAAAAAAKUL55M173ggNzTM5znveCD5DSVEuTllTRTpJQk0uSVFfQVNTRVRfV1JJVEVET1dOX1NVUFBMRS4xOTkzLjA2LzAzLzIwMjYuLi5VU0QuSAEAAADetgEAAwAAAAAAKUL55M173ggNzTM5znveCDNDSVEuTllTRTpJQk0uSVFfQURWRVJUSVNJTkcuMTk5My4wNi8wMy8yMDI2Li4uVVNELkgBAAAA3rYBAAMAAAAAAClC+eTNe94IDc0zOc573gg0Q0lRLk5ZU0U6SUJNLklRX1RPVEFMX0VRVUlUWS4xOTkzLjA2LzAzLzIwMjYuLi5VU0QuSAEAAADetgEAAgAAAAUyMzMzMwEIAAAABQAAAAExAQAAAAstMTk0ODgzNzUxNQMAAAADMTYwAgAAAAQx</t>
  </si>
  <si>
    <t>Mjc1BAAAAAEwBwAAAAgzLzYvMjAyNggAAAAJMy8zMS8yMDI0CQAAAAEwKUL55M173ggNzTM5znveCDVDSVEuTllTRTpJQk0uSVFfQ0FTSF9JTlRFUkVTVC4xOTkzLjA2LzAzLzIwMjYuLi5VU0QuSAEAAADetgEAAgAAAAQxNzI4AQgAAAAFAAAAATEBAAAACy0xOTQ4ODM3NTE1AwAAAAMxNjACAAAABDMwMjgEAAAAATAHAAAACDMvNi8yMDI2CAAAAAkzLzMxLzIwMjQJAAAAATApQvnkzXveCA3NMznOe94IMUNJUS5OWVNFOklCTS5JUV9ESVZFU1RfQ0YuMTk5My4wNi8wMy8yMDI2Li4uVVNELkgBAAAA3rYBAAIAAAADNjk5AQgAAAAFAAAAATEBAAAACy0xOTQ4ODM3NTE1AwAAAAMxNjACAAAABDIwNzcEAAAAATAHAAAACDMvNi8yMDI2CAAAAAkzLzMxLzIwMjQJAAAAATApQvnkzXveCA3NMznOe94IM0NJUS5OWVNFOklCTS5JUV9TQUxFX1BQRV9DRi4xOTkzLjA2LzAzLzIwMjYuLi5VU0QuSAEAAADetgEAAgAAAAMzMjIBCAAAAAUAAAABMQEAAAALLTE5NDg4Mzc1MTUDAAAAAzE2MAIAAAAEMjA0MgQAAAABMAcAAAAIMy82LzIwMjYIAAAACTMvMzEvMjAyNAkAAAABMClC+eTNe94IDc0zOc573ggtQ0lRLk5ZU0U6SUJNLklRX0ZJTElOR0RBVEVfQ0YuMTk5My4wNi8wMy8yMDI2AQAAAN62AQAFAAAACjI0LzA0LzIwMjUAKUL55M173ggNzTM5znveCDxDSVEuTllTRTpJQk0uSVFfSU1QQUlSTUVOVF9HV19TVVBQ</t>
  </si>
  <si>
    <t>TEUuMTk5My4wNi8wMy8yMDI2Li4uVVNELkgBAAAA3rYBAAMAAAAAAClC+eTNe94IDc0zOc573gg2Q0lRLk5ZU0U6SUJNLklRX01JTklNVU1fUkVOVEFMLjE5OTMuMDYvMDMvMjAyNi4uLlVTRC5IAQAAAN62AQADAAAAAAApQvnkzXveCA3NMznOe94IQ0NJUS5OWVNFOklCTS5JUV9TQUxFX1BST0NFRURTX1JFTlRBTF9BU1NFVFMuMTk5My4wNi8wMy8yMDI2Li4uVVNELkgBAAAA3rYBAAMAAAAAAClC+eTNe94I9Ac0Oc573gg9Q0lRLk5ZU0U6SUJNLklRX0ZJTl9ESVZfTE9BTlNfQ1VSUkVOVC4xOTkzLjA2LzAzLzIwMjYuLi5VU0QuSAEAAADetgEAAgAAAAQ0ODc3AQgAAAAFAAAAATEBAAAACy0xOTQ4ODM3NTE1AwAAAAMxNjACAAAABDEwMzIEAAAAATAHAAAACDMvNi8yMDI2CAAAAAkzLzMxLzIwMjQJAAAAATApQvnkzXveCPQHNDnOe94IS0NJUS5OWVNFOklCTS5JUV9PUEVSQVRJTkdfTEVBU0VfTElBQklMSVRJRVNfTk9OQ0FTSC4xOTkzLjA2LzAzLzIwMjYuLi5VU0QuSAEAAADetgEAAwAAAAAAKUL55M173gj0BzQ5znveCDFDSVEuTllTRTpJQk0uSVFfQ0hBTkdFX0FQLjE5OTMuMDYvMDMvMjAyNi4uLlVTRC5IAQAAAN62AQACAAAAAjY1AQgAAAAFAAAAATEBAAAACy0xOTQ4ODM3NTE1AwAAAAMxNjACAAAABDIwMTcEAAAAATAHAAAACDMvNi8yMDI2CAAAAAkzLzMxLzIwMjQJAAAAATApQvnkzXveCA3N</t>
  </si>
  <si>
    <t>MznOe94INkNJUS5OWVNFOklCTS5JUV9TVE9DS19CQVNFRF9BVC4xOTkzLjA2LzAzLzIwMjYuLi5VU0QuSAEAAADetgEAAwAAAAAAKUL55M173gj0BzQ5znveCEJDSVEuTllTRTpJQk0uSVFfREVQUkVDSUFUSU9OX1JFTlRBTF9BU1NFVFMuMTk5My4wNi8wMy8yMDI2Li4uVVNELkgBAAAA3rYBAAMAAAAAAClC+eTNe94I9Ac0Oc573gguQ0lRLk5ZU0U6SUJNLklRX0dBX0VYUC4xOTkzLjA2LzAzLzIwMjYuLi5VU0QuSAEAAADetgEAAwAAAAAAKUL55M173gj0BzQ5znveCD5DSVEuTllTRTpJQk0uSVFfQU5OVV9ESVNUUklCVVRJT05fVU5JVC4xOTkzLjA2LzAzLzIwMjYuLi5VU0QuSAEAAADetgEAAwAAAAAAKUL55M173gj0BzQ5znveCEFDSVEuTllTRTpJQk0uSVFfTk9OUkVDVVJSSU5HX0lOQ09NRV9UQVhFUy4xOTkzLjA2LzAzLzIwMjYuLi5VU0QuSAEAAADetgEAAgAAAAQtMzU4AQgAAAAFAAAAATEBAAAACy0xOTQ4ODM3NTE1AwAAAAMxNjACAAAABTQ4ODM5BAAAAAEwBwAAAAgzLzYvMjAyNggAAAAJMy8zMS8yMDI0CQAAAAEwKUL55M173gg8LzQ5znveCD9DSVEuTllTRTpJQk0uSVFfREVGRVJSRURfRE9NRVNUSUNfVEFYRVMuMTk5My4wNi8wMy8yMDI2Li4uVVNELkgBAAAA3rYBAAIAAAAFLTE1MzMBCAAAAAUAAAABMQEAAAALLTE5NDg4Mzc1MTUDAAAAAzE2MAIAAAAEMzA1NAQAAAABMAcAAAAIMy82</t>
  </si>
  <si>
    <t>LzIwMjYIAAAACTMvMzEvMjAyNAkAAAABMClC+eTNe94I9Ac0Oc573gg8Q0lRLk5ZU0U6SUJNLklRX0NBU0hfSU5URVJFU1RfSU5WRVNULjE5OTMuMDYvMDMvMjAyNi4uLlVTRC5IAQAAAN62AQADAAAAAAApQvnkzXveCPQHNDnOe94INkNJUS5OWVNFOklCTS5JUV9HQUlOX0FTU0VUU19DRi4xOTkzLjA2LzAzLzIwMjYuLi5VU0QuSAEAAADetgEAAgAAAAQtNDE4AQgAAAAFAAAAATEBAAAACy0xOTQ4ODM3NTE1AwAAAAMxNjACAAAABDIwMjYEAAAAATAHAAAACDMvNi8yMDI2CAAAAAkzLzMxLzIwMjQJAAAAATApQvnkzXveCPQHNDnOe94IMkNJUS5OWVNFOklCTS5JUV9PSUxfSU1QQUlSLjE5OTMuMDYvMDMvMjAyNi4uLlVTRC5IAQAAAN62AQADAAAAAAApQvnkzXveCPQHNDnOe94IP0NJUS5OWVNFOklCTS5JUV9FWFBMT1JFX0RSSUxMX0VYUF9UT1RBTC4xOTkzLjA2LzAzLzIwMjYuLi5VU0QuSAEAAADetgEAAwAAAAAAKUL55M173gg8LzQ5znveCDdDSVEuTllTRTpJQk0uSVFfU0FMRVNfTUFSS0VUSU5HLjE5OTMuMDYvMDMvMjAyNi4uLlVTRC5IAQAAAN62AQACAAAABDEyMDIBCAAAAAUAAAABMQEAAAALLTE5NDg4Mzc1MTUDAAAAAzE2MAIAAAAFMjE1NjEEAAAAATAHAAAACDMvNi8yMDI2CAAAAAkzLzMxLzIwMjQJAAAAATApQvnkzXveCDwvNDnOe94INUNJUS5OWVNFOklCTS5JUV9FQklUREFfRVFfSU5D</t>
  </si>
  <si>
    <t>LjE5OTMuMDYvMDMvMjAyNi4uLlVTRC5IAQAAAN62AQACAAAACDEzOTYyLjI1AQgAAAAFAAAAATEBAAAACy0xOTQ4ODM3NTE1AwAAAAMxNjACAAAABTIxNjc3BAAAAAEwBwAAAAgzLzYvMjAyNggAAAAJMy8zMS8yMDI0CQAAAAEwKUL55M173gg8LzQ5znveCD9DSVEuTllTRTpJQk0uSVFfRElTVFJJQlVUQUJMRV9DQVNIX1NIQVJFU19CQVNJQy4xOTkzLjA2LzAzLzIwMjYBAAAA3rYBAAMAAAAAABBp+eTNe94I52E2Oc573gg0Q0lRLk5ZU0U6SUJNLklRX0lOVEVSRVNUX0VYUC4xOTkzLjA2LzAzLzIwMjYuLi5VU0QuSAEAAADetgEAAgAAAAUtMTY3MgEIAAAABQAAAAExAQAAAAstMTk0ODgzNzUxNQMAAAADMTYwAgAAAAI4MgQAAAABMAcAAAAIMy82LzIwMjYIAAAACTMvMzEvMjAyNAkAAAABMClC+eTNe94IPC80Oc573ggzQ0lRLk5ZU0U6SUJNLklRX0lOU19ESVZfRVhQLjE5OTMuMDYvMDMvMjAyNi4uLlVTRC5IAQAAAN62AQADAAAAAAApQvnkzXveCDwvNDnOe94IOUNJUS5OWVNFOklCTS5JUV9UT1RBTF9ESVZfUEFJRF9DRi4xOTkzLjA2LzAzLzIwMjYuLi5VU0QuSAEAAADetgEAAgAAAAUtNjA2NQEIAAAABQAAAAExAQAAAAstMTk0ODgzNzUxNQMAAAADMTYwAgAAAAQyMDIyBAAAAAEwBwAAAAgzLzYvMjAyNggAAAAJMy8zMS8yMDI0CQAAAAEwKUL55M173gg8LzQ5znveCDlDSVEuTllTRTpJQk0uSVFf</t>
  </si>
  <si>
    <t>SU5TX1NFVFRMRV9TVVBQTEUuMTk5My4wNi8wMy8yMDI2Li4uVVNELkgBAAAA3rYBAAMAAAAAAClC+eTNe94IPC80Oc573gg0Q0lRLk5ZU0U6SUJNLklRX09USEVSX1JFTlRBTC4xOTkzLjA2LzAzLzIwMjYuLi5VU0QuSAEAAADetgEAAwAAAAAAKUL55M173gg8LzQ5znveCD1DSVEuTllTRTpJQk0uSVFfTkVUX1JFTlRBTF9FWFBfU1VQUExFLjE5OTMuMDYvMDMvMjAyNi4uLlVTRC5IAQAAAN62AQADAAAAAAApQvnkzXveCDwvNDnOe94INkNJUS5OWVNFOklCTS5JUV9ESUxVVF9FUFNfTk9STS4xOTkzLjA2LzAzLzIwMjYuLi5VU0QuSAEAAADetgEAAgAAAAg2LjA4MjgwOAEIAAAABQAAAAExAQAAAAstMTk0ODgzNzUxNQMAAAADMTYwAgAAAAQ0MzgwBAAAAAEwBwAAAAgzLzYvMjAyNggAAAAJMy8zMS8yMDI0CQAAAAEwKUL55M173ghwVjQ5znveCDZDSVEuTllTRTpJQk0uSVFfUFJFRl9ESVZfT1RIRVIuMTk5My4wNi8wMy8yMDI2Li4uVVNELkgBAAAA3rYBAAMAAAAAAClC+eTNe94IcFY0Oc573gg1Q0lRLk5ZU0U6SUJNLklRX1NBTEVfSU5UQU5fQ0YuMTk5My4wNi8wMy8yMDI2Li4uVVNELkgBAAAA3rYBAAIAAAAELTUzMQEIAAAABQAAAAExAQAAAAstMTk0ODgzNzUxNQMAAAADMTYwAgAAAAQyMDI5BAAAAAEwBwAAAAgzLzYvMjAyNggAAAAJMy8zMS8yMDI0CQAAAAEwKUL55M173ghwVjQ5znveCC1DSVEu</t>
  </si>
  <si>
    <t>TllTRTpJQk0uSVFfRE9fQ0YuMTk5My4wNi8wMy8yMDI2Li4uVVNELkgBAAAA3rYBAAMAAAAAAClC+eTNe94IPC80Oc573gg6Q0lRLk5ZU0U6SUJNLklRX1NUT0NLX09QVElPTlNfQ09NUC4xOTkzLjA2LzAzLzIwMjYuLi5VU0QuSAEAAADetgEAAwAAAAAAKUL55M173gg8LzQ5znveCDxDSVEuTllTRTpJQk0uSVFfTUlOT1JJVFlfSU5URVJFU1RfSVMuMTk5My4wNi8wMy8yMDI2Li4uVVNELkgBAAAA3rYBAAMAAAAAAClC+eTNe94IcFY0Oc573gg1Q0lRLk5ZU0U6SUJNLklRX1BSRV9PUEVOX0NPU1QuMTk5My4wNi8wMy8yMDI2Li4uVVNELkgBAAAA3rYBAAMAAAAAAClC+eTNe94IcFY0Oc573gg3Q0lRLk5ZU0U6SUJNLklRX0dBSU5fSU5WRVNUX1JFVi4xOTkzLjA2LzAzLzIwMjYuLi5VU0QuSAEAAADetgEAAwAAAAAAKUL55M173ghwVjQ5znveCDNDSVEuTllTRTpJQk0uSVFfRklOX0RJVl9SRVYuMTk5My4wNi8wMy8yMDI2Li4uVVNELkgBAAAA3rYBAAIAAAADNzMzAQgAAAAFAAAAATEBAAAACy0xOTQ4ODM3NTE1AwAAAAMxNjACAAAAAjUyBAAAAAEwBwAAAAgzLzYvMjAyNggAAAAJMy8zMS8yMDI0CQAAAAEwKUL55M173ghwVjQ5znveCDxDSVEuTllTRTpJQk0uSVFfVE9UQUxfVU5VU1VBTF9TVVBQTEUuMTk5My4wNi8wMy8yMDI2Li4uVVNELkgBAAAA3rYBAAMAAAAAAClC+eTNe94IcFY0Oc573gg1Q0lR</t>
  </si>
  <si>
    <t>Lk5ZU0U6SUJNLklRX01FUkdFUl9TVVBQTEUuMTk5My4wNi8wMy8yMDI2Li4uVVNELkgBAAAA3rYBAAMAAAAAAClC+eTNe94I4YI0Oc573gg9Q0lRLk5ZU0U6SUJNLklRX0lNUFVUX09QRVJfTEVBU0VfREVQUi4xOTkzLjA2LzAzLzIwMjYuLi5VU0QuSAEAAADetgEAAwAAAAAAKUL55M173ghwVjQ5znveCDpDSVEuTllTRTpJQk0uSVFfQ1VSUl9GT1JFSUdOX1RBWEVTLjE5OTMuMDYvMDMvMjAyNi4uLlVTRC5IAQAAAN62AQACAAAABDE1OTQBCAAAAAUAAAABMQEAAAALLTE5NDg4Mzc1MTUDAAAAAzE2MAIAAAAEMzAzMAQAAAABMAcAAAAIMy82LzIwMjYIAAAACTMvMzEvMjAyNAkAAAABMClC+eTNe94IcFY0Oc573ggsQ0lRLk5ZU0U6SUJNLklRX0RJTFVUX1dFSUdIVC4xOTkzLjA2LzAzLzIwMjYBAAAA3rYBAAIAAAAKOTI1Ljk3MDMzNgApQvnkzXveCHBWNDnOe94INUNJUS5OWVNFOklCTS5JUV9JTVBBSVJNRU5UX0dXLjE5OTMuMDYvMDMvMjAyNi4uLlVTRC5IAQAAAN62AQADAAAAAAApQvnkzXveCHBWNDnOe94IOENJUS5OWVNFOklCTS5JUV9UT1RBTF9PVEhFUl9PUEVSLjE5OTMuMDYvMDMvMjAyNi4uLlVTRC5IAQAAAN62AQACAAAABTI0NTk3AQgAAAAFAAAAATEBAAAACy0xOTQ4ODM3NTE1AwAAAAMxNjACAAAAAzM4MAQAAAABMAcAAAAIMy82LzIwMjYIAAAACTMvMzEvMjAyNAkAAAABMClC+eTNe94I</t>
  </si>
  <si>
    <t>4YI0Oc573gg3Q0lRLk5ZU0U6SUJNLklRX0VYVFJBX0FDQ19JVEVNUy4xOTkzLjA2LzAzLzIwMjYuLi5VU0QuSAEAAADetgEAAwAAAAAAKUL55M173gjhgjQ5znveCDRDSVEuTllTRTpJQk0uSVFfRE9fSU5WRVNUX0NGLjE5OTMuMDYvMDMvMjAyNi4uLlVTRC5IAQAAAN62AQADAAAAAAApQvnkzXveCOGCNDnOe94IMkNJUS5OWVNFOklCTS5JUV9ORVRfQ0hBTkdFLjE5OTMuMDYvMDMvMjAyNi4uLlVTRC5IAQAAAN62AQACAAAABDUyMzABCAAAAAUAAAABMQEAAAALLTE5NDg4Mzc1MTUDAAAAAzE2MAIAAAAEMjA5MwQAAAABMAcAAAAIMy82LzIwMjYIAAAACTMvMzEvMjAyNAkAAAABMClC+eTNe94I4YI0Oc573gg1Q0lRLk5ZU0U6SUJNLklRX0NPTU1PTl9JU1NVRUQuMTk5My4wNi8wMy8yMDI2Li4uVVNELkgBAAAA3rYBAAIAAAADNjc0AQgAAAAFAAAAATEBAAAACy0xOTQ4ODM3NTE1AwAAAAMxNjACAAAABDIxNjkEAAAAATAHAAAACDMvNi8yMDI2CAAAAAkzLzMxLzIwMjQJAAAAATApQvnkzXveCOGCNDnOe94IQUNJUS5OWVNFOklCTS5JUV9ESVNUUklCVVRBQkxFX0NBU0hfU0hBUkVTX0RJTFVURUQuMTk5My4wNi8wMy8yMDI2AQAAAN62AQADAAAAAAAQafnkzXveCMSvNTnOe94IP0NJUS5OWVNFOklCTS5JUV9FWENJU0VfVEFYRVNfSU5DTF9TQUxFUy4xOTkzLjA2LzAzLzIwMjYuLi5VU0QuSAEAAADetgEA</t>
  </si>
  <si>
    <t>AwAAAAAAKUL55M173gjhgjQ5znveCDRDSVEuTllTRTpJQk0uSVFfTEVHQUxfU0VUVExFLjE5OTMuMDYvMDMvMjAyNi4uLlVTRC5IAQAAAN62AQADAAAAAAApQvnkzXveCOGCNDnOe94ILENJUS5OWVNFOklCTS5JUV9DT0dTLjE5OTMuMDYvMDMvMjAyNi4uLlVTRC5IAQAAAN62AQACAAAABTI3MTY2AQgAAAAFAAAAATEBAAAACy0xOTQ4ODM3NTE1AwAAAAMxNjACAAAAAjM0BAAAAAEwBwAAAAgzLzYvMjAyNggAAAAJMy8zMS8yMDI0CQAAAAEwKUL55M173gjhgjQ5znveCDtDSVEuTllTRTpJQk0uSVFfTk9OQ0FTSF9QRU5TSU9OX0VYUC4xOTkzLjA2LzAzLzIwMjYuLi5VU0QuSAEAAADetgEAAwAAAAAAKUL55M173gjhgjQ5znveCC9DSVEuTllTRTpJQk0uSVFfTklfU0ZBUy4xOTkzLjA2LzAzLzIwMjYuLi5VU0QuSAEAAADetgEAAwAAAAAAKUL55M173ggpqjQ5znveCEpDSVEuTllTRTpJQk0uSVFfUFJPVl9CQURfREVCVFNfUEFUSUVOVF9TRVJWSUNFX1JFVi4xOTkzLjA2LzAzLzIwMjYuLi5VU0QuSAEAAADetgEAAwAAAAAAKUL55M173ggpqjQ5znveCD9DSVEuTllTRTpJQk0uSVFfRUJJVERBUl9FUV9JTkNfRVhDTF9TQkMuMTk5My4wNi8wMy8yMDI2Li4uVVNELkgBAAAA3rYBAAMAAAAAAClC+eTNe94IKao0Oc573gg2Q0lRLk5ZU0U6SUJNLklRX0RJTFVUX0VQU19JTkNMLjE5OTMuMDYvMDMvMjAyNi4u</t>
  </si>
  <si>
    <t>LlVTRC5IAQAAAN62AQACAAAABzguODM1MjcBCAAAAAUAAAABMQEAAAALLTE5NDg4Mzc1MTUDAAAAAzE2MAIAAAABOAQAAAABMAcAAAAIMy82LzIwMjYIAAAACTMvMzEvMjAyNAkAAAABMClC+eTNe94I4YI0Oc573gg2Q0lRLk5ZU0U6SUJNLklRX1NUX0RFQlRfSVNTVUVELjE5OTMuMDYvMDMvMjAyNi4uLlVTRC5IAQAAAN62AQADAAAAAAApQvnkzXveCOGCNDnOe94IOENJUS5OWVNFOklCTS5JUV9DSEFOR0VfSU5WRU5UT1JZLjE5OTMuMDYvMDMvMjAyNi4uLlVTRC5IAQAAAN62AQACAAAAAzM5MAEIAAAABQAAAAExAQAAAAstMTk0ODgzNzUxNQMAAAADMTYwAgAAAAQyMDk5BAAAAAEwBwAAAAgzLzYvMjAyNggAAAAJMy8zMS8yMDI0CQAAAAEwKUL55M173ggpqjQ5znveCCpDSVEuTllTRTpJQk0uSVFfQUQuMTk5My4wNi8wMy8yMDI2Li4uVVNELkgBAAAA3rYBAAIAAAAGLTEyNDc3AQgAAAAFAAAAATEBAAAACy0xOTQ4ODM3NTE1AwAAAAMxNjACAAAABDEwNzUEAAAAATAHAAAACDMvNi8yMDI2CAAAAAkzLzMxLzIwMjQJAAAAATApQvnkzXveCCmqNDnOe94IMUNJUS5OWVNFOklCTS5JUV9DQVNIX09QRVIuMTk5My4wNi8wMy8yMDI2Li4uVVNELkgBAAAA3rYBAAIAAAAFMTQzMjUBCAAAAAUAAAABMQEAAAALLTE5NDg4Mzc1MTUDAAAAAzE2MAIAAAAEMjAwNgQAAAABMAcAAAAIMy82LzIwMjYIAAAACTMvMzEv</t>
  </si>
  <si>
    <t>MjAyNAkAAAABMClC+eTNe94IKao0Oc573gg5Q0lRLk5ZU0U6SUJNLklRX0RJU1RSSUJVVEFCTEVfQ0FTSF9QQVlPVVQuMTk5My4wNi8wMy8yMDI2AQAAAN62AQADAAAAAAApQvnkzXveCCmqNDnOe94IPUNJUS5OWVNFOklCTS5JUV9FQklUQV9FUV9JTkNfRVhDTF9TQkMuMTk5My4wNi8wMy8yMDI2Li4uVVNELkgBAAAA3rYBAAIAAAAFMTI2MjkBCAAAAAUAAAABMQEAAAALLTE5NDg4Mzc1MTUDAAAAAzE2MAIAAAAFMjQxMzIEAAAAATAHAAAACDMvNi8yMDI2CAAAAAkzLzMxLzIwMjQJAAAAATApQvnkzXveCCmqNDnOe94ILUNJUS5OWVNFOklCTS5JUV9FQklUQS4xOTkzLjA2LzAzLzIwMjYuLi5VU0QuSAEAAADetgEAAgAAAAUxMTQ0NAEIAAAABQAAAAExAQAAAAstMTk0ODgzNzUxNQMAAAADMTYwAgAAAAYxMDA2ODkEAAAAATAHAAAACDMvNi8yMDI2CAAAAAkzLzMxLzIwMjQJAAAAATApQvnkzXveCDnRNDnOe94IPENJUS5OWVNFOklCTS5JUV9FQklUX0VRX0lOQ19FWENMX1NCQy4xOTkzLjA2LzAzLzIwMjYuLi5VU0QuSAEAAADetgEAAgAAAAUxMTEyMQEIAAAABQAAAAExAQAAAAstMTk0ODgzNzUxNQMAAAADMTYwAgAAAAUyNDEzMAQAAAABMAcAAAAIMy82LzIwMjYIAAAACTMvMzEvMjAyNAkAAAABMClC+eTNe94IKao0Oc573ggzQ0lRLk5ZU0U6SUJNLklRX1JFU1RSVUNUVVJFLjE5OTMuMDYvMDMvMjAy</t>
  </si>
  <si>
    <t>Ni4uLlVTRC5IAQAAAN62AQACAAAABC01NTQBCAAAAAUAAAABMQEAAAALLTE5NDg4Mzc1MTUDAAAAAzE2MAIAAAACOTgEAAAAATAHAAAACDMvNi8yMDI2CAAAAAkzLzMxLzIwMjQJAAAAATApQvnkzXveCCmqNDnOe94IMkNJUS5OWVNFOklCTS5JUV9JTVBBSVJfT0lMLjE5OTMuMDYvMDMvMjAyNi4uLlVTRC5IAQAAAN62AQADAAAAAAApQvnkzXveCCmqNDnOe94INkNJUS5OWVNFOklCTS5JUV9QUk9WX0JBRF9ERUJUUy4xOTkzLjA2LzAzLzIwMjYuLi5VU0QuSAEAAADetgEAAwAAAAAAKUL55M173ggpqjQ5znveCDNDSVEuTllTRTpJQk0uSVFfSU5TX0RJVl9SRVYuMTk5My4wNi8wMy8yMDI2Li4uVVNELkgBAAAA3rYBAAMAAAAAAClC+eTNe94IOdE0Oc573gg5Q0lRLk5ZU0U6SUJNLklRX1RPVEFMX0RFQlRfUkVQQUlELjE5OTMuMDYvMDMvMjAyNi4uLlVTRC5IAQAAAN62AQACAAAABS01MDY3AQgAAAAFAAAAATEBAAAACy0xOTQ4ODM3NTE1AwAAAAMxNjACAAAABDIxNjYEAAAAATAHAAAACDMvNi8yMDI2CAAAAAkzLzMxLzIwMjQJAAAAATApQvnkzXveCDnRNDnOe94IPENJUS5OWVNFOklCTS5JUV9SRVNUUl9TVE9DS19DT01QX1RBWC4xOTkzLjA2LzAzLzIwMjYuLi5VU0QuSAEAAADetgEAAwAAAAAAKUL55M173gg50TQ5znveCDlDSVEuTllTRTpJQk0uSVFfU1RPQ0tfQkFTRURfT1RIRVIuMTk5My4wNi8w</t>
  </si>
  <si>
    <t>My8yMDI2Li4uVVNELkgBAAAA3rYBAAMAAAAAAClC+eTNe94IOdE0Oc573gg8Q0lRLk5ZU0U6SUJNLklRX09USEVSX1VOVVNVQUxfU1VQUExFLjE5OTMuMDYvMDMvMjAyNi4uLlVTRC5IAQAAAN62AQADAAAAAAApQvnkzXveCDnRNDnOe94ILkNJUS5OWVNFOklCTS5JUV9FQklUREEuMTk5My4wNi8wMy8yMDI2Li4uVVNELkgBAAAA3rYBAAIAAAAFMTI2NTkBCAAAAAUAAAABMQEAAAALLTE5NDg4Mzc1MTUDAAAAAzE2MAIAAAAENDA1MQQAAAABMAcAAAAIMy82LzIwMjYIAAAACTMvMzEvMjAyNAkAAAABMClC+eTNe94IOdE0Oc573ggtQ0lRLk5ZU0U6SUJNLklRX0ZJTElOR0RBVEVfSVMuMTk5My4wNi8wMy8yMDI2AQAAAN62AQAFAAAACjI0LzA0LzIwMjUAKUL55M173gg50TQ5znveCDlDSVEuTllTRTpJQk0uSVFfU1BFQ0lBTF9ESVZfU0hBUkUuMTk5My4wNi8wMy8yMDI2Li4uVVNELkgBAAAA3rYBAAMAAAAAAClC+eTNe94IOdE0Oc573ggqQ0lRLk5ZU0U6SUJNLklRX05JLjE5OTMuMDYvMDMvMjAyNi4uLlVTRC5IAQAAAN62AQACAAAABDgxODABCAAAAAUAAAABMQEAAAALLTE5NDg4Mzc1MTUDAAAAAzE2MAIAAAACMTUEAAAAATAHAAAACDMvNi8yMDI2CAAAAAkzLzMxLzIwMjQJAAAAATApQvnkzXveCDnRNDnOe94ILENJUS5OWVNFOklCTS5JUV9JUFJELjE5OTMuMDYvMDMvMjAyNi4uLlVTRC5IAQAAAN62</t>
  </si>
  <si>
    <t>AQADAAAAAAApQvnkzXveCDnRNDnOe94IRENJUS5OWVNFOklCTS5JUV9DSEFOR0VfT1RIRVJfTkVUX09QRVJfQVNTRVRTLjE5OTMuMDYvMDMvMjAyNi4uLlVTRC5IAQAAAN62AQACAAAAAzg2MAEIAAAABQAAAAExAQAAAAstMTk0ODgzNzUxNQMAAAADMTYwAgAAAAQyMDQ1BAAAAAEwBwAAAAgzLzYvMjAyNggAAAAJMy8zMS8yMDI0CQAAAAEwKUL55M173ght+DQ5znveCDZDSVEuTllTRTpJQk0uSVFfU1RPQ0tfQkFTRURfR0EuMTk5My4wNi8wMy8yMDI2Li4uVVNELkgBAAAA3rYBAAMAAAAAAClC+eTNe94Ibfg0Oc573ggnQ0lRLk5ZU0U6SUJNLklRX0dBQVBfSVMuMTk5My4wNi8wMy8yMDI2AQAAAN62AQADAAAAAAApQvnkzXveCG34NDnOe94IN0NJUS5OWVNFOklCTS5JUV9UT1RBTF9SRVZfU0hBUkUuMTk5My4wNi8wMy8yMDI2Li4uVVNELkgBAAAA3rYBAAIAAAAJNjcuOTM4Mjg1AQgAAAAFAAAAATEBAAAACy0xOTQ4ODM3NTE1AwAAAAMxNjACAAAABDQzODIEAAAAATAHAAAACDMvNi8yMDI2CAAAAAkzLzMxLzIwMjQJAAAAATApQvnkzXveCDnRNDnOe94IMENJUS5OWVNFOklCTS5JUV9PUEVSX0lOQy4xOTkzLjA2LzAzLzIwMjYuLi5VU0QuSAEAAADetgEAAgAAAAQ5OTM2AQgAAAAFAAAAATEBAAAACy0xOTQ4ODM3NTE1AwAAAAMxNjACAAAAAjIxBAAAAAEwBwAAAAgzLzYvMjAyNggAAAAJMy8zMS8yMDI0</t>
  </si>
  <si>
    <t>CQAAAAEwKUL55M173gg50TQ5znveCDNDSVEuTllTRTpJQk0uSVFfRklOX0RJVl9FWFAuMTk5My4wNi8wMy8yMDI2Li4uVVNELkgBAAAA3rYBAAIAAAADMzcxAQgAAAAFAAAAATEBAAAACy0xOTQ4ODM3NTE1AwAAAAMxNjACAAAAAjUxBAAAAAEwBwAAAAgzLzYvMjAyNggAAAAJMy8zMS8yMDI0CQAAAAEwKUL55M173ght+DQ5znveCDdDSVEuTllTRTpJQk0uSVFfT1RIRVJfUkVWX1NVUFBMLjE5OTMuMDYvMDMvMjAyNi4uLlVTRC5IAQAAAN62AQACAAAAATEBCAAAAAUAAAABMQEAAAALLTE5NDg4Mzc1MTUDAAAAAzE2MAIAAAACOTAEAAAAATAHAAAACDMvNi8yMDI2CAAAAAkzLzMxLzIwMjQJAAAAATApQvnkzXveCG34NDnOe94INkNJUS5OWVNFOklCTS5JUV9NSVNDX0FESlVTVF9DRi4xOTkzLjA2LzAzLzIwMjYuLi5VU0QuSAEAAADetgEAAgAAAAItMQEIAAAABQAAAAExAQAAAAstMTk0ODgzNzUxNQMAAAADMTYwAgAAAAQyMTQ5BAAAAAEwBwAAAAgzLzYvMjAyNggAAAAJMy8zMS8yMDI0CQAAAAEwKUL55M173ght+DQ5znveCDpDSVEuTllTRTpJQk0uSVFfUkVTVFJVQ1RVUkVfU1VQUExFLjE5OTMuMDYvMDMvMjAyNi4uLlVTRC5IAQAAAN62AQADAAAAAAApQvnkzXveCG34NDnOe94IMUNJUS5OWVNFOklCTS5JUV9SRF9FWFBfRk4uMTk5My4wNi8wMy8yMDI2Li4uVVNELkgBAAAA3rYBAAIAAAAENjkxNgEI</t>
  </si>
  <si>
    <t>AAAABQAAAAExAQAAAAstMTk0ODgzNzUxNQMAAAADMTYwAgAAAAQzMTY4BAAAAAEwBwAAAAgzLzYvMjAyNggAAAAJMy8zMS8yMDI0CQAAAAEwKUL55M173ght+DQ5znveCDpDSVEuTllTRTpJQk0uSVFfRElTVFJJQlVUQUJMRV9DQVNILjE5OTMuMDYvMDMvMjAyNi4uLlVTRC5IAQAAAN62AQADAAAAAAAQafnkzXveCG34NDnOe94IMENJUS5OWVNFOklCTS5JUV9ESUxVVF9OSS4xOTkzLjA2LzAzLzIwMjYuLi5VU0QuSAEAAADetgEAAgAAAAo4MTU2LjE5ODQzAQgAAAAFAAAAATEBAAAACy0xOTQ4ODM3NTE1AwAAAAMxNjACAAAABDM1MjIEAAAAATAHAAAACDMvNi8yMDI2CAAAAAkzLzMxLzIwMjQJAAAAATAQafnkzXveCG34NDnOe94IMENJUS5OWVNFOklCTS5JUV9FUFNfTk9STS4xOTkzLjA2LzAzLzIwMjYuLi5VU0QuSAEAAADetgEAAgAAAAg2LjE2NTAxMwEIAAAABQAAAAExAQAAAAstMTk0ODgzNzUxNQMAAAADMTYwAgAAAAQ0Mzc5BAAAAAEwBwAAAAgzLzYvMjAyNggAAAAJMy8zMS8yMDI0CQAAAAEwEGn55M173ght+DQ5znveCEBDSVEuTllTRTpJQk0uSVFfT1RIRVJfTk9OX09QRVJfRVhQX1NVUFBMLjE5OTMuMDYvMDMvMjAyNi4uLlVTRC5IAQAAAN62AQACAAAAAzI0MwEIAAAABQAAAAExAQAAAAstMTk0ODgzNzUxNQMAAAADMTYwAgAAAAI4NQQAAAABMAcAAAAIMy82LzIwMjYIAAAACTMvMzEvMjAy</t>
  </si>
  <si>
    <t>NAkAAAABMBBp+eTNe94Ibfg0Oc573ggwQ0lRLk5ZU0U6SUJNLklRX0VCVF9FWENMLjE5OTMuMDYvMDMvMjAyNi4uLlVTRC5IAQAAAN62AQACAAAABDkwMTIBCAAAAAUAAAABMQEAAAALLTE5NDg4Mzc1MTUDAAAAAzE2MAIAAAABNAQAAAABMAcAAAAIMy82LzIwMjYIAAAACTMvMzEvMjAyNAkAAAABMBBp+eTNe94Ibfg0Oc573ggrQ0lRLk5ZU0U6SUJNLklRX0VCVC4xOTkzLjA2LzAzLzIwMjYuLi5VU0QuSAEAAADetgEAAgAAAAQ4NzA1AQgAAAAFAAAAATEBAAAACy0xOTQ4ODM3NTE1AwAAAAMxNjACAAAAAzEzOQQAAAABMAcAAAAIMy82LzIwMjYIAAAACTMvMzEvMjAyNAkAAAABMBBp+eTNe94ISiI1Oc573ggwQ0lRLk5ZU0U6SUJNLklRX0RBX1NVUFBMLjE5OTMuMDYvMDMvMjAyNi4uLlVTRC5IAQAAAN62AQADAAAAAAAQafnkzXveCEoiNTnOe94IMkNJUS5OWVNFOklCTS5JUV9FQVJOSU5HX0NPLjE5OTMuMDYvMDMvMjAyNi4uLlVTRC5IAQAAAN62AQACAAAABDgxNTUBCAAAAAUAAAABMQEAAAALLTE5NDg4Mzc1MTUDAAAAAzE2MAIAAAABNwQAAAABMAcAAAAIMy82LzIwMjYIAAAACTMvMzEvMjAyNAkAAAABMBBp+eTNe94ISiI1Oc573gg1Q0lRLk5ZU0U6SUJNLklRX05JX0FWQUlMX0VYQ0wuMTk5My4wNi8wMy8yMDI2Li4uVVNELkgBAAAA3rYBAAIAAAAEODE1NQEIAAAABQAAAAExAQAAAAstMTk0ODgz</t>
  </si>
  <si>
    <t>NzUxNQMAAAADMTYwAgAAAAMzNzkEAAAAATAHAAAACDMvNi8yMDI2CAAAAAkzLzMxLzIwMjQJAAAAATAQafnkzXveCEoiNTnOe94IMUNJUS5OWVNFOklCTS5JUV9ESVZfU0hBUkUuMTk5My4wNi8wMy8yMDI2Li4uVVNELkgBAAAA3rYBAAIAAAAENi42NAEIAAAABQAAAAExAQAAAAstMTk0ODgzNzUxNQMAAAADMTYwAgAAAAQzMDU4BAAAAAEwBwAAAAgzLzYvMjAyNggAAAAJMy8zMS8yMDI0CQAAAAEwEGn55M173ght+DQ5znveCDdDSVEuTllTRTpJQk0uSVFfRUJJVERBX0VYQ0xfU0JDLjE5OTMuMDYvMDMvMjAyNi4uLlVTRC5IAQAAAN62AQACAAAABTEzODQ0AQgAAAAFAAAAATEBAAAACy0xOTQ4ODM3NTE1AwAAAAMxNjACAAAABTI0MTM1BAAAAAEwBwAAAAgzLzYvMjAyNggAAAAJMy8zMS8yMDI0CQAAAAEwEGn55M173ghKIjU5znveCCxDSVEuTllTRTpJQk0uSVFfRUJJVC4xOTkzLjA2LzAzLzIwMjYuLi5VU0QuSAEAAADetgEAAgAAAAQ5OTM2AQgAAAAFAAAAATEBAAAACy0xOTQ4ODM3NTE1AwAAAAMxNjACAAAAAzQwMAQAAAABMAcAAAAIMy82LzIwMjYIAAAACTMvMzEvMjAyNAkAAAABMBBp+eTNe94ISiI1Oc573gg2Q0lRLk5ZU0U6SUJNLklRX0VCSVRBX0VYQ0xfU0JDLjE5OTMuMDYvMDMvMjAyNi4uLlVTRC5IAQAAAN62AQACAAAABTEyNjI5AQgAAAAFAAAAATEBAAAACy0xOTQ4ODM3NTE1AwAAAAMx</t>
  </si>
  <si>
    <t>NjACAAAABTI0MTM2BAAAAAEwBwAAAAgzLzYvMjAyNggAAAAJMy8zMS8yMDI0CQAAAAEwEGn55M173ghKIjU5znveCDNDSVEuTllTRTpJQk0uSVFfSVBSRF9TVVBQTEUuMTk5My4wNi8wMy8yMDI2Li4uVVNELkgBAAAA3rYBAAMAAAAAABBp+eTNe94ISiI1Oc573gg7Q0lRLk5ZU0U6SUJNLklRX0NBU0hfSU5URVJFU1RfRklOQU4uMTk5My4wNi8wMy8yMDI2Li4uVVNELkgBAAAA3rYBAAMAAAAAABBp+eTNe94ISiI1Oc573gg3Q0lRLk5ZU0U6SUJNLklRX0dBSU5fQVNTRVRTX1JFVi4xOTkzLjA2LzAzLzIwMjYuLi5VU0QuSAEAAADetgEAAwAAAAAAEGn55M173ghYSTU5znveCDNDSVEuTllTRTpJQk0uSVFfU1RPQ0tfQkFTRUQuMTk5My4wNi8wMy8yMDI2Li4uVVNELkgBAAAA3rYBAAMAAAAAABBp+eTNe94ISiI1Oc573gguQ0lRLk5ZU0U6SUJNLklRX01FUkdFUi4xOTkzLjA2LzAzLzIwMjYuLi5VU0QuSAEAAADetgEAAgAAAAMtODkBCAAAAAUAAAABMQEAAAALLTE5NDg4Mzc1MTUDAAAAAzE2MAIAAAACODAEAAAAATAHAAAACDMvNi8yMDI2CAAAAAkzLzMxLzIwMjQJAAAAATAQafnkzXveCEoiNTnOe94IP0NJUS5OWVNFOklCTS5JUV9MRUFTRV9BREpVU1RNRU5UX0VCSVREQS4xOTkzLjA2LzAzLzIwMjYuLi5VU0QuSAEAAADetgEAAgAAAAcxMzAzLjI1ABBp+eTNe94ISiI1Oc573gg2Q0lRLk5ZU0U6SUJN</t>
  </si>
  <si>
    <t>LklRX0VCSVREQVJfRVFfSU5DLjE5OTMuMDYvMDMvMjAyNi4uLlVTRC5IAQAAAN62AQADAAAAAAAQafnkzXveCEoiNTnOe94IOUNJUS5OWVNFOklCTS5JUV9GRUVTX09USEVSX0lOQ09NRS4xOTkzLjA2LzAzLzIwMjYuLi5VU0QuSAEAAADetgEAAwAAAAAAEGn55M173ghYSTU5znveCDlDSVEuTllTRTpJQk0uSVFfTkVUX1JFTlRBTF9FWFBfRk4uMTk5My4wNi8wMy8yMDI2Li4uVVNELkgBAAAA3rYBAAMAAAAAABBp+eTNe94IWEk1Oc573gg3Q0lRLk5ZU0U6SUJNLklRX1NUT0NLX0JBU0VEX1NHQS4xOTkzLjA2LzAzLzIwMjYuLi5VU0QuSAEAAADetgEAAgAAAAM2MzgBCAAAAAUAAAABMQEAAAALLTE5NDg4Mzc1MTUDAAAAAzE2MAIAAAAFMjI2NzkEAAAAATAHAAAACDMvNi8yMDI2CAAAAAkzLzMxLzIwMjQJAAAAATAQafnkzXveCFhJNTnOe94IOkNJUS5OWVNFOklCTS5JUV9JTlZFU1RfU0VDVVJJVFlfQ0YuMTk5My4wNi8wMy8yMDI2Li4uVVNELkgBAAAA3rYBAAIAAAAEMjUxNQEIAAAABQAAAAExAQAAAAstMTk0ODgzNzUxNQMAAAADMTYwAgAAAAQyMDI3BAAAAAEwBwAAAAgzLzYvMjAyNggAAAAJMy8zMS8yMDI0CQAAAAEwEGn55M173ghYSTU5znveCDhDSVEuTllTRTpJQk0uSVFfTkVUX0lOVEVSRVNUX0VYUC4xOTkzLjA2LzAzLzIwMjYuLi5VU0QuSAEAAADetgEAAgAAAAQtOTYyAQgAAAAFAAAAATEB</t>
  </si>
  <si>
    <t>AAAACy0xOTQ4ODM3NTE1AwAAAAMxNjACAAAAAzM2OAQAAAABMAcAAAAIMy82LzIwMjYIAAAACTMvMzEvMjAyNAkAAAABMBBp+eTNe94IWEk1Oc573gg7Q0lRLk5ZU0U6SUJNLklRX09USEVSX1VOVVNVQUxfU1VQUEwuMTk5My4wNi8wMy8yMDI2Li4uVVNELkgBAAAA3rYBAAMAAAAAABBp+eTNe94IWEk1Oc573gg2Q0lRLk5ZU0U6SUJNLklRX0JBU0lDX0VQU19FWENMLjE5OTMuMDYvMDMvMjAyNi4uLlVTRC5IAQAAAN62AQACAAAACDguOTI1OTk4AQgAAAAFAAAAATEBAAAACy0xOTQ4ODM3NTE1AwAAAAMxNjACAAAABDMwNjQEAAAAATAHAAAACDMvNi8yMDI2CAAAAAkzLzMxLzIwMjQJAAAAATAQafnkzXveCFhJNTnOe94IOENJUS5OWVNFOklCTS5JUV9FQklUREFSX0VYQ0xfU0JDLjE5OTMuMDYvMDMvMjAyNi4uLlVTRC5IAQAAAN62AQADAAAAAAAQafnkzXveCFhJNTnOe94IPUNJUS5OWVNFOklCTS5JUV9UT1RBTF9SRVZfQVNfUkVQT1JURUQuMTk5My4wNi8wMy8yMDI2Li4uVVNELkgBAAAA3rYBAAIAAAAFNjIwNzABCAAAAAUAAAABMQEAAAALLTE5NDg4Mzc1MTUDAAAAAzE2MAIAAAADMzM5BAAAAAEwBwAAAAgzLzYvMjAyNggAAAAJMy8zMS8yMDI0CQAAAAEwEGn55M173ghYSTU5znveCD9DSVEuTllTRTpJQk0uSVFfRVhDSVNFX1RBWEVTX0VYQ0xfU0FMRVMuMTk5My4wNi8wMy8yMDI2Li4uVVNELkgB</t>
  </si>
  <si>
    <t>AAAA3rYBAAMAAAAAABBp+eTNe94IWEk1Oc573ggyQ0lRLk5ZU0U6SUJNLklRX0NVUlJfVEFYRVMuMTk5My4wNi8wMy8yMDI2Li4uVVNELkgBAAAA3rYBAAIAAAAEMjI4MQEIAAAABQAAAAExAQAAAAstMTk0ODgzNzUxNQMAAAADMTYwAgAAAAUzNTM4MwQAAAABMAcAAAAIMy82LzIwMjYIAAAACTMvMzEvMjAyNAkAAAABMBBp+eTNe94IUYQ1Oc573gg+Q0lRLk5ZU0U6SUJNLklRX0RFRkVSUkVEX0ZPUkVJR05fVEFYRVMuMTk5My4wNi8wMy8yMDI2Li4uVVNELkgBAAAA3rYBAAIAAAADNDI4AQgAAAAFAAAAATEBAAAACy0xOTQ4ODM3NTE1AwAAAAMxNjACAAAABDMwNTUEAAAAATAHAAAACDMvNi8yMDI2CAAAAAkzLzMxLzIwMjQJAAAAATAQafnkzXveCFhJNTnOe94ISUNJUS5OWVNFOklCTS5JUV9JTlRFUkVTVF9FWFBfTEVBU0VfTElBQklMSVRZX0RFQlQuMTk5My4wNi8wMy8yMDI2Li4uVVNELkgBAAAA3rYBAAMAAAAAABBp+eTNe94IWEk1Oc573gg5Q0lRLk5ZU0U6SUJNLklRX0NPTlRJTkdFTlRfUkVOVEFMLjE5OTMuMDYvMDMvMjAyNi4uLlVTRC5IAQAAAN62AQADAAAAAAAQafnkzXveCFhJNTnOe94INUNJUS5OWVNFOklCTS5JUV9JTkNfRVFVSVRZX0NGLjE5OTMuMDYvMDMvMjAyNi4uLlVTRC5IAQAAAN62AQADAAAAAAAQafnkzXveCFhJNTnOe94IL0NJUS5OWVNFOklCTS5JUV9QRVJJT0RMRU5HVEhf</t>
  </si>
  <si>
    <t>Q0YuMTk5My4wNi8wMy8yMDI2AQAAAN62AQABAAAAAjEyABBp+eTNe94Ix5g1Oc573ggqQ0lRLk5ZU0U6SUJNLklRX0dQLjE5OTMuMDYvMDMvMjAyNi4uLlVTRC5IAQAAAN62AQACAAAABTM0NTMzAQgAAAAFAAAAATEBAAAACy0xOTQ4ODM3NTE1AwAAAAMxNjACAAAAAjEwBAAAAAEwBwAAAAgzLzYvMjAyNggAAAAJMy8zMS8yMDI0CQAAAAEwEGn55M173ghRhDU5znveCDtDSVEuTllTRTpJQk0uSVFfQ1VSUl9ET01FU1RJQ19UQVhFUy4xOTkzLjA2LzAzLzIwMjYuLi5VU0QuSAEAAADetgEAAgAAAAM2ODcBCAAAAAUAAAABMQEAAAALLTE5NDg4Mzc1MTUDAAAAAzE2MAIAAAAEMzAyNwQAAAABMAcAAAAIMy82LzIwMjYIAAAACTMvMzEvMjAyNAkAAAABMBBp+eTNe94IUYQ1Oc573gg1Q0lRLk5ZU0U6SUJNLklRX0FJUkNSQUZUX1JFTlQuMTk5My4wNi8wMy8yMDI2Li4uVVNELkgBAAAA3rYBAAMAAAAAABBp+eTNe94IUYQ1Oc573gg7Q0lRLk5ZU0U6SUJNLklRX0xFR0FMX1NFVFRMRV9TVVBQTEUuMTk5My4wNi8wMy8yMDI2Li4uVVNELkgBAAAA3rYBAAMAAAAAABBp+eTNe94Ix5g1Oc573gg2Q0lRLk5ZU0U6SUJNLklRX0dBSU5fSU5WRVNUX0NGLjE5OTMuMDYvMDMvMjAyNi4uLlVTRC5IAQAAAN62AQADAAAAAAAQafnkzXveCMeYNTnOe94IM0NJUS5OWVNFOklCTS5JUV9HQUlOX0lOVkVTVC4xOTkzLjA2LzAz</t>
  </si>
  <si>
    <t>LzIwMjYuLi5VU0QuSAEAAADetgEAAgAAAAI1NAEIAAAABQAAAAExAQAAAAstMTk0ODgzNzUxNQMAAAADMTYwAgAAAAI2MgQAAAABMAcAAAAIMy82LzIwMjYIAAAACTMvMzEvMjAyNAkAAAABMBBp+eTNe94Ix5g1Oc573ghBQ0lRLk5ZU0U6SUJNLklRX1NUT0NLX0JBU0VEX0VYUExPUkVfRFJJTEwuMTk5My4wNi8wMy8yMDI2Li4uVVNELkgBAAAA3rYBAAMAAAAAABBp+eTNe94Ix5g1Oc573ggtQ0lRLk5ZU0U6SUJNLklRX0RBX0NGLjE5OTMuMDYvMDMvMjAyNi4uLlVTRC5IAQAAAN62AQACAAAABDM2MjMBCAAAAAUAAAABMQEAAAALLTE5NDg4Mzc1MTUDAAAAAzE2MAIAAAAEMjE2MAQAAAABMAcAAAAIMy82LzIwMjYIAAAACTMvMzEvMjAyNAkAAAABMBBp+eTNe94Ix5g1Oc573gg3Q0lRLk5ZU0U6SUJNLklRX0lOVkVTVF9MT0FOU19DRi4xOTkzLjA2LzAzLzIwMjYuLi5VU0QuSAEAAADetgEAAwAAAAAAEGn55M173gjErzU5znveCC5DSVEuTllTRTpJQk0uSVFfUkRfRVhQLjE5OTMuMDYvMDMvMjAyNi4uLlVTRC5IAQAAAN62AQACAAAABDY5MTYBCAAAAAUAAAABMQEAAAALLTE5NDg4Mzc1MTUDAAAAAzE2MAIAAAADMTAwBAAAAAEwBwAAAAgzLzYvMjAyNggAAAAJMy8zMS8yMDI0CQAAAAEwEGn55M173gjErzU5znveCDVDSVEuTllTRTpJQk0uSVFfQ1VSUkVOQ1lfR0FJTi4xOTkzLjA2LzAzLzIwMjYuLi5V</t>
  </si>
  <si>
    <t>U0QuSAEAAADetgEAAgAAAAQtMjA1AQgAAAAFAAAAATEBAAAACy0xOTQ4ODM3NTE1AwAAAAMxNjACAAAAAjM4BAAAAAEwBwAAAAgzLzYvMjAyNggAAAAJMy8zMS8yMDI0CQAAAAEwEGn55M173gjErzU5znveCC9DSVEuTllTRTpJQk0uSVFfSU5DX1RBWC4xOTkzLjA2LzAzLzIwMjYuLi5VU0QuSAEAAADetgEAAgAAAAM1NTABCAAAAAUAAAABMQEAAAALLTE5NDg4Mzc1MTUDAAAAAzE2MAIAAAACNzUEAAAAATAHAAAACDMvNi8yMDI2CAAAAAkzLzMxLzIwMjQJAAAAATAQafnkzXveCMSvNTnOe94IMkNJUS5OWVNFOklCTS5JUV9DT01NT05fRElWLjE5OTMuMDYvMDMvMjAyNi4uLlVTRC5IAQAAAN62AQACAAAABDYwNjUAEGn55M173gjErzU5znveCDZDSVEuTllTRTpJQk0uSVFfU1RPQ0tfQkFTRURfUkQuMTk5My4wNi8wMy8yMDI2Li4uVVNELkgBAAAA3rYBAAIAAAADMzQ3AQgAAAAFAAAAATEBAAAACy0xOTQ4ODM3NTE1AwAAAAMxNjACAAAABTIyNjc4BAAAAAEwBwAAAAgzLzYvMjAyNggAAAAJMy8zMS8yMDI0CQAAAAEwEGn55M173gjErzU5znveCDBDSVEuTllTRTpJQk0uSVFfUFJFRl9SRVAuMTk5My4wNi8wMy8yMDI2Li4uVVNELkgBAAAA3rYBAAMAAAAAABBp+eTNe94IxK81Oc573ggzQ0lRLk5ZU0U6SUJNLklRX0lOVF9JTlZfSU5DLjE5OTMuMDYvMDMvMjAyNi4uLlVTRC5IAQAAAN62AQADAAAAAAAQ</t>
  </si>
  <si>
    <t>afnkzXveCMSvNTnOe94IN0NJUS5OWVNFOklCTS5JUV9BU1NFVF9XUklURURPV04uMTk5My4wNi8wMy8yMDI2Li4uVVNELkgBAAAA3rYBAAMAAAAAABBp+eTNe94IxK81Oc573gg1Q0lRLk5ZU0U6SUJNLklRX05JX0FWQUlMX0lOQ0wuMTk5My4wNi8wMy8yMDI2Li4uVVNELkgBAAAA3rYBAAIAAAAEODE4MAEIAAAABQAAAAExAQAAAAstMTk0ODgzNzUxNQMAAAADMTYwAgAAAAIxNgQAAAABMAcAAAAIMy82LzIwMjYIAAAACTMvMzEvMjAyNAkAAAABMBBp+eTNe94IxK81Oc573ghMQ0lRLk5ZU0U6SUJNLklRX0RJU1RSSUJVVEFCTEVfQ0FTSF9QRVJfU0hBUkVfRElMVVRFRC4xOTkzLjA2LzAzLzIwMjYuLi5VU0QuSAEAAADetgEAAwAAAAAAEGn55M173gjErzU5znveCDBDSVEuTllTRTpJQk0uSVFfRFJfUkFUSU9fUFJJTUFSWS4xOTkzLjA2LzAzLzIwMjYBAAAA3rYBAAIAAAABMQAQafnkzXveCMSvNTnOe94IQENJUS5OWVNFOklCTS5JUV9ESVNUUklCVVRBQkxFX0NBU0hfU0hBUkUuMTk5My4wNi8wMy8yMDI2Li4uVVNELkgBAAAA3rYBAAMAAAAAABBp+eTNe94IxK81Oc573gg9Q0lRLk5ZU0U6SUJNLklRX0VCSVREQV9MRUFTRV9BREpVU1RFRC4xOTkzLjA2LzAzLzIwMjYuLi5VU0QuSAEAAADetgEAAgAAAAgxMzk2Mi4yNQEIAAAABQAAAAExAQAAAAstMTk0ODgzNzUxNQMAAAADMTYwAgAAAAU0ODk5MwQA</t>
  </si>
  <si>
    <t>AAABMAcAAAAIMy82LzIwMjYIAAAACTMvMzEvMjAyNAkAAAABMBBp+eTNe94IxK81Oc573ghHQ0lRLk5ZU0U6SUJNLklRX0RJU1RSSUJVVEFCTEVfQ0FTSF9TVEFOREFSRElaRUQuMTk5My4wNi8wMy8yMDI2Li4uVVNELkgBAAAA3rYBAAMAAAAAABBp+eTNe94II+s1Oc573gg7Q0lRLk5ZU0U6SUJNLklRX0lOVEVSRVNUX0lOVkVTVF9JTkMuMTk5My4wNi8wMy8yMDI2Li4uVVNELkgBAAAA3rYBAAIAAAADNzEwAQgAAAAFAAAAATEBAAAACy0xOTQ4ODM3NTE1AwAAAAMxNjACAAAAAjY1BAAAAAEwBwAAAAgzLzYvMjAyNggAAAAJMy8zMS8yMDI0CQAAAAEwEGn55M173ggj6zU5znveCElDSVEuTllTRTpJQk0uSVFfRUJJVERBX0VRX0lOQ19FWENMX09QRVJfTEVBU0VfQURKLjE5OTMuMDYvMDMvMjAyNi4uLlVTRC5IAQAAAN62AQACAAAABTEyNjU5AQgAAAAFAAAAATEBAAAACy0xOTQ4ODM3NTE1AwAAAAMxNjACAAAABTQ4OTg3BAAAAAEwBwAAAAgzLzYvMjAyNggAAAAJMy8zMS8yMDI0CQAAAAEwEGn55M173ggj6zU5znveCDNDSVEuTllTRTpJQk0uSVFfRUJJVF9FUV9JTkMuMTk5My4wNi8wMy8yMDI2Li4uVVNELkgBAAAA3rYBAAIAAAAEOTkzNgEIAAAABQAAAAExAQAAAAstMTk0ODgzNzUxNQMAAAADMTYwAgAAAAUyMTY3NQQAAAABMAcAAAAIMy82LzIwMjYIAAAACTMvMzEvMjAyNAkAAAABMBBp+eTNe94I</t>
  </si>
  <si>
    <t>I+s1Oc573ggvQ0lRLk5ZU0U6SUJNLklRX05JX05PUk0uMTk5My4wNi8wMy8yMDI2Li4uVVNELkgBAAAA3rYBAAIAAAAGNTYzMi41AQgAAAAFAAAAATEBAAAACy0xOTQ4ODM3NTE1AwAAAAMxNjACAAAABDQzNzgEAAAAATAHAAAACDMvNi8yMDI2CAAAAAkzLzMxLzIwMjQJAAAAATAQafnkzXveCCPrNTnOe94IMUNJUS5OWVNFOklCTS5JUV9EQV9FQklUREEuMTk5My4wNi8wMy8yMDI2Li4uVVNELkgBAAAA3rYBAAIAAAAEMjcyMwEIAAAABQAAAAExAQAAAAstMTk0ODgzNzUxNQMAAAADMTYwAgAAAAQyMjA2BAAAAAEwBwAAAAgzLzYvMjAyNggAAAAJMy8zMS8yMDI0CQAAAAEwEGn55M173ggj6zU5znveCCtDSVEuTllTRTpJQk0uSVFfRElDLjE5OTMuMDYvMDMvMjAyNi4uLlVTRC5IAQAAAN62AQADAAAAAAAQafnkzXveCCPrNTnOe94INkNJUS5OWVNFOklCTS5JUV9DSEFOR0VfREVGX1RBWC4xOTkzLjA2LzAzLzIwMjYuLi5VU0QuSAEAAADetgEAAwAAAAAAEGn55M173ggj6zU5znveCDZDSVEuTllTRTpJQk0uSVFfU1RfREVCVF9SRVBBSUQuMTk5My4wNi8wMy8yMDI2Li4uVVNELkgBAAAA3rYBAAMAAAAAABBp+eTNe94II+s1Oc573ggyQ0lRLk5ZU0U6SUJNLklRX0NBU0hfRklOQU4uMTk5My4wNi8wMy8yMDI2Li4uVVNELkgBAAAA3rYBAAIAAAAFLTU2MDABCAAAAAUAAAABMQEAAAALLTE5NDg4Mzc1MTUD</t>
  </si>
  <si>
    <t>AAAAAzE2MAIAAAAEMjAwNAQAAAABMAcAAAAIMy82LzIwMjYIAAAACTMvMzEvMjAyNAkAAAABMBBp+eTNe94IpxI2Oc573gg2Q0lRLk5ZU0U6SUJNLklRX0dXX0lOVEFOX0FNT1JULjE5OTMuMDYvMDMvMjAyNi4uLlVTRC5IAQAAAN62AQADAAAAAAAQafnkzXveCKcSNjnOe94IKkNJUS5OWVNFOklCTS5JUV9ETy4xOTkzLjA2LzAzLzIwMjYuLi5VU0QuSAEAAADetgEAAgAAAAIyNQEIAAAABQAAAAExAQAAAAstMTk0ODgzNzUxNQMAAAADMTYwAgAAAAI0MAQAAAABMAcAAAAIMy82LzIwMjYIAAAACTMvMzEvMjAyNAkAAAABMBBp+eTNe94II+s1Oc573gg2Q0lRLk5ZU0U6SUJNLklRX0JBU0lDX0VQU19JTkNMLjE5OTMuMDYvMDMvMjAyNi4uLlVTRC5IAQAAAN62AQACAAAACDguOTUzMzYxAQgAAAAFAAAAATEBAAAACy0xOTQ4ODM3NTE1AwAAAAMxNjACAAAAATkEAAAAATAHAAAACDMvNi8yMDI2CAAAAAkzLzMxLzIwMjQJAAAAATAQafnkzXveCCPrNTnOe94INUNJUS5OWVNFOklCTS5JUV9FQklUX0VYQ0xfU0JDLjE5OTMuMDYvMDMvMjAyNi4uLlVTRC5IAQAAAN62AQACAAAABTExMTIxAQgAAAAFAAAAATEBAAAACy0xOTQ4ODM3NTE1AwAAAAMxNjACAAAABTI0MTM0BAAAAAEwBwAAAAgzLzYvMjAyNggAAAAJMy8zMS8yMDI0CQAAAAEwEGn55M173ggj6zU5znveCDRDSVEuTllTRTpJQk0uSVFfRUJJVERBX0NB</t>
  </si>
  <si>
    <t>UEVYLjE5OTMuMDYvMDMvMjAyNi4uLlVTRC5IAQAAAN62AQACAAAABTExNDc1AQgAAAAFAAAAATEBAAAACy0xOTQ4ODM3NTE1AwAAAAMxNjACAAAABTM1Mzc5BAAAAAEwBwAAAAgzLzYvMjAyNggAAAAJMy8zMS8yMDI0CQAAAAEwEGn55M173givJjY5znveCCpDSVEuTllTRTpJQk0uSVFfU0FNRV9TVE9SRS4xOTkzLjA2LzAzLzIwMjYBAAAA3rYBAAMAAAAAABBp+eTNe94IpxI2Oc573gg8Q0lRLk5ZU0U6SUJNLklRX0RFRkVSUkVEX1RBWEVTX1RPVEFMLjE5OTMuMDYvMDMvMjAyNi4uLlVTRC5IAQAAAN62AQACAAAABS0xMTA1AQgAAAAFAAAAATEBAAAACy0xOTQ4ODM3NTE1AwAAAAMxNjACAAAABTM1Mzg1BAAAAAEwBwAAAAgzLzYvMjAyNggAAAAJMy8zMS8yMDI0CQAAAAEwEGn55M173ginEjY5znveCDhDSVEuTllTRTpJQk0uSVFfSU5UX0VYUF9JTkNMX0NBUC4xOTkzLjA2LzAzLzIwMjYuLi5VU0QuSAEAAADetgEAAgAAAAQxNjc5AQgAAAAFAAAAATEBAAAACy0xOTQ4ODM3NTE1AwAAAAMxNjACAAAABTIxODYxBAAAAAEwBwAAAAgzLzYvMjAyNggAAAAJMy8zMS8yMDI0CQAAAAEwEGn55M173ginEjY5znveCDNDSVEuTllTRTpJQk0uSVFfREFfU1VQUExfQ0YuMTk5My4wNi8wMy8yMDI2Li4uVVNELkgBAAAA3rYBAAIAAAAEMjExNQEIAAAABQAAAAExAQAAAAstMTk0ODgzNzUxNQMAAAADMTYwAgAAAAQy</t>
  </si>
  <si>
    <t>MTcxBAAAAAEwBwAAAAgzLzYvMjAyNggAAAAJMy8zMS8yMDI0CQAAAAEwEGn55M173ginEjY5znveCEBDSVEuTllTRTpJQk0uSVFfQU1PUlRfU09GVFdBUkVfQVNTRVRTX0NGLjE5OTMuMDYvMDMvMjAyNi4uLlVTRC5IAQAAAN62AQACAAAAAzgzMAEIAAAABQAAAAExAQAAAAstMTk0ODgzNzUxNQMAAAADMTYwAgAAAAU0NjAxMQQAAAABMAcAAAAIMy82LzIwMjYIAAAACTMvMzEvMjAyNAkAAAABMBBp+eTNe94IryY2Oc573ggqQ0lRLk5ZU0U6SUJNLklRX0FSLjE5OTMuMDYvMDMvMjAyNi4uLlVTRC5IAQAAAN62AQACAAAABDY1NjgBCAAAAAUAAAABMQEAAAALLTE5NDg4Mzc1MTUDAAAAAzE2MAIAAAAEMTAyMQQAAAABMAcAAAAIMy82LzIwMjYIAAAACTMvMzEvMjAyNAkAAAABMBBp+eTNe94IryY2Oc573gg1Q0lRLk5ZU0U6SUJNLklRX0VYUExPUkVfRFJJTEwuMTk5My4wNi8wMy8yMDI2Li4uVVNELkgBAAAA3rYBAAMAAAAAABBp+eTNe94IryY2Oc573ggyQ0lRLk5ZU0U6SUJNLklRX0lOQ19FUVVJVFkuMTk5My4wNi8wMy8yMDI2Li4uVVNELkgBAAAA3rYBAAMAAAAAABBp+eTNe94IryY2Oc573gg0Q0lRLk5ZU0U6SUJNLklRX0VCSVRBX0VRX0lOQy4xOTkzLjA2LzAzLzIwMjYuLi5VU0QuSAEAAADetgEAAgAAAAUxMTQ0NAEIAAAABQAAAAExAQAAAAstMTk0ODgzNzUxNQMAAAADMTYwAgAAAAUyMTY3NgQA</t>
  </si>
  <si>
    <t>AAABMAcAAAAIMy82LzIwMjYIAAAACTMvMzEvMjAyNAkAAAABMBBp+eTNe94IryY2Oc573ggsQ0lRLk5ZU0U6SUJNLklRX0NBTENfVFlQRV9JUy4xOTkzLjA2LzAzLzIwMjYBAAAA3rYBAAMAAAADTFRNABBp+eTNe94IaTo2Oc573gg2Q0lRLk5ZU0U6SUJNLklRX1NUT0NLX0JBU0VEX1NNLjE5OTMuMDYvMDMvMjAyNi4uLlVTRC5IAQAAAN62AQADAAAAAAAQafnkzXveCGk6NjnOe94IP0NJUS5OWVNFOklCTS5JUV9SRVNUUl9TVE9DS19DT01QX1BSRVRBWC4xOTkzLjA2LzAzLzIwMjYuLi5VU0QuSAEAAADetgEAAwAAAAAAEGn55M173ghpOjY5znveCD5DSVEuTllTRTpJQk0uSVFfU1RPQ0tfT1BUSU9OU19DT01QX1RBWC4xOTkzLjA2LzAzLzIwMjYuLi5VU0QuSAEAAADetgEAAwAAAAAAEGn55M173ghpOjY5znveCDZDSVEuTllTRTpJQk0uSVFfTFRfREVCVF9SRVBBSUQuMTk5My4wNi8wMy8yMDI2Li4uVVNELkgBAAAA3rYBAAMAAAAAABBp+eTNe94IaTo2Oc573ggqQ0lRLk5ZU0U6SUJNLklRX0ZYLjE5OTMuMDYvMDMvMjAyNi4uLlVTRC5IAQAAAN62AQACAAAABC0xNzQBCAAAAAUAAAABMQEAAAALLTE5NDg4Mzc1MTUDAAAAAzE2MAIAAAAEMjE0NAQAAAABMAcAAAAIMy82LzIwMjYIAAAACTMvMzEvMjAyNAkAAAABMBBp+eTNe94IaTo2Oc573gg3Q0lRLk5ZU0U6SUJNLklRX0ZJTl9ESVZfSU5UX0VYUC4x</t>
  </si>
  <si>
    <t>OTkzLjA2LzAzLzIwMjYuLi5VU0QuSAEAAADetgEAAwAAAAAAEGn55M173ghpOjY5znveCCxDSVEuTllTRTpJQk0uSVFfQkFTSUNfV0VJR0hULjE5OTMuMDYvMDMvMjAyNgEAAADetgEAAgAAAAo5MTMuNjIzMjkyABBp+eTNe94IaTo2Oc573ghBQ0lRLk5ZU0U6SUJNLklRX0VBUk5JTkdfUEFSRU5UX0VYQ0xfRVhUUkEuMTk5My4wNi8wMy8yMDI2Li4uVVNELkgBAAAA3rYBAAIAAAAEODE1NQEIAAAABQAAAAExAQAAAAstMTk0ODgzNzUxNQMAAAADMTYwAgAAAAU0MTU5NgQAAAABMAcAAAAIMy82LzIwMjYIAAAACTMvMzEvMjAyNAkAAAABMBBp+eTNe94IaTo2Oc573gg3Q0lRLk5ZU0U6SUJNLklRX0lOVEVSRVNUX0lOQ09NRS4xOTkzLjA2LzAzLzIwMjYuLi5VU0QuSAEAAADetgEAAgAAAAM3MTABCAAAAAUAAAABMQEAAAALLTE5NDg4Mzc1MTUDAAAAAzE2MAIAAAADMjEwBAAAAAEwBwAAAAgzLzYvMjAyNggAAAAJMy8zMS8yMDI0CQAAAAEwEGn55M173ghpOjY5znveCDFDSVEuTllTRTpJQk0uSVFfTUFSS0VUSU5HLjE5OTMuMDYvMDMvMjAyNi4uLlVTRC5IAQAAAN62AQADAAAAAAAQafnkzXveCOdhNjnOe94IM0NJUS5OWVNFOklCTS5JUV9MRVZFUkVEX0ZDRi4xOTkzLjA2LzAzLzIwMjYuLi5VU0QuSAEAAADetgEAAgAAAAUxMTAzMwEIAAAABQAAAAExAQAAAAstMTk0ODgzNzUxNQMAAAADMTYwAgAAAAQ0</t>
  </si>
  <si>
    <t>NDIyBAAAAAEwBwAAAAgzLzYvMjAyNggAAAAJMy8zMS8yMDI0CQAAAAEwEGn55M173gjnYTY5znveCDJDSVEuTllTRTpJQk0uSVFfSU5TX1NFVFRMRS4xOTkzLjA2LzAzLzIwMjYuLi5VU0QuSAEAAADetgEAAwAAAAAAEGn55M173ghpOjY5znveCDpDSVEuTllTRTpJQk0uSVFfQVNfUkVQT1JURURfRUJJVERBLjE5OTMuMDYvMDMvMjAyNi4uLlVTRC5IAQAAAN62AQADAAAAAAAQafnkzXveCGk6NjnOe94IK0NJUS5OWVNFOklCTS5JUV9SRVYuMTk5My4wNi8wMy8yMDI2Li4uVVNELkgBAAAA3rYBAAIAAAAFNjEzMzYBCAAAAAUAAAABMQEAAAALLTE5NDg4Mzc1MTUDAAAAAzE2MAIAAAADMTEyBAAAAAEwBwAAAAgzLzYvMjAyNggAAAAJMy8zMS8yMDI0CQAAAAEwEGn55M173ghpOjY5znveCDFDSVEuTllTRTpJQk0uSVFfU0dBX1NVUFBMLjE5OTMuMDYvMDMvMjAyNi4uLlVTRC5IAQAAAN62AQACAAAABTE4NTgxAQgAAAAFAAAAATEBAAAACy0xOTQ4ODM3NTE1AwAAAAMxNjACAAAAAzEwMgQAAAABMAcAAAAIMy82LzIwMjYIAAAACTMvMzEvMjAyNAkAAAABMBBp+eTNe94I52E2Oc573ggyQ0lRLk5ZU0U6SUJNLklRX09USEVSX09QRVIuMTk5My4wNi8wMy8yMDI2Li4uVVNELkgBAAAA3rYBAAIAAAAELTkwMAEIAAAABQAAAAExAQAAAAstMTk0ODgzNzUxNQMAAAADMTYwAgAAAAMyNjAEAAAAATAHAAAACDMvNi8y</t>
  </si>
  <si>
    <t>MDI2CAAAAAkzLzMxLzIwMjQJAAAAATAQafnkzXveCOdhNjnOe94IM0NJUS5OWVNFOklCTS5JUV9HQUlOX0FTU0VUUy4xOTkzLjA2LzAzLzIwMjYuLi5VU0QuSAEAAADetgEAAgAAAAMyODIBCAAAAAUAAAABMQEAAAALLTE5NDg4Mzc1MTUDAAAAAzE2MAIAAAACNTYEAAAAATAHAAAACDMvNi8yMDI2CAAAAAkzLzMxLzIwMjQJAAAAATAQafnkzXveCOdhNjnOe94IMkNJUS5OWVNFOklCTS5JUV9OSV9DT01QQU5ZLjE5OTMuMDYvMDMvMjAyNi4uLlVTRC5IAQAAAN62AQACAAAABDgxODABCAAAAAUAAAABMQEAAAALLTE5NDg4Mzc1MTUDAAAAAzE2MAIAAAAFNDE1NzEEAAAAATAHAAAACDMvNi8yMDI2CAAAAAkzLzMxLzIwMjQJAAAAATAQafnkzXveCOdhNjnOe94INkNJUS5OWVNFOklCTS5JUV9ESUxVVF9FUFNfRVhDTC4xOTkzLjA2LzAzLzIwMjYuLi5VU0QuSAEAAADetgEAAgAAAAg4LjgwODI3MQEIAAAABQAAAAExAQAAAAstMTk0ODgzNzUxNQMAAAADMTYwAgAAAAMxNDIEAAAAATAHAAAACDMvNi8yMDI2CAAAAAkzLzMxLzIwMjQJAAAAATAQafnkzXveCOdhNjnOe94IPENJUS5OWVNFOklCTS5JUV9TVE9DS19CQVNFRF9DT01QX1RBWC4xOTkzLjA2LzAzLzIwMjYuLi5VU0QuSAEAAADetgEAAgAAAAQtMzQzABBp+eTNe94I52E2Oc573ggxQ0lRLk5ZU0U6SUJNLklRX1RPVEFMX1JFVi4xOTkzLjA2LzAzLzIw</t>
  </si>
  <si>
    <t>MjYuLi5VU0QuSAEAAADetgEAAgAAAAU2MjA3MAEIAAAABQAAAAExAQAAAAstMTk0ODgzNzUxNQMAAAADMTYwAgAAAAIyOAQAAAABMAcAAAAIMy82LzIwMjYIAAAACTMvMzEvMjAyNAkAAAABMBBp+eTNe94I52E2Oc573ggzQ0lRLk5ZU0U6SUJNLklRX0VCSVREQV8zWVJfQU5OX0NBR1IuMTk5Mi4wNi8wMy8yMDI2AQAAAN62AQACAAAABjIuNTc0NwEIAAAABQAAAAExAQAAAAstMTkwNDg2MDY3MAMAAAADMTYwAgAAAAQ0MjIyBAAAAAEwBwAAAAgzLzYvMjAyNggAAAAKMTIvMzEvMjAyMwkAAAABMBBp+eTNe94I7og2Oc573ggyQ0lRLk5ZU0U6SUJNLklRX0VQU18xWVJfQU5OX0dST1dUSC4xOTkyLjA2LzAzLzIwMjYBAAAA3rYBAAIAAAAIMzE3Ljk0ODYBCAAAAAUAAAABMQEAAAALLTE5MDQ4NjA2NzADAAAAAzE2MAIAAAAENDIwMAQAAAABMAcAAAAIMy82LzIwMjYIAAAACjEyLzMxLzIwMjMJAAAAATAQafnkzXveCO6INjnOe94IL0NJUS5OWVNFOklCTS5JUV9ORVRfREVCVF9FQklUREEuMTk5Mi4wNi8wMy8yMDI2AQAAAN62AQACAAAACDMuNDMxNTQ0AQgAAAAFAAAAATEBAAAACy0xOTA0ODYwNjcwAwAAAAMxNjACAAAABDQxOTMEAAAAATAHAAAACDMvNi8yMDI2CAAAAAoxMi8zMS8yMDIzCQAAAAEwEGn55M173gjuiDY5znveCC9DSVEuTllTRTpJQk0uSVFfQ0FTSF9DT05WRVJTSU9OLjE5OTIuMDYvMDMv</t>
  </si>
  <si>
    <t>MjAyNgEAAADetgEAAgAAAAc2LjQyOTExAQgAAAAFAAAAATEBAAAACy0xOTA0ODYwNjcwAwAAAAMxNjACAAAABDQxODQEAAAAATAHAAAACDMvNi8yMDI2CAAAAAoxMi8zMS8yMDIzCQAAAAEwEGn55M173gjuiDY5znveCCtDSVEuTllTRTpJQk0uSVFfRUJJVF9NQVJHSU4uMTk5Mi4wNi8wMy8yMDI2AQAAAN62AQACAAAABzE1LjIyOTUBCAAAAAUAAAABMQEAAAALLTE5MDQ4NjA2NzADAAAAAzE2MAIAAAAENDA1MwQAAAABMAcAAAAIMy82LzIwMjYIAAAACjEyLzMxLzIwMjMJAAAAATAQafnkzXveCO6INjnOe94IS0NJUS5OWVNFOklCTS5JUV9JTlRFUkVTVF9QRU5BTFRJRVNfUkVDT0dfQlNfUFJFX1RBWC4xOTkyLjA2LzAzLzIwMjYuLi5VU0QuSAEAAADetgEAAwAAAAAAEGn55M173gjuiDY5znveCEdDSVEuTllTRTpJQk0uSVFfQUNDT1VOVF9DT0RFX0lOVEVSRVNUX1BFTkFMVElFUy4xOTkyLjA2LzAzLzIwMjYuLi5VU0QuSAEAAADetgEAAgAAAAExABBp+eTNe94I8tI2Oc573gg2Q0lRLk5ZU0U6SUJNLklRX1RPVEFMX1JFVl81WVJfQU5OX0NBR1IuMTk5Mi4wNi8wMy8yMDI2AQAAAN62AQACAAAABy00LjkxNTYBCAAAAAUAAAABMQEAAAALLTE5MDQ4NjA2NzADAAAAAzE2MAIAAAAENDIzMwQAAAABMAcAAAAIMy82LzIwMjYIAAAACjEyLzMxLzIwMjMJAAAAATAQafnkzXveCPLSNjnOe94IJ0NJUS5OWVNF</t>
  </si>
  <si>
    <t>OklCTS5JUV9aX1NDT1JFLjE5OTIuMDYvMDMvMjAyNgEAAADetgEAAgAAAAgyLjkxNjI3MgEIAAAABQAAAAExAQAAAAstMTkwNDg2MDY3MAMAAAADMTYwAgAAAAYxMDAxMjMEAAAAATAHAAAACDMvNi8yMDI2CAAAAAoxMi8zMS8yMDIzCQAAAAEwEGn55M173gjy0jY5znveCCpDSVEuTllTRTpJQk0uSVFfRUJJVERBX0lOVC4xOTkyLjA2LzAzLzIwMjYBAAAA3rYBAAIAAAAIOC40MzEyMzgBCAAAAAUAAAABMQEAAAALLTE5MDQ4NjA2NzADAAAAAzE2MAIAAAAENDE5MAQAAAABMAcAAAAIMy82LzIwMjYIAAAACjEyLzMxLzIwMjMJAAAAATAQafnkzXveCEC/NjnOe94ILUNJUS5OWVNFOklCTS5JUV9DVVJSRU5UX1JBVElPLjE5OTIuMDYvMDMvMjAyNgEAAADetgEAAgAAAAgwLjk2NDQyMQEIAAAABQAAAAExAQAAAAstMTkwNDg2MDY3MAMAAAADMTYwAgAAAAQ0MDMwBAAAAAEwBwAAAAgzLzYvMjAyNggAAAAKMTIvMzEvMjAyMwkAAAABMBBp+eTNe94IQL82Oc573ggxQ0lRLk5ZU0U6SUJNLklRX0ZJWEVEX0FTU0VUX1RVUk5TLjE5OTIuMDYvMDMvMjAyNgEAAADetgEAAgAAAAg3LjMwNjQ0MwEIAAAABQAAAAExAQAAAAstMTkwNDg2MDY3MAMAAAADMTYwAgAAAAQ0MDY2BAAAAAEwBwAAAAgzLzYvMjAyNggAAAAKMTIvMzEvMjAyMwkAAAABMBBp+eTNe94I8tI2Oc573gg2Q0lRLk5ZU0U6SUJNLklRX1RPVEFMX1JF</t>
  </si>
  <si>
    <t>Vl8zWVJfQU5OX0NBR1IuMTk5Mi4wNi8wMy8yMDI2AQAAAN62AQACAAAABjMuODgzMgEIAAAABQAAAAExAQAAAAstMTkwNDg2MDY3MAMAAAADMTYwAgAAAAQ0MjIwBAAAAAEwBwAAAAgzLzYvMjAyNggAAAAKMTIvMzEvMjAyMwkAAAABMBBp+eTNe94I8tI2Oc573ghAQ0lRLk5ZU0U6SUJNLklRX05FVF9ERUJUX0VCSVREQV9FWENMX09QRVJfTEVBU0VTLjE5OTIuMDYvMDMvMjAyNgEAAADetgEAAgAAAAczLjc5MzI2AQgAAAAFAAAAATEBAAAACy0xOTA0ODYwNjcwAwAAAAMxNjACAAAABTQ5MTc1BAAAAAEwBwAAAAgzLzYvMjAyNggAAAAKMTIvMzEvMjAyMwkAAAABMBBp+eTNe94I8tI2Oc573ggxQ0lRLk5ZU0U6SUJNLklRX1RPVEFMX0RFQlRfRUJJVERBLjE5OTIuMDYvMDMvMjAyNgEAAADetgEAAgAAAAg0LjQyMzU3MwEIAAAABQAAAAExAQAAAAstMTkwNDg2MDY3MAMAAAADMTYwAgAAAAQ0MTkyBAAAAAEwBwAAAAgzLzYvMjAyNggAAAAKMTIvMzEvMjAyMwkAAAABMBBp+eTNe94I8tI2Oc573ggyQ0lRLk5ZU0U6SUJNLklRX0RBWVNfSU5WRU5UT1JZX09VVC4xOTkyLjA2LzAzLzIwMjYBAAAA3rYBAAIAAAAJMTguMjE3NTE1AQgAAAAFAAAAATEBAAAACy0xOTA0ODYwNjcwAwAAAAMxNjACAAAABDQwMzUEAAAAATAHAAAACDMvNi8yMDI2CAAAAAoxMi8zMS8yMDIzCQAAAAEwEGn55M173gjy0jY5znveCCxD</t>
  </si>
  <si>
    <t>SVEuTllTRTpJQk0uSVFfR1JPU1NfTUFSR0lOLjE5OTIuMDYvMDMvMjAyNgEAAADetgEAAgAAAAc1NS40NDc3AQgAAAAFAAAAATEBAAAACy0xOTA0ODYwNjcwAwAAAAMxNjACAAAABDQwNzQEAAAAATAHAAAACDMvNi8yMDI2CAAAAAoxMi8zMS8yMDIzCQAAAAEwEGn55M173gjy0jY5znveCEtDSVEuTllTRTpJQk0uSVFfSU5URVJFU1RfUEVOQUxUSUVTX1JFQ09HX0lTX1BSRV9UQVguMTk5Mi4wNi8wMy8yMDI2Li4uVVNELkgBAAAA3rYBAAIAAAADMzc5ABBp+eTNe94I8tI2Oc573ghPQ0lRLk5ZU0U6SUJNLklRX1RSQU5TX0lNUEFDVF9GSU5fNDhfQ1VSUkVOVF9MSUFCSUxJVElFUy4xOTkyLjA2LzAzLzIwMjYuLi5VU0QuSAEAAADetgEAAwAAAAAAEGn55M173gjy0jY5znveCDdDSVEuTllTRTpJQk0uSVFfVEFYX0JFTkVGSVRfQ0ZfTUFYX1lFQVIuMTk5Mi4wNi8wMy8yMDI2AQAAAN62AQADAAAAAAAQafnkzXveCPLSNjnOe94IN0NJUS5OWVNFOklCTS5JUV9DQVBfTE9TU19DRl81WVIuMTk5Mi4wNi8wMy8yMDI2Li4uVVNELkgBAAAA3rYBAAMAAAAAABBp+eTNe94I8tI2Oc573ggyQ0lRLk5ZU0U6SUJNLklRX05PTF9DRl8xWVIuMTk5Mi4wNi8wMy8yMDI2Li4uVVNELkgBAAAA3rYBAAMAAAAAABBp+eTNe94I8tI2Oc573gg5Q0lRLk5ZU0U6SUJNLklRX0FWR19SRVZfUEVSX1RSQURFLjE5OTIuMDYvMDMv</t>
  </si>
  <si>
    <t>MjAyNi4uLlVTRC5IAQAAAN62AQADAAAAAAAQafnkzXveCPLSNjnOe94IM0NJUS5OWVNFOklCTS5JUV9BVU1fQVZFUkFHRS4xOTkyLjA2LzAzLzIwMjYuLi5VU0QuSAEAAADetgEAAwAAAAAAEGn55M173gjy0jY5znveCEJDSVEuTllTRTpJQk0uSVFfQVVNX0FDUVVJU0lUSU9OU19UUkFOU0ZFUlMuMTk5Mi4wNi8wMy8yMDI2Li4uVVNELkgBAAAA3rYBAAMAAAAAABBp+eTNe94I8tI2Oc573gg3Q0lRLk5ZU0U6SUJNLklRX0FVTV9GRUVfRUFSTklORy4xOTkyLjA2LzAzLzIwMjYuLi5VU0QuSAEAAADetgEAAwAAAAAAEGn55M173gjy0jY5znveCDhDSVEuTllTRTpJQk0uSVFfQVVNX0VRVUlUWV9GVU5EUy4xOTkyLjA2LzAzLzIwMjYuLi5VU0QuSAEAAADetgEAAwAAAAAAEGn55M173ggFDjc5znveCD5DSVEuTllTRTpJQk0uSVFfT1BFQl9MVF9BU1NFVFNfRk9SRUlHTi4xOTkyLjA2LzAzLzIwMjYuLi5VU0QuSAEAAADetgEAAwAAAAAAEGn55M173ggFDjc5znveCEFDSVEuTllTRTpJQk0uSVFfT1BFQl9BQ0NSVUVEX0xJQUJfRk9SRUlHTi4xOTkyLjA2LzAzLzIwMjYuLi5VU0QuSAEAAADetgEAAwAAAAAAEGn55M173ggFDjc5znveCERDSVEuTllTRTpJQk0uSVFfT1BFQl9UUkFOU0lUSU9OX05FWFRfRk9SRUlHTi4xOTkyLjA2LzAzLzIwMjYuLi5VU0QuSAEAAADetgEAAwAAAAAAEGn55M173ggFDjc5znve</t>
  </si>
  <si>
    <t>CC9DSVEuTllTRTpJQk0uSVFfR1BfNVlSX0FOTl9DQUdSLjE5OTIuMDYvMDMvMjAyNgEAAADetgEAAgAAAActMS40NzA1AQgAAAAFAAAAATEBAAAACy0xOTA0ODYwNjcwAwAAAAMxNjACAAAABDQyMzQEAAAAATAHAAAACDMvNi8yMDI2CAAAAAoxMi8zMS8yMDIzCQAAAAEwEGn55M173gjy0jY5znveCC9DSVEuTllTRTpJQk0uSVFfTklfM1lSX0FOTl9DQUdSLjE5OTIuMDYvMDMvMjAyNgEAAADetgEAAgAAAAcxMC4zMDMzAQgAAAAFAAAAATEBAAAACy0xOTA0ODYwNjcwAwAAAAMxNjACAAAABDQyMjUEAAAAATAHAAAACDMvNi8yMDI2CAAAAAoxMi8zMS8yMDIzCQAAAAEwEGn55M173ggNIjc5znveCDBDSVEuTllTRTpJQk0uSVFfRVBTXzVZUl9BTk5fQ0FHUi4xOTkyLjA2LzAzLzIwMjYBAAAA3rYBAAIAAAAHLTMuMDQ3OQEIAAAABQAAAAExAQAAAAstMTkwNDg2MDY3MAMAAAADMTYwAgAAAAQ0MjM5BAAAAAEwBwAAAAgzLzYvMjAyNggAAAAKMTIvMzEvMjAyMwkAAAABMBBp+eTNe94IDSI3Oc573ggxQ0lRLk5ZU0U6SUJNLklRX05JXzFZUl9BTk5fR1JPV1RILjE5OTIuMDYvMDMvMjAyNgEAAADetgEAAgAAAAgzNTcuNzE4MQEIAAAABQAAAAExAQAAAAstMTkwNDg2MDY3MAMAAAADMTYwAgAAAAQ0MTk5BAAAAAEwBwAAAAgzLzYvMjAyNggAAAAKMTIvMzEvMjAyMwkAAAABMBBp+eTNe94IDSI3Oc573ghCQ0lR</t>
  </si>
  <si>
    <t>Lk5ZU0U6SUJNLklRX1RPVEFMX0RFQlRfRUJJVERBX0VYQ0xfT1BFUl9MRUFTRVMuMTk5Mi4wNi8wMy8yMDI2AQAAAN62AQACAAAACDQuODg5ODU4AQgAAAAFAAAAATEBAAAACy0xOTA0ODYwNjcwAwAAAAMxNjACAAAABTQ4OTk0BAAAAAEwBwAAAAgzLzYvMjAyNggAAAAKMTIvMzEvMjAyMwkAAAABMBBp+eTNe94IBQ43Oc573ggwQ0lRLk5ZU0U6SUJNLklRX0RBWVNfUEFZQUJMRV9PVVQuMTk5Mi4wNi8wMy8yMDI2AQAAAN62AQACAAAACDU1Ljc1MDgzAQgAAAAFAAAAATEBAAAACy0xOTA0ODYwNjcwAwAAAAMxNjACAAAABDQxODMEAAAAATAHAAAACDMvNi8yMDI2CAAAAAoxMi8zMS8yMDIzCQAAAAEwEGn55M173ggFDjc5znveCDBDSVEuTllTRTpJQk0uSVFfQ0ZPX0NVUlJFTlRfTElBQi4xOTkyLjA2LzAzLzIwMjYBAAAA3rYBAAIAAAAHMC40MDgyNwEIAAAABQAAAAExAQAAAAstMTkwNDg2MDY3MAMAAAADMTYwAgAAAAQ0MTg1BAAAAAEwBwAAAAgzLzYvMjAyNggAAAAKMTIvMzEvMjAyMwkAAAABMBBp+eTNe94IDSI3Oc573ggtQ0lRLk5ZU0U6SUJNLklRX1JFVFVSTl9FUVVJVFkuMTk5Mi4wNi8wMy8yMDI2AQAAAN62AQACAAAABzMzLjY2OTQBCAAAAAUAAAABMQEAAAALLTE5MDQ4NjA2NzADAAAAAzE2MAIAAAAENDEyOAQAAAABMAcAAAAIMy82LzIwMjYIAAAACjEyLzMxLzIwMjMJAAAAATAQafnkzXve</t>
  </si>
  <si>
    <t>CA0iNznOe94IRkNJUS5OWVNFOklCTS5JUV9VTlJFQ09HX1RBWF9CRU5FRklUX0VORF9QRVJJT0QuMTk5Mi4wNi8wMy8yMDI2Li4uVVNELkgBAAAA3rYBAAIAAAAEODc3MgAQafnkzXveCA0iNznOe94ISkNJUS5OWVNFOklCTS5JUV9UUkFOU19JTVBBQ1RfRklOXzQ4X0NVUlJFTlRfQVNTRVRTLjE5OTIuMDYvMDMvMjAyNi4uLlVTRC5IAQAAAN62AQADAAAAAAAQafnkzXveCA0iNznOe94IPkNJUS5OWVNFOklCTS5JUV9DQVBfTE9TU19DRl9BRlRFUl9GSVZFLjE5OTIuMDYvMDMvMjAyNi4uLlVTRC5IAQAAAN62AQADAAAAAAAQafnkzXveCA0iNznOe94IN0NJUS5OWVNFOklCTS5JUV9DQVBfTE9TU19DRl8zWVIuMTk5Mi4wNi8wMy8yMDI2Li4uVVNELkgBAAAA3rYBAAMAAAAAABBp+eTNe94IDSI3Oc573ghGQ0lRLk5ZU0U6SUJNLklRX0NBUElUQUxJWkVEX0lOVEVSRVNUX09USEVSX0FESi4xOTkyLjA2LzAzLzIwMjYuLi5VU0QuSAEAAADetgEAAwAAAAAAEGn55M173ggNIjc5znveCDNDSVEuTllTRTpJQk0uSVFfT1JHQU5JQ19HUk9XVEhfUkFURS4xOTkyLjA2LzAzLzIwMjYBAAAA3rYBAAMAAAAAABBp+eTNe94IDSI3Oc573gg9Q0lRLk5ZU0U6SUJNLklRX0FVTV9PVEhFUl9BREpVU1RNRU5UUy4xOTkyLjA2LzAzLzIwMjYuLi5VU0QuSAEAAADetgEAAwAAAAAAEGn55M173ggNIjc5znveCDtDSVEuTllT</t>
  </si>
  <si>
    <t>RTpJQk0uSVFfQVVNX05PTl9GRUVfRUFSTklORy4xOTkyLjA2LzAzLzIwMjYuLi5VU0QuSAEAAADetgEAAwAAAAAAEGn55M173ggNIjc5znveCDRDSVEuTllTRTpJQk0uSVFfQVVNX0RPTUVTVElDLjE5OTIuMDYvMDMvMjAyNi4uLlVTRC5IAQAAAN62AQADAAAAAAAQafnkzXveCEtJNznOe94IPkNJUS5OWVNFOklCTS5JUV9PUEVCX0JFTkVGSVRfSU5GT19EQVRFX0ZPUkVJR04uMTk5Mi4wNi8wMy8yMDI2AQAAAN62AQAFAAAACjMxLzEyLzIwMjMAEGn55M173ghLSTc5znveCEZDSVEuTllTRTpJQk0uSVFfT1BFQl9IRUFMVEhfQ09TVF9UUkVORF9JTklUSUFMX0ZPUkVJR04uMTk5Mi4wNi8wMy8yMDI2AQAAAN62AQADAAAAAAAQafnkzXveCEtJNznOe94IMENJUS5OWVNFOklCTS5JUV9FUFNfM1lSX0FOTl9DQUdSLjE5OTIuMDYvMDMvMjAyNgEAAADetgEAAgAAAAcyMi45NjUyAQgAAAAFAAAAATEBAAAACy0xOTA0ODYwNjcwAwAAAAMxNjACAAAABDQyMjYEAAAAATAHAAAACDMvNi8yMDI2CAAAAAoxMi8zMS8yMDIzCQAAAAEwEGn55M173ghLSTc5znveCDpDSVEuTllTRTpJQk0uSVFfVE9UQUxfUkVWX0VNUExPWUVFLjE5OTIuMDYvMDMvMjAyNi4uLlVTRC5IAQAAAN62AQACAAAABzIxOS4yMDYBCAAAAAUAAAABMQEAAAALLTE5MDQ4NjA2NzADAAAAAzE2MAIAAAAENDEyMwQAAAABMAcAAAAIMy82LzIwMjYI</t>
  </si>
  <si>
    <t>AAAACjEyLzMxLzIwMjMJAAAAATAQafnkzXveCEtJNznOe94ISENJUS5OWVNFOklCTS5JUV9UT1RBTF9ERUJUX0VCSVREQV9FWENMX09QRVJfTEVBU0VTX0NBUEVYLjE5OTIuMDYvMDMvMjAyNgEAAADetgEAAgAAAAg1LjQ0MjY5OAEIAAAABQAAAAExAQAAAAstMTkwNDg2MDY3MAMAAAADMTYwAgAAAAU0OTE4MwQAAAABMAcAAAAIMy82LzIwMjYIAAAACjEyLzMxLzIwMjMJAAAAATAQafnkzXveCEtJNznOe94ILkNJUS5OWVNFOklCTS5JUV9MVF9ERUJUX0VRVUlUWS4xOTkyLjA2LzAzLzIwMjYBAAAA3rYBAAIAAAAIMjMzLjAwMzEBCAAAAAUAAAABMQEAAAALLTE5MDQ4NjA2NzADAAAAAzE2MAIAAAAENDA4NQQAAAABMAcAAAAIMy82LzIwMjYIAAAACjEyLzMxLzIwMjMJAAAAATAQafnkzXveCEtJNznOe94IK0NJUS5OWVNFOklCTS5JUV9BU1NFVF9UVVJOUy4xOTkyLjA2LzAzLzIwMjYBAAAA3rYBAAIAAAAIMC40NzEzNDMBCAAAAAUAAAABMQEAAAALLTE5MDQ4NjA2NzADAAAAAzE2MAIAAAAENDE3NwQAAAABMAcAAAAIMy82LzIwMjYIAAAACjEyLzMxLzIwMjMJAAAAATAQafnkzXveCEtJNznOe94IS0NJUS5OWVNFOklCTS5JUV9DSEFOR0VfVU5SRUNPR19UQVhfQkVORUZJVF8xX1lSX01BWC4xOTkyLjA2LzAzLzIwMjYuLi5VU0QuSAEAAADetgEAAwAAAAAAEGn55M173ghLSTc5znveCDFDSVEuTllTRTpJ</t>
  </si>
  <si>
    <t>Qk0uSVFfRUJJVF81WVJfQU5OX0NBR1IuMTk5Mi4wNi8wMy8yMDI2AQAAAN62AQACAAAABy02LjU0ODUBCAAAAAUAAAABMQEAAAALLTE5MDQ4NjA2NzADAAAAAzE2MAIAAAAENDIzNgQAAAABMAcAAAAIMy82LzIwMjYIAAAACjEyLzMxLzIwMjMJAAAAATAQafnkzXveCO9wNznOe94INUNJUS5OWVNFOklCTS5JUV9FQklUREFfMVlSX0FOTl9HUk9XVEguMTk5Mi4wNi8wMy8yMDI2AQAAAN62AQACAAAABjEzLjc1NAEIAAAABQAAAAExAQAAAAstMTkwNDg2MDY3MAMAAAADMTYwAgAAAAQ0MTk2BAAAAAEwBwAAAAgzLzYvMjAyNggAAAAKMTIvMzEvMjAyMwkAAAABMBBp+eTNe94I73A3Oc573ghBQ0lRLk5ZU0U6SUJNLklRX0VCSVREQV9FWENMX09QRVJfTEVBU0VTX0NBUEVYX0lOVC4xOTkyLjA2LzAzLzIwMjYBAAAA3rYBAAIAAAAHNi44NTI1MgEIAAAABQAAAAExAQAAAAstMTkwNDg2MDY3MAMAAAADMTYwAgAAAAU0OTE3NAQAAAABMAcAAAAIMy82LzIwMjYIAAAACjEyLzMxLzIwMjMJAAAAATAQafnkzXveCEtJNznOe94ILkNJUS5OWVNFOklCTS5JUV9EQVlTX1NBTEVTX09VVC4xOTkyLjA2LzAzLzIwMjYBAAAA3rYBAAIAAAAJNDMuOTYyNDI1AQgAAAAFAAAAATEBAAAACy0xOTA0ODYwNjcwAwAAAAMxNjACAAAABDQwNDIEAAAAATAHAAAACDMvNi8yMDI2CAAAAAoxMi8zMS8yMDIzCQAAAAEwEGn55M173ghL</t>
  </si>
  <si>
    <t>STc5znveCDRDSVEuTllTRTpJQk0uSVFfUkVUVVJOX0NPTU1PTl9FUVVJVFkuMTk5Mi4wNi8wMy8yMDI2AQAAAN62AQACAAAABzMzLjc4ODIBCAAAAAUAAAABMQEAAAALLTE5MDQ4NjA2NzADAAAAAzE2MAIAAAAFMzMzMjAEAAAAATAHAAAACDMvNi8yMDI2CAAAAAoxMi8zMS8yMDIzCQAAAAEwEGn55M173ghLSTc5znveCC1DSVEuTllTRTpJQk0uSVFfUkVUVVJOX0FTU0VUUy4xOTkyLjA2LzAzLzIwMjYBAAAA3rYBAAIAAAAGNC40ODY0AQgAAAAFAAAAATEBAAAACy0xOTA0ODYwNjcwAwAAAAMxNjACAAAABDQxNzgEAAAAATAHAAAACDMvNi8yMDI2CAAAAAoxMi8zMS8yMDIzCQAAAAEwEGn55M173gjvcDc5znveCEFDSVEuTllTRTpJQk0uSVFfTEFQU0VfU1RBVFVURV9MSU1JVEFUSU9OUy4xOTkyLjA2LzAzLzIwMjYuLi5VU0QuSAEAAADetgEAAwAAAAAAEGn55M173gjvcDc5znveCDxDSVEuTllTRTpJQk0uSVFfVEFYX0JFTkVGSVRfQ0ZfVE9UQUwuMTk5Mi4wNi8wMy8yMDI2Li4uVVNELkgBAAAA3rYBAAIAAAAEMjE2NAAQafnkzXveCO9wNznOe94IN0NJUS5OWVNFOklCTS5JUV9DQVBfTE9TU19DRl80WVIuMTk5Mi4wNi8wMy8yMDI2Li4uVVNELkgBAAAA3rYBAAMAAAAAABBp+eTNe94I73A3Oc573ggxQ0lRLk5ZU0U6SUJNLklRX0VCSVRfM1lSX0FOTl9DQUdSLjE5OTIuMDYvMDMvMjAyNgEAAADetgEA</t>
  </si>
  <si>
    <t>AgAAAAcyNi40Mjc1AQgAAAAFAAAAATEBAAAACy0xOTA0ODYwNjcwAwAAAAMxNjACAAAABDQyMjMEAAAAATAHAAAACDMvNi8yMDI2CAAAAAoxMi8zMS8yMDIzCQAAAAEwEGn55M173gjvcDc5znveCDVDSVEuTllTRTpJQk0uSVFfTkVUX0RFQlRfRUJJVERBX0NBUEVYLjE5OTIuMDYvMDMvMjAyNgEAAADetgEAAgAAAAgzLjc3ODc3MQEIAAAABQAAAAExAQAAAAstMTkwNDg2MDY3MAMAAAADMTYwAgAAAAUyMzMxNAQAAAABMAcAAAAIMy82LzIwMjYIAAAACjEyLzMxLzIwMjMJAAAAATAQafnkzXveCO9wNznOe94IL0NJUS5OWVNFOklCTS5JUV9MVF9ERUJUX0NBUElUQUwuMTk5Mi4wNi8wMy8yMDI2AQAAAN62AQACAAAABzYzLjgyODMBCAAAAAUAAAABMQEAAAALLTE5MDQ4NjA2NzADAAAAAzE2MAIAAAAENDE4NwQAAAABMAcAAAAIMy82LzIwMjYIAAAACjEyLzMxLzIwMjMJAAAAATAQafnkzXveCO9wNznOe94IMUNJUS5OWVNFOklCTS5JUV9UT1RBTF9ERUJUX0VRVUlUWS4xOTkyLjA2LzAzLzIwMjYBAAAA3rYBAAIAAAAIMjY1LjA0NjYBCAAAAAUAAAABMQEAAAALLTE5MDQ4NjA2NzADAAAAAzE2MAIAAAAENDAzNAQAAAABMAcAAAAIMy82LzIwMjYIAAAACjEyLzMxLzIwMjMJAAAAATAQafnkzXveCO9wNznOe94IKUNJUS5OWVNFOklCTS5JUV9OSV9NQVJHSU4uMTk5Mi4wNi8wMy8yMDI2AQAAAN62AQACAAAA</t>
  </si>
  <si>
    <t>BzEyLjEyNzMBCAAAAAUAAAABMQEAAAALLTE5MDQ4NjA2NzADAAAAAzE2MAIAAAAENDA5NAQAAAABMAcAAAAIMy82LzIwMjYIAAAACjEyLzMxLzIwMjMJAAAAATAQafnkzXveCO9wNznOe94ITUNJUS5OWVNFOklCTS5JUV9JTlRFUkVTVF9QRU5BTFRJRVNfUkVDT0dfQlNfQUZURVJfVEFYLjE5OTIuMDYvMDMvMjAyNi4uLlVTRC5IAQAAAN62AQADAAAAAAAQafnkzXveCO9wNznOe94IRkNJUS5OWVNFOklCTS5JUV9VTlJFQ09HX1RBWF9CRU5FRklUX0JFR19QRVJJT0QuMTk5Mi4wNi8wMy8yMDI2Li4uVVNELkgBAAAA3rYBAAIAAAAEODcyOAAQafnkzXveCMCXNznOe94IOkNJUS5OWVNFOklCTS5JUV9UQVhfQkVORUZJVF9DRl8yWVIuMTk5Mi4wNi8wMy8yMDI2Li4uVVNELkgBAAAA3rYBAAMAAAAAABBp+eTNe94IwJc3Oc573gg5Q0lRLk5ZU0U6SUJNLklRX0NBUF9MT1NTX0NGX1RPVEFMLjE5OTIuMDYvMDMvMjAyNi4uLlVTRC5IAQAAAN62AQADAAAAAAAQafnkzXveCMCXNznOe94IMkNJUS5OWVNFOklCTS5JUV9OT0xfQ0ZfNFlSLjE5OTIuMDYvMDMvMjAyNi4uLlVTRC5IAQAAAN62AQADAAAAAAAQafnkzXveCMCXNznOe94IOUNJUS5OWVNFOklCTS5JUV9BU1NFVF9NQU5BR0VEX0dST1dUSF9SQVRFLjE5OTIuMDYvMDMvMjAyNgEAAADetgEAAwAAAAAAEGn55M173gjvcDc5znveCC9DSVEuTllTRTpJQk0u</t>
  </si>
  <si>
    <t>SVFfTklfNVlSX0FOTl9DQUdSLjE5OTIuMDYvMDMvMjAyNgEAAADetgEAAgAAAAYtMi45ODIBCAAAAAUAAAABMQEAAAALLTE5MDQ4NjA2NzADAAAAAzE2MAIAAAAENDIzOAQAAAABMAcAAAAIMy82LzIwMjYIAAAACjEyLzMxLzIwMjMJAAAAATAQafnkzXveCMCXNznOe94IM0NJUS5OWVNFOklCTS5JUV9FQklUXzFZUl9BTk5fR1JPV1RILjE5OTIuMDYvMDMvMjAyNgEAAADetgEAAgAAAAcyNS4yNjI1AQgAAAAFAAAAATEBAAAACy0xOTA0ODYwNjcwAwAAAAMxNjACAAAABDQxOTcEAAAAATAHAAAACDMvNi8yMDI2CAAAAAoxMi8zMS8yMDIzCQAAAAEwEGn55M173gjAlzc5znveCDhDSVEuTllTRTpJQk0uSVFfVE9UQUxfUkVWXzFZUl9BTk5fR1JPV1RILjE5OTIuMDYvMDMvMjAyNgEAAADetgEAAgAAAAYyLjE5NzIBCAAAAAUAAAABMQEAAAALLTE5MDQ4NjA2NzADAAAAAzE2MAIAAAAENDE5NAQAAAABMAcAAAAIMy82LzIwMjYIAAAACjEyLzMxLzIwMjMJAAAAATAQafnkzXveCMCXNznOe94IO0NJUS5OWVNFOklCTS5JUV9FQklUREFfRVhDTF9PUEVSX0xFQVNFU19JTlQuMTk5Mi4wNi8wMy8yMDI2AQAAAN62AQACAAAACDcuNjI3MjU1AQgAAAAFAAAAATEBAAAACy0xOTA0ODYwNjcwAwAAAAMxNjACAAAABTQ5MTczBAAAAAEwBwAAAAgzLzYvMjAyNggAAAAKMTIvMzEvMjAyMwkAAAABMBBp+eTNe94IwJc3Oc57</t>
  </si>
  <si>
    <t>3ggrQ0lRLk5ZU0U6SUJNLklRX1FVSUNLX1JBVElPLjE5OTIuMDYvMDMvMjAyNgEAAADetgEAAgAAAAcwLjgxNzM5AQgAAAAFAAAAATEBAAAACy0xOTA0ODYwNjcwAwAAAAMxNjACAAAABDQxMjEEAAAAATAHAAAACDMvNi8yMDI2CAAAAAoxMi8zMS8yMDIzCQAAAAEwEGn55M173gjAlzc5znveCC5DSVEuTllTRTpJQk0uSVFfUkVUVVJOX0NBUElUQUwuMTk5Mi4wNi8wMy8yMDI2AQAAAN62AQACAAAABjcuNDI1OQEIAAAABQAAAAExAQAAAAstMTkwNDg2MDY3MAMAAAADMTYwAgAAAAQ0MzYzBAAAAAEwBwAAAAgzLzYvMjAyNggAAAAKMTIvMzEvMjAyMwkAAAABMBBp+eTNe94IwJc3Oc573ghFQ0lRLk5ZU0U6SUJNLklRX1VOUkVDT0dfVEFYX0JFTkVGSVRfT1RIRVJfQURKLjE5OTIuMDYvMDMvMjAyNi4uLlVTRC5IAQAAAN62AQADAAAAAAAQafnkzXveCMCXNznOe94ISENJUS5OWVNFOklCTS5JUV9SRURVQ1RJT05fVEFYX1BPU0lUSU9OX1BSSU9SX1lSUy4xOTkyLjA2LzAzLzIwMjYuLi5VU0QuSAEAAADetgEAAgAAAAQtNDU3ABBp+eTNe94IwJc3Oc573ghBQ0lRLk5ZU0U6SUJNLklRX1RBWF9CRU5FRklUX0NGX0FGVEVSX0ZJVkUuMTk5Mi4wNi8wMy8yMDI2Li4uVVNELkgBAAAA3rYBAAIAAAAEMjE2NAAQafnkzXveCMCXNznOe94IN0NJUS5OWVNFOklCTS5JUV9DQVBfTE9TU19DRl8yWVIuMTk5Mi4wNi8w</t>
  </si>
  <si>
    <t>My8yMDI2Li4uVVNELkgBAAAA3rYBAAMAAAAAABBp+eTNe94IwJc3Oc573ghGQ0lRLk5ZU0U6SUJNLklRX0NBUElUQUxJWkVEX0lOVEVSRVNUX1dSSVRFX09GRi4xOTkyLjA2LzAzLzIwMjYuLi5VU0QuSAEAAADetgEAAwAAAAAAEGn55M173gjLvjc5znveCC9DSVEuTllTRTpJQk0uSVFfR1BfM1lSX0FOTl9DQUdSLjE5OTIuMDYvMDMvMjAyNgEAAADetgEAAgAAAAQzLjU4AQgAAAAFAAAAATEBAAAACy0xOTA0ODYwNjcwAwAAAAMxNjACAAAABDQyMjEEAAAAATAHAAAACDMvNi8yMDI2CAAAAAoxMi8zMS8yMDIzCQAAAAEwEGn55M173gjLvjc5znveCDdDSVEuTllTRTpJQk0uSVFfVE9UQUxfREVCVF9FQklUREFfQ0FQRVguMTk5Mi4wNi8wMy8yMDI2AQAAAN62AQACAAAABzQuODcxMTgBCAAAAAUAAAABMQEAAAALLTE5MDQ4NjA2NzADAAAAAzE2MAIAAAAFMjMzMTMEAAAAATAHAAAACDMvNi8yMDI2CAAAAAoxMi8zMS8yMDIzCQAAAAEwEGn55M173gjLvjc5znveCDJDSVEuTllTRTpJQk0uSVFfVE9UQUxfREVCVF9DQVBJVEFMLjE5OTIuMDYvMDMvMjAyNgEAAADetgEAAgAAAAc3Mi42MDYyAQgAAAAFAAAAATEBAAAACy0xOTA0ODYwNjcwAwAAAAMxNjACAAAABDQxODYEAAAAATAHAAAACDMvNi8yMDI2CAAAAAoxMi8zMS8yMDIzCQAAAAEwEGn55M173gjLvjc5znveCC1DSVEuTllTRTpJQk0uSVFfQ0FQRVhf</t>
  </si>
  <si>
    <t>UENUX1JFVi4xOTkyLjA2LzAzLzIwMjYBAAAA3rYBAAIAAAAGMi4wMTI2AQgAAAAFAAAAATEBAAAACy0xOTA0ODYwNjcwAwAAAAMxNjACAAAABTM1MzgwBAAAAAEwBwAAAAgzLzYvMjAyNggAAAAKMTIvMzEvMjAyMwkAAAABMBBp+eTNe94Iy743Oc573ggtQ0lRLk5ZU0U6SUJNLklRX0VCSVREQV9NQVJHSU4uMTk5Mi4wNi8wMy8yMDI2AQAAAN62AQACAAAABjE5LjgxNAEIAAAABQAAAAExAQAAAAstMTkwNDg2MDY3MAMAAAADMTYwAgAAAAQ0MDQ3BAAAAAEwBwAAAAgzLzYvMjAyNggAAAAKMTIvMzEvMjAyMwkAAAABMBBp+eTNe94Iy743Oc573ghNQ0lRLk5ZU0U6SUJNLklRX0lOVEVSRVNUX1BFTkFMVElFU19SRUNPR19JU19BRlRFUl9UQVguMTk5Mi4wNi8wMy8yMDI2Li4uVVNELkgBAAAA3rYBAAMAAAAAABBp+eTNe94Iy743Oc573ghTQ0lRLk5ZU0U6SUJNLklRX1RSQU5TX0lNUEFDVF9GSU5fNDhfTk9OX0NVUlJFTlRfTElBQklMSVRJRVMuMTk5Mi4wNi8wMy8yMDI2Li4uVVNELkgBAAAA3rYBAAMAAAAAABBp+eTNe94Iy743Oc573gg0Q0lRLk5ZU0U6SUJNLklRX0NBUF9MT1NTX0NGX01BWF9ZRUFSLjE5OTIuMDYvMDMvMjAyNgEAAADetgEAAwAAAAAAEGn55M173gjLvjc5znveCDJDSVEuTllTRTpJQk0uSVFfTk9MX0NGXzVZUi4xOTkyLjA2LzAzLzIwMjYuLi5VU0QuSAEAAADetgEAAwAAAAAAEGn5</t>
  </si>
  <si>
    <t>5M173gjLvjc5znveCDJDSVEuTllTRTpJQk0uSVFfTk9MX0NGXzJZUi4xOTkyLjA2LzAzLzIwMjYuLi5VU0QuSAEAAADetgEAAwAAAAAAEGn55M173gjY5Tc5znveCENDSVEuTllTRTpJQk0uSVFfQVNTRVRTX1VOREVSX0FETUlOSVNUUkFUSU9OLjE5OTIuMDYvMDMvMjAyNi4uLlVTRC5IAQAAAN62AQADAAAAAAAQafnkzXveCNjlNznOe94INkNJUS5OWVNFOklCTS5JUV9BVU1fTkVUX0NIQU5HRS4xOTkyLjA2LzAzLzIwMjYuLi5VU0QuSAEAAADetgEAAwAAAAAAEGn55M173gjLvjc5znveCDNDSVEuTllTRTpJQk0uSVFfRUJJVERBXzVZUl9BTk5fQ0FHUi4xOTkyLjA2LzAzLzIwMjYBAAAA3rYBAAIAAAAHLTcuMDgzNwEIAAAABQAAAAExAQAAAAstMTkwNDg2MDY3MAMAAAADMTYwAgAAAAQ0MjM1BAAAAAEwBwAAAAgzLzYvMjAyNggAAAAKMTIvMzEvMjAyMwkAAAABMBBp+eTNe94Iy743Oc573ggxQ0lRLk5ZU0U6SUJNLklRX0dQXzFZUl9BTk5fR1JPV1RILjE5OTIuMDYvMDMvMjAyNgEAAADetgEAAgAAAAY0LjkzMTQBCAAAAAUAAAABMQEAAAALLTE5MDQ4NjA2NzADAAAAAzE2MAIAAAAENDE5NQQAAAABMAcAAAAIMy82LzIwMjYIAAAACjEyLzMxLzIwMjMJAAAAATAQafnkzXveCMu+NznOe94IMENJUS5OWVNFOklCTS5JUV9FQklUREFfQ0FQRVhfSU5ULjE5OTIuMDYvMDMvMjAyNgEAAADetgEAAgAAAAg3</t>
  </si>
  <si>
    <t>LjY1NjUwMgEIAAAABQAAAAExAQAAAAstMTkwNDg2MDY3MAMAAAADMTYwAgAAAAQ0MTkxBAAAAAEwBwAAAAgzLzYvMjAyNggAAAAKMTIvMzEvMjAyMwkAAAABMBBp+eTNe94I2OU3Oc573ggoQ0lRLk5ZU0U6SUJNLklRX0VCSVRfSU5ULjE5OTIuMDYvMDMvMjAyNgEAAADetgEAAgAAAAg1Ljg2MjQ3NgEIAAAABQAAAAExAQAAAAstMTkwNDg2MDY3MAMAAAADMTYwAgAAAAQ0MTg5BAAAAAEwBwAAAAgzLzYvMjAyNggAAAAKMTIvMzEvMjAyMwkAAAABMBBp+eTNe94I2OU3Oc573ghQQ0lRLk5ZU0U6SUJNLklRX0lNUEFDVF9VTlJFQ09HX1RBWF9CRU5FRklUX0VGRkVDVElWRV9UQVguMTk5Mi4wNi8wMy8yMDI2Li4uVVNELkgBAAAA3rYBAAMAAAAAABBp+eTNe94I2OU3Oc573gg1Q0lRLk5ZU0U6SUJNLklRX05PTF9DRl9OT19FWFAuMTk5Mi4wNi8wMy8yMDI2Li4uVVNELkgBAAAA3rYBAAMAAAAAABBp+eTNe94I2OU3Oc573ghAQ0lRLk5ZU0U6SUJNLklRX0FVTV9ORVRfSU5GTE9XU19PVVRGTE9XUy4xOTkyLjA2LzAzLzIwMjYuLi5VU0QuSAEAAADetgEAAwAAAAAAEGn55M173gjY5Tc5znveCDlDSVEuTllTRTpJQk0uSVFfQVVNX0lOU1RJVFVUSU9OQUwuMTk5Mi4wNi8wMy8yMDI2Li4uVVNELkgBAAAA3rYBAAMAAAAAABBp+eTNe94I2OU3Oc573gg6Q0lRLk5ZU0U6SUJNLklRX09QRUJfT1RIRVJfRk9SRUlH</t>
  </si>
  <si>
    <t>Ti4xOTkyLjA2LzAzLzIwMjYuLi5VU0QuSAEAAADetgEAAwAAAAAAEGn55M173gjY5Tc5znveCERDSVEuTllTRTpJQk0uSVFfT1BFQl9FU1RfQkVORUZJVF80WVJfRk9SRUlHTi4xOTkyLjA2LzAzLzIwMjYuLi5VU0QuSAEAAADetgEAAgAAAAI0NwAQafnkzXveCNjlNznOe94IQ0NJUS5OWVNFOklCTS5JUV9PUEVCX0FNVF9SRUNPR19ORVhUX0ZPUkVJR04uMTk5Mi4wNi8wMy8yMDI2Li4uVVNELkgBAAAA3rYBAAMAAAAAABBp+eTNe94I2OU3Oc573ghEQ0lRLk5ZU0U6SUJNLklRX09QRUJfQlJFQUtET1dOX09USEVSX0ZPUkVJR04uMTk5Mi4wNi8wMy8yMDI2Li4uVVNELkgBAAAA3rYBAAMAAAAAABBp+eTNe94I2OU3Oc573ghBQ0lRLk5ZU0U6SUJNLklRX09QRUJfQlJFQUtET1dOX0ZJX0ZPUkVJR04uMTk5Mi4wNi8wMy8yMDI2Li4uVVNELkgBAAAA3rYBAAIAAAACMjMAEGn55M173gjpDDg5znveCEBDSVEuTllTRTpJQk0uSVFfT1BFQl9CUkVBS0RPV05fUENUX09USEVSX0ZPUkVJR04uMTk5Mi4wNi8wMy8yMDI2AQAAAN62AQADAAAAAAAQafnkzXveCOkMODnOe94ISENJUS5OWVNFOklCTS5JUV9PUEVCX0lOQ1JFQVNFX0VGRkVDVF9QQk9fRk9SRUlHTi4xOTkyLjA2LzAzLzIwMjYuLi5VU0QuSAEAAADetgEAAwAAAAAAEGn55M173gjpDDg5znveCEVDSVEuTllTRTpJQk0uSVFfT1BFQl9DSV9QUklPUl9T</t>
  </si>
  <si>
    <t>RVJWSUNFX0ZPUkVJR04uMTk5Mi4wNi8wMy8yMDI2Li4uVVNELkgBAAAA3rYBAAIAAAACLTEAEGn55M173gjpDDg5znveCENDSVEuTllTRTpJQk0uSVFfT1BFQl9SQVRFX0NPTVBfSU5DUkVBU0VfTUlOX0ZPUkVJR04uMTk5Mi4wNi8wMy8yMDI2AQAAAN62AQADAAAAAAAQafnkzXveCNjlNznOe94IPUNJUS5OWVNFOklCTS5JUV9UQVhfQkVORUZJVF9DRl9OT19FWFAuMTk5Mi4wNi8wMy8yMDI2Li4uVVNELkgBAAAA3rYBAAMAAAAAABBp+eTNe94I6Qw4Oc573gg6Q0lRLk5ZU0U6SUJNLklRX1RBWF9CRU5FRklUX0NGXzFZUi4xOTkyLjA2LzAzLzIwMjYuLi5VU0QuSAEAAADetgEAAwAAAAAAEGn55M173gjpDDg5znveCDlDSVEuTllTRTpJQk0uSVFfTk9MX0NGX0FGVEVSX0ZJVkUuMTk5Mi4wNi8wMy8yMDI2Li4uVVNELkgBAAAA3rYBAAMAAAAAABBp+eTNe94I6Qw4Oc573gg/Q0lRLk5ZU0U6SUJNLklRX0FTU0VUU19PUEVSX0xFQVNFX0dST1NTLjE5OTIuMDYvMDMvMjAyNi4uLlVTRC5IAQAAAN62AQADAAAAAAAQafnkzXveCOkMODnOe94IPUNJUS5OWVNFOklCTS5JUV9WQUxVRV9DVVNUT01FUl9BU1NFVFMuMTk5Mi4wNi8wMy8yMDI2Li4uVVNELkgBAAAA3rYBAAMAAAAAABBp+eTNe94I6Qw4Oc573gg+Q0lRLk5ZU0U6SUJNLklRX09QRUJfT1RIRVJfQURKX0ZPUkVJR04uMTk5Mi4wNi8wMy8yMDI2Li4u</t>
  </si>
  <si>
    <t>VVNELkgBAAAA3rYBAAMAAAAAABBp+eTNe94I4zM4Oc573ghEQ0lRLk5ZU0U6SUJNLklRX09QRUJfRVNUX0JFTkVGSVRfMVlSX0ZPUkVJR04uMTk5Mi4wNi8wMy8yMDI2Li4uVVNELkgBAAAA3rYBAAIAAAACNDQAEGn55M173gjjMzg5znveCEBDSVEuTllTRTpJQk0uSVFfQ0FQSVRBTElaRURfSU5URVJFU1RfRU9QLjE5OTIuMDYvMDMvMjAyNi4uLlVTRC5IAQAAAN62AQADAAAAAAAQafnkzXveCOkMODnOe94IOUNJUS5OWVNFOklCTS5JUV9NVVRVQUxfRlVORF9TQUxFUy4xOTkyLjA2LzAzLzIwMjYuLi5VU0QuSAEAAADetgEAAwAAAAAAEGn55M173gjpDDg5znveCDNDSVEuTllTRTpJQk0uSVFfQVVNX1RPVEFMX0NVU1RPTUVSUy4xOTkyLjA2LzAzLzIwMjYBAAAA3rYBAAMAAAAAABBp+eTNe94I6Qw4Oc573gg5Q0lRLk5ZU0U6SUJNLklRX0FVTV9PVEhFUl9DTElFTlRTLjE5OTIuMDYvMDMvMjAyNi4uLlVTRC5IAQAAAN62AQADAAAAAAAQafnkzXveCOMzODnOe94IR0NJUS5OWVNFOklCTS5JUV9PUEVCX0VTVF9CRU5FRklUX0FGVEVSNV9GT1JFSUdOLjE5OTIuMDYvMDMvMjAyNi4uLlVTRC5IAQAAAN62AQACAAAAAzI2MwAQafnkzXveCOMzODnOe94IOkNJUS5OWVNFOklCTS5JUV9PUEVCX0RJU0NfUkFURV9NSU5fRk9SRUlHTi4xOTkyLjA2LzAzLzIwMjYBAAAA3rYBAAIAAAAENy4yNQAQafnkzXveCOMz</t>
  </si>
  <si>
    <t>ODnOe94IUUNJUS5OWVNFOklCTS5JUV9PUEVCX1RPVEFMX0NPU1RfSU5DTF9TVVBQTEVfUExBTlNfRk9SRUlHTi4xOTkyLjA2LzAzLzIwMjYuLi5VU0QuSAEAAADetgEAAwAAAAAAEGn55M173gjjMzg5znveCD9DSVEuTllTRTpJQk0uSVFfT1BFQl9PVEhFUl9DT1NUX0ZPUkVJR04uMTk5Mi4wNi8wMy8yMDI2Li4uVVNELkgBAAAA3rYBAAIAAAACLTMAEGn55M173gjjMzg5znveCEFDSVEuTllTRTpJQk0uSVFfUEVOU0lPTl9CRU5FRklUX0lORk9fREFURV9GT1JFSUdOLjE5OTIuMDYvMDMvMjAyNgEAAADetgEABQAAAAozMS8xMi8yMDIzABBp+eTNe94IMFs4Oc573ghDQ0lRLk5ZU0U6SUJNLklRX1NFVFRMRU1FTlRTX1RBWF9BVVRIT1JJVElFUy4xOTkyLjA2LzAzLzIwMjYuLi5VU0QuSAEAAADetgEAAgAAAAMtMjYAEGn55M173gjjMzg5znveCE1DSVEuTllTRTpJQk0uSVFfVFJBTlNfSU1QQUNUX0ZJTl80OF9SRVRBSU5FRF9FQVJOSU5HUy4xOTkyLjA2LzAzLzIwMjYuLi5VU0QuSAEAAADetgEAAwAAAAAAEGn55M173gjjMzg5znveCEZDSVEuTllTRTpJQk0uSVFfTVVUVUFMX0ZVTkRfQUNRVUlTSVRJT05TX09USEVSLjE5OTIuMDYvMDMvMjAyNi4uLlVTRC5IAQAAAN62AQADAAAAAAAQafnkzXveCOMzODnOe94IUkNJUS5OWVNFOklCTS5JUV9PUEVCX0FTU0VUU19FTVBMT1lFUl9DT05UUklCVVRJT05T</t>
  </si>
  <si>
    <t>X0ZPUkVJR04uMTk5Mi4wNi8wMy8yMDI2Li4uVVNELkgBAAAA3rYBAAMAAAAAABBp+eTNe94IMFs4Oc573gg3Q0lRLk5ZU0U6SUJNLklRX1RPVEFMX0xJQUJfVE9UQUxfQVNTRVRTLjE5OTIuMDYvMDMvMjAyNgEAAADetgEAAgAAAAc4My4yNzk0AQgAAAAFAAAAATEBAAAACy0xOTA0ODYwNjcwAwAAAAMxNjACAAAABDQxODgEAAAAATAHAAAACDMvNi8yMDI2CAAAAAoxMi8zMS8yMDIzCQAAAAEwEGn55M173ggwWzg5znveCEtDSVEuTllTRTpJQk0uSVFfQ0hBTkdFX1VOUkVDT0dfVEFYX0JFTkVGSVRfMV9ZUl9NSU4uMTk5Mi4wNi8wMy8yMDI2Li4uVVNELkgBAAAA3rYBAAMAAAAAABBp+eTNe94IMFs4Oc573gg0Q0lRLk5ZU0U6SUJNLklRX0FVTV9PVVRGTE9XUy4xOTkyLjA2LzAzLzIwMjYuLi5VU0QuSAEAAADetgEAAwAAAAAAEGn55M173ggwWzg5znveCD5DSVEuTllTRTpJQk0uSVFfQVVNX0ZJWEVEX0lOQ09NRV9GVU5EUy4xOTkyLjA2LzAzLzIwMjYuLi5VU0QuSAEAAADetgEAAwAAAAAAEGn55M173ggwWzg5znveCEhDSVEuTllTRTpJQk0uSVFfT1BFQl9ERUNSRUFTRV9FRkZFQ1RfUEJPX0ZPUkVJR04uMTk5Mi4wNi8wMy8yMDI2Li4uVVNELkgBAAAA3rYBAAMAAAAAABBp+eTNe94IMFs4Oc573ghGQ0lRLk5ZU0U6SUJNLklRX09QRUJfQ0lfT1RIRVJfTUlTQ19BREpfRk9SRUlHTi4xOTkyLjA2LzAz</t>
  </si>
  <si>
    <t>LzIwMjYuLi5VU0QuSAEAAADetgEAAwAAAAAAEGn55M173ggwWzg5znveCEpDSVEuTllTRTpJQk0uSVFfT1BFQl9BU1NFVFNfT1RIRVJfUExBTl9BREpfRk9SRUlHTi4xOTkyLjA2LzAzLzIwMjYuLi5VU0QuSAEAAADetgEAAgAAAAItNgAQafnkzXveCDBbODnOe94INkNJUS5OWVNFOklCTS5JUV9OVU1CRVJfVFJBREVTX0VYRUNVVEVELjE5OTIuMDYvMDMvMjAyNgEAAADetgEAAwAAAAAAEGn55M173ggwWzg5znveCExDSVEuTllTRTpJQk0uSVFfQVVNX01BUktFVF9BUFBSRUNJQVRJT05fREVQUkVDSUFUSU9OLjE5OTIuMDYvMDMvMjAyNi4uLlVTRC5IAQAAAN62AQADAAAAAAAQafnkzXveCDBbODnOe94IO0NJUS5OWVNFOklCTS5JUV9BVU1fSU5TVElUVVRJT05BTF9DVVNUT01FUlMuMTk5Mi4wNi8wMy8yMDI2AQAAAN62AQADAAAAAAAQafnkzXveCDBbODnOe94IPUNJUS5OWVNFOklCTS5JUV9PUEVCX0JSRUFLRE9XTl9QQ1RfUkVfRk9SRUlHTi4xOTkyLjA2LzAzLzIwMjYBAAAA3rYBAAMAAAAAABBp+eTNe94IMFs4Oc573gg9Q0lRLk5ZU0U6SUJNLklRX09QRUJfQlJFQUtET1dOX1BDVF9FUV9GT1JFSUdOLjE5OTIuMDYvMDMvMjAyNgEAAADetgEAAwAAAAAAEGn55M173ggwWzg5znveCD9DSVEuTllTRTpJQk0uSVFfT1BFQl9BU1NFVFNfQkVHX0ZPUkVJR04uMTk5Mi4wNi8wMy8yMDI2Li4uVVNELkgB</t>
  </si>
  <si>
    <t>AAAA3rYBAAIAAAACMjkAEGn55M173ggwWzg5znveCDdDSVEuTllTRTpJQk0uSVFfQ0FQX0xPU1NfQ0ZfMVlSLjE5OTIuMDYvMDMvMjAyNi4uLlVTRC5IAQAAAN62AQADAAAAAAAQafnkzXveCDBbODnOe94ITUNJUS5OWVNFOklCTS5JUV9NVVRVQUxfRlVORF9BUFBSRUNJQVRJT05fREVQUkVDSUFUSU9OLjE5OTIuMDYvMDMvMjAyNi4uLlVTRC5IAQAAAN62AQADAAAAAAAQafnkzXveCDBbODnOe94IL0NJUS5OWVNFOklCTS5JUV9BVU1fRU9QLjE5OTIuMDYvMDMvMjAyNi4uLlVTRC5IAQAAAN62AQADAAAAAAAQafnkzXveCDBbODnOe94IOkNJUS5OWVNFOklCTS5JUV9BVU1fSElHSF9ORVRfV09SVEguMTk5Mi4wNi8wMy8yMDI2Li4uVVNELkgBAAAA3rYBAAMAAAAAABBp+eTNe94IMFs4Oc573ghBQ0lRLk5ZU0U6SUJNLklRX09QRUJfQlJFQUtET1dOX1JFX0ZPUkVJR04uMTk5Mi4wNi8wMy8yMDI2Li4uVVNELkgBAAAA3rYBAAMAAAAAABBp+eTNe94IMFs4Oc573ghBQ0lRLk5ZU0U6SUJNLklRX09QRUJfQlJFQUtET1dOX0VRX0ZPUkVJR04uMTk5Mi4wNi8wMy8yMDI2Li4uVVNELkgBAAAA3rYBAAMAAAAAABBp+eTNe94IMFs4Oc573gg/Q0lRLk5ZU0U6SUJNLklRX09QRUJfQVNTRVRTX0FDUV9GT1JFSUdOLjE5OTIuMDYvMDMvMjAyNi4uLlVTRC5IAQAAAN62AQADAAAAAAAQafnkzXveCOClODnOe94IPkNJ</t>
  </si>
  <si>
    <t>US5OWVNFOklCTS5JUV9BU1NFVFNfT1BFUl9MRUFTRV9ERVBSLjE5OTIuMDYvMDMvMjAyNi4uLlVTRC5IAQAAAN62AQADAAAAAAAQafnkzXveCOClODnOe94IM0NJUS5OWVNFOklCTS5JUV9BVU1fRk9SRUlHTi4xOTkyLjA2LzAzLzIwMjYuLi5VU0QuSAEAAADetgEAAwAAAAAAEGn55M173gjgpTg5znveCEBDSVEuTllTRTpJQk0uSVFfT1BFQl9FWFBfUkFURV9SRVRVUk5fTUlOX0ZPUkVJR04uMTk5Mi4wNi8wMy8yMDI2AQAAAN62AQACAAAABDguMDUAEGn55M173ggwWzg5znveCFNDSVEuTllTRTpJQk0uSVFfT1BFQl9PQkxJR0FUSU9OX0FDVFVBUklBTF9HQUlOX0xPU1NfRk9SRUlHTi4xOTkyLjA2LzAzLzIwMjYuLi5VU0QuSAEAAADetgEAAgAAAAIzNQAQafnkzXveCDBbODnOe94ITENJUS5OWVNFOklCTS5JUV9PUEVCX09CTElHQVRJT05fU0VSVklDRV9DT1NUX0ZPUkVJR04uMTk5Mi4wNi8wMy8yMDI2Li4uVVNELkgBAAAA3rYBAAIAAAABMgAQafnkzXveCOClODnOe94IQUNJUS5OWVNFOklCTS5JUV9QRU5TSU9OX09USEVSX0FESl9GT1JFSUdOLjE5OTIuMDYvMDMvMjAyNi4uLlVTRC5IAQAAAN62AQADAAAAAAAQafnkzXveCOClODnOe94IR0NJUS5OWVNFOklCTS5JUV9QRU5TSU9OX0VTVF9CRU5FRklUXzNZUl9GT1JFSUdOLjE5OTIuMDYvMDMvMjAyNi4uLlVTRC5IAQAAAN62AQACAAAABDIzMTYA</t>
  </si>
  <si>
    <t>EGn55M173gjgpTg5znveCDpDSVEuTllTRTpJQk0uSVFfVEFYX0JFTkVGSVRfQ0ZfNVlSLjE5OTIuMDYvMDMvMjAyNi4uLlVTRC5IAQAAAN62AQADAAAAAAAQafnkzXveCOClODnOe94IPUNJUS5OWVNFOklCTS5JUV9NVVRVQUxfRlVORF9ORVRfU0FMRVMuMTk5Mi4wNi8wMy8yMDI2Li4uVVNELkgBAAAA3rYBAAMAAAAAABBp+eTNe94I4KU4Oc573ggxQ0lRLk5ZU0U6SUJNLklRX0FVTV9PVEhFUi4xOTkyLjA2LzAzLzIwMjYuLi5VU0QuSAEAAADetgEAAwAAAAAAEGn55M173gjgpTg5znveCElDSVEuTllTRTpJQk0uSVFfT1BFQl9PQkxJR0FUSU9OX1BST0pFQ1RFRF9GT1JFSUdOLjE5OTIuMDYvMDMvMjAyNi4uLlVTRC5IAQAAAN62AQACAAAAAzU4NgAQafnkzXveCOClODnOe94IOkNJUS5OWVNFOklCTS5JUV9DQVBfTE9TU19DRl9OT19FWFAuMTk5Mi4wNi8wMy8yMDI2Li4uVVNELkgBAAAA3rYBAAMAAAAAABBp+eTNe94I4KU4Oc573gg+Q0lRLk5ZU0U6SUJNLklRX0FTU0VUU19DQVBfTEVBU0VfR1JPU1MuMTk5Mi4wNi8wMy8yMDI2Li4uVVNELkgBAAAA3rYBAAMAAAAAABBp+eTNe94I4KU4Oc573gg3Q0lRLk5ZU0U6SUJNLklRX01VVFVBTF9GVU5EX0JPUC4xOTkyLjA2LzAzLzIwMjYuLi5VU0QuSAEAAADetgEAAwAAAAAAEGn55M173gjgpTg5znveCEBDSVEuTllTRTpJQk0uSVFfQVVNX0NBU0hfRkxP</t>
  </si>
  <si>
    <t>V1NfRElWSURFTkRTLjE5OTIuMDYvMDMvMjAyNi4uLlVTRC5IAQAAAN62AQADAAAAAAAQafnkzXveCOClODnOe94IQ0NJUS5OWVNFOklCTS5JUV9BRERfVEFYX1BPU0lUSU9OU19QUklPUl9ZUlMuMTk5Mi4wNi8wMy8yMDI2Li4uVVNELkgBAAAA3rYBAAIAAAADMjMxABBp+eTNe94I4KU4Oc573ggzQ0lRLk5ZU0U6SUJNLklRX0FVTV9PVEhFUl9DVVNUT01FUlMuMTk5Mi4wNi8wMy8yMDI2AQAAAN62AQADAAAAAAAQafnkzXveCOClODnOe94IN0NJUS5OWVNFOklCTS5JUV9BVU1fUkVBTF9FU1RBVEUuMTk5Mi4wNi8wMy8yMDI2Li4uVVNELkgBAAAA3rYBAAMAAAAAABBp+eTNe94I4KU4Oc573gg8Q0lRLk5ZU0U6SUJNLklRX09QRUJfTFRfTElBQl9GT1JFSUdOLjE5OTIuMDYvMDMvMjAyNi4uLlVTRC5IAQAAAN62AQACAAAABC01NDcAEGn55M173gjgpTg5znveCEVDSVEuTllTRTpJQk0uSVFfT1BFQl9QQk9fQVNTVU1FRF9SQVRFX1JFVF9NQVhfRk9SRUlHTi4xOTkyLjA2LzAzLzIwMjYBAAAA3rYBAAIAAAAENy42NgAQafnkzXveCH3hODnOe94IR0NJUS5OWVNFOklCTS5JUV9PUEVCX1BSSU9SX1NFUlZJQ0VfTkVYVF9GT1JFSUdOLjE5OTIuMDYvMDMvMjAyNi4uLlVTRC5IAQAAAN62AQADAAAAAAAQafnkzXveCH3hODnOe94IRUNJUS5OWVNFOklCTS5JUV9UUkFOU19JTVBBQ1RfRklOXzQ4X0xUX0FTU0VU</t>
  </si>
  <si>
    <t>Uy4xOTkyLjA2LzAzLzIwMjYuLi5VU0QuSAEAAADetgEAAwAAAAAAEGn55M173gh94Tg5znveCC9DSVEuTllTRTpJQk0uSVFfTk9MX0NGX01BWF9ZRUFSLjE5OTIuMDYvMDMvMjAyNgEAAADetgEAAwAAAAAAEGn55M173gjgpTg5znveCElDSVEuTllTRTpJQk0uSVFfUkVEVUNUSU9OX1RBWF9QT1NJVElPTl9DVVJSRU5UX1lSLjE5OTIuMDYvMDMvMjAyNi4uLlVTRC5IAQAAAN62AQADAAAAAAAQafnkzXveCOClODnOe94IOkNJUS5OWVNFOklCTS5JUV9UQVhfQkVORUZJVF9DRl80WVIuMTk5Mi4wNi8wMy8yMDI2Li4uVVNELkgBAAAA3rYBAAMAAAAAABBp+eTNe94IfeE4Oc573ggkQ0lRLk5ZU0U6SUJNLklRX0RBUlQuMTk5Mi4wNi8wMy8yMDI2AQAAAN62AQADAAAAAAAQafnkzXveCH3hODnOe94IVUNJUS5OWVNFOklCTS5JUV9PUEVCX0lOQ1JFQVNFX0VGRkVDVF9TRVJWSUNFX0lOVF9DT1NUX0ZPUkVJR04uMTk5Mi4wNi8wMy8yMDI2Li4uVVNELkgBAAAA3rYBAAMAAAAAABBp+eTNe94IfeE4Oc573ghHQ0lRLk5ZU0U6SUJNLklRX09QRUJfUEJPX1JBVEVfQ09NUF9JTkNSRUFTRV9NQVhfRk9SRUlHTi4xOTkyLjA2LzAzLzIwMjYBAAAA3rYBAAMAAAAAABBp+eTNe94IfeE4Oc573ggzQ0lRLk5ZU0U6SUJNLklRX0FVTV9JTkZMT1dTLjE5OTIuMDYvMDMvMjAyNi4uLlVTRC5IAQAAAN62AQADAAAAAAAQafnk</t>
  </si>
  <si>
    <t>zXveCH3hODnOe94IOkNJUS5OWVNFOklCTS5JUV9BVU1fUFJJVkFURV9FUVVJVFkuMTk5Mi4wNi8wMy8yMDI2Li4uVVNELkgBAAAA3rYBAAMAAAAAABBp+eTNe94Ipvk4Oc573gg+Q0lRLk5ZU0U6SUJNLklRX0FVTV9NT05FWV9NQVJLRVRfRlVORFMuMTk5Mi4wNi8wMy8yMDI2Li4uVVNELkgBAAAA3rYBAAMAAAAAABBp+eTNe94Ipvk4Oc573ghCQ0lRLk5ZU0U6SUJNLklRX09QRUJfVU5SRUNPR19QUklPUl9GT1JFSUdOLjE5OTIuMDYvMDMvMjAyNi4uLlVTRC5IAQAAAN62AQADAAAAAAAQafnkzXveCKb5ODnOe94IQENJUS5OWVNFOklCTS5JUV9PUEVCX0VYUF9SQVRFX1JFVFVSTl9NQVhfRk9SRUlHTi4xOTkyLjA2LzAzLzIwMjYBAAAA3rYBAAIAAAAEOC4wNQAQafnkzXveCKb5ODnOe94IQkNJUS5OWVNFOklCTS5JUV9PUEVCX0FTU0VUU19GWF9BREpfRk9SRUlHTi4xOTkyLjA2LzAzLzIwMjYuLi5VU0QuSAEAAADetgEAAgAAAAEzABBp+eTNe94Ipvk4Oc573ghGQ0lRLk5ZU0U6SUJNLklRX09QRUJfT0JMSUdBVElPTl9GWF9BREpfRk9SRUlHTi4xOTkyLjA2LzAzLzIwMjYuLi5VU0QuSAEAAADetgEAAgAAAAIyMgAQafnkzXveCKb5ODnOe94IQUNJUS5OWVNFOklCTS5JUV9PUEVCX1NFUlZJQ0VfQ09TVF9GT1JFSUdOLjE5OTIuMDYvMDMvMjAyNi4uLlVTRC5IAQAAAN62AQACAAAAATIAEGn55M173gim</t>
  </si>
  <si>
    <t>+Tg5znveCE5DSVEuTllTRTpJQk0uSVFfUEVOU0lPTl9VTkZVTkRFRF9BRERMX01JTl9MSUFCX0ZPUkVJR04uMTk5Mi4wNi8wMy8yMDI2Li4uVVNELkgBAAAA3rYBAAMAAAAAABBp+eTNe94Ipvk4Oc573gg0Q0lRLk5ZU0U6SUJNLklRX05PTF9DRl9UT1RBTC4xOTkyLjA2LzAzLzIwMjYuLi5VU0QuSAEAAADetgEAAwAAAAAAEGn55M173gim+Tg5znveCC9DSVEuTllTRTpJQk0uSVFfSU5WRU5UT1JZX1RVUk5TLjE5OTIuMDYvMDMvMjAyNgEAAADetgEAAgAAAAkyMC4wMzUzODUBCAAAAAUAAAABMQEAAAALLTE5MDQ4NjA2NzADAAAAAzE2MAIAAAAENDA4MgQAAAABMAcAAAAIMy82LzIwMjYIAAAACjEyLzMxLzIwMjMJAAAAATAQafnkzXveCEAhOTnOe94IOkNJUS5OWVNFOklCTS5JUV9UQVhfQkVORUZJVF9DRl8zWVIuMTk5Mi4wNi8wMy8yMDI2Li4uVVNELkgBAAAA3rYBAAMAAAAAABBp+eTNe94Ipvk4Oc573gg3Q0lRLk5ZU0U6SUJNLklRX01VVFVBTF9GVU5EX0VPUC4xOTkyLjA2LzAzLzIwMjYuLi5VU0QuSAEAAADetgEAAwAAAAAAEGn55M173gim+Tg5znveCERDSVEuTllTRTpJQk0uSVFfT1BFQl9FU1RfQkVORUZJVF8yWVJfRk9SRUlHTi4xOTkyLjA2LzAzLzIwMjYuLi5VU0QuSAEAAADetgEAAgAAAAI0NQAQafnkzXveCKb5ODnOe94IQ0NJUS5OWVNFOklCTS5JUV9PUEVCX1JBVEVfQ09NUF9JTkNS</t>
  </si>
  <si>
    <t>RUFTRV9NQVhfRk9SRUlHTi4xOTkyLjA2LzAzLzIwMjYBAAAA3rYBAAMAAAAAABBp+eTNe94IQCE5Oc573ghOQ0lRLk5ZU0U6SUJNLklRX09QRUJfT0JMSUdBVElPTl9PVEhFUl9QTEFOX0FESl9GT1JFSUdOLjE5OTIuMDYvMDMvMjAyNi4uLlVTRC5IAQAAAN62AQACAAAAAi00ABBp+eTNe94IQCE5Oc573ghDQ0lRLk5ZU0U6SUJNLklRX09QRUJfT0JMSUdBVElPTl9CRUdfRk9SRUlHTi4xOTkyLjA2LzAzLzIwMjYuLi5VU0QuSAEAAADetgEAAgAAAAM1MzEAEGn55M173ghAITk5znveCEVDSVEuTllTRTpJQk0uSVFfUEVOU0lPTl9VTlJFQ09HX1BSSU9SX0ZPUkVJR04uMTk5Mi4wNi8wMy8yMDI2Li4uVVNELkgBAAAA3rYBAAMAAAAAABBp+eTNe94IQCE5Oc573gg6Q0lRLk5ZU0U6SUJNLklRX1BFTlNJT05fQ0xfRk9SRUlHTi4xOTkyLjA2LzAzLzIwMjYuLi5VU0QuSAEAAADetgEAAgAAAAQtMzY2ABBp+eTNe94IQCE5Oc573ghKQ0lRLk5ZU0U6SUJNLklRX1BFTlNJT05fUEJPX1JBVEVfQ09NUF9JTkNSRUFTRV9NSU5fRk9SRUlHTi4xOTkyLjA2LzAzLzIwMjYBAAAA3rYBAAIAAAAENC4xOAAQafnkzXveCA9IOTnOe94IRENJUS5OWVNFOklCTS5JUV9QRU5TSU9OX0JSRUFLRE9XTl9SRV9GT1JFSUdOLjE5OTIuMDYvMDMvMjAyNi4uLlVTRC5IAQAAAN62AQACAAAAATQAEGn55M173ggPSDk5znveCD1DSVEu</t>
  </si>
  <si>
    <t>TllTRTpJQk0uSVFfUEVOU0lPTl9ESVNDX1JBVEVfTUlOX0ZPUkVJR04uMTk5Mi4wNi8wMy8yMDI2AQAAAN62AQACAAAAAzMuOAAQafnkzXveCEAhOTnOe94ITkNJUS5OWVNFOklCTS5JUV9QRU5TSU9OX0FDQ1VNVUxBVEVEX09CTElHQVRJT05fRk9SRUlHTi4xOTkyLjA2LzAzLzIwMjYuLi5VU0QuSAEAAADetgEAAgAAAAUzMzEyOAAQafnkzXveCEAhOTnOe94ISkNJUS5OWVNFOklCTS5JUV9QRU5TSU9OX09CTElHQVRJT05fQ1VSVEFJTF9GT1JFSUdOLjE5OTIuMDYvMDMvMjAyNi4uLlVTRC5IAQAAAN62AQADAAAAAAAQafnkzXveCEAhOTnOe94IRkNJUS5OWVNFOklCTS5JUV9QRU5TSU9OX09CTElHQVRJT05fUk9BX0ZPUkVJR04uMTk5Mi4wNi8wMy8yMDI2Li4uVVNELkgBAAAA3rYBAAIAAAAFLTE0NDAAEGn55M173ggPSDk5znveCDNDSVEuTllTRTpJQk0uSVFfT1BFQl9DTF9ET00uMTk5Mi4wNi8wMy8yMDI2Li4uVVNELkgBAAAA3rYBAAIAAAAELTIwMgAQafnkzXveCA9IOTnOe94IQ0NJUS5OWVNFOklCTS5JUV9PUEVCX1BCT19SQVRFX0NPTVBfSU5DUkVBU0VfTUlOX0RPTS4xOTkyLjA2LzAzLzIwMjYBAAAA3rYBAAMAAAAAABBp+eTNe94ID0g5Oc573gg/Q0lRLk5ZU0U6SUJNLklRX09QRUJfQU1UX1JFQ09HX05FWFRfRE9NLjE5OTIuMDYvMDMvMjAyNi4uLlVTRC5IAQAAAN62AQADAAAAAAAQafnk</t>
  </si>
  <si>
    <t>zXveCA9IOTnOe94IKENJUS5OWVNFOklCTS5JUV9BUl9UVVJOUy4xOTkyLjA2LzAzLzIwMjYBAAAA3rYBAAIAAAAIOC4zMDI0OTkBCAAAAAUAAAABMQEAAAALLTE5MDQ4NjA2NzADAAAAAzE2MAIAAAAENDAwMQQAAAABMAcAAAAIMy82LzIwMjYIAAAACjEyLzMxLzIwMjMJAAAAATAQafnkzXveCA9IOTnOe94IPUNJUS5OWVNFOklCTS5JUV9BU1NFVFNfQ0FQX0xFQVNFX0RFUFIuMTk5Mi4wNi8wMy8yMDI2Li4uVVNELkgBAAAA3rYBAAMAAAAAABBp+eTNe94ID0g5Oc573ghGQ0lRLk5ZU0U6SUJNLklRX05FVF9ERUJUX0VCSVREQV9FWENMX09QRVJfTEVBU0VTX0NBUEVYLjE5OTIuMDYvMDMvMjAyNgEAAADetgEAAgAAAAg0LjIyMjEyMQEIAAAABQAAAAExAQAAAAstMTkwNDg2MDY3MAMAAAADMTYwAgAAAAU0OTE4MgQAAAABMAcAAAAIMy82LzIwMjYIAAAACjEyLzMxLzIwMjMJAAAAATAQafnkzXveCA9IOTnOe94IPUNJUS5OWVNFOklCTS5JUV9ORVRfTkVXX0NMSUVOVF9BU1NFVFMuMTk5Mi4wNi8wMy8yMDI2Li4uVVNELkgBAAAA3rYBAAMAAAAAABBp+eTNe94ID0g5Oc573gg/Q0lRLk5ZU0U6SUJNLklRX01VVFVBTF9GVU5EX1JFREVNUFRJT05TLjE5OTIuMDYvMDMvMjAyNi4uLlVTRC5IAQAAAN62AQADAAAAAAAQafnkzXveCA9IOTnOe94IRENJUS5OWVNFOklCTS5JUV9PUEVCX05FVF9BU1NFVF9SRUNP</t>
  </si>
  <si>
    <t>R19GT1JFSUdOLjE5OTIuMDYvMDMvMjAyNi4uLlVTRC5IAQAAAN62AQACAAAABC01NjQAEGn55M173ggPSDk5znveCENDSVEuTllTRTpJQk0uSVFfT1BFQl9BU1NFVFNfQ1VSVEFJTF9GT1JFSUdOLjE5OTIuMDYvMDMvMjAyNi4uLlVTRC5IAQAAAN62AQADAAAAAAAQafnkzXveCBZvOTnOe94IRUNJUS5OWVNFOklCTS5JUV9QRU5TSU9OX0NJX1RSQU5TSVRJT05fRk9SRUlHTi4xOTkyLjA2LzAzLzIwMjYuLi5VU0QuSAEAAADetgEAAwAAAAAAEGn55M173ggWbzk5znveCENDSVEuTllTRTpJQk0uSVFfUEVOU0lPTl9FWFBfUkFURV9SRVRVUk5fTUFYX0ZPUkVJR04uMTk5Mi4wNi8wMy8yMDI2AQAAAN62AQACAAAABDQuNDQAEGn55M173ggWbzk5znveCExDSVEuTllTRTpJQk0uSVFfUEVOU0lPTl9BU1NFVFNfQkVORUZJVFNfUEFJRF9GT1JFSUdOLjE5OTIuMDYvMDMvMjAyNi4uLlVTRC5IAQAAAN62AQACAAAABS0xNjI5ABBp+eTNe94IFm85Oc573ghHQ0lRLk5ZU0U6SUJNLklRX1BFTlNJT05fT0JMSUdBVElPTl9QQUlEX0ZPUkVJR04uMTk5Mi4wNi8wMy8yMDI2Li4uVVNELkgBAAAA3rYBAAIAAAAFLTIwMjUAEGn55M173ggPSDk5znveCDpDSVEuTllTRTpJQk0uSVFfT1BFQl9PVEhFUl9BREpfRE9NLjE5OTIuMDYvMDMvMjAyNi4uLlVTRC5IAQAAAN62AQADAAAAAAAQafnkzXveCBZvOTnOe94IPUNJUS5O</t>
  </si>
  <si>
    <t>WVNFOklCTS5JUV9PUEVCX0JSRUFLRE9XTl9GSV9ET00uMTk5Mi4wNi8wMy8yMDI2Li4uVVNELkgBAAAA3rYBAAIAAAACMTAAEGn55M173ggWbzk5znveCEZDSVEuTllTRTpJQk0uSVFfT1BFQl9BU1NFVFNfT1RIRVJfUExBTl9BREpfRE9NLjE5OTIuMDYvMDMvMjAyNi4uLlVTRC5IAQAAAN62AQACAAAAATIAEGn55M173ggWbzk5znveCD9DSVEuTllTRTpJQk0uSVFfT1BFQl9PQkxJR0FUSU9OX0FDUV9ET00uMTk5Mi4wNi8wMy8yMDI2Li4uVVNELkgBAAAA3rYBAAMAAAAAABBp+eTNe94IFm85Oc573ghPQ0lRLk5ZU0U6SUJNLklRX09QRUJfT0JMSUdBVElPTl9BQ1RVQVJJQUxfR0FJTl9MT1NTX0RPTS4xOTkyLjA2LzAzLzIwMjYuLi5VU0QuSAEAAADetgEAAgAAAAMtMTkAEGn55M173ggWbzk5znveCFBDSVEuTllTRTpJQk0uSVFfUEVOU0lPTl9RVUFSVF9FTVBMT1lFUl9DT05UUklCVVRJT05TX0RPTS4xOTkyLjA2LzAzLzIwMjYuLi5VU0QuSAEAAADetgEAAwAAAAAAEGn55M173ghFljk5znveCEZDSVEuTllTRTpJQk0uSVFfUEVOU0lPTl9FU1RfQkVORUZJVF9BRlRFUjVfRE9NLjE5OTIuMDYvMDMvMjAyNi4uLlVTRC5IAQAAAN62AQACAAAABDg4MDYAEGn55M173ggWbzk5znveCERDSVEuTllTRTpJQk0uSVFfT1BFQl9PQkxJR0FUSU9OX1BBSURfRk9SRUlHTi4xOTkyLjA2LzAzLzIwMjYuLi5VU0Qu</t>
  </si>
  <si>
    <t>SAEAAADetgEAAgAAAAMtMzgAEGn55M173ggWbzk5znveCD9DSVEuTllTRTpJQk0uSVFfUEVOU0lPTl9MVF9MSUFCX0ZPUkVJR04uMTk5Mi4wNi8wMy8yMDI2Li4uVVNELkgBAAAA3rYBAAIAAAAFLTY5NzcAEGn55M173ggWbzk5znveCEFDSVEuTllTRTpJQk0uSVFfUEVOU0lPTl9MVF9BU1NFVFNfRk9SRUlHTi4xOTkyLjA2LzAzLzIwMjYuLi5VU0QuSAEAAADetgEAAgAAAAQyOTIzABBp+eTNe94IFm85Oc573ghEQ0lRLk5ZU0U6SUJNLklRX1BFTlNJT05fSU5UQU5fQVNTRVRTX0ZPUkVJR04uMTk5Mi4wNi8wMy8yMDI2Li4uVVNELkgBAAAA3rYBAAMAAAAAABBp+eTNe94IRZY5Oc573ghGQ0lRLk5ZU0U6SUJNLklRX1BFTlNJT05fQU1UX1JFQ09HX05FWFRfRk9SRUlHTi4xOTkyLjA2LzAzLzIwMjYuLi5VU0QuSAEAAADetgEAAwAAAAAAEGn55M173ghFljk5znveCEJDSVEuTllTRTpJQk0uSVFfUEVOU0lPTl9FWFBfUkVUVVJOX0ZPUkVJR04uMTk5Mi4wNi8wMy8yMDI2Li4uVVNELkgBAAAA3rYBAAIAAAAENC40NAAQafnkzXveCEWWOTnOe94IQENJUS5OWVNFOklCTS5JUV9PUEVCX0VTVF9CRU5FRklUXzJZUl9ET00uMTk5Mi4wNi8wMy8yMDI2Li4uVVNELkgBAAAA3rYBAAIAAAADMjE1ABBp+eTNe94IRZY5Oc573ghBQ0lRLk5ZU0U6SUJNLklRX09QRUJfUFJFUEFJRF9DT1NUX0ZPUkVJR04uMTk5Mi4w</t>
  </si>
  <si>
    <t>Ni8wMy8yMDI2Li4uVVNELkgBAAAA3rYBAAMAAAAAABBp+eTNe94IRZY5Oc573ghFQ0lRLk5ZU0U6SUJNLklRX09QRUJfQ0lfTkVUX0FNVF9SRUNPR19GT1JFSUdOLjE5OTIuMDYvMDMvMjAyNi4uLlVTRC5IAQAAAN62AQACAAAAAzEyMgAQafnkzXveCEWWOTnOe94IUkNJUS5OWVNFOklCTS5JUV9PUEVCX0FTU0VUU19QQVJUSUNJUF9DT05UUklCVVRJT05TX0ZPUkVJR04uMTk5Mi4wNi8wMy8yMDI2Li4uVVNELkgBAAAA3rYBAAMAAAAAABBp+eTNe94IRZY5Oc573ghUQ0lRLk5ZU0U6SUJNLklRX1BFTlNJT05fUVVBUlRfQURETF9DT05UUklCVVRJT05TX0VYUF9GT1JFSUdOLjE5OTIuMDYvMDMvMjAyNi4uLlVTRC5IAQAAAN62AQADAAAAAAAQafnkzXveCEWWOTnOe94IRkNJUS5OWVNFOklCTS5JUV9QRU5TSU9OX1JBVEVfQ09NUF9JTkNSRUFTRV9NQVhfRk9SRUlHTi4xOTkyLjA2LzAzLzIwMjYBAAAA3rYBAAIAAAABNAAQafnkzXveCEWWOTnOe94ITUNJUS5OWVNFOklCTS5JUV9QRU5TSU9OX09CTElHQVRJT05fVE9UQUxfQ09TVF9GT1JFSUdOLjE5OTIuMDYvMDMvMjAyNi4uLlVTRC5IAQAAAN62AQACAAAAAzM1OQAQafnkzXveCEWWOTnOe94IRENJUS5OWVNFOklCTS5JUV9PUEVCX0lOQ1JFQVNFX0VGRkVDVF9QQk9fRE9NLjE5OTIuMDYvMDMvMjAyNi4uLlVTRC5IAQAAAN62AQADAAAAAAAQafnkzXve</t>
  </si>
  <si>
    <t>CE69OTnOe94IPUNJUS5OWVNFOklCTS5JUV9PUEVCX0FDQ1JVRURfTElBQl9ET00uMTk5Mi4wNi8wMy8yMDI2Li4uVVNELkgBAAAA3rYBAAMAAAAAABBp+eTNe94ITr05Oc573gg8Q0lRLk5ZU0U6SUJNLklRX09QRUJfRVhQX1JBVEVfUkVUVVJOX01BWF9ET00uMTk5Mi4wNi8wMy8yMDI2AQAAAN62AQADAAAAAAAQafnkzXveCE69OTnOe94IP0NJUS5OWVNFOklCTS5JUV9PUEVCX1JBVEVfQ09NUF9JTkNSRUFTRV9NSU5fRE9NLjE5OTIuMDYvMDMvMjAyNgEAAADetgEAAwAAAAAAEGn55M173ghFljk5znveCERDSVEuTllTRTpJQk0uSVFfQUREX1RBWF9QT1NJVElPTlNfQ1VSUkVOVF9ZUi4xOTkyLjA2LzAzLzIwMjYuLi5VU0QuSAEAAADetgEAAgAAAAMyOTYAEGn55M173ghFljk5znveCEdDSVEuTllTRTpJQk0uSVFfT1BFQl9PQkxJR0FUSU9OX0NVUlRBSUxfRk9SRUlHTi4xOTkyLjA2LzAzLzIwMjYuLi5VU0QuSAEAAADetgEAAwAAAAAAEGn55M173ghOvTk5znveCD5DSVEuTllTRTpJQk0uSVFfUEVOU0lPTl9DSV9BQ1RfRk9SRUlHTi4xOTkyLjA2LzAzLzIwMjYuLi5VU0QuSAEAAADetgEAAgAAAAUxMjkzNwAQafnkzXveCE69OTnOe94IVUNJUS5OWVNFOklCTS5JUV9QRU5TSU9OX0FTU0VUU19FTVBMT1lFUl9DT05UUklCVVRJT05TX0ZPUkVJR04uMTk5Mi4wNi8wMy8yMDI2Li4uVVNELkgBAAAA3rYB</t>
  </si>
  <si>
    <t>AAIAAAACNTcAEGn55M173ghOvTk5znveCFlDSVEuTllTRTpJQk0uSVFfUEVOU0lPTl9PQkxJR0FUSU9OX0VNUExPWUVFX0NPTlRSSUJVVElPTlNfRk9SRUlHTi4xOTkyLjA2LzAzLzIwMjYuLi5VU0QuSAEAAADetgEAAgAAAAIxNwAQafnkzXveCE69OTnOe94IOUNJUS5OWVNFOklCTS5JUV9PUEVCX0FDVF9ORVhUX0RPTS4xOTkyLjA2LzAzLzIwMjYuLi5VU0QuSAEAAADetgEAAwAAAAAAEGn55M173ghOvTk5znveCEdDSVEuTllTRTpJQk0uSVFfT1BFQl9QQk9fUkFURV9DT01QX0lOQ1JFQVNFX01JTl9GT1JFSUdOLjE5OTIuMDYvMDMvMjAyNgEAAADetgEAAwAAAAAAEGn55M173ghh5Dk5znveCEBDSVEuTllTRTpJQk0uSVFfUEVOU0lPTl9BQ1RfTkVYVF9GT1JFSUdOLjE5OTIuMDYvMDMvMjAyNi4uLlVTRC5IAQAAAN62AQADAAAAAAAQafnkzXveCE69OTnOe94IQENJUS5OWVNFOklCTS5JUV9QRU5TSU9OX0JSRUFLRE9XTl9QQ1RfRVFfRk9SRUlHTi4xOTkyLjA2LzAzLzIwMjYBAAAA3rYBAAIAAAAGMC44NTM0ABBp+eTNe94ITr05Oc573ghNQ0lRLk5ZU0U6SUJNLklRX1BFTlNJT05fQVNTRVRTX09USEVSX1BMQU5fQURKX0ZPUkVJR04uMTk5Mi4wNi8wMy8yMDI2Li4uVVNELkgBAAAA3rYBAAIAAAAELTIwNQAQafnkzXveCE69OTnOe94IQ0NJUS5OWVNFOklCTS5JUV9PUEVCX1BCT19SQVRFX0NPTVBf</t>
  </si>
  <si>
    <t>SU5DUkVBU0VfTUFYX0RPTS4xOTkyLjA2LzAzLzIwMjYBAAAA3rYBAAMAAAAAABBp+eTNe94ITr05Oc573gg8Q0lRLk5ZU0U6SUJNLklRX09QRUJfQlJFQUtET1dOX1BDVF9PVEhFUl9ET00uMTk5Mi4wNi8wMy8yMDI2AQAAAN62AQADAAAAAAAQafnkzXveCGHkOTnOe94IO0NJUS5OWVNFOklCTS5JUV9PUEVCX0FTU0VUU19BQ1FfRE9NLjE5OTIuMDYvMDMvMjAyNi4uLlVTRC5IAQAAAN62AQADAAAAAAAQafnkzXveCGHkOTnOe94IQENJUS5OWVNFOklCTS5JUV9PUEVCX09CTElHQVRJT05fUEFJRF9ET00uMTk5Mi4wNi8wMy8yMDI2Li4uVVNELkgBAAAA3rYBAAIAAAAELTI3NwAQafnkzXveCGHkOTnOe94IQ0NJUS5OWVNFOklCTS5JUV9QRU5TSU9OX05FVF9BU1NFVF9SRUNPR19ET00uMTk5Mi4wNi8wMy8yMDI2Li4uVVNELkgBAAAA3rYBAAIAAAAEMzIwMgAQafnkzXveCGHkOTnOe94IL0NJUS5OWVNFOklCTS5JUV9BVU1fQk9QLjE5OTIuMDYvMDMvMjAyNi4uLlVTRC5IAQAAAN62AQADAAAAAAAQafnkzXveCGHkOTnOe94IMkNJUS5OWVNFOklCTS5JUV9BVU1fUkVUQUlMLjE5OTIuMDYvMDMvMjAyNi4uLlVTRC5IAQAAAN62AQADAAAAAAAQafnkzXveCGHkOTnOe94IOkNJUS5OWVNFOklCTS5JUV9PUEVCX0RJU0NfUkFURV9NQVhfRk9SRUlHTi4xOTkyLjA2LzAzLzIwMjYBAAAA3rYBAAIAAAAENy4yNQAQ</t>
  </si>
  <si>
    <t>afnkzXveCGHkOTnOe94ISkNJUS5OWVNFOklCTS5JUV9QRU5TSU9OX0VTVF9CRU5FRklUX0FGVEVSNV9GT1JFSUdOLjE5OTIuMDYvMDMvMjAyNi4uLlVTRC5IAQAAAN62AQACAAAABTEwNzg1ABBp+eTNe94IYeQ5Oc573ghHQ0lRLk5ZU0U6SUJNLklRX1BFTlNJT05fRVNUX0JFTkVGSVRfNFlSX0ZPUkVJR04uMTk5Mi4wNi8wMy8yMDI2Li4uVVNELkgBAAAA3rYBAAIAAAAEMjI4NwAQafnkzXveCGHkOTnOe94ISUNJUS5OWVNFOklCTS5JUV9QRU5TSU9OX09CTElHQVRJT05fRlhfQURKX0ZPUkVJR04uMTk5Mi4wNi8wMy8yMDI2Li4uVVNELkgBAAAA3rYBAAIAAAAEMTAyMQAQafnkzXveCGHkOTnOe94IR0NJUS5OWVNFOklCTS5JUV9PUEVCX0hFQUxUSF9DT1NUX1RSRU5EX1VMVElNQVRFX0ZPUkVJR04uMTk5Mi4wNi8wMy8yMDI2AQAAAN62AQADAAAAAAAQafnkzXveCGHkOTnOe94IRENJUS5OWVNFOklCTS5JUV9PUEVCX0VTVF9CRU5FRklUXzVZUl9GT1JFSUdOLjE5OTIuMDYvMDMvMjAyNi4uLlVTRC5IAQAAAN62AQACAAAAAjQ4ABBp+eTNe94IYeQ5Oc573ghFQ0lRLk5ZU0U6SUJNLklRX09QRUJfUEJPX0FTU1VNRURfUkFURV9SRVRfTUlOX0ZPUkVJR04uMTk5Mi4wNi8wMy8yMDI2AQAAAN62AQACAAAABDcuNjYAEGn55M173ghh5Dk5znveCEJDSVEuTllTRTpJQk0uSVFfT1BFQl9DSV9UUkFOU0lUSU9O</t>
  </si>
  <si>
    <t>X0ZPUkVJR04uMTk5Mi4wNi8wMy8yMDI2Li4uVVNELkgBAAAA3rYBAAMAAAAAABBp+eTNe94IYeQ5Oc573ghLQ0lRLk5ZU0U6SUJNLklRX09QRUJfT0JMSUdBVElPTl9BQ0NVTVVMQVRFRF9GT1JFSUdOLjE5OTIuMDYvMDMvMjAyNi4uLlVTRC5IAQAAAN62AQADAAAAAAAQafnkzXveCGHkOTnOe94IQ0NJUS5OWVNFOklCTS5JUV9PUEVCX09CTElHQVRJT05fQUNRX0ZPUkVJR04uMTk5Mi4wNi8wMy8yMDI2Li4uVVNELkgBAAAA3rYBAAMAAAAAABBp+eTNe94IYh86Oc573ghEQ0lRLk5ZU0U6SUJNLklRX1BFTlNJT05fQlJFQUtET1dOX0VRX0ZPUkVJR04uMTk5Mi4wNi8wMy8yMDI2Li4uVVNELkgBAAAA3rYBAAIAAAADMjQ4ABBp+eTNe94IYh86Oc573ghWQ0lRLk5ZU0U6SUJNLklRX1BFTlNJT05fT0JMSUdBVElPTl9BQ1RVQVJJQUxfR0FJTl9MT1NTX0ZPUkVJR04uMTk5Mi4wNi8wMy8yMDI2Li4uVVNELkgBAAAA3rYBAAIAAAAEMjA3NwAQafnkzXveCGHkOTnOe94IPkNJUS5OWVNFOklCTS5JUV9PUEVCX1VOUkVDT0dfUFJJT1JfRE9NLjE5OTIuMDYvMDMvMjAyNi4uLlVTRC5IAQAAAN62AQADAAAAAAAQafnkzXveCGHkOTnOe94IPkNJUS5OWVNFOklCTS5JUV9PUEVCX0NJX1RSQU5TSVRJT05fRE9NLjE5OTIuMDYvMDMvMjAyNi4uLlVTRC5IAQAAAN62AQADAAAAAAAQafnkzXveCGHkOTnOe94IPUNJUS5O</t>
  </si>
  <si>
    <t>WVNFOklCTS5JUV9PUEVCX0JSRUFLRE9XTl9FUV9ET00uMTk5Mi4wNi8wMy8yMDI2Li4uVVNELkgBAAAA3rYBAAMAAAAAABBp+eTNe94IYh86Oc573gg5Q0lRLk5ZU0U6SUJNLklRX09QRUJfQlJFQUtET1dOX1BDVF9GSV9ET00uMTk5Mi4wNi8wMy8yMDI2AQAAAN62AQACAAAAAzEwMAAQafnkzXveCGIfOjnOe94IRUNJUS5OWVNFOklCTS5JUV9PUEVCX0FTU0VUU19CRU5FRklUU19QQUlEX0RPTS4xOTkyLjA2LzAzLzIwMjYuLi5VU0QuSAEAAADetgEAAgAAAAQtMjc0ABBp+eTNe94IYh86Oc573ggxQ0lRLk5ZU0U6SUJNLklRX0FVTV9TTUVfQ1VTVE9NRVJTLjE5OTIuMDYvMDMvMjAyNgEAAADetgEAAwAAAAAAEGn55M173ghiHzo5znveCDpDSVEuTllTRTpJQk0uSVFfT1BFQl9DSV9UUkFOU0lUSU9OLjE5OTQuMDYvMDMvMjAyNi4uLlVTRC5IAQAAAN62AQADAAAAAADyGvnkzXveCOdrITnOe94IP0NJUS5OWVNFOklCTS5JUV9PUEVCX0VYUF9SRVRVUk5fRk9SRUlHTi4xOTkyLjA2LzAzLzIwMjYuLi5VU0QuSAEAAADetgEAAgAAAAItMgAQafnkzXveCGIfOjnOe94IO0NJUS5OWVNFOklCTS5JUV9PUEVCX1JBVEVfQ09NUF9JTkNSRUFTRV9NSU4uMTk5NC4wNi8wMy8yMDI2AQAAAN62AQADAAAAAAAQafnkzXveCOdrITnOe94IR0NJUS5OWVNFOklCTS5JUV9QRU5TSU9OX1RSQU5TSVRJT05fTkVYVF9GT1JF</t>
  </si>
  <si>
    <t>SUdOLjE5OTIuMDYvMDMvMjAyNi4uLlVTRC5IAQAAAN62AQADAAAAAAAQafnkzXveCGIfOjnOe94IPkNJUS5OWVNFOklCTS5JUV9QRU5TSU9OX0FTU0VUU19GT1JFSUdOLjE5OTIuMDYvMDMvMjAyNi4uLlVTRC5IAQAAAN62AQACAAAABTI5MDU5ABBp+eTNe94IYh86Oc573ghMQ0lRLk5ZU0U6SUJNLklRX1BFTlNJT05fT0JMSUdBVElPTl9QUk9KRUNURURfRk9SRUlHTi4xOTkyLjA2LzAzLzIwMjYuLi5VU0QuSAEAAADetgEAAgAAAAUzMzQ3OQAQafnkzXveCGIfOjnOe94ITUNJUS5OWVNFOklCTS5JUV9QRU5TSU9OX09CTElHQVRJT05fT1RIRVJfQ09TVF9GT1JFSUdOLjE5OTIuMDYvMDMvMjAyNi4uLlVTRC5IAQAAAN62AQACAAAAAzQ1MwAQafnkzXveCGIfOjnOe94IRENJUS5OWVNFOklCTS5JUV9PUEVCX0RFQ1JFQVNFX0VGRkVDVF9QQk9fRE9NLjE5OTIuMDYvMDMvMjAyNi4uLlVTRC5IAQAAAN62AQADAAAAAAAQafnkzXveCGIfOjnOe94ITENJUS5OWVNFOklCTS5JUV9PUEVCX1NVUFBMRV9QTEFOU19UT1RBTF9DT1NUX0ZPUkVJR04uMTk5Mi4wNi8wMy8yMDI2Li4uVVNELkgBAAAA3rYBAAMAAAAAABBp+eTNe94IYh86Oc573ghGQ0lRLk5ZU0U6SUJNLklRX1BFTlNJT05fUkFURV9DT01QX0lOQ1JFQVNFX01JTl9GT1JFSUdOLjE5OTIuMDYvMDMvMjAyNgEAAADetgEAAgAAAAE0ABBp+eTNe94IYh86</t>
  </si>
  <si>
    <t>Oc573ghQQ0lRLk5ZU0U6SUJNLklRX1BFTlNJT05fT0JMSUdBVElPTl9JTlRFUkVTVF9DT1NUX0ZPUkVJR04uMTk5Mi4wNi8wMy8yMDI2Li4uVVNELkgBAAAA3rYBAAIAAAAEMTE3MAAQafnkzXveCGIfOjnOe94IQUNJUS5OWVNFOklCTS5JUV9PUEVCX0FTU0VUU19BQ1RVQUxfUkVUVVJOLjE5OTQuMDYvMDMvMjAyNi4uLlVTRC5IAQAAAN62AQADAAAAAAAQafnkzXveCOdrITnOe94IPkNJUS5OWVNFOklCTS5JUV9QRU5TSU9OX0FDQ1VNX09USEVSX0NJLjE5OTQuMDYvMDMvMjAyNi4uLlVTRC5IAQAAAN62AQADAAAAAAAQafnkzXveCOdrITnOe94IQENJUS5OWVNFOklCTS5JUV9QRU5TSU9OX1BCT19BU1NVTUVEX1JBVEVfUkVUX01JTi4xOTk0LjA2LzAzLzIwMjYBAAAA3rYBAAMAAAAAABBp+eTNe94I52shOc573gg8Q0lRLk5ZU0U6SUJNLklRX1BFTlNJT05fQlJFQUtET1dOX1BDVF9GSV9ET00uMTk5NC4wNi8wMy8yMDI2AQAAAN62AQADAAAAAAAQafnkzXveCL+SITnOe94IPUNJUS5OWVNFOklCTS5JUV9PUEVCX1BCT19BU1NVTUVEX1JBVEVfUkVUX01BWC4xOTk0LjA2LzAzLzIwMjYBAAAA3rYBAAMAAAAAABBp+eTNe94Iv5IhOc573gg1Q0lRLk5ZU0U6SUJNLklRX09QRUJfQlJFQUtET1dOX1BDVF9SRS4xOTk0LjA2LzAzLzIwMjYBAAAA3rYBAAMAAAAAABBp+eTNe94Iv5IhOc573gg3Q0lRLk5ZU0U6</t>
  </si>
  <si>
    <t>SUJNLklRX1BPU1RfUkVUSVJFX0VYUC4xOTk0LjA2LzAzLzIwMjYuLi5VU0QuSAEAAADetgEAAwAAAAAAEGn55M173gi/kiE5znveCEZDSVEuTllTRTpJQk0uSVFfUEVOU0lPTl9FU1RfQkVORUZJVF9BRlRFUjVfRE9NLjE5OTQuMDYvMDMvMjAyNi4uLlVTRC5IAQAAAN62AQADAAAAAAAQafnkzXveCOdrITnOe94ISENJUS5OWVNFOklCTS5JUV9QRU5TSU9OX0FTU0VUU19CRU5FRklUU19QQUlEX0RPTS4xOTk0LjA2LzAzLzIwMjYuLi5VU0QuSAEAAADetgEAAwAAAAAAEGn55M173gjMuSE5znveCEhDSVEuTllTRTpJQk0uSVFfUEVOU0lPTl9BU1NFVFNfQUNUVUFMX1JFVFVSTl9ET00uMTk5NC4wNi8wMy8yMDI2Li4uVVNELkgBAAAA3rYBAAMAAAAAABBp+eTNe94Iv5IhOc573ggzQ0lRLk5ZU0U6SUJNLklRX09QRUJfQ0lfQUNULjE5OTQuMDYvMDMvMjAyNi4uLlVTRC5IAQAAAN62AQADAAAAAAAQafnkzXveCL+SITnOe94IPENJUS5OWVNFOklCTS5JUV9PUEVCX09CTElHQVRJT05fUEFJRC4xOTk0LjA2LzAzLzIwMjYuLi5VU0QuSAEAAADetgEAAwAAAAAAEGn55M173gi/kiE5znveCD9DSVEuTllTRTpJQk0uSVFfUEVOU0lPTl9ORVRfQVNTRVRfUkVDT0cuMTk5NC4wNi8wMy8yMDI2Li4uVVNELkgBAAAA3rYBAAMAAAAAABBp+eTNe94Iv5IhOc573gg/Q0lRLk5ZU0U6SUJNLklRX1BFTlNJT05fRVNUX0JF</t>
  </si>
  <si>
    <t>TkVGSVRfNFlSLjE5OTQuMDYvMDMvMjAyNi4uLlVTRC5IAQAAAN62AQADAAAAAAAQafnkzXveCMy5ITnOe94IQUNJUS5OWVNFOklCTS5JUV9QRU5TSU9OX0NJX09USEVSX01JU0NfQURKLjE5OTQuMDYvMDMvMjAyNi4uLlVTRC5IAQAAAN62AQADAAAAAAAQafnkzXveCMy5ITnOe94INkNJUS5OWVNFOklCTS5JUV9QRU5TSU9OX0NJX0FDVC4xOTk0LjA2LzAzLzIwMjYuLi5VU0QuSAEAAADetgEAAwAAAAAAEGn55M173gjMuSE5znveCDVDSVEuTllTRTpJQk0uSVFfUEVOU0lPTl9ESVNDX1JBVEVfTUFYLjE5OTQuMDYvMDMvMjAyNgEAAADetgEAAwAAAAAAEGn55M173gjMuSE5znveCDtDSVEuTllTRTpJQk0uSVFfSU5URVJDT01QQU5ZX05PTl9DQS4xOTk0LjA2LzAzLzIwMjYuLi5VU0QuSAEAAADetgEAAwAAAAAAEGn55M173gjMuSE5znveCDRDSVEuTllTRTpJQk0uSVFfR1dfSU5UQU5fTkVULjE5OTQuMDYvMDMvMjAyNi4uLlVTRC5IAQAAAN62AQADAAAAAAAQafnkzXveCN7NITnOe94IOkNJUS5OWVNFOklCTS5JUV9MVF9NQVJLX1NFQ1VSSVRJRVMuMTk5NC4wNi8wMy8yMDI2Li4uVVNELkgBAAAA3rYBAAMAAAAAAO9qB+XNe94I3s0hOc573gg/Q0lRLk5ZU0U6SUJNLklRX1BFTlNJT05fRVNUX0JFTkVGSVRfMVlSLjE5OTQuMDYvMDMvMjAyNi4uLlVTRC5IAQAAAN62AQADAAAAAADvagflzXveCN7NITnO</t>
  </si>
  <si>
    <t>e94IO0NJUS5OWVNFOklCTS5JUV9QRU5TSU9OX0JSRUFLRE9XTl9QQ1RfT1RIRVIuMTk5NC4wNi8wMy8yMDI2AQAAAN62AQADAAAAAADvagflzXveCN7NITnOe94IQ0NJUS5OWVNFOklCTS5JUV9SRVNUUklDVEVEX0NBU0hfTk9OX0NVUlJFTlQuMTk5NC4wNi8wMy8yMDI2Li4uVVNELkgBAAAA3rYBAAMAAAAAAO9qB+XNe94IzLkhOc573ggvQ0lRLk5ZU0U6SUJNLklRX1RPVEFMX0VNUExPWUVFUy4xOTk0LjA2LzAzLzIwMjYBAAAA3rYBAAMAAAAAAO9qB+XNe94I3s0hOc573gg2Q0lRLk5ZU0U6SUJNLklRX0FTU0VUU19MRVZFTF8xLjE5OTQuMDYvMDMvMjAyNi4uLlVTRC5IAQAAAN62AQACAAAAAzQ3MQDvagflzXveCN7NITnOe94IPUNJUS5OWVNFOklCTS5JUV9MRUFTRUhPTERfSU1QUk9WRU1FTlQuMTk5NC4wNi8wMy8yMDI2Li4uVVNELkgBAAAA3rYBAAMAAAAAAO9qB+XNe94I3s0hOc573ggwQ0lRLk5ZU0U6SUJNLklRX1NPRlRXQVJFLjE5OTQuMDYvMDMvMjAyNi4uLlVTRC5IAQAAAN62AQADAAAAAADvagflzXveCN7NITnOe94IN0NJUS5OWVNFOklCTS5JUV9ORVRfV09SS0lOR19DQVAuMTk5NC4wNi8wMy8yMDI2Li4uVVNELkgBAAAA3rYBAAIAAAAFLTU2NzYBCAAAAAUAAAABMQEAAAALLTE5MjA4NDY4MzIDAAAAAzE2MAIAAAAEMTMxMQQAAAABMAcAAAAIMy82LzIwMjYIAAAACTYvMzAvMjAyNAkA</t>
  </si>
  <si>
    <t>AAABMO9qB+XNe94I3s0hOc573gg5Q0lRLk5ZU0U6SUJNLklRX0JWX1NIQVJFX1JFUE9SVEVELjE5OTQuMDYvMDMvMjAyNi4uLlVTRC5IAQAAAN62AQADAAAAAADvagflzXveCN7NITnOe94IMkNJUS5OWVNFOklCTS5JUV9QRU5TSU9OX0NMLjE5OTQuMDYvMDMvMjAyNi4uLlVTRC5IAQAAAN62AQADAAAAAADvagflzXveCN7NITnOe94IO0NJUS5OWVNFOklCTS5JUV9JTlRFUkNPTVBBTllfTk9OX0NMLjE5OTQuMDYvMDMvMjAyNi4uLlVTRC5IAQAAAN62AQADAAAAAADvagflzXveCN7NITnOe94IQUNJUS5OWVNFOklCTS5JUV9ERVJJVkFUSVZFX1RSQURJTkdfQVNTRVRTLjE5OTQuMDYvMDMvMjAyNi4uLlVTRC5IAQAAAN62AQADAAAAAADvagflzXveCN7NITnOe94IQENJUS5OWVNFOklCTS5JUV9QRU5TSU9OX0NJX1BSSU9SX1NFUlZJQ0UuMTk5NC4wNi8wMy8yMDI2Li4uVVNELkgBAAAA3rYBAAMAAAAAAO9qB+XNe94I3s0hOc573gg+Q0lRLk5ZU0U6SUJNLklRX1BFTlNJT05fUkFURV9DT01QX0lOQ1JFQVNFX01JTi4xOTk0LjA2LzAzLzIwMjYBAAAA3rYBAAMAAAAAAO9qB+XNe94I3s0hOc573gg6Q0lRLk5ZU0U6SUJNLklRX0ZJTl9ESVZfREVCVF9UT1RBTC4xOTk0LjA2LzAzLzIwMjYuLi5VU0QuSAEAAADetgEAAgAAAAUxMTExMgEIAAAABQAAAAExAQAAAAstMTkyMDg0NjgzMgMAAAADMTYwAgAAAAUy</t>
  </si>
  <si>
    <t>NDUxNgQAAAABMAcAAAAIMy82LzIwMjYIAAAACTYvMzAvMjAyNAkAAAABMO9qB+XNe94I3s0hOc573gg7Q0lRLk5ZU0U6SUJNLklRX0xJQUJJTElUSUVTX0xFVkVMXzMuMTk5NC4wNi8wMy8yMDI2Li4uVVNELkgBAAAA3rYBAAMAAAAAAO9qB+XNe94I3s0hOc573gg5Q0lRLk5ZU0U6SUJNLklRX0FTU0VUU19GQUlSX1ZBTFVFLjE5OTQuMDYvMDMvMjAyNi4uLlVTRC5IAQAAAN62AQACAAAABDc2OTEA72oH5c173gjezSE5znveCEFDSVEuTllTRTpJQk0uSVFfRklOX0RJVl9NSU5PUklUWV9JTlRFUkVTVC4xOTk0LjA2LzAzLzIwMjYuLi5VU0QuSAEAAADetgEAAwAAAAAA72oH5c173gjezSE5znveCC9DSVEuTllTRTpJQk0uSVFfV0lQX0lOVi4xOTk0LjA2LzAzLzIwMjYuLi5VU0QuSAEAAADetgEAAgAAAAQxMDkzAQgAAAAFAAAAATEBAAAACy0xOTIwODQ2ODMyAwAAAAMxNjACAAAABDMyMTkEAAAAATAHAAAACDMvNi8yMDI2CAAAAAk2LzMwLzIwMjQJAAAAATDvagflzXveCO4IIjnOe94IOkNJUS5OWVNFOklCTS5JUV9UT1RBTF9ERUJUX0NVUlJFTlQuMTk5NC4wNi8wMy8yMDI2Li4uVVNELkgBAAAA3rYBAAIAAAAENDM2NAEIAAAABQAAAAExAQAAAAstMTkyMDg0NjgzMgMAAAADMTYwAgAAAAUyNTIyMwQAAAABMAcAAAAIMy82LzIwMjYIAAAACTYvMzAvMjAyNAkAAAABMO9qB+XNe94I7ggiOc573gg+Q0lR</t>
  </si>
  <si>
    <t>Lk5ZU0U6SUJNLklRX1RPVEFMX0RFQlRfRVhDTF9MRUFTRVMuMTk5NC4wNi8wMy8yMDI2Li4uVVNELkgBAAAA3rYBAAIAAAAFNTU3MDgBCAAAAAUAAAABMQEAAAALLTE5MjA4NDY4MzIDAAAAAzE2MAIAAAAFNDg5OTIEAAAAATAHAAAACDMvNi8yMDI2CAAAAAk2LzMwLzIwMjQJAAAAATDvagflzXveCO4IIjnOe94IUENJUS5OWVNFOklCTS5JUV9GSU5BTkNJTkdfT0JMSUdfQ1VSUkVOVF9FWENMX09QRVJfTEVBU0VTLjE5OTQuMDYvMDMvMjAyNi4uLlVTRC5IAQAAAN62AQACAAAABDM2MDIBCAAAAAUAAAABMQEAAAALLTE5MjA4NDY4MzIDAAAAAzE2MAIAAAAFNDg5ODAEAAAAATAHAAAACDMvNi8yMDI2CAAAAAk2LzMwLzIwMjQJAAAAATDvagflzXveCO4IIjnOe94IQUNJUS5OWVNFOklCTS5JUV9SVUFfT1BFUkFUSU5HX0xFQVNFX0dST1NTLjE5OTQuMDYvMDMvMjAyNi4uLlVTRC5IAQAAAN62AQACAAAABDMxMzABCAAAAAUAAAABMQEAAAALLTE5MjA4NDY4MzIDAAAAAzE2MAIAAAAFNDgzNzcEAAAAATAHAAAACDMvNi8yMDI2CAAAAAk2LzMwLzIwMjQJAAAAATDvagflzXveCO4IIjnOe94IKkNJUS5OWVNFOklCTS5JUV9SRS4xOTk0LjA2LzAzLzIwMjYuLi5VU0QuSAEAAADetgEAAgAAAAYxNTE2NTkBCAAAAAUAAAABMQEAAAALLTE5MjA4NDY4MzIDAAAAAzE2MAIAAAAEMTIyMgQAAAABMAcAAAAIMy82LzIw</t>
  </si>
  <si>
    <t>MjYIAAAACTYvMzAvMjAyNAkAAAABMO9qB+XNe94IKiEiOc573gg3Q0lRLk5ZU0U6SUJNLklRX0ZJTl9ESVZfTElBQl9MVC4xOTk0LjA2LzAzLzIwMjYuLi5VU0QuSAEAAADetgEAAwAAAAAA72oH5c173ggqISI5znveCC9DSVEuTllTRTpJQk0uSVFfU1RfREVCVC4xOTk0LjA2LzAzLzIwMjYuLi5VU0QuSAEAAADetgEAAgAAAAExAQgAAAAFAAAAATEBAAAACy0xOTIwODQ2ODMyAwAAAAMxNjACAAAABDEwNDYEAAAAATAHAAAACDMvNi8yMDI2CAAAAAk2LzMwLzIwMjQJAAAAATDvagflzXveCO4IIjnOe94INENJUS5OWVNFOklCTS5JUV9UT1RBTF9BU1NFVFMuMTk5NC4wNi8wMy8yMDI2Li4uVVNELkgBAAAA3rYBAAIAAAAGMTMzODQ4AQgAAAAFAAAAATEBAAAACy0xOTIwODQ2ODMyAwAAAAMxNjACAAAABDEwMDcEAAAAATAHAAAACDMvNi8yMDI2CAAAAAk2LzMwLzIwMjQJAAAAATDvagflzXveCO4IIjnOe94ILENJUS5OWVNFOklCTS5JUV9HUFBFLjE5OTQuMDYvMDMvMjAyNi4uLlVTRC5IAQAAAN62AQACAAAABTIxMDQxAQgAAAAFAAAAATEBAAAACy0xOTIwODQ2ODMyAwAAAAMxNjACAAAABDExNjkEAAAAATAHAAAACDMvNi8yMDI2CAAAAAk2LzMwLzIwMjQJAAAAATDvagflzXveCO4IIjnOe94IO0NJUS5OWVNFOklCTS5JUV9QRU5TSU9OX0VYUF9SQVRFX1JFVFVSTl9NQVguMTk5NC4wNi8wMy8yMDI2AQAA</t>
  </si>
  <si>
    <t>AN62AQADAAAAAADvagflzXveCCohIjnOe94IRkNJUS5OWVNFOklCTS5JUV9QRU5TSU9OX0FDQ1VNVUxBVEVEX09CTElHQVRJT04uMTk5NC4wNi8wMy8yMDI2Li4uVVNELkgBAAAA3rYBAAMAAAAAAO9qB+XNe94IKiEiOc573ghEQ0lRLk5ZU0U6SUJNLklRX1BFTlNJT05fQVNTRVRTX0JFTkVGSVRTX1BBSUQuMTk5NC4wNi8wMy8yMDI2Li4uVVNELkgBAAAA3rYBAAMAAAAAAO9qB+XNe94IKiEiOc573gg9Q0lRLk5ZU0U6SUJNLklRX1JFU1RSSUNURURfQ0FTSF9UT1RBTC4xOTk0LjA2LzAzLzIwMjYuLi5VU0QuSAEAAADetgEAAgAAAAQyMjY4AQgAAAAFAAAAATEBAAAACy0xOTIwODQ2ODMyAwAAAAMxNjACAAAABTI0MTkyBAAAAAEwBwAAAAgzLzYvMjAyNggAAAAJNi8zMC8yMDI0CQAAAAEw72oH5c173ggqISI5znveCD1DSVEuTllTRTpJQk0uSVFfREVCVF9FUVVJVl9PUEVSX0xFQVNFLjE5OTQuMDYvMDMvMjAyNi4uLlVTRC5IAQAAAN62AQADAAAAAADvagflzXveCCohIjnOe94IKUNJUS5OWVNFOklCTS5JUV9GVUxMX1RJTUUuMTk5NC4wNi8wMy8yMDI2AQAAAN62AQADAAAAAADvagflzXveCCohIjnOe94ITkNJUS5OWVNFOklCTS5JUV9MSVFVSURBVElPTl9WQUxVRV9QUkVGRVJSRURfTk9OX1JFREVFTS4xOTk0LjA2LzAzLzIwMjYuLi5VU0QuSAEAAADetgEAAwAAAAAA72oH5c173ggqISI5znveCD5D</t>
  </si>
  <si>
    <t>SVEuTllTRTpJQk0uSVFfTkFUVVJBTF9SRVNPVVJDRVNfQ09TVC4xOTk0LjA2LzAzLzIwMjYuLi5VU0QuSAEAAADetgEAAwAAAAAA72oH5c173ggqISI5znveCDhDSVEuTllTRTpJQk0uSVFfQUxMT1dfRE9VQlRfQUNDVC4xOTk0LjA2LzAzLzIwMjYuLi5VU0QuSAEAAADetgEAAgAAAAMxMjkBCAAAAAUAAAABMQEAAAALLTE5MjA4NDY4MzIDAAAAAzE2MAIAAAAEMzAxMgQAAAABMAcAAAAIMy82LzIwMjYIAAAACTYvMzAvMjAyNAkAAAABMO9qB+XNe94IKiEiOc573ggxQ0lRLk5ZU0U6SUJNLklRX1RPVEFMX0NBUC4xOTk0LjA2LzAzLzIwMjYuLi5VU0QuSAEAAADetgEAAgAAAAU4Mzk0MgEIAAAABQAAAAExAQAAAAstMTkyMDg0NjgzMgMAAAADMTYwAgAAAAQ0MTc1BAAAAAEwBwAAAAgzLzYvMjAyNggAAAAJNi8zMC8yMDI0CQAAAAEw72oH5c173ggqISI5znveCERDSVEuTllTRTpJQk0uSVFfT1BFQl9PQkxJR0FUSU9OX1NFUlZJQ0VfQ09TVC4xOTk0LjA2LzAzLzIwMjYuLi5VU0QuSAEAAADetgEAAwAAAAAA72oH5c173gioSCI5znveCEVDSVEuTllTRTpJQk0uSVFfUEVOU0lPTl9PQkxJR0FUSU9OX1RPVEFMX0NPU1QuMTk5NC4wNi8wMy8yMDI2Li4uVVNELkgBAAAA3rYBAAMAAAAAAO9qB+XNe94IqEgiOc573gguQ0lRLk5ZU0U6SUJNLklRX0dXX05FVC4xOTk0LjA2LzAzLzIwMjYuLi5VU0QuSAEAAADe</t>
  </si>
  <si>
    <t>tgEAAgAAAAU1OTQxNgEIAAAABQAAAAExAQAAAAstMTkyMDg0NjgzMgMAAAADMTYwAgAAAAU0ODk2MAQAAAABMAcAAAAIMy82LzIwMjYIAAAACTYvMzAvMjAyNAkAAAABMO9qB+XNe94IqEgiOc573ghFQ0lRLk5ZU0U6SUJNLklRX0NVUlJFTlRfUE9SVF9ERUJUX0RFUklWQVRJVkVTLjE5OTQuMDYvMDMvMjAyNi4uLlVTRC5IAQAAAN62AQADAAAAAADvagflzXveCKhIIjnOe94IQkNJUS5OWVNFOklCTS5JUV9QRU5TSU9OX09CTElHQVRJT05fQ1VSVEFJTC4xOTk0LjA2LzAzLzIwMjYuLi5VU0QuSAEAAADetgEAAwAAAAAA72oH5c173ggqISI5znveCFFDSVEuTllTRTpJQk0uSVFfUEVOU0lPTl9PQkxJR0FUSU9OX0VNUExPWUVFX0NPTlRSSUJVVElPTlMuMTk5NC4wNi8wMy8yMDI2Li4uVVNELkgBAAAA3rYBAAMAAAAAAO9qB+XNe94IqEgiOc573gg9Q0lRLk5ZU0U6SUJNLklRX0FEVkFOQ0VTX0ZPUl9TVVBQTElFUy4xOTk0LjA2LzAzLzIwMjYuLi5VU0QuSAEAAADetgEAAwAAAAAA72oH5c173gioSCI5znveCD1DSVEuTllTRTpJQk0uSVFfRklOX0RJVl9MVF9ERUJUX1RPVEFMLjE5OTQuMDYvMDMvMjAyNi4uLlVTRC5IAQAAAN62AQACAAAABTExMTEyAQgAAAAFAAAAATEBAAAACy0xOTIwODQ2ODMyAwAAAAMxNjACAAAABTI0NTE1BAAAAAEwBwAAAAgzLzYvMjAyNggAAAAJNi8zMC8yMDI0CQAAAAEw72oH</t>
  </si>
  <si>
    <t>5c173gioSCI5znveCDtDSVEuTllTRTpJQk0uSVFfTElBQklMSVRJRVNfTEVWRUxfMS4xOTk0LjA2LzAzLzIwMjYuLi5VU0QuSAEAAADetgEAAwAAAAAA72oH5c173gioSCI5znveCENDSVEuTllTRTpJQk0uSVFfREVGX1RBWF9WQUxVQVRJT05fQUxMT1dBTkNFLjE5OTQuMDYvMDMvMjAyNi4uLlVTRC5IAQAAAN62AQADAAAAAADvagflzXveCKhIIjnOe94IO0NJUS5OWVNFOklCTS5JUV9PUEVCX09CTElHQVRJT05fQkVHLjE5OTQuMDYvMDMvMjAyNi4uLlVTRC5IAQAAAN62AQADAAAAAADvagflzXveCK1vIjnOe94IPENJUS5OWVNFOklCTS5JUV9QRU5TSU9OX0JSRUFLRE9XTl9GSS4xOTk0LjA2LzAzLzIwMjYuLi5VU0QuSAEAAADetgEAAwAAAAAA72oH5c173gioSCI5znveCDpDSVEuTllTRTpJQk0uSVFfUEVOU0lPTl9BU1NFVFNfQUNRLjE5OTQuMDYvMDMvMjAyNi4uLlVTRC5IAQAAAN62AQADAAAAAADvagflzXveCKhIIjnOe94IR0NJUS5OWVNFOklCTS5JUV9QRU5TSU9OX0NPTlRSSUJVVElPTl9UT1RBTF9DT1NULjE5OTQuMDYvMDMvMjAyNi4uLlVTRC5IAQAAAN62AQADAAAAAADvagflzXveCKhIIjnOe94IKkNJUS5OWVNFOklCTS5JUV9QRVJJT0REQVRFLjE5OTQuMDYvMDMvMjAyNgEAAADetgEABQAAAAozMC8wNi8yMDI0AFybRuXNe94IxIYnOc573ghAQ0lRLk5ZU0U6SUJNLklRX0FDQ1VNX0FN</t>
  </si>
  <si>
    <t>T1JUX0lOVEFOX0FTU0VUUy4xOTk0LjA2LzAzLzIwMjYuLi5VU0QuSAEAAADetgEAAgAAAAUtNzI2MwEIAAAABQAAAAExAQAAAAstMTkyMDg0NjgzMgMAAAADMTYwAgAAAAUyNDMzMQQAAAABMAcAAAAIMy82LzIwMjYIAAAACTYvMzAvMjAyNAkAAAABMO9qB+XNe94IrW8iOc573gg8Q0lRLk5ZU0U6SUJNLklRX1dBUlJBTlRZX0xJQUJJTElUSUVTLjE5OTQuMDYvMDMvMjAyNi4uLlVTRC5IAQAAAN62AQADAAAAAADvagflzXveCK1vIjnOe94IQENJUS5OWVNFOklCTS5JUV9QRU5TSU9OX0NJX05FVF9BTVRfUkVDT0cuMTk5NC4wNi8wMy8yMDI2Li4uVVNELkgBAAAA3rYBAAMAAAAAAO9qB+XNe94IrW8iOc573gg2Q0lRLk5ZU0U6SUJNLklRX1BFTlNJT05fQVNTRVRTLjE5OTQuMDYvMDMvMjAyNi4uLlVTRC5IAQAAAN62AQADAAAAAADvagflzXveCK1vIjnOe94IP0NJUS5OWVNFOklCTS5JUV9QRU5TSU9OX09CTElHQVRJT05fUEFJRC4xOTk0LjA2LzAzLzIwMjYuLi5VU0QuSAEAAADetgEAAwAAAAAA72oH5c173gitbyI5znveCD5DSVEuTllTRTpJQk0uSVFfUEVOU0lPTl9PQkxJR0FUSU9OX0JFRy4xOTk0LjA2LzAzLzIwMjYuLi5VU0QuSAEAAADetgEAAwAAAAAA72oH5c173gitbyI5znveCDxDSVEuTllTRTpJQk0uSVFfREVSSVZBVElWRV9BU1NFVFNfTFQuMTk5NC4wNi8wMy8yMDI2Li4uVVNELkgBAAAA</t>
  </si>
  <si>
    <t>3rYBAAIAAAABOAEIAAAABQAAAAExAQAAAAstMTkyMDg0NjgzMgMAAAADMTYwAgAAAAQxMTEwBAAAAAEwBwAAAAgzLzYvMjAyNggAAAAJNi8zMC8yMDI0CQAAAAEw72oH5c173gitbyI5znveCC5DSVEuTllTRTpJQk0uSVFfQ09TVF9CT1JST1dJTkcuMTk5NC4wNi8wMy8yMDI2AQAAAN62AQACAAAABDIuNzkBCAAAAAUAAAABMQEAAAALLTE5MjA4NDY4MzIDAAAAAzE2MAIAAAAFMjE2ODEEAAAAATAHAAAACDMvNi8yMDI2CAAAAAk2LzMwLzIwMjQJAAAAATDvagflzXveCK1vIjnOe94IKUNJUS5OWVNFOklCTS5JUV9QQVJUX1RJTUUuMTk5NC4wNi8wMy8yMDI2AQAAAN62AQADAAAAAADvagflzXveCK1vIjnOe94IPkNJUS5OWVNFOklCTS5JUV9MSUFCSUxJVElFU19GQUlSX1ZBTFVFLjE5OTQuMDYvMDMvMjAyNi4uLlVTRC5IAQAAAN62AQACAAAABTUwNDY3AO9qB+XNe94IrW8iOc573ghGQ0lRLk5ZU0U6SUJNLklRX1RPVEFMX0dFTkVSQUxfUEFSVE5FUl9JTlRFUkVTVC4xOTk0LjA2LzAzLzIwMjYuLi5VU0QuSAEAAADetgEAAwAAAAAA72oH5c173gi8liI5znveCDFDSVEuTllTRTpJQk0uSVFfTUFDSElORVJZLjE5OTQuMDYvMDMvMjAyNi4uLlVTRC5IAQAAAN62AQADAAAAAADvagflzXveCLyWIjnOe94IM0NJUS5OWVNFOklCTS5JUV9XT1JLSU5HX0NBUC4xOTk0LjA2LzAzLzIwMjYuLi5VU0QuSAEAAADe</t>
  </si>
  <si>
    <t>tgEAAgAAAAQzNjUxAQgAAAAFAAAAATEBAAAACy0xOTIwODQ2ODMyAwAAAAMxNjACAAAABDQxNjUEAAAAATAHAAAACDMvNi8yMDI2CAAAAAk2LzMwLzIwMjQJAAAAATDvagflzXveCLyWIjnOe94IMENJUS5OWVNFOklCTS5JUV9CVl9TSEFSRS4xOTk0LjA2LzAzLzIwMjYuLi5VU0QuSAEAAADetgEAAgAAAAkyNi4wODI2NjUBCAAAAAUAAAABMQEAAAALLTE5MjA4NDY4MzIDAAAAAzE2MAIAAAAENDAyMAQAAAABMAcAAAAIMy82LzIwMjYIAAAACTYvMzAvMjAyNAkAAAABMO9qB+XNe94IrW8iOc573ggtQ0lRLk5ZU0U6SUJNLklRX0ZJTElOR0RBVEVfQlMuMTk5NC4wNi8wMy8yMDI2AQAAAN62AQAFAAAACjIzLzEwLzIwMjUA72oH5c173gitbyI5znveCD1DSVEuTllTRTpJQk0uSVFfTlBQRV9FWENMX09QRVJfTEVBU0VTLjE5OTQuMDYvMDMvMjAyNi4uLlVTRC5IAQAAAN62AQACAAAABDU2MDABCAAAAAUAAAABMQEAAAALLTE5MjA4NDY4MzIDAAAAAzE2MAIAAAAFNDg5NzYEAAAAATAHAAAACDMvNi8yMDI2CAAAAAk2LzMwLzIwMjQJAAAAATDvagflzXveCLyWIjnOe94INENJUS5OWVNFOklCTS5JUV9UT1RBTF9FUVVJVFkuMTk5NC4wNi8wMy8yMDI2Li4uVVNELkgBAAAA3rYBAAIAAAAFMjQxMDMBCAAAAAUAAAABMQEAAAALLTE5MjA4NDY4MzIDAAAAAzE2MAIAAAAEMTI3NQQAAAABMAcAAAAIMy82LzIwMjYI</t>
  </si>
  <si>
    <t>AAAACTYvMzAvMjAyNAkAAAABMO9qB+XNe94IvJYiOc573ggyQ0lRLk5ZU0U6SUJNLklRX1RPVEFMX0xJQUIuMTk5NC4wNi8wMy8yMDI2Li4uVVNELkgBAAAA3rYBAAIAAAAGMTA5NzQ1AQgAAAAFAAAAATEBAAAACy0xOTIwODQ2ODMyAwAAAAMxNjACAAAABDEyNzYEAAAAATAHAAAACDMvNi8yMDI2CAAAAAk2LzMwLzIwMjQJAAAAATDvagflzXveCLyWIjnOe94IO0NJUS5OWVNFOklCTS5JUV9JTkNfVEFYX1BBWV9DVVJSRU5ULjE5OTQuMDYvMDMvMjAyNi4uLlVTRC5IAQAAAN62AQACAAAABDE2OTEBCAAAAAUAAAABMQEAAAALLTE5MjA4NDY4MzIDAAAAAzE2MAIAAAAEMTA5NAQAAAABMAcAAAAIMy82LzIwMjYIAAAACTYvMzAvMjAyNAkAAAABMO9qB+XNe94IvJYiOc573gg7Q0lRLk5ZU0U6SUJNLklRX0NVUlJFTlRfUE9SVF9MRUFTRVMuMTk5NC4wNi8wMy8yMDI2Li4uVVNELkgBAAAA3rYBAAIAAAADNzYyAQgAAAAFAAAAATEBAAAACy0xOTIwODQ2ODMyAwAAAAMxNjACAAAABDEwOTAEAAAAATAHAAAACDMvNi8yMDI2CAAAAAk2LzMwLzIwMjQJAAAAATDvagflzXveCLyWIjnOe94IRkNJUS5OWVNFOklCTS5JUV9PUEVCX09CTElHQVRJT05fT1RIRVJfUExBTl9BREouMTk5NC4wNi8wMy8yMDI2Li4uVVNELkgBAAAA3rYBAAMAAAAAAO9qB+XNe94IvJYiOc573ghNQ0lRLk5ZU0U6SUJNLklRX1BFTlNJT05f</t>
  </si>
  <si>
    <t>QVNTRVRTX1BBUlRJQ0lQX0NPTlRSSUJVVElPTlMuMTk5NC4wNi8wMy8yMDI2Li4uVVNELkgBAAAA3rYBAAMAAAAAAO9qB+XNe94IvJYiOc573ghEQ0lRLk5ZU0U6SUJNLklRX1BFTlNJT05fT0JMSUdBVElPTl9QUk9KRUNURUQuMTk5NC4wNi8wMy8yMDI2Li4uVVNELkgBAAAA3rYBAAMAAAAAAO9qB+XNe94IvJYiOc573gguQ0lRLk5ZU0U6SUJNLklRX1JFU1RBVEVNRU5UX0JTLjE5OTQuMDYvMDMvMjAyNgEAAADetgEAAwAAAAJOQwDvagflzXveCLyWIjnOe94IPUNJUS5OWVNFOklCTS5JUV9QRU5TSU9OX1VOUkVDT0dfUFJJT1IuMTk5NC4wNi8wMy8yMDI2Li4uVVNELkgBAAAA3rYBAAMAAAAAAO9qB+XNe94IvJYiOc573gg+Q0lRLk5ZU0U6SUJNLklRX1BFTlNJT05fT0JMSUdBVElPTl9BQ1EuMTk5NC4wNi8wMy8yMDI2Li4uVVNELkgBAAAA3rYBAAMAAAAAAO9qB+XNe94IzL0iOc573ghFQ0lRLk5ZU0U6SUJNLklRX1BFTlNJT05fT0JMSUdBVElPTl9PVEhFUl9DT1NULjE5OTQuMDYvMDMvMjAyNi4uLlVTRC5IAQAAAN62AQADAAAAAADvagflzXveCMy9IjnOe94IRENJUS5OWVNFOklCTS5JUV9PUEVCX1NVUFBMRV9QTEFOU19UT1RBTF9DT1NULjE5OTQuMDYvMDMvMjAyNi4uLlVTRC5IAQAAAN62AQADAAAAAADvagflzXveCMy9IjnOe94IRUNJUS5OWVNFOklCTS5JUV9QRU5TSU9OX0FTU0VUU19PVEhF</t>
  </si>
  <si>
    <t>Ul9QTEFOX0FESi4xOTk0LjA2LzAzLzIwMjYuLi5VU0QuSAEAAADetgEAAwAAAAAA72oH5c173gjMvSI5znveCDpDSVEuTllTRTpJQk0uSVFfUEVOU0lPTl9BU1NFVFNfQkVHLjE5OTQuMDYvMDMvMjAyNi4uLlVTRC5IAQAAAN62AQADAAAAAADvagflzXveCMy9IjnOe94ISENJUS5OWVNFOklCTS5JUV9QRU5TSU9OX09CTElHQVRJT05fSU5URVJFU1RfQ09TVC4xOTk0LjA2LzAzLzIwMjYuLi5VU0QuSAEAAADetgEAAwAAAAAA72oH5c173gjf5CI5znveCDtDSVEuTllTRTpJQk0uSVFfU1RfREVCVF9ERVJJVkFUSVZFUy4xOTk0LjA2LzAzLzIwMjYuLi5VU0QuSAEAAADetgEAAwAAAAAA72oH5c173gjf5CI5znveCDpDSVEuTllTRTpJQk0uSVFfREVCVF9FUVVJVl9ORVRfUEJPLjE5OTQuMDYvMDMvMjAyNi4uLlVTRC5IAQAAAN62AQADAAAAAADvagflzXveCN/kIjnOe94IR0NJUS5OWVNFOklCTS5JUV9GQUlSX1ZBTFVFX0NIQU5HRV9JTkNMX0VBUk5JTkdTLjE5OTQuMDYvMDMvMjAyNi4uLlVTRC5IAQAAAN62AQADAAAAAADvagflzXveCN/kIjnOe94IQkNJUS5OWVNFOklCTS5JUV9QRU5TSU9OX1BCT19SQVRFX0NPTVBfSU5DUkVBU0VfTUlOLjE5OTQuMDYvMDMvMjAyNgEAAADetgEAAwAAAAAA72oH5c173gjMvSI5znveCDxDSVEuTllTRTpJQk0uSVFfUEVOU0lPTl9CUkVBS0RPV05fRVEuMTk5NC4wNi8w</t>
  </si>
  <si>
    <t>My8yMDI2Li4uVVNELkgBAAAA3rYBAAMAAAAAAO9qB+XNe94I3+QiOc573ggwQ0lRLk5ZU0U6SUJNLklRX0dST1NTX0dXLjE5OTQuMDYvMDMvMjAyNi4uLlVTRC5IAQAAAN62AQADAAAAAADvagflzXveCN/kIjnOe94INUNJUS5OWVNFOklCTS5JUV9QRU5TSU9OX09USEVSLjE5OTQuMDYvMDMvMjAyNi4uLlVTRC5IAQAAAN62AQADAAAAAADvagflzXveCN/kIjnOe94ITUNJUS5OWVNFOklCTS5JUV9QRU5TSU9OX0FTU0VUU19FTVBMT1lFUl9DT05UUklCVVRJT05TLjE5OTQuMDYvMDMvMjAyNi4uLlVTRC5IAQAAAN62AQADAAAAAADvagflzXveCN/kIjnOe94IOUNJUS5OWVNFOklCTS5JUV9QRU5TSU9OX1RPVEFMX0VYUC4xOTk0LjA2LzAzLzIwMjYuLi5VU0QuSAEAAADetgEAAwAAAAAA72oH5c173gjf5CI5znveCDxDSVEuTllTRTpJQk0uSVFfUEVOU0lPTl9TRVJWSUNFX0NPU1QuMTk5NC4wNi8wMy8yMDI2Li4uVVNELkgBAAAA3rYBAAMAAAAAAO9qB+XNe94I6wsjOc573ghBQ0lRLk5ZU0U6SUJNLklRX0RFUklWQVRJVkVfQVNTRVRTX0NVUlJFTlQuMTk5NC4wNi8wMy8yMDI2Li4uVVNELkgBAAAA3rYBAAIAAAADNDI0AQgAAAAFAAAAATEBAAAACy0xOTIwODQ2ODMyAwAAAAMxNjACAAAABDExMDkEAAAAATAHAAAACDMvNi8yMDI2CAAAAAk2LzMwLzIwMjQJAAAAATDvagflzXveCN/kIjnOe94IPkNJUS5O</t>
  </si>
  <si>
    <t>WVNFOklCTS5JUV9DT05USU5HRU5UX0xJQUJJTElUSUVTLjE5OTQuMDYvMDMvMjAyNi4uLlVTRC5IAQAAAN62AQADAAAAAADvagflzXveCN/kIjnOe94IL0NJUS5OWVNFOklCTS5JUV9GSUxJTkdfQ1VSUkVOQ1kuMTk5NC4wNi8wMy8yMDI2AQAAAN62AQADAAAAA1VTRAC3pQflzXveCDrVJjnOe94IOkNJUS5OWVNFOklCTS5JUV9GSU5fRElWX0NBU0hfRVFVSVYuMTk5NC4wNi8wMy8yMDI2Li4uVVNELkgBAAAA3rYBAAMAAAAAAO9qB+XNe94I3+QiOc573ghNQ0lRLk5ZU0U6SUJNLklRX0xJQUJJTElUSUVTX05FVFRJTkdfT1RIRVJfQURKVVNUTUVOVFMuMTk5NC4wNi8wMy8yMDI2Li4uVVNELkgBAAAA3rYBAAMAAAAAAO9qB+XNe94I6wsjOc573gg+Q0lRLk5ZU0U6SUJNLklRX1BFTlNJT05fT0JMSUdBVElPTl9ST0EuMTk5NC4wNi8wMy8yMDI2Li4uVVNELkgBAAAA3rYBAAMAAAAAAO9qB+XNe94I6wsjOc573ggsQ0lRLk5ZU0U6SUJNLklRX0NBTENfVFlQRV9CUy4xOTk0LjA2LzAzLzIwMjYBAAAA3rYBAAMAAAADUlVQAO9qB+XNe94I6wsjOc573ghDQ0lRLk5ZU0U6SUJNLklRX0RFUklWQVRJVkVfTElBQl9OT05fQ1VSUkVOVC4xOTk0LjA2LzAzLzIwMjYuLi5VU0QuSAEAAADetgEAAgAAAAM0NTABCAAAAAUAAAABMQEAAAALLTE5MjA4NDY4MzIDAAAAAzE2MAIAAAAFNDA0MTkEAAAAATAHAAAACDMvNi8y</t>
  </si>
  <si>
    <t>MDI2CAAAAAk2LzMwLzIwMjQJAAAAATDvagflzXveCOsLIznOe94IO0NJUS5OWVNFOklCTS5JUV9UT1RBTF9ERUJUX0VYQ0xfRklOLjE5OTQuMDYvMDMvMjAyNi4uLlVTRC5IAQAAAN62AQACAAAABTU5ODM5AQgAAAAFAAAAATEBAAAACy0xOTIwODQ2ODMyAwAAAAMxNjACAAAABTIxODYwBAAAAAEwBwAAAAgzLzYvMjAyNggAAAAJNi8zMC8yMDI0CQAAAAEw72oH5c173gjrCyM5znveCC1DSVEuTllTRTpJQk0uSVFfQVZHX0VNUExPWUVFUy4xOTk0LjA2LzAzLzIwMjYBAAAA3rYBAAMAAAAAAO9qB+XNe94I6wsjOc573gg2Q0lRLk5ZU0U6SUJNLklRX0FTU0VUU19MRVZFTF8zLjE5OTQuMDYvMDMvMjAyNi4uLlVTRC5IAQAAAN62AQADAAAAAADvagflzXveCOsLIznOe94ISkNJUS5OWVNFOklCTS5JUV9MSVFVSURBVElPTl9WQUxVRV9QUkVGRVJSRURfUkVERUVNLjE5OTQuMDYvMDMvMjAyNi4uLlVTRC5IAQAAAN62AQADAAAAAADvagflzXveCOsLIznOe94IK0NJUS5OWVNFOklCTS5JUV9DSVAuMTk5NC4wNi8wMy8yMDI2Li4uVVNELkgBAAAA3rYBAAMAAAAAAO9qB+XNe94I6wsjOc573gg1Q0lRLk5ZU0U6SUJNLklRX0VRVUlUWV9NRVRIT0QuMTk5NC4wNi8wMy8yMDI2Li4uVVNELkgBAAAA3rYBAAMAAAAAAO9qB+XNe94I6wsjOc573gg7Q0lRLk5ZU0U6SUJNLklRX09QRUJfQVNTRVRTX0NVUlRBSUwuMTk5</t>
  </si>
  <si>
    <t>NC4wNi8wMy8yMDI2Li4uVVNELkgBAAAA3rYBAAMAAAAAAO9qB+XNe94I7TIjOc573gg/Q0lRLk5ZU0U6SUJNLklRX1BFTlNJT05fRVNUX0JFTkVGSVRfMllSLjE5OTQuMDYvMDMvMjAyNi4uLlVTRC5IAQAAAN62AQADAAAAAADvagflzXveCO0yIznOe94IPkNJUS5OWVNFOklCTS5JUV9QRU5TSU9OX1JBVEVfQ09NUF9JTkNSRUFTRV9NQVguMTk5NC4wNi8wMy8yMDI2AQAAAN62AQADAAAAAADvagflzXveCO0yIznOe94IPkNJUS5OWVNFOklCTS5JUV9QRU5TSU9OX0FTU0VUU19DVVJUQUlMLjE5OTQuMDYvMDMvMjAyNi4uLlVTRC5IAQAAAN62AQADAAAAAADvagflzXveCOsLIznOe94IO0NJUS5OWVNFOklCTS5JUV9MVF9ERUJUX0RFUklWQVRJVkVTLjE5OTQuMDYvMDMvMjAyNi4uLlVTRC5IAQAAAN62AQADAAAAAADvagflzXveCOsLIznOe94IOkNJUS5OWVNFOklCTS5JUV9PUEVCX0lOVEVSRVNUX0NPU1QuMTk5NC4wNi8wMy8yMDI2Li4uVVNELkgBAAAA3rYBAAMAAAAAAO9qB+XNe94I1EYjOc573ghAQ0lRLk5ZU0U6SUJNLklRX1BFTlNJT05fUEJPX0FTU1VNRURfUkFURV9SRVRfTUFYLjE5OTQuMDYvMDMvMjAyNgEAAADetgEAAwAAAAAA72oH5c173gjtMiM5znveCDxDSVEuTllTRTpJQk0uSVFfUEVOU0lPTl9CUkVBS0RPV05fUkUuMTk5NC4wNi8wMy8yMDI2Li4uVVNELkgBAAAA3rYBAAMAAAAAAO9q</t>
  </si>
  <si>
    <t>B+XNe94I7TIjOc573ggsQ0lRLk5ZU0U6SUJNLklRX0FVRElUT1JfTkFNRS4xOTk0LjA2LzAzLzIwMjYBAAAA3rYBAAMAAAAAAO9qB+XNe94I7TIjOc573ggxQ0lRLk5ZU0U6SUJNLklRX05VTUJFUl9BRFJIT0xERVJTLjE5OTQuMDYvMDMvMjAyNgEAAADetgEAAwAAAAAA72oH5c173gjtMiM5znveCDFDSVEuTllTRTpJQk0uSVFfQlVJTERJTkdTLjE5OTQuMDYvMDMvMjAyNi4uLlVTRC5IAQAAAN62AQADAAAAAADvagflzXveCNRGIznOe94IOkNJUS5OWVNFOklCTS5JUV9UQlZfU0hBUkVfUkVQT1JURUQuMTk5NC4wNi8wMy8yMDI2Li4uVVNELkgBAAAA3rYBAAMAAAAAAO9qB+XNe94I1EYjOc573ggvQ0lRLk5ZU0U6SUJNLklRX1JVQV9ORVQuMTk5NC4wNi8wMy8yMDI2Li4uVVNELkgBAAAA3rYBAAMAAAAAAO9qB+XNe94I1EYjOc573gg8Q0lRLk5ZU0U6SUJNLklRX0ZJTl9ESVZfTElBQl9DVVJSRU5ULjE5OTQuMDYvMDMvMjAyNi4uLlVTRC5IAQAAAN62AQADAAAAAADvagflzXveCNRGIznOe94IKkNJUS5OWVNFOklCTS5JUV9BUi4xOTk0LjA2LzAzLzIwMjYuLi5VU0QuSAEAAADetgEAAgAAAAQ2MzA5AQgAAAAFAAAAATEBAAAACy0xOTIwODQ2ODMyAwAAAAMxNjACAAAABDEwMjEEAAAAATAHAAAACDMvNi8yMDI2CAAAAAk2LzMwLzIwMjQJAAAAATDvagflzXveCNRGIznOe94IS0NJUS5OWVNFOklCTS5J</t>
  </si>
  <si>
    <t>UV9PUEVSQVRJTkdfTEVBU0VfTElBQklMSVRJRVNfTk9OQ0FTSC4xOTk0LjA2LzAzLzIwMjYuLi5VU0QuSAEAAADetgEAAwAAAAAA72oH5c173gjURiM5znveCDlDSVEuTllTRTpJQk0uSVFfQ0FTSF9UQVhFU19JTlZFU1QuMTk5NC4wNi8wMy8yMDI2Li4uVVNELkgBAAAA3rYBAAMAAAAAAO9qB+XNe94I1EYjOc573gg7Q0lRLk5ZU0U6SUJNLklRX0NBU0hfSU5URVJFU1RfRklOQU4uMTk5NC4wNi8wMy8yMDI2Li4uVVNELkgBAAAA3rYBAAMAAAAAAO9qB+XNe94I1EYjOc573ghFQ0lRLk5ZU0U6SUJNLklRX0RFUFJFQ0lBVElPTl9SRU5UQUxfQVNTRVRTX0NGLjE5OTQuMDYvMDMvMjAyNi4uLlVTRC5IAQAAAN62AQADAAAAAADvagflzXveCNRGIznOe94IOUNJUS5OWVNFOklCTS5JUV9UT1RBTF9ESVZfUEFJRF9DRi4xOTk0LjA2LzAzLzIwMjYuLi5VU0QuSAEAAADetgEAAgAAAAUtNjA5MQEIAAAABQAAAAExAQAAAAstMTkyMDg0NjgzMgMAAAADMTYwAgAAAAQyMDIyBAAAAAEwBwAAAAgzLzYvMjAyNggAAAAJNi8zMC8yMDI0CQAAAAEw72oH5c173gjURiM5znveCD9DSVEuTllTRTpJQk0uSVFfTUlOT1JJVFlfSU5URVJFU1RfVE9UQUwuMTk5NC4wNi8wMy8yMDI2Li4uVVNELkgBAAAA3rYBAAIAAAACNzcBCAAAAAUAAAABMQEAAAALLTE5MjA4NDY4MzIDAAAAAzE2MAIAAAAEMTMxMgQAAAABMAcAAAAIMy82</t>
  </si>
  <si>
    <t>LzIwMjYIAAAACTYvMzAvMjAyNAkAAAABMO9qB+XNe94I1EYjOc573ggyQ0lRLk5ZU0U6SUJNLklRX1BSRUZfT1RIRVIuMTk5NC4wNi8wMy8yMDI2Li4uVVNELkgBAAAA3rYBAAMAAAAAAO9qB+XNe94I1EYjOc573gg+Q0lRLk5ZU0U6SUJNLklRX0RFRl9UQVhfQVNTRVRTX0NVUlJFTlQuMTk5NC4wNi8wMy8yMDI2Li4uVVNELkgBAAAA3rYBAAMAAAAAAO9qB+XNe94I1EYjOc573ghSQ0lRLk5ZU0U6SUJNLklRX1BFTlNJT05fT0JMSUdBVElPTl9TVVBQTEVfUExBTlNfVE9UQUxfQ09TVC4xOTk0LjA2LzAzLzIwMjYuLi5VU0QuSAEAAADetgEAAwAAAAAA72oH5c173gjURiM5znveCDVDSVEuTllTRTpJQk0uSVFfT1JERVJfQkFDS0xPRy4xOTk0LjA2LzAzLzIwMjYuLi5VU0QuSAEAAADetgEAAwAAAAAA72oH5c173gjURiM5znveCDZDSVEuTllTRTpJQk0uSVFfQVNTRVRTX0xFVkVMXzIuMTk5NC4wNi8wMy8yMDI2Li4uVVNELkgBAAAA3rYBAAIAAAAENzIyMADvagflzXveCLmBIznOe94IMENJUS5OWVNFOklCTS5JUV9HV19JTlRBTi4xOTk0LjA2LzAzLzIwMjYuLi5VU0QuSAEAAADetgEAAgAAAAU2OTY2NwEIAAAABQAAAAExAQAAAAstMTkyMDg0NjgzMgMAAAADMTYwAgAAAAUzNTM4MQQAAAABMAcAAAAIMy82LzIwMjYIAAAACTYvMzAvMjAyNAkAAAABMO9qB+XNe94IuYEjOc573ghUQ0lRLk5ZU0U6SUJN</t>
  </si>
  <si>
    <t>LklRX0ZJTkFOQ0lOR19PQkxJR19OT05fQ1VSUkVOVF9FWENMX09QRVJfTEVBU0VTLjE5OTQuMDYvMDMvMjAyNi4uLlVTRC5IAQAAAN62AQACAAAABTUyOTI5AQgAAAAFAAAAATEBAAAACy0xOTIwODQ2ODMyAwAAAAMxNjACAAAABTQ4OTgxBAAAAAEwBwAAAAgzLzYvMjAyNggAAAAJNi8zMC8yMDI0CQAAAAEw72oH5c173gjURiM5znveCD1DSVEuTllTRTpJQk0uSVFfR1BQRV9FWENMX09QRVJfTEVBU0VTLjE5OTQuMDYvMDMvMjAyNi4uLlVTRC5IAQAAAN62AQACAAAABTE3OTExAQgAAAAFAAAAATEBAAAACy0xOTIwODQ2ODMyAwAAAAMxNjACAAAABTQ4OTc0BAAAAAEwBwAAAAgzLzYvMjAyNggAAAAJNi8zMC8yMDI0CQAAAAEw72oH5c173gjURiM5znveCC5DSVEuTllTRTpJQk0uSVFfQ09NTU9OLjE5OTQuMDYvMDMvMjAyNi4uLlVTRC5IAQAAAN62AQACAAAABTYwNTAxAQgAAAAFAAAAATEBAAAACy0xOTIwODQ2ODMyAwAAAAMxNjACAAAABDExMDMEAAAAATAHAAAACDMvNi8yMDI2CAAAAAk2LzMwLzIwMjQJAAAAATDvagflzXveCNRGIznOe94IL0NJUS5OWVNFOklCTS5JUV9MVF9ERUJULjE5OTQuMDYvMDMvMjAyNi4uLlVTRC5IAQAAAN62AQACAAAABTUyMTA2AQgAAAAFAAAAATEBAAAACy0xOTIwODQ2ODMyAwAAAAMxNjACAAAABDEwNDkEAAAAATAHAAAACDMvNi8yMDI2CAAAAAk2LzMwLzIwMjQJAAAA</t>
  </si>
  <si>
    <t>ATDvagflzXveCLmBIznOe94INkNJUS5OWVNFOklCTS5JUV9PVEhFUl9DTF9TVVBQTC4xOTk0LjA2LzAzLzIwMjYuLi5VU0QuSAEAAADetgEAAgAAAAMxNzIBCAAAAAUAAAABMQEAAAALLTE5MjA4NDY4MzIDAAAAAzE2MAIAAAAEMTA1NwQAAAABMAcAAAAIMy82LzIwMjYIAAAACTYvMzAvMjAyNAkAAAABMO9qB+XNe94IuYEjOc573gg6Q0lRLk5ZU0U6SUJNLklRX1VORUFSTl9SRVZfQ1VSUkVOVC4xOTk0LjA2LzAzLzIwMjYuLi5VU0QuSAEAAADetgEAAgAAAAUxMzY0MwEIAAAABQAAAAExAQAAAAstMTkyMDg0NjgzMgMAAAADMTYwAgAAAAQxMDc0BAAAAAEwBwAAAAgzLzYvMjAyNggAAAAJNi8zMC8yMDI0CQAAAAEw72oH5c173gi5gSM5znveCCdDSVEuTllTRTpJQk0uSVFfR0FBUF9DRi4xOTk0LjA2LzAzLzIwMjYBAAAA3rYBAAMAAAAAAO9qB+XNe94IuYEjOc573ggzQ0lRLk5ZU0U6SUJNLklRX0xFVkVSRURfRkNGLjE5OTQuMDYvMDMvMjAyNi4uLlVTRC5IAQAAAN62AQACAAAABDgyNDIBCAAAAAUAAAABMQEAAAALLTE5MjA4NDY4MzIDAAAAAzE2MAIAAAAENDQyMgQAAAABMAcAAAAIMy82LzIwMjYIAAAACTYvMzAvMjAyNAkAAAABMO9qB+XNe94IuYEjOc573ggyQ0lRLk5ZU0U6SUJNLklRX0FWR19URU1QX0VNUExPWUVFUy4xOTk0LjA2LzAzLzIwMjYBAAAA3rYBAAMAAAAAAO9qB+XNe94IuYEjOc57</t>
  </si>
  <si>
    <t>3ghJQ0lRLk5ZU0U6SUJNLklRX0dFTkVSQUxfUEFSVE5FUl9NSU5PUklUWV9JTlRFUkVTVC4xOTk0LjA2LzAzLzIwMjYuLi5VU0QuSAEAAADetgEAAwAAAAAA72oH5c173gi5gSM5znveCD9DSVEuTllTRTpJQk0uSVFfTUlOT1JJVFlfSU5UX1JFREVFTV9UT1QuMTk5NC4wNi8wMy8yMDI2Li4uVVNELkgBAAAA3rYBAAMAAAAAAO9qB+XNe94IuYEjOc573gg4Q0lRLk5ZU0U6SUJNLklRX0ZJTl9ESVZfTE9BTlNfTFQuMTk5NC4wNi8wMy8yMDI2Li4uVVNELkgBAAAA3rYBAAIAAAAENTQ4MwEIAAAABQAAAAExAQAAAAstMTkyMDg0NjgzMgMAAAADMTYwAgAAAAQxMDMzBAAAAAEwBwAAAAgzLzYvMjAyNggAAAAJNi8zMC8yMDI0CQAAAAEw72oH5c173gi5gSM5znveCEBDSVEuTllTRTpJQk0uSVFfRklOQU5DRV9MRUFTRVNfTE9OR19URVJNLjE5OTQuMDYvMDMvMjAyNi4uLlVTRC5IAQAAAN62AQACAAAAAzgyMwEIAAAABQAAAAExAQAAAAstMTkyMDg0NjgzMgMAAAADMTYwAgAAAAU0ODk5MQQAAAABMAcAAAAIMy82LzIwMjYIAAAACTYvMzAvMjAyNAkAAAABMO9qB+XNe94IG6kjOc573gg5Q0lRLk5ZU0U6SUJNLklRX01JTk9SSVRZX0lOVEVSRVNULjE5OTQuMDYvMDMvMjAyNi4uLlVTRC5IAQAAAN62AQACAAAAAjc3AQgAAAAFAAAAATEBAAAACy0xOTIwODQ2ODMyAwAAAAMxNjACAAAABDEwNTIEAAAAATAHAAAA</t>
  </si>
  <si>
    <t>CDMvNi8yMDI2CAAAAAk2LzMwLzIwMjQJAAAAATDvagflzXveCBupIznOe94INENJUS5OWVNFOklCTS5JUV9PVEhFUl9FUVVJVFkuMTk5NC4wNi8wMy8yMDI2Li4uVVNELkgBAAAA3rYBAAIAAAAGLTE4MzE5AQgAAAAFAAAAATEBAAAACy0xOTIwODQ2ODMyAwAAAAMxNjACAAAABDEwMjgEAAAAATAHAAAACDMvNi8yMDI2CAAAAAk2LzMwLzIwMjQJAAAAATDvagflzXveCBupIznOe94IKkNJUS5OWVNFOklCTS5JUV9HVy4xOTk0LjA2LzAzLzIwMjYuLi5VU0QuSAEAAADetgEAAgAAAAU1OTQxNgEIAAAABQAAAAExAQAAAAstMTkyMDg0NjgzMgMAAAADMTYwAgAAAAQxMTcxBAAAAAEwBwAAAAgzLzYvMjAyNggAAAAJNi8zMC8yMDI0CQAAAAEw72oH5c173gi5gSM5znveCD5DSVEuTllTRTpJQk0uSVFfRklOX0RJVl9BU1NFVFNfQ1VSUkVOVC4xOTk0LjA2LzAzLzIwMjYuLi5VU0QuSAEAAADetgEAAgAAAAM3MjMBCAAAAAUAAAABMQEAAAALLTE5MjA4NDY4MzIDAAAAAzE2MAIAAAAEMTAyOQQAAAABMAcAAAAIMy82LzIwMjYIAAAACTYvMzAvMjAyNAkAAAABMO9qB+XNe94IuYEjOc573gg2Q0lRLk5ZU0U6SUJNLklRX1RSQURJTkdfQVNTRVRTLjE5OTQuMDYvMDMvMjAyNi4uLlVTRC5IAQAAAN62AQADAAAAAADvagflzXveCBupIznOe94IQENJUS5OWVNFOklCTS5JUV9PUEVSQVRJTkdfTEVBU0VfUEFZTUVOVFMu</t>
  </si>
  <si>
    <t>MTk5NC4wNi8wMy8yMDI2Li4uVVNELkgBAAAA3rYBAAMAAAAAAO9qB+XNe94IG6kjOc573ggvQ0lRLk5ZU0U6SUJNLklRX0FVRElUT1JfT1BJTklPTi4xOTk0LjA2LzAzLzIwMjYBAAAA3rYBAAMAAAAAAO9qB+XNe94IG6kjOc573ggvQ0lRLk5ZU0U6SUJNLklRX1JBV19JTlYuMTk5NC4wNi8wMy8yMDI2Li4uVVNELkgBAAAA3rYBAAMAAAAAAO9qB+XNe94IG6kjOc573ggzQ0lRLk5ZU0U6SUJNLklRX0FSX1VOQklMTEVELjE5OTQuMDYvMDMvMjAyNi4uLlVTRC5IAQAAAN62AQACAAAAAzU0MAEIAAAABQAAAAExAQAAAAstMTkyMDg0NjgzMgMAAAADMTYwAgAAAAU0NTQyMAQAAAABMAcAAAAIMy82LzIwMjYIAAAACTYvMzAvMjAyNAkAAAABMO9qB+XNe94IG6kjOc573ggsQ0lRLk5ZU0U6SUJNLklRX05QUEUuMTk5NC4wNi8wMy8yMDI2Li4uVVNELkgBAAAA3rYBAAIAAAAEODczMAEIAAAABQAAAAExAQAAAAstMTkyMDg0NjgzMgMAAAADMTYwAgAAAAQxMDA0BAAAAAEwBwAAAAgzLzYvMjAyNggAAAAJNi8zMC8yMDI0CQAAAAEw72oH5c173ggbqSM5znveCDlDSVEuTllTRTpJQk0uSVFfVE9UQUxfT1BFUl9MRUFTRVMuMTk5NC4wNi8wMy8yMDI2Li4uVVNELkgBAAAA3rYBAAIAAAAEMzMwOAEIAAAABQAAAAExAQAAAAstMTkyMDg0NjgzMgMAAAADMTYwAgAAAAU0ODk3OAQAAAABMAcAAAAIMy82LzIwMjYIAAAA</t>
  </si>
  <si>
    <t>CTYvMzAvMjAyNAkAAAABMO9qB+XNe94IG6kjOc573ghOQ0lRLk5ZU0U6SUJNLklRX0NVUlJFTlRfUE9SVElPTl9PUEVSX0xFQVNFX0xJQUJJTElUSUVTLjE5OTQuMDYvMDMvMjAyNi4uLlVTRC5IAQAAAN62AQACAAAAAzc2MgEIAAAABQAAAAExAQAAAAstMTkyMDg0NjgzMgMAAAADMTYwAgAAAAU0ODM4NQQAAAABMAcAAAAIMy82LzIwMjYIAAAACTYvMzAvMjAyNAkAAAABMO9qB+XNe94IG6kjOc573ggsQ0lRLk5ZU0U6SUJNLklRX0xBTkQuMTk5NC4wNi8wMy8yMDI2Li4uVVNELkgBAAAA3rYBAAMAAAAAAO9qB+XNe94IG6kjOc573ggzQ0lRLk5ZU0U6SUJNLklRX1BSRVBBSURfRVhQLjE5OTQuMDYvMDMvMjAyNi4uLlVTRC5IAQAAAN62AQACAAAABDE4MjABCAAAAAUAAAABMQEAAAALLTE5MjA4NDY4MzIDAAAAAzE2MAIAAAAEMTIxMgQAAAABMAcAAAAIMy82LzIwMjYIAAAACTYvMzAvMjAyNAkAAAABMO9qB+XNe94IG6kjOc573gg3Q0lRLk5ZU0U6SUJNLklRX0lOVEVSQ09NUEFOWV9DTC4xOTk0LjA2LzAzLzIwMjYuLi5VU0QuSAEAAADetgEAAwAAAAAA72oH5c173ggQ0CM5znveCD9DSVEuTllTRTpJQk0uSVFfRU1QTE9ZRUVTX1VOREVSX1VOSU9OX0NPTlRSQUNUUy4xOTk0LjA2LzAzLzIwMjYBAAAA3rYBAAMAAAAAAO9qB+XNe94IENAjOc573gg7Q0lRLk5ZU0U6SUJNLklRX0xJQUJJTElUSUVTX0xF</t>
  </si>
  <si>
    <t>VkVMXzIuMTk5NC4wNi8wMy8yMDI2Li4uVVNELkgBAAAA3rYBAAIAAAAFNTA0NjcA72oH5c173ggQ0CM5znveCENDSVEuTllTRTpJQk0uSVFfUlVBX0NBUElUQUxfTEVBU0VfQUNDVU1fREVQLjE5OTQuMDYvMDMvMjAyNi4uLlVTRC5IAQAAAN62AQADAAAAAADvagflzXveCBDQIznOe94IM0NJUS5OWVNFOklCTS5JUV9QUkVGX0VRVUlUWS4xOTk0LjA2LzAzLzIwMjYuLi5VU0QuSAEAAADetgEAAwAAAAAA72oH5c173ggQ0CM5znveCDRDSVEuTllTRTpJQk0uSVFfUFJFRl9DT05WRVJULjE5OTQuMDYvMDMvMjAyNi4uLlVTRC5IAQAAAN62AQADAAAAAADvagflzXveCG75IznOe94IM0NJUS5OWVNFOklCTS5JUV9QUkVGX1JFREVFTS4xOTk0LjA2LzAzLzIwMjYuLi5VU0QuSAEAAADetgEAAwAAAAAA72oH5c173ggQ0CM5znveCDZDSVEuTllTRTpJQk0uSVFfT1RIRVJfQ0FfU1VQUEwuMTk5NC4wNi8wMy8yMDI2Li4uVVNELkgBAAAA3rYBAAIAAAAEMTQ3OAEIAAAABQAAAAExAQAAAAstMTkyMDg0NjgzMgMAAAADMTYwAgAAAAQxMDU1BAAAAAEwBwAAAAgzLzYvMjAyNggAAAAJNi8zMC8yMDI0CQAAAAEw72oH5c173ggQ0CM5znveCDZDSVEuTllTRTpJQk0uSVFfQ0FTSF9TVF9JTlZFU1QuMTk5NC4wNi8wMy8yMDI2Li4uVVNELkgBAAAA3rYBAAIAAAAFMTM2OTEBCAAAAAUAAAABMQEAAAALLTE5MjA4NDY4MzID</t>
  </si>
  <si>
    <t>AAAAAzE2MAIAAAAEMTAwMgQAAAABMAcAAAAIMy82LzIwMjYIAAAACTYvMzAvMjAyNAkAAAABMO9qB+XNe94IENAjOc573ggyQ0lRLk5ZU0U6SUJNLklRX0NBU0hfRVFVSVYuMTk5NC4wNi8wMy8yMDI2Li4uVVNELkgBAAAA3rYBAAIAAAAFMTIyMTABCAAAAAUAAAABMQEAAAALLTE5MjA4NDY4MzIDAAAAAzE2MAIAAAAEMTA5NgQAAAABMAcAAAAIMy82LzIwMjYIAAAACTYvMzAvMjAyNAkAAAABMO9qB+XNe94IENAjOc573gg0Q0lRLk5ZU0U6SUJNLklRX0RPX0lOVkVTVF9DRi4xOTk0LjA2LzAzLzIwMjYuLi5VU0QuSAEAAADetgEAAwAAAAAA72oH5c173ghu+SM5znveCDxDSVEuTllTRTpJQk0uSVFfQ0FTSF9JTlRFUkVTVF9JTlZFU1QuMTk5NC4wNi8wMy8yMDI2Li4uVVNELkgBAAAA3rYBAAMAAAAAAO9qB+XNe94IbvkjOc573ggyQ0lRLk5ZU0U6SUJNLklRX0RFUFJFX1NVUFAuMTk5NC4wNi8wMy8yMDI2Li4uVVNELkgBAAAA3rYBAAMAAAAAAO9qB+XNe94IbvkjOc573gg6Q0lRLk5ZU0U6SUJNLklRX0NPTU1PTl9QUkVGX0RJVl9DRi4xOTk0LjA2LzAzLzIwMjYuLi5VU0QuSAEAAADetgEAAwAAAAAA72oH5c173ghu+SM5znveCDBDSVEuTllTRTpJQk0uSVFfUFJFRl9SRVAuMTk5NC4wNi8wMy8yMDI2Li4uVVNELkgBAAAA3rYBAAMAAAAAAO9qB+XNe94IbvkjOc573gg6Q0lRLk5ZU0U6SUJNLklRX0lO</t>
  </si>
  <si>
    <t>VkVTVF9TRUNVUklUWV9DRi4xOTk0LjA2LzAzLzIwMjYuLi5VU0QuSAEAAADetgEAAgAAAAQ0NDg1AQgAAAAFAAAAATEBAAAACy0xOTIwODQ2ODMyAwAAAAMxNjACAAAABDIwMjcEAAAAATAHAAAACDMvNi8yMDI2CAAAAAk2LzMwLzIwMjQJAAAAATDvagflzXveCG75IznOe94IOENJUS5OWVNFOklCTS5JUV9DSEFOR0VfSU5WRU5UT1JZLjE5OTQuMDYvMDMvMjAyNi4uLlVTRC5IAQAAAN62AQACAAAAAzM5MAEIAAAABQAAAAExAQAAAAstMTkyMDg0NjgzMgMAAAADMTYwAgAAAAQyMDk5BAAAAAEwBwAAAAgzLzYvMjAyNggAAAAJNi8zMC8yMDI0CQAAAAEw72oH5c173ghu+SM5znveCDZDSVEuTllTRTpJQk0uSVFfR0FJTl9BU1NFVFNfQ0YuMTk5NC4wNi8wMy8yMDI2Li4uVVNELkgBAAAA3rYBAAIAAAAELTQzMQEIAAAABQAAAAExAQAAAAstMTkyMDg0NjgzMgMAAAADMTYwAgAAAAQyMDI2BAAAAAEwBwAAAAgzLzYvMjAyNggAAAAJNi8zMC8yMDI0CQAAAAEw72oH5c173ghu+SM5znveCD5DSVEuTllTRTpJQk0uSVFfU1RPQ0tfT1BUSU9OU19DT01QX1RBWC4xOTk0LjA2LzAzLzIwMjYuLi5VU0QuSAEAAADetgEAAwAAAAAA72oH5c173ghu+SM5znveCDxDSVEuTllTRTpJQk0uSVFfUkVTVFJfU1RPQ0tfQ09NUF9UQVguMTk5NC4wNi8wMy8yMDI2Li4uVVNELkgBAAAA3rYBAAMAAAAAAO9qB+XNe94IbvkjOc57</t>
  </si>
  <si>
    <t>3gg8Q0lRLk5ZU0U6SUJNLklRX1RPVEFMX1VOVVNVQUxfU1VQUExFLjE5OTQuMDYvMDMvMjAyNi4uLlVTRC5IAQAAAN62AQADAAAAAADvagflzXveCAEhJDnOe94IN0NJUS5OWVNFOklCTS5JUV9JTlRFUkNPTVBBTllfQ0EuMTk5NC4wNi8wMy8yMDI2Li4uVVNELkgBAAAA3rYBAAMAAAAAAO9qB+XNe94IASEkOc573ghDQ0lRLk5ZU0U6SUJNLklRX0dFTkVSQUxfUEFSVE5FUl9QUkVGX0VRVUlUWS4xOTk0LjA2LzAzLzIwMjYuLi5VU0QuSAEAAADetgEAAwAAAAAA72oH5c173ggBISQ5znveCDBDSVEuTllTRTpJQk0uSVFfTkVUX0RFQlQuMTk5NC4wNi8wMy8yMDI2Li4uVVNELkgBAAAA3rYBAAIAAAAFNDYxNDgBCAAAAAUAAAABMQEAAAALLTE5MjA4NDY4MzIDAAAAAzE2MAIAAAAENDM2NAQAAAABMAcAAAAIMy82LzIwMjYIAAAACTYvMzAvMjAyNAkAAAABMO9qB+XNe94IbvkjOc573ggsQ0lRLk5ZU0U6SUJNLklRX0FQSUMuMTk5NC4wNi8wMy8yMDI2Li4uVVNELkgBAAAA3rYBAAMAAAAAAO9qB+XNe94IbvkjOc573gg+Q0lRLk5ZU0U6SUJNLklRX0ZJTkFOQ0VfTEVBU0VTX0NVUlJFTlQuMTk5NC4wNi8wMy8yMDI2Li4uVVNELkgBAAAA3rYBAAMAAAAAAO9qB+XNe94IASEkOc573gg7Q0lRLk5ZU0U6SUJNLklRX0FEX0VYQ0xfT1BFUl9MRUFTRVMuMTk5NC4wNi8wMy8yMDI2Li4uVVNELkgBAAAA3rYBAAIA</t>
  </si>
  <si>
    <t>AAAGLTEyMzExAQgAAAAFAAAAATEBAAAACy0xOTIwODQ2ODMyAwAAAAMxNjACAAAABTQ4OTc1BAAAAAEwBwAAAAgzLzYvMjAyNggAAAAJNi8zMC8yMDI0CQAAAAEw72oH5c173ggBISQ5znveCD9DSVEuTllTRTpJQk0uSVFfUlVBX09QRVJBVElOR19MRUFTRV9ORVQuMTk5NC4wNi8wMy8yMDI2Li4uVVNELkgBAAAA3rYBAAMAAAAAAO9qB+XNe94IASEkOc573gg0Q0lRLk5ZU0U6SUJNLklRX1RPVEFMX1JFQ0VJVi4xOTk0LjA2LzAzLzIwMjYuLi5VU0QuSAEAAADetgEAAgAAAAQ3MDEwAQgAAAAFAAAAATEBAAAACy0xOTIwODQ2ODMyAwAAAAMxNjACAAAABDEwMDEEAAAAATAHAAAACDMvNi8yMDI2CAAAAAk2LzMwLzIwMjQJAAAAATDvagflzXveCAEhJDnOe94IO0NJUS5OWVNFOklCTS5JUV9HQUlOX0JBUkdBSU5fQUNRX0NGLjE5OTQuMDYvMDMvMjAyNi4uLlVTRC5IAQAAAN62AQADAAAAAADvagflzXveCAEhJDnOe94IQkNJUS5OWVNFOklCTS5JUV9DSEFOR0VfTkVUX1dPUktJTkdfQ0FQSVRBTC4xOTk0LjA2LzAzLzIwMjYuLi5VU0QuSAEAAADetgEAAgAAAAQxMDUwAQgAAAAFAAAAATEBAAAACy0xOTIwODQ2ODMyAwAAAAMxNjACAAAABDQ0MjEEAAAAATAHAAAACDMvNi8yMDI2CAAAAAk2LzMwLzIwMjQJAAAAATDvagflzXveCAEhJDnOe94IQ0NJUS5OWVNFOklCTS5JUV9GSU5fRElWX01JTk9SSVRZX0lO</t>
  </si>
  <si>
    <t>VF9SRURFRU0uMTk5NC4wNi8wMy8yMDI2Li4uVVNELkgBAAAA3rYBAAMAAAAAAO9qB+XNe94IASEkOc573gg3Q0lRLk5ZU0U6SUJNLklRX09USEVSX0xUX0FTU0VUUy4xOTk0LjA2LzAzLzIwMjYuLi5VU0QuSAEAAADetgEAAgAAAAQ3NjM5AQgAAAAFAAAAATEBAAAACy0xOTIwODQ2ODMyAwAAAAMxNjACAAAABDEwNjAEAAAAATAHAAAACDMvNi8yMDI2CAAAAAk2LzMwLzIwMjQJAAAAATDvagflzXveCAEhJDnOe94IOUNJUS5OWVNFOklCTS5JUV9ERUZfVEFYX0FTU0VUU19MVC4xOTk0LjA2LzAzLzIwMjYuLi5VU0QuSAEAAADetgEAAgAAAAQ2Mzc4AQgAAAAFAAAAATEBAAAACy0xOTIwODQ2ODMyAwAAAAMxNjACAAAABDEwMjYEAAAAATAHAAAACDMvNi8yMDI2CAAAAAk2LzMwLzIwMjQJAAAAATDvagflzXveCAEhJDnOe94IKkNJUS5OWVNFOklCTS5JUV9BRC4xOTk0LjA2LzAzLzIwMjYuLi5VU0QuSAEAAADetgEAAgAAAAYtMTIzMTEBCAAAAAUAAAABMQEAAAALLTE5MjA4NDY4MzIDAAAAAzE2MAIAAAAEMTA3NQQAAAABMAcAAAAIMy82LzIwMjYIAAAACTYvMzAvMjAyNAkAAAABMO9qB+XNe94IASEkOc573ggxQ0lRLk5ZU0U6SUJNLklRX09USEVSX0lOVi4xOTk0LjA2LzAzLzIwMjYuLi5VU0QuSAEAAADetgEAAwAAAAAA72oH5c173ggKSCQ5znveCDFDSVEuTllTRTpJQk0uSVFfVEJWX1NIQVJFLjE5OTQu</t>
  </si>
  <si>
    <t>MDYvMDMvMjAyNi4uLlVTRC5IAQAAAN62AQACAAAACi00OS41NDc5NDQBCAAAAAUAAAABMQEAAAALLTE5MjA4NDY4MzIDAAAAAzE2MAIAAAAENDE1NgQAAAABMAcAAAAIMy82LzIwMjYIAAAACTYvMzAvMjAyNAkAAAABMO9qB+XNe94ICkgkOc573gg3Q0lRLk5ZU0U6SUJNLklRX0RFRl9UQVhfTElBQl9MVC4xOTk0LjA2LzAzLzIwMjYuLi5VU0QuSAEAAADetgEAAwAAAAAA72oH5c173ggKSCQ5znveCDVDSVEuTllTRTpJQk0uSVFfVU5FQVJOX1JFVl9MVC4xOTk0LjA2LzAzLzIwMjYuLi5VU0QuSAEAAADetgEAAgAAAAQzNDg5AQgAAAAFAAAAATEBAAAACy0xOTIwODQ2ODMyAwAAAAMxNjACAAAABDEyNTYEAAAAATAHAAAACDMvNi8yMDI2CAAAAAk2LzMwLzIwMjQJAAAAATDvagflzXveCApIJDnOe94IN0NJUS5OWVNFOklCTS5JUV9GSU5fRElWX0RFQlRfTFQuMTk5NC4wNi8wMy8yMDI2Li4uVVNELkgBAAAA3rYBAAMAAAAAAO9qB+XNe94ICkgkOc573ggqQ0lRLk5ZU0U6SUJNLklRX0FQLjE5OTQuMDYvMDMvMjAyNi4uLlVTRC5IAQAAAN62AQACAAAABDM2MzEBCAAAAAUAAAABMQEAAAALLTE5MjA4NDY4MzIDAAAAAzE2MAIAAAAEMTAxOAQAAAABMAcAAAAIMy82LzIwMjYIAAAACTYvMzAvMjAyNAkAAAABMO9qB+XNe94ICkgkOc573ggtQ0lRLk5ZU0U6SUJNLklRX0FSX0xULjE5OTQuMDYvMDMvMjAyNi4u</t>
  </si>
  <si>
    <t>LlVTRC5IAQAAAN62AQADAAAAAADvagflzXveCApIJDnOe94IMUNJUS5OWVNFOklCTS5JUV9TVF9JTlZFU1QuMTk5NC4wNi8wMy8yMDI2Li4uVVNELkgBAAAA3rYBAAIAAAAEMTQ4MQEIAAAABQAAAAExAQAAAAstMTkyMDg0NjgzMgMAAAADMTYwAgAAAAQxMDY5BAAAAAEwBwAAAAgzLzYvMjAyNggAAAAJNi8zMC8yMDI0CQAAAAEw72oH5c173ggKSCQ5znveCDVDSVEuTllTRTpJQk0uSVFfRE9fRklOQU5DRV9DRi4xOTk0LjA2LzAzLzIwMjYuLi5VU0QuSAEAAADetgEAAwAAAAAA72oH5c173ggKSCQ5znveCDdDSVEuTllTRTpJQk0uSVFfTkVUX0RFQlRfSVNTVUVELjE5OTQuMDYvMDMvMjAyNi4uLlVTRC5IAQAAAN62AQACAAAABS0xMTkxAQgAAAAFAAAAATEBAAAACy0xOTIwODQ2ODMyAwAAAAMxNjACAAAABDIwMDMEAAAAATAHAAAACDMvNi8yMDI2CAAAAAk2LzMwLzIwMjQJAAAAATDvagflzXveCApIJDnOe94IOkNJUS5OWVNFOklCTS5JUV9HUk9TU19JTlRBTl9BU1NFVFMuMTk5NC4wNi8wMy8yMDI2Li4uVVNELkgBAAAA3rYBAAIAAAAFMTY2NDcBCAAAAAUAAAABMQEAAAALLTE5MjA4NDY4MzIDAAAAAzE2MAIAAAAFMjQyOTMEAAAAATAHAAAACDMvNi8yMDI2CAAAAAk2LzMwLzIwMjQJAAAAATDvagflzXveCB9zJDnOe94IOUNJUS5OWVNFOklCTS5JUV9GSU5fRElWX1NUX0lOVkVTVC4xOTk0LjA2LzAz</t>
  </si>
  <si>
    <t>LzIwMjYuLi5VU0QuSAEAAADetgEAAwAAAAAA72oH5c173ggKSCQ5znveCEVDSVEuTllTRTpJQk0uSVFfR0VORVJBTF9QQVJUTkVSX0NPTU1PTl9FUVVJVFkuMTk5NC4wNi8wMy8yMDI2Li4uVVNELkgBAAAA3rYBAAMAAAAAAO9qB+XNe94ICkgkOc573ggwQ0lRLk5ZU0U6SUJNLklRX1RPVEFMX0NBLjE5OTQuMDYvMDMvMjAyNi4uLlVTRC5IAQAAAN62AQACAAAABTMzMjk5AQgAAAAFAAAAATEBAAAACy0xOTIwODQ2ODMyAwAAAAMxNjACAAAABDEwMDgEAAAAATAHAAAACDMvNi8yMDI2CAAAAAk2LzMwLzIwMjQJAAAAATDvagflzXveCApIJDnOe94IO0NJUS5OWVNFOklCTS5JUV9NSU5PUklUWV9JTlRfUkVERUVNLjE5OTQuMDYvMDMvMjAyNi4uLlVTRC5IAQAAAN62AQADAAAAAADvagflzXveCApIJDnOe94ILUNJUS5OWVNFOklCTS5JUV9MSUZPUi4xOTk0LjA2LzAzLzIwMjYuLi5VU0QuSAEAAADetgEAAwAAAAAA72oH5c173ggfcyQ5znveCD9DSVEuTllTRTpJQk0uSVFfUlVBX0NBUElUQUxfTEVBU0VfR1JPU1MuMTk5NC4wNi8wMy8yMDI2Li4uVVNELkgBAAAA3rYBAAMAAAAAAO9qB+XNe94IH3MkOc573gg1Q0lRLk5ZU0U6SUJNLklRX1JVQV9BQ0NVTV9ERVAuMTk5NC4wNi8wMy8yMDI2Li4uVVNELkgBAAAA3rYBAAMAAAAAAO9qB+XNe94IH3MkOc573gg5Q0lRLk5ZU0U6SUJNLklRX1RPVEFMX0xJQUJf</t>
  </si>
  <si>
    <t>RVFVSVRZLjE5OTQuMDYvMDMvMjAyNi4uLlVTRC5IAQAAAN62AQACAAAABjEzMzg0OAEIAAAABQAAAAExAQAAAAstMTkyMDg0NjgzMgMAAAADMTYwAgAAAAQxMDEzBAAAAAEwBwAAAAgzLzYvMjAyNggAAAAJNi8zMC8yMDI0CQAAAAEw72oH5c173ggfcyQ5znveCDdDSVEuTllTRTpJQk0uSVFfUFJFRl9OT05fUkVERUVNLjE5OTQuMDYvMDMvMjAyNi4uLlVTRC5IAQAAAN62AQADAAAAAADvagflzXveCB9zJDnOe94IMUNJUS5OWVNFOklCTS5JUV9JTlZFTlRPUlkuMTk5NC4wNi8wMy8yMDI2Li4uVVNELkgBAAAA3rYBAAIAAAAEMTIzNAEIAAAABQAAAAExAQAAAAstMTkyMDg0NjgzMgMAAAADMTYwAgAAAAQxMDQzBAAAAAEwBwAAAAgzLzYvMjAyNggAAAAJNi8zMC8yMDI0CQAAAAEw72oH5c173ggfcyQ5znveCDRDSVEuTllTRTpJQk0uSVFfT1RIRVJfUkVDRUlWLjE5OTQuMDYvMDMvMjAyNi4uLlVTRC5IAQAAAN62AQACAAAAAzcwMQEIAAAABQAAAAExAQAAAAstMTkyMDg0NjgzMgMAAAADMTYwAgAAAAQxMjA2BAAAAAEwBwAAAAgzLzYvMjAyNggAAAAJNi8zMC8yMDI0CQAAAAEw72oH5c173ggfcyQ5znveCElDSVEuTllTRTpJQk0uSVFfTE9OR19URVJNX0RFQlRfUkVQQUlEX0VYQ0xfTEVBU0VTLjE5OTQuMDYvMDMvMjAyNi4uLlVTRC5IAQAAAN62AQACAAAABS03MDQ2AQgAAAAFAAAAATEBAAAACy0xOTIw</t>
  </si>
  <si>
    <t>ODQ2ODMyAwAAAAMxNjACAAAABTQ4OTg0BAAAAAEwBwAAAAgzLzYvMjAyNggAAAAJNi8zMC8yMDI0CQAAAAEw72oH5c173ggfcyQ5znveCEtDSVEuTllTRTpJQk0uSVFfTElRVUlEQVRJT05fVkFMVUVfUFJFRkVSUkVEX0NPTlZFUlQuMTk5NC4wNi8wMy8yMDI2Li4uVVNELkgBAAAA3rYBAAMAAAAAAO9qB+XNe94IH3MkOc573ggyQ0lRLk5ZU0U6SUJNLklRX1RPVEFMX0RFQlQuMTk5NC4wNi8wMy8yMDI2Li4uVVNELkgBAAAA3rYBAAIAAAAFNTk4MzkBCAAAAAUAAAABMQEAAAALLTE5MjA4NDY4MzIDAAAAAzE2MAIAAAAENDE3MwQAAAABMAcAAAAIMy82LzIwMjYIAAAACTYvMzAvMjAyNAkAAAABMO9qB+XNe94IH3MkOc573ggrQ0lRLk5ZU0U6SUJNLklRX1RCVi4xOTk0LjA2LzAzLzIwMjYuLi5VU0QuSAEAAADetgEAAgAAAAYtNDU2NDEBCAAAAAUAAAABMQEAAAALLTE5MjA4NDY4MzIDAAAAAzE2MAIAAAAEMTMxMAQAAAABMAcAAAAIMy82LzIwMjYIAAAACTYvMzAvMjAyNAkAAAABMO9qB+XNe94IK5okOc573gg5Q0lRLk5ZU0U6SUJNLklRX1RPVEFMX09VVFNUQU5ESU5HX0JTX0RBVEUuMTk5NC4wNi8wMy8yMDI2AQAAAN62AQACAAAACjkyMS4xNDgxOTUBBAAAAAUAAAABNQEAAAALLTE5MjA4NDY4MzICAAAABTI0MTUyBgAAAAEw72oH5c173ggrmiQ5znveCD1DSVEuTllTRTpJQk0uSVFfUlVBX0NBUElU</t>
  </si>
  <si>
    <t>QUxfTEVBU0VfTkVULjE5OTQuMDYvMDMvMjAyNi4uLlVTRC5IAQAAAN62AQADAAAAAADvagflzXveCCuaJDnOe94IN0NJUS5OWVNFOklCTS5JUV9SRVNUUklDVEVEX0NBU0guMTk5NC4wNi8wMy8yMDI2Li4uVVNELkgBAAAA3rYBAAIAAAAEMjI2OAEIAAAABQAAAAExAQAAAAstMTkyMDg0NjgzMgMAAAADMTYwAgAAAAQxMTA0BAAAAAEwBwAAAAgzLzYvMjAyNggAAAAJNi8zMC8yMDI0CQAAAAEw72oH5c173ggfcyQ5znveCEhDSVEuTllTRTpJQk0uSVFfQVNTRVRTX05FVFRJTkdfT1RIRVJfQURKVVNUTUVOVFMuMTk5NC4wNi8wMy8yMDI2Li4uVVNELkgBAAAA3rYBAAMAAAAAAO9qB+XNe94IH3MkOc573ghFQ0lRLk5ZU0U6SUJNLklRX1JVQV9PUEVSQVRJTkdfTEVBU0VfQUNDVU1fREVQLjE5OTQuMDYvMDMvMjAyNi4uLlVTRC5IAQAAAN62AQADAAAAAADvagflzXveCCuaJDnOe94IPENJUS5OWVNFOklCTS5JUV9ERUZfVEFYX0xJQUJfQ1VSUkVOVC4xOTk0LjA2LzAzLzIwMjYuLi5VU0QuSAEAAADetgEAAwAAAAAA72oH5c173ggrmiQ5znveCDNDSVEuTllTRTpJQk0uSVFfTUFJTlRfQ0FQRVguMTk5NC4wNi8wMy8yMDI2Li4uVVNELkgBAAAA3rYBAAMAAAAAAO9qB+XNe94IK5okOc573gg6Q0lRLk5ZU0U6SUJNLklRX0NBU0hfSU5URVJFU1RfT1BFUi4xOTk0LjA2LzAzLzIwMjYuLi5VU0QuSAEAAADetgEA</t>
  </si>
  <si>
    <t>AwAAAAAA72oH5c173ggrmiQ5znveCDVDSVEuTllTRTpJQk0uSVFfQ0FTSF9JTlRFUkVTVC4xOTk0LjA2LzAzLzIwMjYuLi5VU0QuSAEAAADetgEAAgAAAAQxNzMxAQgAAAAFAAAAATEBAAAACy0xOTIwODQ2ODMyAwAAAAMxNjACAAAABDMwMjgEAAAAATAHAAAACDMvNi8yMDI2CAAAAAk2LzMwLzIwMjQJAAAAATDvagflzXveCCXBJDnOe94ILUNJUS5OWVNFOklCTS5JUV9GSUxJTkdEQVRFX0NGLjE5OTQuMDYvMDMvMjAyNgEAAADetgEABQAAAAoyMy8xMC8yMDI1AO9qB+XNe94IK5okOc573ggzQ0lRLk5ZU0U6SUJNLklRX1BSRUZfSVNTVUVELjE5OTQuMDYvMDMvMjAyNi4uLlVTRC5IAQAAAN62AQADAAAAAADvagflzXveCCuaJDnOe94IMENJUS5OWVNFOklCTS5JUV9UT1RBTF9DTC4xOTk0LjA2LzAzLzIwMjYuLi5VU0QuSAEAAADetgEAAgAAAAUyOTY0OAEIAAAABQAAAAExAQAAAAstMTkyMDg0NjgzMgMAAAADMTYwAgAAAAQxMDA5BAAAAAEwBwAAAAgzLzYvMjAyNggAAAAJNi8zMC8yMDI0CQAAAAEw72oH5c173ggrmiQ5znveCENDSVEuTllTRTpJQk0uSVFfVE9UQUxfREVCVF9FWENMX09QRVJfTEVBU0VTLjE5OTQuMDYvMDMvMjAyNi4uLlVTRC5IAQAAAN62AQACAAAABTU2NTMxAQgAAAAFAAAAATEBAAAACy0xOTIwODQ2ODMyAwAAAAMxNjACAAAABTQ4OTgyBAAAAAEwBwAAAAgzLzYvMjAyNggAAAAJ</t>
  </si>
  <si>
    <t>Ni8zMC8yMDI0CQAAAAEw72oH5c173ggrmiQ5znveCDtDSVEuTllTRTpJQk0uSVFfVE9UQUxfQ09NTU9OX0VRVUlUWS4xOTk0LjA2LzAzLzIwMjYuLi5VU0QuSAEAAADetgEAAgAAAAUyNDAyNgEIAAAABQAAAAExAQAAAAstMTkyMDg0NjgzMgMAAAADMTYwAgAAAAQxMDA2BAAAAAEwBwAAAAgzLzYvMjAyNggAAAAJNi8zMC8yMDI0CQAAAAEw72oH5c173gglwSQ5znveCDBDSVEuTllTRTpJQk0uSVFfVFJFQVNVUlkuMTk5NC4wNi8wMy8yMDI2Li4uVVNELkgBAAAA3rYBAAIAAAAHLTE2OTgxNQEIAAAABQAAAAExAQAAAAstMTkyMDg0NjgzMgMAAAADMTYwAgAAAAQxMjQ4BAAAAAEwBwAAAAgzLzYvMjAyNggAAAAJNi8zMC8yMDI0CQAAAAEw72oH5c173gglwSQ5znveCDhDSVEuTllTRTpJQk0uSVFfTE9OR19URVJNX0xFQVNFUy4xOTk0LjA2LzAzLzIwMjYuLi5VU0QuSAEAAADetgEAAgAAAAQzMzY5AQgAAAAFAAAAATEBAAAACy0xOTIwODQ2ODMyAwAAAAMxNjACAAAABDExODMEAAAAATAHAAAACDMvNi8yMDI2CAAAAAk2LzMwLzIwMjQJAAAAATDvagflzXveCCXBJDnOe94INkNJUS5OWVNFOklCTS5JUV9ERUZfQ0hBUkdFU19MVC4xOTk0LjA2LzAzLzIwMjYuLi5VU0QuSAEAAADetgEAAgAAAAM4MjABCAAAAAUAAAABMQEAAAALLTE5MjA4NDY4MzIDAAAAAzE2MAIAAAAEMTAyNQQAAAABMAcAAAAIMy82LzIw</t>
  </si>
  <si>
    <t>MjYIAAAACTYvMzAvMjAyNAkAAAABMLelB+XNe94IJcEkOc573gg5Q0lRLk5ZU0U6SUJNLklRX0ZJTl9ESVZfQVNTRVRTX0xULjE5OTQuMDYvMDMvMjAyNi4uLlVTRC5IAQAAAN62AQADAAAAAAC3pQflzXveCCXBJDnOe94INkNJUS5OWVNFOklCTS5JUV9MT0FOU19GT1JfU0FMRS4xOTk0LjA2LzAzLzIwMjYuLi5VU0QuSAEAAADetgEAAwAAAAAAt6UH5c173ggK1SQ5znveCDZDSVEuTllTRTpJQk0uSVFfU1RfTk9URV9SRUNFSVYuMTk5NC4wNi8wMy8yMDI2Li4uVVNELkgBAAAA3rYBAAMAAAAAALelB+XNe94ICtUkOc573ghFQ0lRLk5ZU0U6SUJNLklRX1RPVEFMX0RFQlRfUkVQQUlEX0VYQ0xfTEVBU0VTLjE5OTQuMDYvMDMvMjAyNi4uLlVTRC5IAQAAAN62AQACAAAABS03MDUwAQgAAAAFAAAAATEBAAAACy0xOTIwODQ2ODMyAwAAAAMxNjACAAAABTQ4OTg2BAAAAAEwBwAAAAgzLzYvMjAyNggAAAAJNi8zMC8yMDI0CQAAAAEwt6UH5c173ggK1SQ5znveCENDSVEuTllTRTpJQk0uSVFfT1BFUkFUSU5HX0xFQVNFX0xJQUJJTElUSUVTLjE5OTQuMDYvMDMvMjAyNi4uLlVTRC5IAQAAAN62AQADAAAAAAC3pQflzXveCArVJDnOe94IN0NJUS5OWVNFOklCTS5JUV9DQVNIX1RBWEVTX09QRVIuMTk5NC4wNi8wMy8yMDI2Li4uVVNELkgBAAAA3rYBAAMAAAAAALelB+XNe94IJcEkOc573ghEQ0lRLk5ZU0U6SUJN</t>
  </si>
  <si>
    <t>LklRX0RBX1NVUFBMX0NGX0VYQ0xfT1BFUl9MRUFTRVMuMTk5NC4wNi8wMy8yMDI2Li4uVVNELkgBAAAA3rYBAAIAAAAEMTM0MwEIAAAABQAAAAExAQAAAAstMTkyMDg0NjgzMgMAAAADMTYwAgAAAAU0ODk4MwQAAAABMAcAAAAIMy82LzIwMjYIAAAACTYvMzAvMjAyNAkAAAABMLelB+XNe94ICtUkOc573gg/Q0lRLk5ZU0U6SUJNLklRX09USEVSX0ZJTkFOQ0VfQUNUX1NVUFBMLjE5OTQuMDYvMDMvMjAyNi4uLlVTRC5IAQAAAN62AQACAAAABC0zOTABCAAAAAUAAAABMQEAAAALLTE5MjA4NDY4MzIDAAAAAzE2MAIAAAAEMjA1MAQAAAABMAcAAAAIMy82LzIwMjYIAAAACTYvMzAvMjAyNAkAAAABMLelB+XNe94ICtUkOc573ggqQ0lRLk5ZU0U6SUJNLklRX0lOVl9NRVRIT0QuMTk5NC4wNi8wMy8yMDI2AQAAAN62AQADAAAAAAC3pQflzXveCArVJDnOe94IPkNJUS5OWVNFOklCTS5JUV9UT1RBTF9ERUJUX05PTl9DVVJSRU5ULjE5OTQuMDYvMDMvMjAyNi4uLlVTRC5IAQAAAN62AQACAAAABTU1NDc1AQgAAAAFAAAAATEBAAAACy0xOTIwODQ2ODMyAwAAAAMxNjACAAAABTI1MjI0BAAAAAEwBwAAAAgzLzYvMjAyNggAAAAJNi8zMC8yMDI0CQAAAAEwt6UH5c173ggK1SQ5znveCDJDSVEuTllTRTpJQk0uSVFfQ0FTSF9TSEFSRS4xOTk0LjA2LzAzLzIwMjYuLi5VU0QuSAEAAADetgEAAgAAAAkxMy4yNTUxOTYB</t>
  </si>
  <si>
    <t>CAAAAAUAAAABMQEAAAALLTE5MjA4NDY4MzIDAAAAAzE2MAIAAAAENDM4MQQAAAABMAcAAAAIMy82LzIwMjYIAAAACTYvMzAvMjAyNAkAAAABMLelB+XNe94ICtUkOc573gg9Q0lRLk5ZU0U6SUJNLklRX0ZJTl9ESVZfU1RfREVCVF9UT1RBTC4xOTk0LjA2LzAzLzIwMjYuLi5VU0QuSAEAAADetgEAAwAAAAAAt6UH5c173ghR/CQ5znveCDRDSVEuTllTRTpJQk0uSVFfRklOSVNIRURfSU5WLjE5OTQuMDYvMDMvMjAyNi4uLlVTRC5IAQAAAN62AQACAAAAAzE0MQEIAAAABQAAAAExAQAAAAstMTkyMDg0NjgzMgMAAAADMTYwAgAAAAQzMDc1BAAAAAEwBwAAAAgzLzYvMjAyNggAAAAJNi8zMC8yMDI0CQAAAAEwt6UH5c173ggK1SQ5znveCD1DSVEuTllTRTpJQk0uSVFfVE9UQUxfT1VUU1RBTkRJTkdfRklMSU5HX0RBVEUuMTk5NC4wNi8wMy8yMDI2AQAAAN62AQACAAAACjkyMS4xNDgxOTUBBAAAAAUAAAABNQEAAAALLTE5MjA4NDY4MzICAAAABTI0MTUzBgAAAAEwt6UH5c173ggK1SQ5znveCElDSVEuTllTRTpJQk0uSVFfTFRfUE9SVElPTl9PUEVSX0xFQVNFX0xJQUJJTElUSUVTLjE5OTQuMDYvMDMvMjAyNi4uLlVTRC5IAQAAAN62AQACAAAABDI1NDYBCAAAAAUAAAABMQEAAAALLTE5MjA4NDY4MzIDAAAAAzE2MAIAAAAFNDgzODMEAAAAATAHAAAACDMvNi8yMDI2CAAAAAk2LzMwLzIwMjQJAAAAATC3pQfl</t>
  </si>
  <si>
    <t>zXveCArVJDnOe94IPENJUS5OWVNFOklCTS5JUV9UT1RBTF9GSU5BTkNFX0xFQVNFUy4xOTk0LjA2LzAzLzIwMjYuLi5VU0QuSAEAAADetgEAAgAAAAM4MjMBCAAAAAUAAAABMQEAAAALLTE5MjA4NDY4MzIDAAAAAzE2MAIAAAAFNDkwMzEEAAAAATAHAAAACDMvNi8yMDI2CAAAAAk2LzMwLzIwMjQJAAAAATC3pQflzXveCFH8JDnOe94IMUNJUS5OWVNFOklCTS5JUV9SVUFfR1JPU1MuMTk5NC4wNi8wMy8yMDI2Li4uVVNELkgBAAAA3rYBAAMAAAAAALelB+XNe94IUfwkOc573ggvQ0lRLk5ZU0U6SUJNLklRX1BFTlNJT04uMTk5NC4wNi8wMy8yMDI2Li4uVVNELkgBAAAA3rYBAAIAAAAFMTAyMDABCAAAAAUAAAABMQEAAAALLTE5MjA4NDY4MzIDAAAAAzE2MAIAAAAEMTIxMwQAAAABMAcAAAAIMy82LzIwMjYIAAAACTYvMzAvMjAyNAkAAAABMLelB+XNe94IUfwkOc573ghEQ0lRLk5ZU0U6SUJNLklRX0NIQU5HRV9PVEhFUl9ORVRfT1BFUl9BU1NFVFMuMTk5NC4wNi8wMy8yMDI2Li4uVVNELkgBAAAA3rYBAAIAAAADLTU4AQgAAAAFAAAAATEBAAAACy0xOTIwODQ2ODMyAwAAAAMxNjACAAAABDIwNDUEAAAAATAHAAAACDMvNi8yMDI2CAAAAAk2LzMwLzIwMjQJAAAAATC3pQflzXveCFH8JDnOe94IOkNJUS5OWVNFOklCTS5JUV9BU1NFVF9XUklURURPV05fQ0YuMTk5NC4wNi8wMy8yMDI2Li4uVVNELkgBAAAA</t>
  </si>
  <si>
    <t>3rYBAAMAAAAAALelB+XNe94IUfwkOc573ghBQ0lRLk5ZU0U6SUJNLklRX1NUT0NLX0JBU0VEX0VYUExPUkVfRFJJTEwuMTk5NC4wNi8wMy8yMDI2Li4uVVNELkgBAAAA3rYBAAMAAAAAALelB+XNe94IUfwkOc573gg6Q0lRLk5ZU0U6SUJNLklRX1JFU1RSVUNUVVJFX1NVUFBMRS4xOTk0LjA2LzAzLzIwMjYuLi5VU0QuSAEAAADetgEAAwAAAAAAt6UH5c173ghR/CQ5znveCDRDSVEuTllTRTpJQk0uSVFfVE9UQUxfTEVBU0VTLjE5OTQuMDYvMDMvMjAyNi4uLlVTRC5IAQAAAN62AQACAAAABDQxMzEBCAAAAAUAAAABMQEAAAALLTE5MjA4NDY4MzIDAAAAAzE2MAIAAAAFNDg5NzkEAAAAATAHAAAACDMvNi8yMDI2CAAAAAk2LzMwLzIwMjQJAAAAATC3pQflzXveCFH8JDnOe94IKkNJUS5OWVNFOklCTS5JUV9GWC4xOTk0LjA2LzAzLzIwMjYuLi5VU0QuSAEAAADetgEAAgAAAAQtMjI2AQgAAAAFAAAAATEBAAAACy0xOTIwODQ2ODMyAwAAAAMxNjACAAAABDIxNDQEAAAAATAHAAAACDMvNi8yMDI2CAAAAAk2LzMwLzIwMjQJAAAAATC3pQflzXveCFH8JDnOe94ILUNJUS5OWVNFOklCTS5JUV9DQVBFWC4xOTk0LjA2LzAzLzIwMjYuLi5VU0QuSAEAAADetgEAAgAAAAUtMTA0MAEIAAAABQAAAAExAQAAAAstMTkyMDg0NjgzMgMAAAADMTYwAgAAAAQyMDIxBAAAAAEwBwAAAAgzLzYvMjAyNggAAAAJNi8zMC8yMDI0</t>
  </si>
  <si>
    <t>CQAAAAEwt6UH5c173ghaIyU5znveCDxDSVEuTllTRTpJQk0uSVFfRklOX0RJVl9ERUJUX0NVUlJFTlQuMTk5NC4wNi8wMy8yMDI2Li4uVVNELkgBAAAA3rYBAAMAAAAAALelB+XNe94IWiMlOc573ggxQ0lRLk5ZU0U6SUJNLklRX0xUX0lOVkVTVC4xOTk0LjA2LzAzLzIwMjYuLi5VU0QuSAEAAADetgEAAgAAAAQxNzMyAQgAAAAFAAAAATEBAAAACy0xOTIwODQ2ODMyAwAAAAMxNjACAAAABDEwNTQEAAAAATAHAAAACDMvNi8yMDI2CAAAAAk2LzMwLzIwMjQJAAAAATC3pQflzXveCFojJTnOe94IPkNJUS5OWVNFOklCTS5JUV9DQVNIX0lOVEVSRVNUX1JFQ0VJVkVELjE5OTQuMDYvMDMvMjAyNi4uLlVTRC5IAQAAAN62AQADAAAAAAC3pQflzXveCFojJTnOe94IQENJUS5OWVNFOklCTS5JUV9BTU9SVF9TT0ZUV0FSRV9BU1NFVFNfQ0YuMTk5NC4wNi8wMy8yMDI2Li4uVVNELkgBAAAA3rYBAAIAAAADOTk5AQgAAAAFAAAAATEBAAAACy0xOTIwODQ2ODMyAwAAAAMxNjACAAAABTQ2MDExBAAAAAEwBwAAAAgzLzYvMjAyNggAAAAJNi8zMC8yMDI0CQAAAAEwt6UH5c173ghaIyU5znveCDtDSVEuTllTRTpJQk0uSVFfREFfU1VQUExfUEFSVElBTF9DRi4xOTk0LjA2LzAzLzIwMjYuLi5VU0QuSAEAAADetgEAAwAAAAAAt6UH5c173ghaIyU5znveCDdDSVEuTllTRTpJQk0uSVFfQ0FTSF9BQ1FVSVJFX0NGLjE5OTQu</t>
  </si>
  <si>
    <t>MDYvMDMvMjAyNi4uLlVTRC5IAQAAAN62AQACAAAABS00OTYxAQgAAAAFAAAAATEBAAAACy0xOTIwODQ2ODMyAwAAAAMxNjACAAAABDIwNTcEAAAAATAHAAAACDMvNi8yMDI2CAAAAAk2LzMwLzIwMjQJAAAAATC3pQflzXveCFojJTnOe94IMENJUS5OWVNFOklCTS5JUV9DRl9TSEFSRS4xOTk0LjA2LzAzLzIwMjYuLi5VU0QuSAEAAADetgEAAgAAAAkxMy4yMDE0MTUBCAAAAAUAAAABMQEAAAALLTE5MjA4NDY4MzIDAAAAAzE2MAIAAAAFNDM5MjMEAAAAATAHAAAACDMvNi8yMDI2CAAAAAk2LzMwLzIwMjQJAAAAATC3pQflzXveCFojJTnOe94IPENJUS5OWVNFOklCTS5JUV9DSEFOR0VfREVGX1RBWF9UT1RBTC4xOTk0LjA2LzAzLzIwMjYuLi5VU0QuSAEAAADetgEAAgAAAAUtMTExNAEIAAAABQAAAAExAQAAAAstMTkyMDg0NjgzMgMAAAADMTYwAgAAAAUzMDkyNAQAAAABMAcAAAAIMy82LzIwMjYIAAAACTYvMzAvMjAyNAkAAAABMLelB+XNe94IWiMlOc573ggsQ0lRLk5ZU0U6SUJNLklRX0NBTENfVFlQRV9DRi4xOTk0LjA2LzAzLzIwMjYBAAAA3rYBAAMAAAADTFRNALelB+XNe94IWiMlOc573gg9Q0lRLk5ZU0U6SUJNLklRX0NIQU5HRV9UUkFESU5HX0FTU0VUUy4xOTk0LjA2LzAzLzIwMjYuLi5VU0QuSAEAAADetgEAAwAAAAAAt6UH5c173ghiSiU5znveCC1DSVEuTllTRTpJQk0uSVFfRE9fQ0YuMTk5</t>
  </si>
  <si>
    <t>NC4wNi8wMy8yMDI2Li4uVVNELkgBAAAA3rYBAAMAAAAAALelB+XNe94IYkolOc573gg1Q0lRLk5ZU0U6SUJNLklRX09USEVSX0xJQUJfTFQuMTk5NC4wNi8wMy8yMDI2Li4uVVNELkgBAAAA3rYBAAIAAAAFMTA5MzMBCAAAAAUAAAABMQEAAAALLTE5MjA4NDY4MzIDAAAAAzE2MAIAAAAEMTA2MgQAAAABMAcAAAAIMy82LzIwMjYIAAAACTYvMzAvMjAyNAkAAAABMLelB+XNe94IWiMlOc573gg1Q0lRLk5ZU0U6SUJNLklRX1VOTEVWRVJFRF9GQ0YuMTk5NC4wNi8wMy8yMDI2Li4uVVNELkgBAAAA3rYBAAIAAAAGOTI4OS41AQgAAAAFAAAAATEBAAAACy0xOTIwODQ2ODMyAwAAAAMxNjACAAAABDQ0MjMEAAAAATAHAAAACDMvNi8yMDI2CAAAAAk2LzMwLzIwMjQJAAAAATC3pQflzXveCFojJTnOe94INkNJUS5OWVNFOklCTS5JUV9TUEVDSUFMX0RJVl9DRi4xOTk0LjA2LzAzLzIwMjYuLi5VU0QuSAEAAADetgEAAwAAAAAAt6UH5c173ghaIyU5znveCDVDSVEuTllTRTpJQk0uSVFfQ09NTU9OX0lTU1VFRC4xOTk0LjA2LzAzLzIwMjYuLi5VU0QuSAEAAADetgEAAgAAAAM3OTkBCAAAAAUAAAABMQEAAAALLTE5MjA4NDY4MzIDAAAAAzE2MAIAAAAEMjE2OQQAAAABMAcAAAAIMy82LzIwMjYIAAAACTYvMzAvMjAyNAkAAAABMLelB+XNe94IYkolOc573ggzQ0lRLk5ZU0U6SUJNLklRX0NBU0hfSU5WRVNULjE5OTQu</t>
  </si>
  <si>
    <t>MDYvMDMvMjAyNi4uLlVTRC5IAQAAAN62AQACAAAABS0xMDg4AQgAAAAFAAAAATEBAAAACy0xOTIwODQ2ODMyAwAAAAMxNjACAAAABDIwMDUEAAAAATAHAAAACDMvNi8yMDI2CAAAAAk2LzMwLzIwMjQJAAAAATC3pQflzXveCGJKJTnOe94INkNJUS5OWVNFOklCTS5JUV9DSEFOR0VfREVGX1RBWC4xOTk0LjA2LzAzLzIwMjYuLi5VU0QuSAEAAADetgEAAwAAAAAAt6UH5c173ghiSiU5znveCDZDSVEuTllTRTpJQk0uSVFfU1RPQ0tfQkFTRURfU00uMTk5NC4wNi8wMy8yMDI2Li4uVVNELkgBAAAA3rYBAAMAAAAAALelB+XNe94IYkolOc573gg/Q0lRLk5ZU0U6SUJNLklRX1NBTEFSSUVTX09USEVSX0JFTkVGSVRTLjE5OTQuMDYvMDMvMjAyNi4uLlVTRC5IAQAAAN62AQADAAAAAAC3pQflzXveCGJKJTnOe94IN0NJUS5OWVNFOklCTS5JUV9TQUxFU19NQVJLRVRJTkcuMTk5NC4wNi8wMy8yMDI2Li4uVVNELkgBAAAA3rYBAAIAAAAEMTE4MwEIAAAABQAAAAExAQAAAAstMTkyMDg0NjgzMgMAAAADMTYwAgAAAAUyMTU2MQQAAAABMAcAAAAIMy82LzIwMjYIAAAACTYvMzAvMjAyNAkAAAABMLelB+XNe94IYkolOc573ghBQ0lRLk5ZU0U6SUJNLklRX0RJU1RSSUJVVEFCTEVfQ0FTSF9TSEFSRVNfRElMVVRFRC4xOTk0LjA2LzAzLzIwMjYBAAAA3rYBAAMAAAAAALelB+XNe94IdHElOc573gg6Q0lRLk5ZU0U6SUJN</t>
  </si>
  <si>
    <t>LklRX0RJU1RSSUJVVEFCTEVfQ0FTSC4xOTk0LjA2LzAzLzIwMjYuLi5VU0QuSAEAAADetgEAAwAAAAAAt6UH5c173ghiSiU5znveCDJDSVEuTllTRTpJQk0uSVFfQ1VSUl9UQVhFUy4xOTk0LjA2LzAzLzIwMjYuLi5VU0QuSAEAAADetgEAAgAAAAQyMjgxAQgAAAAFAAAAATEBAAAACy0xOTIwODQ2ODMyAwAAAAMxNjACAAAABTM1MzgzBAAAAAEwBwAAAAgzLzYvMjAyNggAAAAJNi8zMC8yMDI0CQAAAAEwt6UH5c173ghiSiU5znveCDlDSVEuTllTRTpJQk0uSVFfRkVFU19PVEhFUl9JTkNPTUUuMTk5NC4wNi8wMy8yMDI2Li4uVVNELkgBAAAA3rYBAAMAAAAAALelB+XNe94IYkolOc573ggsQ0lRLk5ZU0U6SUJNLklRX0VCSVQuMTk5NC4wNi8wMy8yMDI2Li4uVVNELkgBAAAA3rYBAAIAAAAFMTAwMDQBCAAAAAUAAAABMQEAAAALLTE5MjA4NDY4MzIDAAAAAzE2MAIAAAADNDAwBAAAAAEwBwAAAAgzLzYvMjAyNggAAAAJNi8zMC8yMDI0CQAAAAEwt6UH5c173gh0cSU5znveCDdDSVEuTllTRTpJQk0uSVFfVE9UQUxfUkVWX1NIQVJFLjE5OTQuMDYvMDMvMjAyNi4uLlVTRC5IAQAAAN62AQACAAAACTY4LjA3MTA2MgEIAAAABQAAAAExAQAAAAstMTkyMDg0NjgzMgMAAAADMTYwAgAAAAQ0MzgyBAAAAAEwBwAAAAgzLzYvMjAyNggAAAAJNi8zMC8yMDI0CQAAAAEwt6UH5c173gh0cSU5znveCDZDSVEuTllTRTpJ</t>
  </si>
  <si>
    <t>Qk0uSVFfUFJFRl9ESVZfT1RIRVIuMTk5NC4wNi8wMy8yMDI2Li4uVVNELkgBAAAA3rYBAAMAAAAAALelB+XNe94IdHElOc573ggqQ0lRLk5ZU0U6SUJNLklRX0FFLjE5OTQuMDYvMDMvMjAyNi4uLlVTRC5IAQAAAN62AQACAAAABDYxNDcBCAAAAAUAAAABMQEAAAALLTE5MjA4NDY4MzIDAAAAAzE2MAIAAAAEMTAxNgQAAAABMAcAAAAIMy82LzIwMjYIAAAACTYvMzAvMjAyNAkAAAABMLelB+XNe94IYkolOc573ggzQ0lRLk5ZU0U6SUJNLklRX1BSRUZfRElWX0NGLjE5OTQuMDYvMDMvMjAyNi4uLlVTRC5IAQAAAN62AQADAAAAAAC3pQflzXveCFeFJTnOe94INkNJUS5OWVNFOklCTS5JUV9MVF9ERUJUX0lTU1VFRC4xOTk0LjA2LzAzLzIwMjYuLi5VU0QuSAEAAADetgEAAwAAAAAAt6UH5c173ghXhSU5znveCDZDSVEuTllTRTpJQk0uSVFfQ1JFRElUX0xPU1NfQ0YuMTk5NC4wNi8wMy8yMDI2Li4uVVNELkgBAAAA3rYBAAMAAAAAALelB+XNe94IdHElOc573gg4Q0lRLk5ZU0U6SUJNLklRX1NUT0NLX0JBU0VEX0NPR1MuMTk5NC4wNi8wMy8yMDI2Li4uVVNELkgBAAAA3rYBAAIAAAADMjA2AQgAAAAFAAAAATEBAAAACy0xOTIwODQ2ODMyAwAAAAMxNjACAAAABTIyNjc0BAAAAAEwBwAAAAgzLzYvMjAyNggAAAAJNi8zMC8yMDI0CQAAAAEwt6UH5c173gh0cSU5znveCDhDSVEuTllTRTpJQk0uSVFfR0FJTl9C</t>
  </si>
  <si>
    <t>QVJHQUlOX0FDUS4xOTk0LjA2LzAzLzIwMjYuLi5VU0QuSAEAAADetgEAAwAAAAAAt6UH5c173gh0cSU5znveCDZDSVEuTllTRTpJQk0uSVFfTUlOSU1VTV9SRU5UQUwuMTk5NC4wNi8wMy8yMDI2Li4uVVNELkgBAAAA3rYBAAMAAAAAALelB+XNe94IV4UlOc573gg2Q0lRLk5ZU0U6SUJNLklRX05FVF9SRU5UQUxfRVhQLjE5OTQuMDYvMDMvMjAyNi4uLlVTRC5IAQAAAN62AQADAAAAAAC3pQflzXveCFeFJTnOe94IL0NJUS5OWVNFOklCTS5JUV9FRkZFQ1RfVEFYX1JBVEUuMTk5NC4wNi8wMy8yMDI2AQAAAN62AQACAAAABjUuODM3NQEIAAAABQAAAAExAQAAAAstMTkyMDg0NjgzMgMAAAADMTYwAgAAAAQ0Mzc2BAAAAAEwBwAAAAgzLzYvMjAyNggAAAAJNi8zMC8yMDI0CQAAAAEwt6UH5c173ghXhSU5znveCDxDSVEuTllTRTpJQk0uSVFfQ0FQSVRBTElaRURfSU5URVJFU1QuMTk5NC4wNi8wMy8yMDI2Li4uVVNELkgBAAAA3rYBAAMAAAAAALelB+XNe94IV4UlOc573gg3Q0lRLk5ZU0U6SUJNLklRX0lOVEVSRVNUX0lOQ09NRS4xOTk0LjA2LzAzLzIwMjYuLi5VU0QuSAEAAADetgEAAgAAAAM3MjYBCAAAAAUAAAABMQEAAAALLTE5MjA4NDY4MzIDAAAAAzE2MAIAAAADMjEwBAAAAAEwBwAAAAgzLzYvMjAyNggAAAAJNi8zMC8yMDI0CQAAAAEwt6UH5c173ghXhSU5znveCDZDSVEuTllTRTpJQk0uSVFfRUJJ</t>
  </si>
  <si>
    <t>VEFfRVhDTF9TQkMuMTk5NC4wNi8wMy8yMDI2Li4uVVNELkgBAAAA3rYBAAIAAAAFMTI2MDcBCAAAAAUAAAABMQEAAAALLTE5MjA4NDY4MzIDAAAAAzE2MAIAAAAFMjQxMzYEAAAAATAHAAAACDMvNi8yMDI2CAAAAAk2LzMwLzIwMjQJAAAAATC3pQflzXveCFeFJTnOe94ILUNJUS5OWVNFOklCTS5JUV9FQklUQS4xOTk0LjA2LzAzLzIwMjYuLi5VU0QuSAEAAADetgEAAgAAAAUxMTM5MwEIAAAABQAAAAExAQAAAAstMTkyMDg0NjgzMgMAAAADMTYwAgAAAAYxMDA2ODkEAAAAATAHAAAACDMvNi8yMDI2CAAAAAk2LzMwLzIwMjQJAAAAATC3pQflzXveCFeFJTnOe94ILUNJUS5OWVNFOklCTS5JUV9GSUxJTkdEQVRFX0lTLjE5OTQuMDYvMDMvMjAyNgEAAADetgEABQAAAAoyMy8xMC8yMDI1ALelB+XNe94IV4UlOc573gg2Q0lRLk5ZU0U6SUJNLklRX0RJTFVUX0VQU19FWENMLjE5OTQuMDYvMDMvMjAyNi4uLlVTRC5IAQAAAN62AQACAAAACDguOTk3OTE0AQgAAAAFAAAAATEBAAAACy0xOTIwODQ2ODMyAwAAAAMxNjACAAAAAzE0MgQAAAABMAcAAAAIMy82LzIwMjYIAAAACTYvMzAvMjAyNAkAAAABMLelB+XNe94IV4UlOc573ggyQ0lRLk5ZU0U6SUJNLklRX0VBUk5JTkdfQ08uMTk5NC4wNi8wMy8yMDI2Li4uVVNELkgBAAAA3rYBAAIAAAAEODQwNAEIAAAABQAAAAExAQAAAAstMTkyMDg0NjgzMgMAAAADMTYw</t>
  </si>
  <si>
    <t>AgAAAAE3BAAAAAEwBwAAAAgzLzYvMjAyNggAAAAJNi8zMC8yMDI0CQAAAAEwt6UH5c173ghXhSU5znveCDBDSVEuTllTRTpJQk0uSVFfRUJUX0VYQ0wuMTk5NC4wNi8wMy8yMDI2Li4uVVNELkgBAAAA3rYBAAIAAAAEOTE1OQEIAAAABQAAAAExAQAAAAstMTkyMDg0NjgzMgMAAAADMTYwAgAAAAE0BAAAAAEwBwAAAAgzLzYvMjAyNggAAAAJNi8zMC8yMDI0CQAAAAEwt6UH5c173gitrCU5znveCDJDSVEuTllTRTpJQk0uSVFfSU5DX0VRVUlUWS4xOTk0LjA2LzAzLzIwMjYuLi5VU0QuSAEAAADetgEAAwAAAAAAt6UH5c173gitrCU5znveCDtDSVEuTllTRTpJQk0uSVFfU0FMRV9SRUFMX0VTVEFURV9DRi4xOTk0LjA2LzAzLzIwMjYuLi5VU0QuSAEAAADetgEAAwAAAAAAt6UH5c173gitrCU5znveCDZDSVEuTllTRTpJQk0uSVFfU1RPQ0tfQkFTRURfQ0YuMTk5NC4wNi8wMy8yMDI2Li4uVVNELkgBAAAA3rYBAAIAAAAEMTIxMwEIAAAABQAAAAExAQAAAAstMTkyMDg0NjgzMgMAAAADMTYwAgAAAAQyMTI3BAAAAAEwBwAAAAgzLzYvMjAyNggAAAAJNi8zMC8yMDI0CQAAAAEwt6UH5c173gitrCU5znveCEBDSVEuTllTRTpJQk0uSVFfSU1QVVRfT1BFUl9MRUFTRV9JTlRfRVhQLjE5OTQuMDYvMDMvMjAyNi4uLlVTRC5IAQAAAN62AQADAAAAAAC3pQflzXveCFeFJTnOe94IN0NJUS5OWVNFOklCTS5JUV9MT0FO</t>
  </si>
  <si>
    <t>U19SRUNFSVZfTFQuMTk5NC4wNi8wMy8yMDI2Li4uVVNELkgBAAAA3rYBAAIAAAADMTAwAQgAAAAFAAAAATEBAAAACy0xOTIwODQ2ODMyAwAAAAMxNjACAAAABDEwNTAEAAAAATAHAAAACDMvNi8yMDI2CAAAAAk2LzMwLzIwMjQJAAAAATC3pQflzXveCK2sJTnOe94IPENJUS5OWVNFOklCTS5JUV9ORUdBVElWRV9HV19BTU9SVF9DRi4xOTk0LjA2LzAzLzIwMjYuLi5VU0QuSAEAAADetgEAAwAAAAAAt6UH5c173gitrCU5znveCDZDSVEuTllTRTpJQk0uSVFfU1RfREVCVF9JU1NVRUQuMTk5NC4wNi8wMy8yMDI2Li4uVVNELkgBAAAA3rYBAAMAAAAAALelB+XNe94IrawlOc573ggxQ0lRLk5ZU0U6SUJNLklRX0NBU0hfT1BFUi4xOTk0LjA2LzAzLzIwMjYuLi5VU0QuSAEAAADetgEAAgAAAAUxMzc1MwEIAAAABQAAAAExAQAAAAstMTkyMDg0NjgzMgMAAAADMTYwAgAAAAQyMDA2BAAAAAEwBwAAAAgzLzYvMjAyNggAAAAJNi8zMC8yMDI0CQAAAAEwt6UH5c173gitrCU5znveCDVDSVEuTllTRTpJQk0uSVFfSU5DX0VRVUlUWV9DRi4xOTk0LjA2LzAzLzIwMjYuLi5VU0QuSAEAAADetgEAAwAAAAAAt6UH5c173gitrCU5znveCEFDSVEuTllTRTpJQk0uSVFfR1dfSU5UQU5fQU1PUlRfUEFSVElBTF9DRi4xOTk0LjA2LzAzLzIwMjYuLi5VU0QuSAEAAADetgEAAwAAAAAAt6UH5c173ggR1CU5znveCDZDSVEuTllT</t>
  </si>
  <si>
    <t>RTpJQk0uSVFfTUlTQ19BREpVU1RfQ0YuMTk5NC4wNi8wMy8yMDI2Li4uVVNELkgBAAAA3rYBAAMAAAAAALelB+XNe94IrawlOc573gg1Q0lRLk5ZU0U6SUJNLklRX1NBTEVfSU5UQU5fQ0YuMTk5NC4wNi8wMy8yMDI2Li4uVVNELkgBAAAA3rYBAAIAAAAELTYxOAEIAAAABQAAAAExAQAAAAstMTkyMDg0NjgzMgMAAAADMTYwAgAAAAQyMDI5BAAAAAEwBwAAAAgzLzYvMjAyNggAAAAJNi8zMC8yMDI0CQAAAAEwt6UH5c173gitrCU5znveCDRDSVEuTllTRTpJQk0uSVFfTUFJTlRfUkVQQUlSLjE5OTQuMDYvMDMvMjAyNi4uLlVTRC5IAQAAAN62AQADAAAAAAC3pQflzXveCK2sJTnOe94IMkNJUS5OWVNFOklCTS5JUV9DQVNIX1RBWEVTLjE5OTQuMDYvMDMvMjAyNi4uLlVTRC5IAQAAAN62AQACAAAABDE1NjQBCAAAAAUAAAABMQEAAAALLTE5MjA4NDY4MzIDAAAAAzE2MAIAAAAEMzA1MwQAAAABMAcAAAAIMy82LzIwMjYIAAAACTYvMzAvMjAyNAkAAAABMLelB+XNe94IrawlOc573ghDQ0lRLk5ZU0U6SUJNLklRX1NBTEVfUFJPQ0VFRFNfUkVOVEFMX0FTU0VUUy4xOTk0LjA2LzAzLzIwMjYuLi5VU0QuSAEAAADetgEAAwAAAAAAt6UH5c173ggR1CU5znveCDdDSVEuTllTRTpJQk0uSVFfSU5WRVNUX0xPQU5TX0NGLjE5OTQuMDYvMDMvMjAyNi4uLlVTRC5IAQAAAN62AQADAAAAAAC3pQflzXveCBHUJTnOe94I</t>
  </si>
  <si>
    <t>M0NJUS5OWVNFOklCTS5JUV9PVEhFUl9BTU9SVC4xOTk0LjA2LzAzLzIwMjYuLi5VU0QuSAEAAADetgEAAgAAAAM5OTkBCAAAAAUAAAABMQEAAAALLTE5MjA4NDY4MzIDAAAAAzE2MAIAAAAEMjAxNAQAAAABMAcAAAAIMy82LzIwMjYIAAAACTYvMzAvMjAyNAkAAAABMLelB+XNe94IEdQlOc573ggyQ0lRLk5ZU0U6SUJNLklRX09JTF9JTVBBSVIuMTk5NC4wNi8wMy8yMDI2Li4uVVNELkgBAAAA3rYBAAMAAAAAALelB+XNe94IEdQlOc573ggzQ0lRLk5ZU0U6SUJNLklRX0RBX1NVUFBMX0NGLjE5OTQuMDYvMDMvMjAyNi4uLlVTRC5IAQAAAN62AQACAAAABDIxNDMBCAAAAAUAAAABMQEAAAALLTE5MjA4NDY4MzIDAAAAAzE2MAIAAAAEMjE3MQQAAAABMAcAAAAIMy82LzIwMjYIAAAACTYvMzAvMjAyNAkAAAABMLelB+XNe94IEdQlOc573gg/Q0lRLk5ZU0U6SUJNLklRX1JFU1RSX1NUT0NLX0NPTVBfUFJFVEFYLjE5OTQuMDYvMDMvMjAyNi4uLlVTRC5IAQAAAN62AQADAAAAAAC3pQflzXveCBHUJTnOe94IO0NJUS5OWVNFOklCTS5JUV9MRUdBTF9TRVRUTEVfU1VQUExFLjE5OTQuMDYvMDMvMjAyNi4uLlVTRC5IAQAAAN62AQADAAAAAAC3pQflzXveCBHUJTnOe94IM0NJUS5OWVNFOklCTS5JUV9JUFJEX1NVUFBMRS4xOTk0LjA2LzAzLzIwMjYuLi5VU0QuSAEAAADetgEAAwAAAAAAt6UH5c173ggR1CU5znve</t>
  </si>
  <si>
    <t>CEFDSVEuTllTRTpJQk0uSVFfTk9OUkVDVVJSSU5HX0lOQ09NRV9UQVhFUy4xOTk0LjA2LzAzLzIwMjYuLi5VU0QuSAEAAADetgEAAgAAAAM0MTYBCAAAAAUAAAABMQEAAAALLTE5MjA4NDY4MzIDAAAAAzE2MAIAAAAFNDg4MzkEAAAAATAHAAAACDMvNi8yMDI2CAAAAAk2LzMwLzIwMjQJAAAAATC3pQflzXveCBHUJTnOe94IN0NJUS5OWVNFOklCTS5JUV9FQklUREFfRVhDTF9TQkMuMTk5NC4wNi8wMy8yMDI2Li4uVVNELkgBAAAA3rYBAAIAAAAFMTM5NTABCAAAAAUAAAABMQEAAAALLTE5MjA4NDY4MzIDAAAAAzE2MAIAAAAFMjQxMzUEAAAAATAHAAAACDMvNi8yMDI2CAAAAAk2LzMwLzIwMjQJAAAAATC3pQflzXveCBHUJTnOe94IMUNJUS5OWVNFOklCTS5JUV9ESVZfU0hBUkUuMTk5NC4wNi8wMy8yMDI2Li4uVVNELkgBAAAA3rYBAAIAAAAENi42NQEIAAAABQAAAAExAQAAAAstMTkyMDg0NjgzMgMAAAADMTYwAgAAAAQzMDU4BAAAAAEwBwAAAAgzLzYvMjAyNggAAAAJNi8zMC8yMDI0CQAAAAEwt6UH5c173gge+yU5znveCDVDSVEuTllTRTpJQk0uSVFfTklfQVZBSUxfRVhDTC4xOTk0LjA2LzAzLzIwMjYuLi5VU0QuSAEAAADetgEAAgAAAAQ4NDA0AQgAAAAFAAAAATEBAAAACy0xOTIwODQ2ODMyAwAAAAMxNjACAAAAAzM3OQQAAAABMAcAAAAIMy82LzIwMjYIAAAACTYvMzAvMjAyNAkAAAABMLelB+XN</t>
  </si>
  <si>
    <t>e94IHvslOc573ggyQ0lRLk5ZU0U6SUJNLklRX0NPTU1PTl9SRVAuMTk5NC4wNi8wMy8yMDI2Li4uVVNELkgBAAAA3rYBAAIAAAAELTUxMgEIAAAABQAAAAExAQAAAAstMTkyMDg0NjgzMgMAAAADMTYwAgAAAAQyMTY0BAAAAAEwBwAAAAgzLzYvMjAyNggAAAAJNi8zMC8yMDI0CQAAAAEwt6UH5c173gge+yU5znveCD9DSVEuTllTRTpJQk0uSVFfRVhQTE9SRV9EUklMTF9FWFBfVE9UQUwuMTk5NC4wNi8wMy8yMDI2Li4uVVNELkgBAAAA3rYBAAMAAAAAALelB+XNe94IEdQlOc573ggnQ0lRLk5ZU0U6SUJNLklRX0dBQVBfSVMuMTk5NC4wNi8wMy8yMDI2AQAAAN62AQADAAAAAAC3pQflzXveCBHUJTnOe94INUNJUS5OWVNFOklCTS5JUV9FQklUREFfRVFfSU5DLjE5OTQuMDYvMDMvMjAyNi4uLlVTRC5IAQAAAN62AQACAAAABzE0MDUwLjUBCAAAAAUAAAABMQEAAAALLTE5MjA4NDY4MzIDAAAAAzE2MAIAAAAFMjE2NzcEAAAAATAHAAAACDMvNi8yMDI2CAAAAAk2LzMwLzIwMjQJAAAAATC3pQflzXveCB77JTnOe94IP0NJUS5OWVNFOklCTS5JUV9ESVNUUklCVVRBQkxFX0NBU0hfU0hBUkVTX0JBU0lDLjE5OTQuMDYvMDMvMjAyNgEAAADetgEAAwAAAAAAFMAH5c173ghiESg5znveCDZDSVEuTllTRTpJQk0uSVFfU1RPQ0tfQkFTRURfR0EuMTk5NC4wNi8wMy8yMDI2Li4uVVNELkgBAAAA3rYBAAMAAAAAALel</t>
  </si>
  <si>
    <t>B+XNe94IHvslOc573gg5Q0lRLk5ZU0U6SUJNLklRX0lOU19TRVRUTEVfU1VQUExFLjE5OTQuMDYvMDMvMjAyNi4uLlVTRC5IAQAAAN62AQADAAAAAAC3pQflzXveCB77JTnOe94INENJUS5OWVNFOklCTS5JUV9PVEhFUl9SRU5UQUwuMTk5NC4wNi8wMy8yMDI2Li4uVVNELkgBAAAA3rYBAAMAAAAAALelB+XNe94IHvslOc573gg9Q0lRLk5ZU0U6SUJNLklRX05FVF9SRU5UQUxfRVhQX1NVUFBMRS4xOTk0LjA2LzAzLzIwMjYuLi5VU0QuSAEAAADetgEAAwAAAAAAt6UH5c173ggPIiY5znveCDBDSVEuTllTRTpJQk0uSVFfRElMVVRfTkkuMTk5NC4wNi8wMy8yMDI2Li4uVVNELkgBAAAA3rYBAAIAAAALODM5OC42NDc3NDUBCAAAAAUAAAABMQEAAAALLTE5MjA4NDY4MzIDAAAAAzE2MAIAAAAEMzUyMgQAAAABMAcAAAAIMy82LzIwMjYIAAAACTYvMzAvMjAyNAkAAAABMLelB+XNe94IHvslOc573gg2Q0lRLk5ZU0U6SUJNLklRX0RJTFVUX0VQU19OT1JNLjE5OTQuMDYvMDMvMjAyNi4uLlVTRC5IAQAAAN62AQACAAAACDYuMTMyODI0AQgAAAAFAAAAATEBAAAACy0xOTIwODQ2ODMyAwAAAAMxNjACAAAABDQzODAEAAAAATAHAAAACDMvNi8yMDI2CAAAAAk2LzMwLzIwMjQJAAAAATC3pQflzXveCB77JTnOe94IK0NJUS5OWVNFOklCTS5JUV9FQlQuMTk5NC4wNi8wMy8yMDI2Li4uVVNELkgBAAAA3rYBAAIAAAAE</t>
  </si>
  <si>
    <t>ODkyNQEIAAAABQAAAAExAQAAAAstMTkyMDg0NjgzMgMAAAADMTYwAgAAAAMxMzkEAAAAATAHAAAACDMvNi8yMDI2CAAAAAk2LzMwLzIwMjQJAAAAATC3pQflzXveCB77JTnOe94INENJUS5OWVNFOklCTS5JUV9MRUdBTF9TRVRUTEUuMTk5NC4wNi8wMy8yMDI2Li4uVVNELkgBAAAA3rYBAAMAAAAAALelB+XNe94IHvslOc573ggsQ0lRLk5ZU0U6SUJNLklRX0NPR1MuMTk5NC4wNi8wMy8yMDI2Li4uVVNELkgBAAAA3rYBAAIAAAAFMjcwMTkBCAAAAAUAAAABMQEAAAALLTE5MjA4NDY4MzIDAAAAAzE2MAIAAAACMzQEAAAAATAHAAAACDMvNi8yMDI2CAAAAAk2LzMwLzIwMjQJAAAAATC3pQflzXveCA8iJjnOe94IOUNJUS5OWVNFOklCTS5JUV9DVVJSRU5UX1BPUlRfREVCVC4xOTk0LjA2LzAzLzIwMjYuLi5VU0QuSAEAAADetgEAAgAAAAQzNjAxAQgAAAAFAAAAATEBAAAACy0xOTIwODQ2ODMyAwAAAAMxNjACAAAABDEyOTcEAAAAATAHAAAACDMvNi8yMDI2CAAAAAk2LzMwLzIwMjQJAAAAATC3pQflzXveCA8iJjnOe94IL0NJUS5OWVNFOklCTS5JUV9ERVBfUlVBLjE5OTQuMDYvMDMvMjAyNi4uLlVTRC5IAQAAAN62AQACAAAAAzgwMAEIAAAABQAAAAExAQAAAAstMTkyMDg0NjgzMgMAAAADMTYwAgAAAAU0ODM1NwQAAAABMAcAAAAIMy82LzIwMjYIAAAACTYvMzAvMjAyNAkAAAABMLelB+XNe94IDyImOc57</t>
  </si>
  <si>
    <t>3gg6Q0lRLk5ZU0U6SUJNLklRX1NUT0NLX09QVElPTlNfQ09NUC4xOTk0LjA2LzAzLzIwMjYuLi5VU0QuSAEAAADetgEAAwAAAAAAt6UH5c173ggPIiY5znveCDxDSVEuTllTRTpJQk0uSVFfTUlOT1JJVFlfSU5URVJFU1RfSVMuMTk5NC4wNi8wMy8yMDI2Li4uVVNELkgBAAAA3rYBAAMAAAAAALelB+XNe94IDyImOc573gg1Q0lRLk5ZU0U6SUJNLklRX1BSRV9PUEVOX0NPU1QuMTk5NC4wNi8wMy8yMDI2Li4uVVNELkgBAAAA3rYBAAMAAAAAALelB+XNe94IDyImOc573gg3Q0lRLk5ZU0U6SUJNLklRX0dBSU5fSU5WRVNUX1JFVi4xOTk0LjA2LzAzLzIwMjYuLi5VU0QuSAEAAADetgEAAwAAAAAAt6UH5c173ggPIiY5znveCDdDSVEuTllTRTpJQk0uSVFfRklOX0RJVl9JTlRfRVhQLjE5OTQuMDYvMDMvMjAyNi4uLlVTRC5IAQAAAN62AQADAAAAAAC3pQflzXveCA8iJjnOe94IMUNJUS5OWVNFOklCTS5JUV9DSEFOR0VfQVAuMTk5NC4wNi8wMy8yMDI2Li4uVVNELkgBAAAA3rYBAAIAAAACNjUBCAAAAAUAAAABMQEAAAALLTE5MjA4NDY4MzIDAAAAAzE2MAIAAAAEMjAxNwQAAAABMAcAAAAIMy82LzIwMjYIAAAACTYvMzAvMjAyNAkAAAABMLelB+XNe94IDyImOc573gg5Q0lRLk5ZU0U6SUJNLklRX0dXX0lOVEFOX0FNT1JUX0NGLjE5OTQuMDYvMDMvMjAyNi4uLlVTRC5IAQAAAN62AQACAAAABDEzODkBCAAA</t>
  </si>
  <si>
    <t>AAUAAAABMQEAAAALLTE5MjA4NDY4MzIDAAAAAzE2MAIAAAAEMjE4MgQAAAABMAcAAAAIMy82LzIwMjYIAAAACTYvMzAvMjAyNAkAAAABMLelB+XNe94IDyImOc573gg2Q0lRLk5ZU0U6SUJNLklRX1NUT0NLX0JBU0VEX0FULjE5OTQuMDYvMDMvMjAyNi4uLlVTRC5IAQAAAN62AQADAAAAAAC3pQflzXveCDtJJjnOe94IPUNJUS5OWVNFOklCTS5JUV9JTVBVVF9PUEVSX0xFQVNFX0RFUFIuMTk5NC4wNi8wMy8yMDI2Li4uVVNELkgBAAAA3rYBAAMAAAAAALelB+XNe94IO0kmOc573ggxQ0lRLk5ZU0U6SUJNLklRX1JEX0VYUF9GTi4xOTk0LjA2LzAzLzIwMjYuLi5VU0QuSAEAAADetgEAAgAAAAQ3MDY5AQgAAAAFAAAAATEBAAAACy0xOTIwODQ2ODMyAwAAAAMxNjACAAAABDMxNjgEAAAAATAHAAAACDMvNi8yMDI2CAAAAAk2LzMwLzIwMjQJAAAAATC3pQflzXveCDtJJjnOe94IP0NJUS5OWVNFOklCTS5JUV9ERUZFUlJFRF9ET01FU1RJQ19UQVhFUy4xOTk0LjA2LzAzLzIwMjYuLi5VU0QuSAEAAADetgEAAgAAAAUtMTUzMwEIAAAABQAAAAExAQAAAAstMTkyMDg0NjgzMgMAAAADMTYwAgAAAAQzMDU0BAAAAAEwBwAAAAgzLzYvMjAyNggAAAAJNi8zMC8yMDI0CQAAAAEwt6UH5c173gg7SSY5znveCDpDSVEuTllTRTpJQk0uSVFfQ1VSUl9GT1JFSUdOX1RBWEVTLjE5OTQuMDYvMDMvMjAyNi4uLlVTRC5IAQAA</t>
  </si>
  <si>
    <t>AN62AQACAAAABDE1OTQBCAAAAAUAAAABMQEAAAALLTE5MjA4NDY4MzIDAAAAAzE2MAIAAAAEMzAzMAQAAAABMAcAAAAIMy82LzIwMjYIAAAACTYvMzAvMjAyNAkAAAABMLelB+XNe94IO0kmOc573ggsQ0lRLk5ZU0U6SUJNLklRX0RJTFVUX1dFSUdIVC4xOTk0LjA2LzAzLzIwMjYBAAAA3rYBAAIAAAAKOTMzLjM5OTM4NAC3pQflzXveCOdcJjnOe94INUNJUS5OWVNFOklCTS5JUV9JTVBBSVJNRU5UX0dXLjE5OTQuMDYvMDMvMjAyNi4uLlVTRC5IAQAAAN62AQADAAAAAAC3pQflzXveCOdcJjnOe94IOENJUS5OWVNFOklCTS5JUV9UT1RBTF9PVEhFUl9PUEVSLjE5OTQuMDYvMDMvMjAyNi4uLlVTRC5IAQAAAN62AQACAAAABTI0OTc4AQgAAAAFAAAAATEBAAAACy0xOTIwODQ2ODMyAwAAAAMxNjACAAAAAzM4MAQAAAABMAcAAAAIMy82LzIwMjYIAAAACTYvMzAvMjAyNAkAAAABMLelB+XNe94I51wmOc573gg/Q0lRLk5ZU0U6SUJNLklRX0VYQ0lTRV9UQVhFU19JTkNMX1NBTEVTLjE5OTQuMDYvMDMvMjAyNi4uLlVTRC5IAQAAAN62AQADAAAAAAC3pQflzXveCOdcJjnOe94IOUNJUS5OWVNFOklCTS5JUV9JTlZFU1RNRU5UX0lOQ09NRS4xOTk0LjA2LzAzLzIwMjYuLi5VU0QuSAEAAADetgEAAwAAAAAAt6UH5c173gg7SSY5znveCDRDSVEuTllTRTpJQk0uSVFfRUJJVERBX0NBUEVYLjE5OTQuMDYvMDMvMjAy</t>
  </si>
  <si>
    <t>Ni4uLlVTRC5IAQAAAN62AQACAAAABTExNjk2AQgAAAAFAAAAATEBAAAACy0xOTIwODQ2ODMyAwAAAAMxNjACAAAABTM1Mzc5BAAAAAEwBwAAAAgzLzYvMjAyNggAAAAJNi8zMC8yMDI0CQAAAAEwt6UH5c173giociY5znveCDNDSVEuTllTRTpJQk0uSVFfT1RIRVJfSU5UQU4uMTk5NC4wNi8wMy8yMDI2Li4uVVNELkgBAAAA3rYBAAIAAAAFMTAyNTEBCAAAAAUAAAABMQEAAAALLTE5MjA4NDY4MzIDAAAAAzE2MAIAAAAEMTA0MAQAAAABMAcAAAAIMy82LzIwMjYIAAAACTYvMzAvMjAyNAkAAAABMLelB+XNe94IqHImOc573gg5Q0lRLk5ZU0U6SUJNLklRX0NBU0hfSU5URVJFU1RfTkVULjE5OTQuMDYvMDMvMjAyNi4uLlVTRC5IAQAAAN62AQADAAAAAAC3pQflzXveCKhyJjnOe94IMkNJUS5OWVNFOklCTS5JUV9ORVRfQ0hBTkdFLjE5OTQuMDYvMDMvMjAyNi4uLlVTRC5IAQAAAN62AQACAAAABDUwNTQBCAAAAAUAAAABMQEAAAALLTE5MjA4NDY4MzIDAAAAAzE2MAIAAAAEMjA5MwQAAAABMAcAAAAIMy82LzIwMjYIAAAACTYvMzAvMjAyNAkAAAABMLelB+XNe94I51wmOc573gg5Q0lRLk5ZU0U6SUJNLklRX1BST1ZfQkFEX0RFQlRTX0NGLjE5OTQuMDYvMDMvMjAyNi4uLlVTRC5IAQAAAN62AQADAAAAAAC3pQflzXveCOdcJjnOe94IP0NJUS5OWVNFOklCTS5JUV9HQUlOX0JBUkdBSU5fQUNRX1NVUFBMRS4x</t>
  </si>
  <si>
    <t>OTk0LjA2LzAzLzIwMjYuLi5VU0QuSAEAAADetgEAAwAAAAAAt6UH5c173giociY5znveCC9DSVEuTllTRTpJQk0uSVFfTklfU0ZBUy4xOTk0LjA2LzAzLzIwMjYuLi5VU0QuSAEAAADetgEAAwAAAAAAt6UH5c173giociY5znveCD9DSVEuTllTRTpJQk0uSVFfRUJJVERBUl9FUV9JTkNfRVhDTF9TQkMuMTk5NC4wNi8wMy8yMDI2Li4uVVNELkgBAAAA3rYBAAMAAAAAALelB+XNe94IqHImOc573ggvQ0lRLk5ZU0U6SUJNLklRX0VCSVREQVIuMTk5NC4wNi8wMy8yMDI2Li4uVVNELkgBAAAA3rYBAAMAAAAAALelB+XNe94IqHImOc573gg1Q0lRLk5ZU0U6SUJNLklRX05JX0FWQUlMX0lOQ0wuMTk5NC4wNi8wMy8yMDI2Li4uVVNELkgBAAAA3rYBAAIAAAAEODQzMAEIAAAABQAAAAExAQAAAAstMTkyMDg0NjgzMgMAAAADMTYwAgAAAAIxNgQAAAABMAcAAAAIMy82LzIwMjYIAAAACTYvMzAvMjAyNAkAAAABMLelB+XNe94IqHImOc573gg7Q0lRLk5ZU0U6SUJNLklRX0lOVEVSRVNUX0lOVkVTVF9JTkMuMTk5NC4wNi8wMy8yMDI2Li4uVVNELkgBAAAA3rYBAAIAAAADNzI2AQgAAAAFAAAAATEBAAAACy0xOTIwODQ2ODMyAwAAAAMxNjACAAAAAjY1BAAAAAEwBwAAAAgzLzYvMjAyNggAAAAJNi8zMC8yMDI0CQAAAAEwt6UH5c173ggzmiY5znveCDxDSVEuTllTRTpJQk0uSVFfTUlOT1JJVFlfSU5URVJFU1RfQ0Yu</t>
  </si>
  <si>
    <t>MTk5NC4wNi8wMy8yMDI2Li4uVVNELkgBAAAA3rYBAAMAAAAAALelB+XNe94IM5omOc573ghCQ0lRLk5ZU0U6SUJNLklRX0RFUFJFQ0lBVElPTl9SRU5UQUxfQVNTRVRTLjE5OTQuMDYvMDMvMjAyNi4uLlVTRC5IAQAAAN62AQADAAAAAAC3pQflzXveCKhyJjnOe94IOUNJUS5OWVNFOklCTS5JUV9ESVNUUklCVVRBQkxFX0NBU0hfUEFZT1VULjE5OTQuMDYvMDMvMjAyNgEAAADetgEAAwAAAAAAt6UH5c173giociY5znveCD1DSVEuTllTRTpJQk0uSVFfRUJJVEFfRVFfSU5DX0VYQ0xfU0JDLjE5OTQuMDYvMDMvMjAyNi4uLlVTRC5IAQAAAN62AQACAAAABTEyNjA3AQgAAAAFAAAAATEBAAAACy0xOTIwODQ2ODMyAwAAAAMxNjACAAAABTI0MTMyBAAAAAEwBwAAAAgzLzYvMjAyNggAAAAJNi8zMC8yMDI0CQAAAAEwt6UH5c173giociY5znveCD1DSVEuTllTRTpJQk0uSVFfRUJJVERBX0xFQVNFX0FESlVTVEVELjE5OTQuMDYvMDMvMjAyNi4uLlVTRC5IAQAAAN62AQACAAAABzE0MDUwLjUBCAAAAAUAAAABMQEAAAALLTE5MjA4NDY4MzIDAAAAAzE2MAIAAAAFNDg5OTMEAAAAATAHAAAACDMvNi8yMDI2CAAAAAk2LzMwLzIwMjQJAAAAATC3pQflzXveCDOaJjnOe94IPkNJUS5OWVNFOklCTS5JUV9FQklUREFfRVFfSU5DX0VYQ0xfU0JDLjE5OTQuMDYvMDMvMjAyNi4uLlVTRC5IAQAAAN62AQACAAAABTEzOTUw</t>
  </si>
  <si>
    <t>AQgAAAAFAAAAATEBAAAACy0xOTIwODQ2ODMyAwAAAAMxNjACAAAABTI0MTMxBAAAAAEwBwAAAAgzLzYvMjAyNggAAAAJNi8zMC8yMDI0CQAAAAEwt6UH5c173ggzmiY5znveCDNDSVEuTllTRTpJQk0uSVFfUkVTVFJVQ1RVUkUuMTk5NC4wNi8wMy8yMDI2Li4uVVNELkgBAAAA3rYBAAIAAAAELTQ1NwEIAAAABQAAAAExAQAAAAstMTkyMDg0NjgzMgMAAAADMTYwAgAAAAI5OAQAAAABMAcAAAAIMy82LzIwMjYIAAAACTYvMzAvMjAyNAkAAAABMLelB+XNe94IM5omOc573gg2Q0lRLk5ZU0U6SUJNLklRX1BST1ZfQkFEX0RFQlRTLjE5OTQuMDYvMDMvMjAyNi4uLlVTRC5IAQAAAN62AQADAAAAAAC3pQflzXveCDOaJjnOe94IM0NJUS5OWVNFOklCTS5JUV9JTlNfRElWX1JFVi4xOTk0LjA2LzAzLzIwMjYuLi5VU0QuSAEAAADetgEAAwAAAAAAt6UH5c173ggzmiY5znveCDlDSVEuTllTRTpJQk0uSVFfVE9UQUxfREVCVF9SRVBBSUQuMTk5NC4wNi8wMy8yMDI2Li4uVVNELkgBAAAA3rYBAAIAAAAFLTcwNTABCAAAAAUAAAABMQEAAAALLTE5MjA4NDY4MzIDAAAAAzE2MAIAAAAEMjE2NgQAAAABMAcAAAAIMy82LzIwMjYIAAAACTYvMzAvMjAyNAkAAAABMLelB+XNe94IM5omOc573ggxQ0lRLk5ZU0U6SUJNLklRX0NIQU5HRV9BUi4xOTk0LjA2LzAzLzIwMjYuLi5VU0QuSAEAAADetgEAAgAAAAM3MjUBCAAAAAUA</t>
  </si>
  <si>
    <t>AAABMQEAAAALLTE5MjA4NDY4MzIDAAAAAzE2MAIAAAAEMjAxOAQAAAABMAcAAAAIMy82LzIwMjYIAAAACTYvMzAvMjAyNAkAAAABMLelB+XNe94IM5omOc573ggwQ0lRLk5ZU0U6SUJNLklRX0xPQU5TX0NGLjE5OTQuMDYvMDMvMjAyNi4uLlVTRC5IAQAAAN62AQADAAAAAAC3pQflzXveCDOaJjnOe94IOENJUS5OWVNFOklCTS5JUV9TVE9DS19CQVNFRF9DT01QLjE5OTQuMDYvMDMvMjAyNi4uLlVTRC5IAQAAAN62AQACAAAAAzg0MwC3pQflzXveCDOaJjnOe94IOUNJUS5OWVNFOklCTS5JUV9TVE9DS19CQVNFRF9PVEhFUi4xOTk0LjA2LzAzLzIwMjYuLi5VU0QuSAEAAADetgEAAwAAAAAAt6UH5c173ggzmiY5znveCDxDSVEuTllTRTpJQk0uSVFfT1RIRVJfVU5VU1VBTF9TVVBQTEUuMTk5NC4wNi8wMy8yMDI2Li4uVVNELkgBAAAA3rYBAAMAAAAAALelB+XNe94IM5omOc573gguQ0lRLk5ZU0U6SUJNLklRX0VCSVREQS4xOTk0LjA2LzAzLzIwMjYuLi5VU0QuSAEAAADetgEAAgAAAAUxMjczNgEIAAAABQAAAAExAQAAAAstMTkyMDg0NjgzMgMAAAADMTYwAgAAAAQ0MDUxBAAAAAEwBwAAAAgzLzYvMjAyNggAAAAJNi8zMC8yMDI0CQAAAAEwt6UH5c173ggzmiY5znveCDlDSVEuTllTRTpJQk0uSVFfU1BFQ0lBTF9ESVZfU0hBUkUuMTk5NC4wNi8wMy8yMDI2Li4uVVNELkgBAAAA3rYBAAMAAAAAALelB+XN</t>
  </si>
  <si>
    <t>e94IM5omOc573ghMQ0lRLk5ZU0U6SUJNLklRX0RJU1RSSUJVVEFCTEVfQ0FTSF9QRVJfU0hBUkVfRElMVVRFRC4xOTk0LjA2LzAzLzIwMjYuLi5VU0QuSAEAAADetgEAAwAAAAAAt6UH5c173ggzmiY5znveCCpDSVEuTllTRTpJQk0uSVFfTkkuMTk5NC4wNi8wMy8yMDI2Li4uVVNELkgBAAAA3rYBAAIAAAAEODQzMAEIAAAABQAAAAExAQAAAAstMTkyMDg0NjgzMgMAAAADMTYwAgAAAAIxNQQAAAABMAcAAAAIMy82LzIwMjYIAAAACTYvMzAvMjAyNAkAAAABMLelB+XNe94IM5omOc573ggsQ0lRLk5ZU0U6SUJNLklRX0lQUkQuMTk5NC4wNi8wMy8yMDI2Li4uVVNELkgBAAAA3rYBAAMAAAAAALelB+XNe94IOtUmOc573gg+Q0lRLk5ZU0U6SUJNLklRX0FTU0VUX1dSSVRFRE9XTl9TVVBQTEUuMTk5NC4wNi8wMy8yMDI2Li4uVVNELkgBAAAA3rYBAAMAAAAAALelB+XNe94IOtUmOc573ggwQ0lRLk5ZU0U6SUJNLklRX09QRVJfSU5DLjE5OTQuMDYvMDMvMjAyNi4uLlVTRC5IAQAAAN62AQACAAAABTEwMDA0AQgAAAAFAAAAATEBAAAACy0xOTIwODQ2ODMyAwAAAAMxNjACAAAAAjIxBAAAAAEwBwAAAAgzLzYvMjAyNggAAAAJNi8zMC8yMDI0CQAAAAEwt6UH5c173ggzmiY5znveCDNDSVEuTllTRTpJQk0uSVFfRklOX0RJVl9FWFAuMTk5NC4wNi8wMy8yMDI2Li4uVVNELkgBAAAA3rYBAAIAAAADMzY1AQgAAAAF</t>
  </si>
  <si>
    <t>AAAAATEBAAAACy0xOTIwODQ2ODMyAwAAAAMxNjACAAAAAjUxBAAAAAEwBwAAAAgzLzYvMjAyNggAAAAJNi8zMC8yMDI0CQAAAAEwt6UH5c173ggzmiY5znveCDNDSVEuTllTRTpJQk0uSVFfSU5TX0RJVl9FWFAuMTk5NC4wNi8wMy8yMDI2Li4uVVNELkgBAAAA3rYBAAMAAAAAALelB+XNe94IOtUmOc573gg0Q0lRLk5ZU0U6SUJNLklRX0lOVEVSRVNUX0VYUC4xOTk0LjA2LzAzLzIwMjYuLi5VU0QuSAEAAADetgEAAgAAAAUtMTY3NgEIAAAABQAAAAExAQAAAAstMTkyMDg0NjgzMgMAAAADMTYwAgAAAAI4MgQAAAABMAcAAAAIMy82LzIwMjYIAAAACTYvMzAvMjAyNAkAAAABMLelB+XNe94IOtUmOc573ggwQ0lRLk5ZU0U6SUJNLklRX0RBX1NVUFBMLjE5OTQuMDYvMDMvMjAyNi4uLlVTRC5IAQAAAN62AQADAAAAAAC3pQflzXveCDrVJjnOe94IN0NJUS5OWVNFOklCTS5JUV9HQUlOX0FTU0VUU19SRVYuMTk5NC4wNi8wMy8yMDI2Li4uVVNELkgBAAAA3rYBAAMAAAAAALelB+XNe94IOtUmOc573gg3Q0lRLk5ZU0U6SUJNLklRX09USEVSX1JFVl9TVVBQTC4xOTk0LjA2LzAzLzIwMjYuLi5VU0QuSAEAAADetgEAAgAAAAExAQgAAAAFAAAAATEBAAAACy0xOTIwODQ2ODMyAwAAAAMxNjACAAAAAjkwBAAAAAEwBwAAAAgzLzYvMjAyNggAAAAJNi8zMC8yMDI0CQAAAAEwt6UH5c173gg61SY5znveCC5DSVEuTllT</t>
  </si>
  <si>
    <t>RTpJQk0uSVFfTUVSR0VSLjE5OTQuMDYvMDMvMjAyNi4uLlVTRC5IAQAAAN62AQACAAAABC0xMjABCAAAAAUAAAABMQEAAAALLTE5MjA4NDY4MzIDAAAAAzE2MAIAAAACODAEAAAAATAHAAAACDMvNi8yMDI2CAAAAAk2LzMwLzIwMjQJAAAAATC3pQflzXveCDrVJjnOe94IP0NJUS5OWVNFOklCTS5JUV9MRUFTRV9BREpVU1RNRU5UX0VCSVREQS4xOTk0LjA2LzAzLzIwMjYuLi5VU0QuSAEAAADetgEAAgAAAAYxMzE0LjUAt6UH5c173gg61SY5znveCDxDSVEuTllTRTpJQk0uSVFfRUJJVF9FUV9JTkNfRVhDTF9TQkMuMTk5NC4wNi8wMy8yMDI2Li4uVVNELkgBAAAA3rYBAAIAAAAFMTEyMTgBCAAAAAUAAAABMQEAAAALLTE5MjA4NDY4MzIDAAAAAzE2MAIAAAAFMjQxMzAEAAAAATAHAAAACDMvNi8yMDI2CAAAAAk2LzMwLzIwMjQJAAAAATC3pQflzXveCDrVJjnOe94INkNJUS5OWVNFOklCTS5JUV9FQklUREFSX0VRX0lOQy4xOTk0LjA2LzAzLzIwMjYuLi5VU0QuSAEAAADetgEAAwAAAAAAt6UH5c173gg61SY5znveCDtDSVEuTllTRTpJQk0uSVFfTk9OQ0FTSF9QRU5TSU9OX0VYUC4xOTk0LjA2LzAzLzIwMjYuLi5VU0QuSAEAAADetgEAAwAAAAAAt6UH5c173gg61SY5znveCDlDSVEuTllTRTpJQk0uSVFfTkVUX1JFTlRBTF9FWFBfRk4uMTk5NC4wNi8wMy8yMDI2Li4uVVNELkgBAAAA3rYBAAMAAAAAALel</t>
  </si>
  <si>
    <t>B+XNe94Iv/wmOc573gg1Q0lRLk5ZU0U6SUJNLklRX01FUkdFUl9TVVBQTEUuMTk5NC4wNi8wMy8yMDI2Li4uVVNELkgBAAAA3rYBAAMAAAAAALelB+XNe94Iv/wmOc573gg3Q0lRLk5ZU0U6SUJNLklRX1NUT0NLX0JBU0VEX1NHQS4xOTk0LjA2LzAzLzIwMjYuLi5VU0QuSAEAAADetgEAAgAAAAM2NDMBCAAAAAUAAAABMQEAAAALLTE5MjA4NDY4MzIDAAAAAzE2MAIAAAAFMjI2NzkEAAAAATAHAAAACDMvNi8yMDI2CAAAAAk2LzMwLzIwMjQJAAAAATC3pQflzXveCL/8JjnOe94IOENJUS5OWVNFOklCTS5JUV9SRVNUUl9TVE9DS19DT01QLjE5OTQuMDYvMDMvMjAyNi4uLlVTRC5IAQAAAN62AQADAAAAAAC3pQflzXveCL/8JjnOe94IP0NJUS5OWVNFOklCTS5JUV9TVE9DS19CQVNFRF9DT01QX1BSRVRBWC4xOTk0LjA2LzAzLzIwMjYuLi5VU0QuSAEAAADetgEAAgAAAAQxMjE0ALelB+XNe94Iv/wmOc573gg4Q0lRLk5ZU0U6SUJNLklRX05FVF9JTlRFUkVTVF9FWFAuMTk5NC4wNi8wMy8yMDI2Li4uVVNELkgBAAAA3rYBAAIAAAAELTk1MAEIAAAABQAAAAExAQAAAAstMTkyMDg0NjgzMgMAAAADMTYwAgAAAAMzNjgEAAAAATAHAAAACDMvNi8yMDI2CAAAAAk2LzMwLzIwMjQJAAAAATC3pQflzXveCLUQJznOe94INkNJUS5OWVNFOklCTS5JUV9CQVNJQ19FUFNfRVhDTC4xOTk0LjA2LzAzLzIwMjYuLi5VU0Qu</t>
  </si>
  <si>
    <t>SAEAAADetgEAAgAAAAg5LjE3Mjc3MwEIAAAABQAAAAExAQAAAAstMTkyMDg0NjgzMgMAAAADMTYwAgAAAAQzMDY0BAAAAAEwBwAAAAgzLzYvMjAyNggAAAAJNi8zMC8yMDI0CQAAAAEwt6UH5c173gi1ECc5znveCDhDSVEuTllTRTpJQk0uSVFfRUJJVERBUl9FWENMX1NCQy4xOTk0LjA2LzAzLzIwMjYuLi5VU0QuSAEAAADetgEAAwAAAAAAt6UH5c173gi1ECc5znveCD1DSVEuTllTRTpJQk0uSVFfVE9UQUxfUkVWX0FTX1JFUE9SVEVELjE5OTQuMDYvMDMvMjAyNi4uLlVTRC5IAQAAAN62AQACAAAABTYyMzY0AQgAAAAFAAAAATEBAAAACy0xOTIwODQ2ODMyAwAAAAMxNjACAAAAAzMzOQQAAAABMAcAAAAIMy82LzIwMjYIAAAACTYvMzAvMjAyNAkAAAABMLelB+XNe94Iv/wmOc573ghKQ0lRLk5ZU0U6SUJNLklRX1BST1ZfQkFEX0RFQlRTX1BBVElFTlRfU0VSVklDRV9SRVYuMTk5NC4wNi8wMy8yMDI2Li4uVVNELkgBAAAA3rYBAAMAAAAAALelB+XNe94Iv/wmOc573gg+Q0lRLk5ZU0U6SUJNLklRX0RFRkVSUkVEX0ZPUkVJR05fVEFYRVMuMTk5NC4wNi8wMy8yMDI2Li4uVVNELkgBAAAA3rYBAAIAAAADNDI4AQgAAAAFAAAAATEBAAAACy0xOTIwODQ2ODMyAwAAAAMxNjACAAAABDMwNTUEAAAAATAHAAAACDMvNi8yMDI2CAAAAAk2LzMwLzIwMjQJAAAAATC3pQflzXveCLUQJznOe94ISUNJUS5OWVNFOklC</t>
  </si>
  <si>
    <t>TS5JUV9JTlRFUkVTVF9FWFBfTEVBU0VfTElBQklMSVRZX0RFQlQuMTk5NC4wNi8wMy8yMDI2Li4uVVNELkgBAAAA3rYBAAMAAAAAALelB+XNe94ItRAnOc573gg5Q0lRLk5ZU0U6SUJNLklRX0NPTlRJTkdFTlRfUkVOVEFMLjE5OTQuMDYvMDMvMjAyNi4uLlVTRC5IAQAAAN62AQADAAAAAAC3pQflzXveCLUQJznOe94IM0NJUS5OWVNFOklCTS5JUV9TQUxFX1BQRV9DRi4xOTk0LjA2LzAzLzIwMjYuLi5VU0QuSAEAAADetgEAAgAAAAMzNTMBCAAAAAUAAAABMQEAAAALLTE5MjA4NDY4MzIDAAAAAzE2MAIAAAAEMjA0MgQAAAABMAcAAAAIMy82LzIwMjYIAAAACTYvMzAvMjAyNAkAAAABMLelB+XNe94ItRAnOc573gg+Q0lRLk5ZU0U6SUJNLklRX0RBX0NGX0VYQ0xfT1BFUl9MRUFTRVMuMTk5NC4wNi8wMy8yMDI2Li4uVVNELkgBAAAA3rYBAAIAAAAEMjczMgEIAAAABQAAAAExAQAAAAstMTkyMDg0NjgzMgMAAAADMTYwAgAAAAU0ODk4NQQAAAABMAcAAAAIMy82LzIwMjYIAAAACTYvMzAvMjAyNAkAAAABMLelB+XNe94ItRAnOc573ggyQ0lRLk5ZU0U6SUJNLklRX0lNUEFJUl9PSUwuMTk5NC4wNi8wMy8yMDI2Li4uVVNELkgBAAAA3rYBAAMAAAAAALelB+XNe94ItRAnOc573gg3Q0lRLk5ZU0U6SUJNLklRX0VYVFJBX0FDQ19JVEVNUy4xOTk0LjA2LzAzLzIwMjYuLi5VU0QuSAEAAADetgEAAwAAAAAAt6UH</t>
  </si>
  <si>
    <t>5c173gi1ECc5znveCDtDSVEuTllTRTpJQk0uSVFfQ1VSUl9ET01FU1RJQ19UQVhFUy4xOTk0LjA2LzAzLzIwMjYuLi5VU0QuSAEAAADetgEAAgAAAAM2ODcBCAAAAAUAAAABMQEAAAALLTE5MjA4NDY4MzIDAAAAAzE2MAIAAAAEMzAyNwQAAAABMAcAAAAIMy82LzIwMjYIAAAACTYvMzAvMjAyNAkAAAABMLelB+XNe94ItRAnOc573ggsQ0lRLk5ZU0U6SUJNLklRX1BBWU9VVF9SQVRJTy4xOTk0LjA2LzAzLzIwMjYBAAAA3rYBAAIAAAAHNzIuMjUzOAEIAAAABQAAAAExAQAAAAstMTkyMDg0NjgzMgMAAAADMTYwAgAAAAQ0Mzc3BAAAAAEwBwAAAAgzLzYvMjAyNggAAAAJNi8zMC8yMDI0CQAAAAEwt6UH5c173gi1ECc5znveCDVDSVEuTllTRTpJQk0uSVFfQUlSQ1JBRlRfUkVOVC4xOTk0LjA2LzAzLzIwMjYuLi5VU0QuSAEAAADetgEAAwAAAAAAt6UH5c173gi1ECc5znveCDZDSVEuTllTRTpJQk0uSVFfR0FJTl9JTlZFU1RfQ0YuMTk5NC4wNi8wMy8yMDI2Li4uVVNELkgBAAAA3rYBAAMAAAAAALelB+XNe94ItRAnOc573gg5Q0lRLk5ZU0U6SUJNLklRX0NIQU5HRV9VTkVBUk5fUkVWLjE5OTQuMDYvMDMvMjAyNi4uLlVTRC5IAQAAAN62AQADAAAAAAC3pQflzXveCLUQJznOe94IOUNJUS5OWVNFOklCTS5JUV9UT1RBTF9ERUJUX0lTU1VFRC4xOTk0LjA2LzAzLzIwMjYuLi5VU0QuSAEAAADetgEAAgAAAAQ1</t>
  </si>
  <si>
    <t>ODU5AQgAAAAFAAAAATEBAAAACy0xOTIwODQ2ODMyAwAAAAMxNjACAAAABDIxNjEEAAAAATAHAAAACDMvNi8yMDI2CAAAAAk2LzMwLzIwMjQJAAAAATC3pQflzXveCLUQJznOe94IKkNJUS5OWVNFOklCTS5JUV9HUC4xOTk0LjA2LzAzLzIwMjYuLi5VU0QuSAEAAADetgEAAgAAAAUzNDk4MgEIAAAABQAAAAExAQAAAAstMTkyMDg0NjgzMgMAAAADMTYwAgAAAAIxMAQAAAABMAcAAAAIMy82LzIwMjYIAAAACTYvMzAvMjAyNAkAAAABMLelB+XNe94IkUsnOc573ggzQ0lRLk5ZU0U6SUJNLklRX0dBSU5fSU5WRVNULjE5OTQuMDYvMDMvMjAyNi4uLlVTRC5IAQAAAN62AQACAAAAAjU3AQgAAAAFAAAAATEBAAAACy0xOTIwODQ2ODMyAwAAAAMxNjACAAAAAjYyBAAAAAEwBwAAAAgzLzYvMjAyNggAAAAJNi8zMC8yMDI0CQAAAAEwt6UH5c173giRSyc5znveCDZDSVEuTllTRTpJQk0uSVFfRElMVVRfRVBTX0lOQ0wuMTk5NC4wNi8wMy8yMDI2Li4uVVNELkgBAAAA3rYBAAIAAAAIOS4wMjU3NjkBCAAAAAUAAAABMQEAAAALLTE5MjA4NDY4MzIDAAAAAzE2MAIAAAABOAQAAAABMAcAAAAIMy82LzIwMjYIAAAACTYvMzAvMjAyNAkAAAABMLelB+XNe94IkUsnOc573gguQ0lRLk5ZU0U6SUJNLklRX1JFU1RBVEVNRU5UX0lTLjE5OTQuMDYvMDMvMjAyNgEAAADetgEAAwAAAAJSQwC3pQflzXveCJFLJznOe94IM0NJUS5O</t>
  </si>
  <si>
    <t>WVNFOklCTS5JUV9HQUlOX0FTU0VUUy4xOTk0LjA2LzAzLzIwMjYuLi5VU0QuSAEAAADetgEAAgAAAAMyODYBCAAAAAUAAAABMQEAAAALLTE5MjA4NDY4MzIDAAAAAzE2MAIAAAACNTYEAAAAATAHAAAACDMvNi8yMDI2CAAAAAk2LzMwLzIwMjQJAAAAATC3pQflzXveCLUQJznOe94IM0NJUS5OWVNFOklCTS5JUV9JTlRfSU5WX0lOQy4xOTk0LjA2LzAzLzIwMjYuLi5VU0QuSAEAAADetgEAAwAAAAAAt6UH5c173giRSyc5znveCC5DSVEuTllTRTpJQk0uSVFfUkRfRVhQLjE5OTQuMDYvMDMvMjAyNi4uLlVTRC5IAQAAAN62AQACAAAABDcwNjkBCAAAAAUAAAABMQEAAAALLTE5MjA4NDY4MzIDAAAAAzE2MAIAAAADMTAwBAAAAAEwBwAAAAgzLzYvMjAyNggAAAAJNi8zMC8yMDI0CQAAAAEwt6UH5c173giRSyc5znveCDVDSVEuTllTRTpJQk0uSVFfQ1VSUkVOQ1lfR0FJTi4xOTk0LjA2LzAzLzIwMjYuLi5VU0QuSAEAAADetgEAAgAAAAQtMTk0AQgAAAAFAAAAATEBAAAACy0xOTIwODQ2ODMyAwAAAAMxNjACAAAAAjM4BAAAAAEwBwAAAAgzLzYvMjAyNggAAAAJNi8zMC8yMDI0CQAAAAEwt6UH5c173giRSyc5znveCC9DSVEuTllTRTpJQk0uSVFfSU5DX1RBWC4xOTk0LjA2LzAzLzIwMjYuLi5VU0QuSAEAAADetgEAAgAAAAM1MjEBCAAAAAUAAAABMQEAAAALLTE5MjA4NDY4MzIDAAAAAzE2MAIAAAACNzUEAAAA</t>
  </si>
  <si>
    <t>ATAHAAAACDMvNi8yMDI2CAAAAAk2LzMwLzIwMjQJAAAAATC3pQflzXveCJFLJznOe94IMkNJUS5OWVNFOklCTS5JUV9DT01NT05fRElWLjE5OTQuMDYvMDMvMjAyNi4uLlVTRC5IAQAAAN62AQACAAAABDYwOTIAt6UH5c173giRSyc5znveCDZDSVEuTllTRTpJQk0uSVFfU1RPQ0tfQkFTRURfUkQuMTk5NC4wNi8wMy8yMDI2Li4uVVNELkgBAAAA3rYBAAIAAAADMzY1AQgAAAAFAAAAATEBAAAACy0xOTIwODQ2ODMyAwAAAAMxNjACAAAABTIyNjc4BAAAAAEwBwAAAAgzLzYvMjAyNggAAAAJNi8zMC8yMDI0CQAAAAEwt6UH5c173gj6cic5znveCDlDSVEuTllTRTpJQk0uSVFfU1RPQ0tfQkFTRURfVE9UQUwuMTk5NC4wNi8wMy8yMDI2Li4uVVNELkgBAAAA3rYBAAIAAAAEMTIxNAEIAAAABQAAAAExAQAAAAstMTkyMDg0NjgzMgMAAAADMTYwAgAAAAUyNDAzNAQAAAABMAcAAAAIMy82LzIwMjYIAAAACTYvMzAvMjAyNAkAAAABMLelB+XNe94IkUsnOc573ggtQ0lRLk5ZU0U6SUJNLklRX05JX0NGLjE5OTQuMDYvMDMvMjAyNi4uLlVTRC5IAQAAAN62AQACAAAABDg0MzABCAAAAAUAAAABMQEAAAALLTE5MjA4NDY4MzIDAAAAAzE2MAIAAAAEMjE1MAQAAAABMAcAAAAIMy82LzIwMjYIAAAACTYvMzAvMjAyNAkAAAABMLelB+XNe94IkUsnOc573gg2Q0lRLk5ZU0U6SUJNLklRX09USEVSX09QRVJfQUNULjE5OTQu</t>
  </si>
  <si>
    <t>MDYvMDMvMjAyNi4uLlVTRC5IAQAAAN62AQACAAAABS0xMTEyAQgAAAAFAAAAATEBAAAACy0xOTIwODQ2ODMyAwAAAAMxNjACAAAABDIwNDcEAAAAATAHAAAACDMvNi8yMDI2CAAAAAk2LzMwLzIwMjQJAAAAATC3pQflzXveCJFLJznOe94INkNJUS5OWVNFOklCTS5JUV9DSEFOR0VfSU5DX1RBWC4xOTk0LjA2LzAzLzIwMjYuLi5VU0QuSAEAAADetgEAAwAAAAAAt6UH5c173giRSyc5znveCC5DSVEuTllTRTpJQk0uSVFfUkVTVEFURU1FTlRfQ0YuMTk5NC4wNi8wMy8yMDI2AQAAAN62AQADAAAAAk5DALelB+XNe94I+nInOc573gg3Q0lRLk5ZU0U6SUJNLklRX0FTU0VUX1dSSVRFRE9XTi4xOTk0LjA2LzAzLzIwMjYuLi5VU0QuSAEAAADetgEAAwAAAAAAt6UH5c173gj6cic5znveCDBDSVEuTllTRTpJQk0uSVFfRFJfUkFUSU9fUFJJTUFSWS4xOTk0LjA2LzAzLzIwMjYBAAAA3rYBAAIAAAABMQC3pQflzXveCPpyJznOe94IQENJUS5OWVNFOklCTS5JUV9ESVNUUklCVVRBQkxFX0NBU0hfU0hBUkUuMTk5NC4wNi8wMy8yMDI2Li4uVVNELkgBAAAA3rYBAAMAAAAAALelB+XNe94I+nInOc573ghHQ0lRLk5ZU0U6SUJNLklRX0RJU1RSSUJVVEFCTEVfQ0FTSF9TVEFOREFSRElaRUQuMTk5NC4wNi8wMy8yMDI2Li4uVVNELkgBAAAA3rYBAAMAAAAAALelB+XNe94I+nInOc573ggzQ0lRLk5ZU0U6SUJNLklRX0FE</t>
  </si>
  <si>
    <t>VkVSVElTSU5HLjE5OTQuMDYvMDMvMjAyNi4uLlVTRC5IAQAAAN62AQADAAAAAAC3pQflzXveCMSGJznOe94ILkNJUS5OWVNFOklCTS5JUV9HQV9FWFAuMTk5NC4wNi8wMy8yMDI2Li4uVVNELkgBAAAA3rYBAAMAAAAAALelB+XNe94IxIYnOc573gg8Q0lRLk5ZU0U6SUJNLklRX0lNUEFJUk1FTlRfR1dfU1VQUExFLjE5OTQuMDYvMDMvMjAyNi4uLlVTRC5IAQAAAN62AQADAAAAAAC3pQflzXveCMSGJznOe94IQUNJUS5OWVNFOklCTS5JUV9TVE9DS19PUFRJT05TX0NPTVBfUFJFVEFYLjE5OTQuMDYvMDMvMjAyNi4uLlVTRC5IAQAAAN62AQADAAAAAAC3pQflzXveCMSGJznOe94IL0NJUS5OWVNFOklCTS5JUV9QRVJJT0RMRU5HVEhfQ0YuMTk5NC4wNi8wMy8yMDI2AQAAAN62AQABAAAAAjEyALelB+XNe94IxIYnOc573ggzQ0lRLk5ZU0U6SUJNLklRX0ZJTl9ESVZfUkVWLjE5OTQuMDYvMDMvMjAyNi4uLlVTRC5IAQAAAN62AQACAAAAAzcxOQEIAAAABQAAAAExAQAAAAstMTkyMDg0NjgzMgMAAAADMTYwAgAAAAI1MgQAAAABMAcAAAAIMy82LzIwMjYIAAAACTYvMzAvMjAyNAkAAAABMLelB+XNe94IxIYnOc573gg1Q0lRLk5ZU0U6SUJNLklRX0VYUExPUkVfRFJJTEwuMTk5NC4wNi8wMy8yMDI2Li4uVVNELkgBAAAA3rYBAAMAAAAAALelB+XNe94IxIYnOc573ghJQ0lRLk5ZU0U6SUJNLklRX0VCSVREQV9F</t>
  </si>
  <si>
    <t>UV9JTkNfRVhDTF9PUEVSX0xFQVNFX0FESi4xOTk0LjA2LzAzLzIwMjYuLi5VU0QuSAEAAADetgEAAgAAAAUxMjczNgEIAAAABQAAAAExAQAAAAstMTkyMDg0NjgzMgMAAAADMTYwAgAAAAU0ODk4NwQAAAABMAcAAAAIMy82LzIwMjYIAAAACTYvMzAvMjAyNAkAAAABMLelB+XNe94IxIYnOc573ggzQ0lRLk5ZU0U6SUJNLklRX0VCSVRfRVFfSU5DLjE5OTQuMDYvMDMvMjAyNi4uLlVTRC5IAQAAAN62AQACAAAABTEwMDA0AQgAAAAFAAAAATEBAAAACy0xOTIwODQ2ODMyAwAAAAMxNjACAAAABTIxNjc1BAAAAAEwBwAAAAgzLzYvMjAyNggAAAAJNi8zMC8yMDI0CQAAAAEwt6UH5c173gjEhic5znveCC9DSVEuTllTRTpJQk0uSVFfTklfTk9STS4xOTk0LjA2LzAzLzIwMjYuLi5VU0QuSAEAAADetgEAAgAAAAg1NzI0LjM3NQEIAAAABQAAAAExAQAAAAstMTkyMDg0NjgzMgMAAAADMTYwAgAAAAQ0Mzc4BAAAAAEwBwAAAAgzLzYvMjAyNggAAAAJNi8zMC8yMDI0CQAAAAEwt6UH5c173gglric5znveCDFDSVEuTllTRTpJQk0uSVFfREFfRUJJVERBLjE5OTQuMDYvMDMvMjAyNi4uLlVTRC5IAQAAAN62AQACAAAABDI3MzIBCAAAAAUAAAABMQEAAAALLTE5MjA4NDY4MzIDAAAAAzE2MAIAAAAEMjIwNgQAAAABMAcAAAAIMy82LzIwMjYIAAAACTYvMzAvMjAyNAkAAAABMLelB+XNe94IJa4nOc573ggrQ0lRLk5ZU0U6</t>
  </si>
  <si>
    <t>SUJNLklRX0RJQy4xOTk0LjA2LzAzLzIwMjYuLi5VU0QuSAEAAADetgEAAwAAAAAAt6UH5c173gjEhic5znveCDZDSVEuTllTRTpJQk0uSVFfU1RfREVCVF9SRVBBSUQuMTk5NC4wNi8wMy8yMDI2Li4uVVNELkgBAAAA3rYBAAMAAAAAALelB+XNe94IxIYnOc573ggyQ0lRLk5ZU0U6SUJNLklRX0NBU0hfRklOQU4uMTk5NC4wNi8wMy8yMDI2Li4uVVNELkgBAAAA3rYBAAIAAAAFLTczODUBCAAAAAUAAAABMQEAAAALLTE5MjA4NDY4MzIDAAAAAzE2MAIAAAAEMjAwNAQAAAABMAcAAAAIMy82LzIwMjYIAAAACTYvMzAvMjAyNAkAAAABMLelB+XNe94IxIYnOc573gg0Q0lRLk5ZU0U6SUJNLklRX0FNT1JUX0RJQ19DRi4xOTk0LjA2LzAzLzIwMjYuLi5VU0QuSAEAAADetgEAAwAAAAAAt6UH5c173gglric5znveCDZDSVEuTllTRTpJQk0uSVFfR1dfSU5UQU5fQU1PUlQuMTk5NC4wNi8wMy8yMDI2Li4uVVNELkgBAAAA3rYBAAMAAAAAALelB+XNe94IJa4nOc573ggqQ0lRLk5ZU0U6SUJNLklRX0RPLjE5OTQuMDYvMDMvMjAyNi4uLlVTRC5IAQAAAN62AQACAAAAAjI2AQgAAAAFAAAAATEBAAAACy0xOTIwODQ2ODMyAwAAAAMxNjACAAAAAjQwBAAAAAEwBwAAAAgzLzYvMjAyNggAAAAJNi8zMC8yMDI0CQAAAAEwt6UH5c173gglric5znveCDZDSVEuTllTRTpJQk0uSVFfQkFTSUNfRVBTX0lOQ0wuMTk5NC4wNi8w</t>
  </si>
  <si>
    <t>My8yMDI2Li4uVVNELkgBAAAA3rYBAAIAAAAIOS4yMDExNTIBCAAAAAUAAAABMQEAAAALLTE5MjA4NDY4MzIDAAAAAzE2MAIAAAABOQQAAAABMAcAAAAIMy82LzIwMjYIAAAACTYvMzAvMjAyNAkAAAABMLelB+XNe94IJa4nOc573ggvQ0lRLk5ZU0U6SUJNLklRX1BFUklPRExFTkdUSF9JUy4xOTk0LjA2LzAzLzIwMjYBAAAA3rYBAAEAAAACMTIAt6UH5c173gglric5znveCDVDSVEuTllTRTpJQk0uSVFfRUJJVF9FWENMX1NCQy4xOTk0LjA2LzAzLzIwMjYuLi5VU0QuSAEAAADetgEAAgAAAAUxMTIxOAEIAAAABQAAAAExAQAAAAstMTkyMDg0NjgzMgMAAAADMTYwAgAAAAUyNDEzNAQAAAABMAcAAAAIMy82LzIwMjYIAAAACTYvMzAvMjAyNAkAAAABMLelB+XNe94IB8InOc573ggqQ0lRLk5ZU0U6SUJNLklRX1NBTUVfU1RPUkUuMTk5NC4wNi8wMy8yMDI2AQAAAN62AQADAAAAAAC3pQflzXveCAfCJznOe94IPENJUS5OWVNFOklCTS5JUV9ERUZFUlJFRF9UQVhFU19UT1RBTC4xOTk0LjA2LzAzLzIwMjYuLi5VU0QuSAEAAADetgEAAgAAAAUtMTEwNQEIAAAABQAAAAExAQAAAAstMTkyMDg0NjgzMgMAAAADMTYwAgAAAAUzNTM4NQQAAAABMAcAAAAIMy82LzIwMjYIAAAACTYvMzAvMjAyNAkAAAABMLelB+XNe94IB8InOc573gg4Q0lRLk5ZU0U6SUJNLklRX0lOVF9FWFBfSU5DTF9DQVAuMTk5NC4wNi8wMy8y</t>
  </si>
  <si>
    <t>MDI2Li4uVVNELkgBAAAA3rYBAAIAAAAEMTY4OQEIAAAABQAAAAExAQAAAAstMTkyMDg0NjgzMgMAAAADMTYwAgAAAAUyMTg2MQQAAAABMAcAAAAIMy82LzIwMjYIAAAACTYvMzAvMjAyNAkAAAABMLelB+XNe94IB8InOc573gg5Q0lRLk5ZU0U6SUJNLklRX05FR0FUSVZFX0dXX0FNT1JULjE5OTQuMDYvMDMvMjAyNi4uLlVTRC5IAQAAAN62AQADAAAAAAC3pQflzXveCAfCJznOe94IOENJUS5OWVNFOklCTS5JUV9DQVNIX1RBWEVTX0ZJTkFOLjE5OTQuMDYvMDMvMjAyNi4uLlVTRC5IAQAAAN62AQADAAAAAAC3pQflzXveCNPVJznOe94IMkNJUS5OWVNFOklCTS5JUV9JTlNfU0VUVExFLjE5OTQuMDYvMDMvMjAyNi4uLlVTRC5IAQAAAN62AQADAAAAAAC3pQflzXveCNPVJznOe94INENJUS5OWVNFOklCTS5JUV9FQklUQV9FUV9JTkMuMTk5NC4wNi8wMy8yMDI2Li4uVVNELkgBAAAA3rYBAAIAAAAFMTEzOTMBCAAAAAUAAAABMQEAAAALLTE5MjA4NDY4MzIDAAAAAzE2MAIAAAAFMjE2NzYEAAAAATAHAAAACDMvNi8yMDI2CAAAAAk2LzMwLzIwMjQJAAAAATC3pQflzXveCNPVJznOe94IOkNJUS5OWVNFOklCTS5JUV9BU19SRVBPUlRFRF9FQklUREEuMTk5NC4wNi8wMy8yMDI2Li4uVVNELkgBAAAA3rYBAAMAAAAAALelB+XNe94I09UnOc573gg+Q0lRLk5ZU0U6SUJNLklRX0FOTlVfRElTVFJJQlVUSU9OX1VO</t>
  </si>
  <si>
    <t>SVQuMTk5NC4wNi8wMy8yMDI2Li4uVVNELkgBAAAA3rYBAAMAAAAAALelB+XNe94IB8InOc573ggsQ0lRLk5ZU0U6SUJNLklRX0NBTENfVFlQRV9JUy4xOTk0LjA2LzAzLzIwMjYBAAAA3rYBAAMAAAADTFRNALelB+XNe94I8OknOc573ggtQ0lRLk5ZU0U6SUJNLklRX0RBX0NGLjE5OTQuMDYvMDMvMjAyNi4uLlVTRC5IAQAAAN62AQACAAAABDM1MzIBCAAAAAUAAAABMQEAAAALLTE5MjA4NDY4MzIDAAAAAzE2MAIAAAAEMjE2MAQAAAABMAcAAAAIMy82LzIwMjYIAAAACTYvMzAvMjAyNAkAAAABMLelB+XNe94I8OknOc573gg+Q0lRLk5ZU0U6SUJNLklRX09USEVSX0lOVkVTVF9BQ1RfU1VQUEwuMTk5NC4wNi8wMy8yMDI2Li4uVVNELkgBAAAA3rYBAAIAAAABMAEIAAAABQAAAAExAQAAAAstMTkyMDg0NjgzMgMAAAADMTYwAgAAAAQyMDUxBAAAAAEwBwAAAAgzLzYvMjAyNggAAAAJNi8zMC8yMDI0CQAAAAEwt6UH5c173gjT1Sc5znveCDZDSVEuTllTRTpJQk0uSVFfTFRfREVCVF9SRVBBSUQuMTk5NC4wNi8wMy8yMDI2Li4uVVNELkgBAAAA3rYBAAMAAAAAALelB+XNe94I09UnOc573gg/Q0lRLk5ZU0U6SUJNLklRX0VYQ0lTRV9UQVhFU19FWENMX1NBTEVTLjE5OTQuMDYvMDMvMjAyNi4uLlVTRC5IAQAAAN62AQADAAAAAAC3pQflzXveCNPVJznOe94IMUNJUS5OWVNFOklCTS5JUV9NQVJLRVRJTkcuMTk5</t>
  </si>
  <si>
    <t>NC4wNi8wMy8yMDI2Li4uVVNELkgBAAAA3rYBAAMAAAAAALelB+XNe94I8OknOc573gg1Q0lRLk5ZU0U6SUJNLklRX0NPTU1PTl9ESVZfQ0YuMTk5NC4wNi8wMy8yMDI2Li4uVVNELkgBAAAA3rYBAAIAAAAFLTYwOTEBCAAAAAUAAAABMQEAAAALLTE5MjA4NDY4MzIDAAAAAzE2MAIAAAAEMjA3NAQAAAABMAcAAAAIMy82LzIwMjYIAAAACTYvMzAvMjAyNAkAAAABMLelB+XNe94I8OknOc573ggsQ0lRLk5ZU0U6SUJNLklRX0JBU0lDX1dFSUdIVC4xOTk0LjA2LzAzLzIwMjYBAAAA3rYBAAIAAAAKOTE2LjE4OTYxMgC3pQflzXveCPDpJznOe94IQUNJUS5OWVNFOklCTS5JUV9FQVJOSU5HX1BBUkVOVF9FWENMX0VYVFJBLjE5OTQuMDYvMDMvMjAyNi4uLlVTRC5IAQAAAN62AQACAAAABDg0MDQBCAAAAAUAAAABMQEAAAALLTE5MjA4NDY4MzIDAAAAAzE2MAIAAAAFNDE1OTYEAAAAATAHAAAACDMvNi8yMDI2CAAAAAk2LzMwLzIwMjQJAAAAATC3pQflzXveCPDpJznOe94IK0NJUS5OWVNFOklCTS5JUV9SRVYuMTk5NC4wNi8wMy8yMDI2Li4uVVNELkgBAAAA3rYBAAIAAAAFNjE2NDYBCAAAAAUAAAABMQEAAAALLTE5MjA4NDY4MzIDAAAAAzE2MAIAAAADMTEyBAAAAAEwBwAAAAgzLzYvMjAyNggAAAAJNi8zMC8yMDI0CQAAAAEwFMAH5c173gjw6Sc5znveCDFDSVEuTllTRTpJQk0uSVFfU0dBX1NVUFBMLjE5OTQu</t>
  </si>
  <si>
    <t>MDYvMDMvMjAyNi4uLlVTRC5IAQAAAN62AQACAAAABTE4Nzk5AQgAAAAFAAAAATEBAAAACy0xOTIwODQ2ODMyAwAAAAMxNjACAAAAAzEwMgQAAAABMAcAAAAIMy82LzIwMjYIAAAACTYvMzAvMjAyNAkAAAABMBTAB+XNe94I8OknOc573ggzQ0lRLk5ZU0U6SUJNLklRX1NUT0NLX0JBU0VELjE5OTQuMDYvMDMvMjAyNi4uLlVTRC5IAQAAAN62AQADAAAAAAAUwAflzXveCPDpJznOe94IMkNJUS5OWVNFOklCTS5JUV9PVEhFUl9PUEVSLjE5OTQuMDYvMDMvMjAyNi4uLlVTRC5IAQAAAN62AQACAAAABC04OTABCAAAAAUAAAABMQEAAAALLTE5MjA4NDY4MzIDAAAAAzE2MAIAAAADMjYwBAAAAAEwBwAAAAgzLzYvMjAyNggAAAAJNi8zMC8yMDI0CQAAAAEwFMAH5c173gjw6Sc5znveCDJDSVEuTllTRTpJQk0uSVFfTklfQ09NUEFOWS4xOTk0LjA2LzAzLzIwMjYuLi5VU0QuSAEAAADetgEAAgAAAAQ4NDMwAQgAAAAFAAAAATEBAAAACy0xOTIwODQ2ODMyAwAAAAMxNjACAAAABTQxNTcxBAAAAAEwBwAAAAgzLzYvMjAyNggAAAAJNi8zMC8yMDI0CQAAAAEwFMAH5c173gjw6Sc5znveCDNDSVEuTllTRTpJQk0uSVFfSU5UX0VYUF9MVEQuMTk5NC4wNi8wMy8yMDI2Li4uVVNELkgBAAAA3rYBAAMAAAAAABTAB+XNe94I8OknOc573gg8Q0lRLk5ZU0U6SUJNLklRX1NUT0NLX0JBU0VEX0NPTVBfVEFYLjE5OTQuMDYvMDMv</t>
  </si>
  <si>
    <t>MjAyNi4uLlVTRC5IAQAAAN62AQACAAAABC0zNzAAFMAH5c173ghiESg5znveCDFDSVEuTllTRTpJQk0uSVFfRElWRVNUX0NGLjE5OTQuMDYvMDMvMjAyNi4uLlVTRC5IAQAAAN62AQACAAAAAzY5MwEIAAAABQAAAAExAQAAAAstMTkyMDg0NjgzMgMAAAADMTYwAgAAAAQyMDc3BAAAAAEwBwAAAAgzLzYvMjAyNggAAAAJNi8zMC8yMDI0CQAAAAEwFMAH5c173ghiESg5znveCDFDSVEuTllTRTpJQk0uSVFfVE9UQUxfUkVWLjE5OTQuMDYvMDMvMjAyNi4uLlVTRC5IAQAAAN62AQACAAAABTYyMzY2AQgAAAAFAAAAATEBAAAACy0xOTIwODQ2ODMyAwAAAAMxNjACAAAAAjI4BAAAAAEwBwAAAAgzLzYvMjAyNggAAAAJNi8zMC8yMDI0CQAAAAEwFMAH5c173ghiESg5znveCEBDSVEuTllTRTpJQk0uSVFfT1RIRVJfTk9OX09QRVJfRVhQX1NVUFBMLjE5OTQuMDYvMDMvMjAyNi4uLlVTRC5IAQAAAN62AQACAAAAAzI5OQEIAAAABQAAAAExAQAAAAstMTkyMDg0NjgzMgMAAAADMTYwAgAAAAI4NQQAAAABMAcAAAAIMy82LzIwMjYIAAAACTYvMzAvMjAyNAkAAAABMBTAB+XNe94I8OknOc573gg7Q0lRLk5ZU0U6SUJNLklRX09USEVSX1VOVVNVQUxfU1VQUEwuMTk5NC4wNi8wMy8yMDI2Li4uVVNELkgBAAAA3rYBAAIAAAABMAEIAAAABQAAAAExAQAAAAstMTkyMDg0NjgzMgMAAAADMTYwAgAAAAI4NwQAAAABMAcAAAAI</t>
  </si>
  <si>
    <t>My82LzIwMjYIAAAACTYvMzAvMjAyNAkAAAABMBTAB+XNe94IYhEoOc573ggwQ0lRLk5ZU0U6SUJNLklRX0VQU19OT1JNLjE5OTQuMDYvMDMvMjAyNi4uLlVTRC5IAQAAAN62AQACAAAACDYuMjQ4MDI0AQgAAAAFAAAAATEBAAAACy0xOTIwODQ2ODMyAwAAAAMxNjACAAAABDQzNzkEAAAAATAHAAAACDMvNi8yMDI2CAAAAAk2LzMwLzIwMjQJAAAAATAUwAflzXveCGIRKDnOe94IPENJUS5OWVNFOklCTS5JUV9ORUdBVElWRV9HV19BTU9SVF9BVC4xOTk0LjA2LzAzLzIwMjYuLi5VU0QuSAEAAADetgEAAwAAAAAAFMAH5c173ghiESg5znveCDtDSVEuTllTRTpJQk0uSVFfVEFYX0JFTkVGSVRfT1BUSU9OUy4xOTk0LjA2LzAzLzIwMjYuLi5VU0QuSAEAAADetgEAAwAAAAAAFMAH5c173ghiESg5znveCD1DSVEuTllTRTpJQk0uSVFfRklOX0RJVl9MT0FOU19DVVJSRU5ULjE5OTQuMDYvMDMvMjAyNi4uLlVTRC5IAQAAAN62AQACAAAABDUwNzUBCAAAAAUAAAABMQEAAAALLTE5MjA4NDY4MzIDAAAAAzE2MAIAAAAEMTAzMgQAAAABMAcAAAAIMy82LzIwMjYIAAAACTYvMzAvMjAyNAkAAAABMBTAB+XNe94IYhEoOc573ggzQ0lRLk5ZU0U6SUJNLklRX0VCSVREQV8zWVJfQU5OX0NBR1IuMTk5My4wNi8wMy8yMDI2AQAAAN62AQACAAAABjEuNjUxNAEIAAAABQAAAAExAQAAAAstMTk0ODgzNzUxNQMAAAADMTYwAgAA</t>
  </si>
  <si>
    <t>AAQ0MjIyBAAAAAEwBwAAAAgzLzYvMjAyNggAAAAJMy8zMS8yMDI0CQAAAAEwFMAH5c173ghgXyg5znveCEhDSVEuTllTRTpJQk0uSVFfVE9UQUxfREVCVF9FQklUREFfRVhDTF9PUEVSX0xFQVNFU19DQVBFWC4xOTkzLjA2LzAzLzIwMjYBAAAA3rYBAAIAAAAINS40Nzg5NTQBCAAAAAUAAAABMQEAAAALLTE5NDg4Mzc1MTUDAAAAAzE2MAIAAAAFNDkxODMEAAAAATAHAAAACDMvNi8yMDI2CAAAAAkzLzMxLzIwMjQJAAAAATAUwAflzXveCGBfKDnOe94IL0NJUS5OWVNFOklCTS5JUV9ORVRfREVCVF9FQklUREEuMTk5My4wNi8wMy8yMDI2AQAAAN62AQACAAAACDMuMTMzODc4AQgAAAAFAAAAATEBAAAACy0xOTQ4ODM3NTE1AwAAAAMxNjACAAAABDQxOTMEAAAAATAHAAAACDMvNi8yMDI2CAAAAAkzLzMxLzIwMjQJAAAAATAUwAflzXveCGBfKDnOe94IL0NJUS5OWVNFOklCTS5JUV9DQVNIX0NPTlZFUlNJT04uMTk5My4wNi8wMy8yMDI2AQAAAN62AQACAAAACDcuMTA4MDg2AQgAAAAFAAAAATEBAAAACy0xOTQ4ODM3NTE1AwAAAAMxNjACAAAABDQxODQEAAAAATAHAAAACDMvNi8yMDI2CAAAAAkzLzMxLzIwMjQJAAAAATAUwAflzXveCGBfKDnOe94IK0NJUS5OWVNFOklCTS5JUV9FQklUX01BUkdJTi4xOTkzLjA2LzAzLzIwMjYBAAAA3rYBAAIAAAAHMTYuMDA3NwEIAAAABQAAAAExAQAAAAstMTk0ODgzNzUx</t>
  </si>
  <si>
    <t>NQMAAAADMTYwAgAAAAQ0MDUzBAAAAAEwBwAAAAgzLzYvMjAyNggAAAAJMy8zMS8yMDI0CQAAAAEwFMAH5c173ghgXyg5znveCEtDSVEuTllTRTpJQk0uSVFfSU5URVJFU1RfUEVOQUxUSUVTX1JFQ09HX0JTX1BSRV9UQVguMTk5My4wNi8wMy8yMDI2Li4uVVNELkgBAAAA3rYBAAMAAAAAABTAB+XNe94IYF8oOc573ghNQ0lRLk5ZU0U6SUJNLklRX1RSQU5TX0lNUEFDVF9GSU5fNDhfUkVUQUlORURfRUFSTklOR1MuMTk5My4wNi8wMy8yMDI2Li4uVVNELkgBAAAA3rYBAAMAAAAAABTAB+XNe94IYF8oOc573ghFQ0lRLk5ZU0U6SUJNLklRX1RSQU5TX0lNUEFDVF9GSU5fNDhfTFRfQVNTRVRTLjE5OTMuMDYvMDMvMjAyNi4uLlVTRC5IAQAAAN62AQADAAAAAAAUwAflzXveCGBfKDnOe94IOkNJUS5OWVNFOklCTS5JUV9DQVBfTE9TU19DRl9OT19FWFAuMTk5My4wNi8wMy8yMDI2Li4uVVNELkgBAAAA3rYBAAMAAAAAABTAB+XNe94IYF8oOc573ggyQ0lRLk5ZU0U6SUJNLklRX05PTF9DRl8zWVIuMTk5My4wNi8wMy8yMDI2Li4uVVNELkgBAAAA3rYBAAMAAAAAABTAB+XNe94Il4YoOc573ggxQ0lRLk5ZU0U6SUJNLklRX0VCSVRfNVlSX0FOTl9DQUdSLjE5OTMuMDYvMDMvMjAyNgEAAADetgEAAgAAAActNC4xOTEzAQgAAAAFAAAAATEBAAAACy0xOTQ4ODM3NTE1AwAAAAMxNjACAAAABDQyMzYEAAAAATAHAAAA</t>
  </si>
  <si>
    <t>CDMvNi8yMDI2CAAAAAkzLzMxLzIwMjQJAAAAATAUwAflzXveCJeGKDnOe94INkNJUS5OWVNFOklCTS5JUV9UT1RBTF9SRVZfNVlSX0FOTl9DQUdSLjE5OTMuMDYvMDMvMjAyNgEAAADetgEAAgAAAActNC42MzY5AQgAAAAFAAAAATEBAAAACy0xOTQ4ODM3NTE1AwAAAAMxNjACAAAABDQyMzMEAAAAATAHAAAACDMvNi8yMDI2CAAAAAkzLzMxLzIwMjQJAAAAATAUwAflzXveCJeGKDnOe94IJ0NJUS5OWVNFOklCTS5JUV9aX1NDT1JFLjE5OTMuMDYvMDMvMjAyNgEAAADetgEAAgAAAAgyLjk5OTY3MwEIAAAABQAAAAExAQAAAAstMTk0ODgzNzUxNQMAAAADMTYwAgAAAAYxMDAxMjMEAAAAATAHAAAACDMvNi8yMDI2CAAAAAkzLzMxLzIwMjQJAAAAATAUwAflzXveCGBfKDnOe94IKkNJUS5OWVNFOklCTS5JUV9FQklUREFfSU5ULjE5OTMuMDYvMDMvMjAyNgEAAADetgEAAgAAAAg4LjM1MDYyNwEIAAAABQAAAAExAQAAAAstMTk0ODgzNzUxNQMAAAADMTYwAgAAAAQ0MTkwBAAAAAEwBwAAAAgzLzYvMjAyNggAAAAJMy8zMS8yMDI0CQAAAAEwFMAH5c173ghgXyg5znveCC1DSVEuTllTRTpJQk0uSVFfQ1VSUkVOVF9SQVRJTy4xOTkzLjA2LzAzLzIwMjYBAAAA3rYBAAIAAAAIMS4xMzE2NzgBCAAAAAUAAAABMQEAAAALLTE5NDg4Mzc1MTUDAAAAAzE2MAIAAAAENDAzMAQAAAABMAcAAAAIMy82LzIwMjYIAAAACTMv</t>
  </si>
  <si>
    <t>MzEvMjAyNAkAAAABMBTAB+XNe94IiK0oOc573ggtQ0lRLk5ZU0U6SUJNLklRX1JFVFVSTl9BU1NFVFMuMTk5My4wNi8wMy8yMDI2AQAAAN62AQACAAAABjQuNTg2MwEIAAAABQAAAAExAQAAAAstMTk0ODgzNzUxNQMAAAADMTYwAgAAAAQ0MTc4BAAAAAEwBwAAAAgzLzYvMjAyNggAAAAJMy8zMS8yMDI0CQAAAAEwFMAH5c173giXhig5znveCFBDSVEuTllTRTpJQk0uSVFfSU1QQUNUX1VOUkVDT0dfVEFYX0JFTkVGSVRfRUZGRUNUSVZFX1RBWC4xOTkzLjA2LzAzLzIwMjYuLi5VU0QuSAEAAADetgEAAwAAAAAAFMAH5c173giXhig5znveCENDSVEuTllTRTpJQk0uSVFfQUREX1RBWF9QT1NJVElPTlNfUFJJT1JfWVJTLjE5OTMuMDYvMDMvMjAyNi4uLlVTRC5IAQAAAN62AQADAAAAAAAUwAflzXveCJeGKDnOe94IOkNJUS5OWVNFOklCTS5JUV9UQVhfQkVORUZJVF9DRl81WVIuMTk5My4wNi8wMy8yMDI2Li4uVVNELkgBAAAA3rYBAAMAAAAAABTAB+XNe94Il4YoOc573gg3Q0lRLk5ZU0U6SUJNLklRX0NBUF9MT1NTX0NGXzFZUi4xOTkzLjA2LzAzLzIwMjYuLi5VU0QuSAEAAADetgEAAwAAAAAAFMAH5c173giIrSg5znveCEBDSVEuTllTRTpJQk0uSVFfQ0FQSVRBTElaRURfSU5URVJFU1RfRVhQLjE5OTMuMDYvMDMvMjAyNi4uLlVTRC5IAQAAAN62AQADAAAAAAAUwAflzXveCIitKDnOe94IPkNJUS5OWVNF</t>
  </si>
  <si>
    <t>OklCTS5JUV9BU1NFVFNfT1BFUl9MRUFTRV9ERVBSLjE5OTMuMDYvMDMvMjAyNi4uLlVTRC5IAQAAAN62AQADAAAAAAAUwAflzXveCIitKDnOe94ITUNJUS5OWVNFOklCTS5JUV9NVVRVQUxfRlVORF9BUFBSRUNJQVRJT05fREVQUkVDSUFUSU9OLjE5OTMuMDYvMDMvMjAyNi4uLlVTRC5IAQAAAN62AQADAAAAAAAUwAflzXveCIitKDnOe94INENJUS5OWVNFOklCTS5JUV9BVU1fT1VURkxPV1MuMTk5My4wNi8wMy8yMDI2Li4uVVNELkgBAAAA3rYBAAMAAAAAABTAB+XNe94IiK0oOc573gg6Q0lRLk5ZU0U6SUJNLklRX0FVTV9ISUdIX05FVF9XT1JUSC4xOTkzLjA2LzAzLzIwMjYuLi5VU0QuSAEAAADetgEAAwAAAAAAFMAH5c173giIrSg5znveCERDSVEuTllTRTpJQk0uSVFfT1BFQl9ORVRfQVNTRVRfUkVDT0dfRk9SRUlHTi4xOTkzLjA2LzAzLzIwMjYuLi5VU0QuSAEAAADetgEAAwAAAAAAFMAH5c173giIrSg5znveCERDSVEuTllTRTpJQk0uSVFfT1BFQl9FU1RfQkVORUZJVF80WVJfRk9SRUlHTi4xOTkzLjA2LzAzLzIwMjYuLi5VU0QuSAEAAADetgEAAwAAAAAAFMAH5c173giIrSg5znveCEZDSVEuTllTRTpJQk0uSVFfT1BFQl9DSV9PVEhFUl9NSVNDX0FESl9GT1JFSUdOLjE5OTMuMDYvMDMvMjAyNi4uLlVTRC5IAQAAAN62AQADAAAAAAAUwAflzXveCIitKDnOe94IQENJUS5OWVNFOklCTS5JUV9P</t>
  </si>
  <si>
    <t>UEVCX0VYUF9SQVRFX1JFVFVSTl9NSU5fRk9SRUlHTi4xOTkzLjA2LzAzLzIwMjYBAAAA3rYBAAMAAAAAABTAB+XNe94IiK0oOc573gg6Q0lRLk5ZU0U6SUJNLklRX09QRUJfRElTQ19SQVRFX01BWF9GT1JFSUdOLjE5OTMuMDYvMDMvMjAyNgEAAADetgEAAwAAAAAAFMAH5c173gi91Cg5znveCElDSVEuTllTRTpJQk0uSVFfT1BFQl9PQkxJR0FUSU9OX1BST0pFQ1RFRF9GT1JFSUdOLjE5OTMuMDYvMDMvMjAyNi4uLlVTRC5IAQAAAN62AQADAAAAAAAUwAflzXveCL3UKDnOe94IPkNJUS5OWVNFOklCTS5JUV9PUEVCX0JFTkVGSVRfSU5GT19EQVRFX0ZPUkVJR04uMTk5My4wNi8wMy8yMDI2AQAAAN62AQADAAAAAAAUwAflzXveCL3UKDnOe94INkNJUS5OWVNFOklCTS5JUV9UT1RBTF9SRVZfM1lSX0FOTl9DQUdSLjE5OTMuMDYvMDMvMjAyNgEAAADetgEAAgAAAAY2LjkxMTkBCAAAAAUAAAABMQEAAAALLTE5NDg4Mzc1MTUDAAAAAzE2MAIAAAAENDIyMAQAAAABMAcAAAAIMy82LzIwMjYIAAAACTMvMzEvMjAyNAkAAAABMBTAB+XNe94IiK0oOc573ghAQ0lRLk5ZU0U6SUJNLklRX05FVF9ERUJUX0VCSVREQV9FWENMX09QRVJfTEVBU0VTLjE5OTMuMDYvMDMvMjAyNgEAAADetgEAAgAAAAgzLjQ1NjUxMwEIAAAABQAAAAExAQAAAAstMTk0ODgzNzUxNQMAAAADMTYwAgAAAAU0OTE3NQQAAAABMAcAAAAIMy82</t>
  </si>
  <si>
    <t>LzIwMjYIAAAACTMvMzEvMjAyNAkAAAABMBTAB+XNe94IvdQoOc573ggxQ0lRLk5ZU0U6SUJNLklRX1RPVEFMX0RFQlRfRVFVSVRZLjE5OTMuMDYvMDMvMjAyNgEAAADetgEAAgAAAAgyNjkuNDUwOQEIAAAABQAAAAExAQAAAAstMTk0ODgzNzUxNQMAAAADMTYwAgAAAAQ0MDM0BAAAAAEwBwAAAAgzLzYvMjAyNggAAAAJMy8zMS8yMDI0CQAAAAEwFMAH5c173gi91Cg5znveCDJDSVEuTllTRTpJQk0uSVFfREFZU19JTlZFTlRPUllfT1VULjE5OTMuMDYvMDMvMjAyNgEAAADetgEAAgAAAAkxOC45NjI4MjYBCAAAAAUAAAABMQEAAAALLTE5NDg4Mzc1MTUDAAAAAzE2MAIAAAAENDAzNQQAAAABMAcAAAAIMy82LzIwMjYIAAAACTMvMzEvMjAyNAkAAAABMBTAB+XNe94IvdQoOc573ggsQ0lRLk5ZU0U6SUJNLklRX0dST1NTX01BUkdJTi4xOTkzLjA2LzAzLzIwMjYBAAAA3rYBAAIAAAAHNTUuNjM1NQEIAAAABQAAAAExAQAAAAstMTk0ODgzNzUxNQMAAAADMTYwAgAAAAQ0MDc0BAAAAAEwBwAAAAgzLzYvMjAyNggAAAAJMy8zMS8yMDI0CQAAAAEwFMAH5c173gi91Cg5znveCEtDSVEuTllTRTpJQk0uSVFfSU5URVJFU1RfUEVOQUxUSUVTX1JFQ09HX0lTX1BSRV9UQVguMTk5My4wNi8wMy8yMDI2Li4uVVNELkgBAAAA3rYBAAMAAAAAABTAB+XNe94IvdQoOc573ghPQ0lRLk5ZU0U6SUJNLklRX1RSQU5TX0lNUEFD</t>
  </si>
  <si>
    <t>VF9GSU5fNDhfQ1VSUkVOVF9MSUFCSUxJVElFUy4xOTkzLjA2LzAzLzIwMjYuLi5VU0QuSAEAAADetgEAAwAAAAAAFMAH5c173giq+yg5znveCDlDSVEuTllTRTpJQk0uSVFfQ0FQX0xPU1NfQ0ZfVE9UQUwuMTk5My4wNi8wMy8yMDI2Li4uVVNELkgBAAAA3rYBAAMAAAAAABTAB+XNe94IvdQoOc573gg3Q0lRLk5ZU0U6SUJNLklRX0NBUF9MT1NTX0NGXzVZUi4xOTkzLjA2LzAzLzIwMjYuLi5VU0QuSAEAAADetgEAAwAAAAAAFMAH5c173gi91Cg5znveCDJDSVEuTllTRTpJQk0uSVFfTk9MX0NGXzFZUi4xOTkzLjA2LzAzLzIwMjYuLi5VU0QuSAEAAADetgEAAwAAAAAAFMAH5c173gi91Cg5znveCDlDSVEuTllTRTpJQk0uSVFfQVZHX1JFVl9QRVJfVFJBREUuMTk5My4wNi8wMy8yMDI2Li4uVVNELkgBAAAA3rYBAAMAAAAAABTAB+XNe94IvdQoOc573ggzQ0lRLk5ZU0U6SUJNLklRX0FVTV9BVkVSQUdFLjE5OTMuMDYvMDMvMjAyNi4uLlVTRC5IAQAAAN62AQADAAAAAAAUwAflzXveCKr7KDnOe94IO0NJUS5OWVNFOklCTS5JUV9BVU1fSU5TVElUVVRJT05BTF9DVVNUT01FUlMuMTk5My4wNi8wMy8yMDI2AQAAAN62AQADAAAAAAAUwAflzXveCKr7KDnOe94IN0NJUS5OWVNFOklCTS5JUV9BVU1fRkVFX0VBUk5JTkcuMTk5My4wNi8wMy8yMDI2Li4uVVNELkgBAAAA3rYBAAMAAAAAABTAB+XNe94IqvsoOc57</t>
  </si>
  <si>
    <t>3gg4Q0lRLk5ZU0U6SUJNLklRX0FVTV9FUVVJVFlfRlVORFMuMTk5My4wNi8wMy8yMDI2Li4uVVNELkgBAAAA3rYBAAMAAAAAABTAB+XNe94IqvsoOc573gg+Q0lRLk5ZU0U6SUJNLklRX09QRUJfTFRfQVNTRVRTX0ZPUkVJR04uMTk5My4wNi8wMy8yMDI2Li4uVVNELkgBAAAA3rYBAAMAAAAAABTAB+XNe94IqvsoOc573ghFQ0lRLk5ZU0U6SUJNLklRX09QRUJfUEJPX0FTU1VNRURfUkFURV9SRVRfTUFYX0ZPUkVJR04uMTk5My4wNi8wMy8yMDI2AQAAAN62AQADAAAAAAAUwAflzXveCKr7KDnOe94IRENJUS5OWVNFOklCTS5JUV9PUEVCX1RSQU5TSVRJT05fTkVYVF9GT1JFSUdOLjE5OTMuMDYvMDMvMjAyNi4uLlVTRC5IAQAAAN62AQADAAAAAAAUwAflzXveCKr7KDnOe94IPUNJUS5OWVNFOklCTS5JUV9PUEVCX0JSRUFLRE9XTl9QQ1RfUkVfRk9SRUlHTi4xOTkzLjA2LzAzLzIwMjYBAAAA3rYBAAMAAAAAABTAB+XNe94IqvsoOc573ggvQ0lRLk5ZU0U6SUJNLklRX0dQXzVZUl9BTk5fQ0FHUi4xOTkzLjA2LzAzLzIwMjYBAAAA3rYBAAIAAAAHLTEuMjI4MgEIAAAABQAAAAExAQAAAAstMTk0ODgzNzUxNQMAAAADMTYwAgAAAAQ0MjM0BAAAAAEwBwAAAAgzLzYvMjAyNggAAAAJMy8zMS8yMDI0CQAAAAEwFMAH5c173giq+yg5znveCDhDSVEuTllTRTpJQk0uSVFfVE9UQUxfUkVWXzFZUl9BTk5fR1JPV1RI</t>
  </si>
  <si>
    <t>LjE5OTMuMDYvMDMvMjAyNgEAAADetgEAAgAAAAYyLjQ1MTEBCAAAAAUAAAABMQEAAAALLTE5NDg4Mzc1MTUDAAAAAzE2MAIAAAAENDE5NAQAAAABMAcAAAAIMy82LzIwMjYIAAAACTMvMzEvMjAyNAkAAAABMBTAB+XNe94IqvsoOc573ghGQ0lRLk5ZU0U6SUJNLklRX05FVF9ERUJUX0VCSVREQV9FWENMX09QRVJfTEVBU0VTX0NBUEVYLjE5OTMuMDYvMDMvMjAyNgEAAADetgEAAgAAAAgzLjgxMzE1OQEIAAAABQAAAAExAQAAAAstMTk0ODgzNzUxNQMAAAADMTYwAgAAAAU0OTE4MgQAAAABMAcAAAAIMy82LzIwMjYIAAAACTMvMzEvMjAyNAkAAAABMBTAB+XNe94IAiMpOc573gg3Q0lRLk5ZU0U6SUJNLklRX1RPVEFMX0xJQUJfVE9UQUxfQVNTRVRTLjE5OTMuMDYvMDMvMjAyNgEAAADetgEAAgAAAAc4Mi45ODk1AQgAAAAFAAAAATEBAAAACy0xOTQ4ODM3NTE1AwAAAAMxNjACAAAABDQxODgEAAAAATAHAAAACDMvNi8yMDI2CAAAAAkzLzMxLzIwMjQJAAAAATAUwAflzXveCAIjKTnOe94IKENJUS5OWVNFOklCTS5JUV9BUl9UVVJOUy4xOTkzLjA2LzAzLzIwMjYBAAAA3rYBAAIAAAAIOS41OTQyNDMBCAAAAAUAAAABMQEAAAALLTE5NDg4Mzc1MTUDAAAAAzE2MAIAAAAENDAwMQQAAAABMAcAAAAIMy82LzIwMjYIAAAACTMvMzEvMjAyNAkAAAABMBTAB+XNe94IAiMpOc573ghIQ0lRLk5ZU0U6SUJNLklRX1JF</t>
  </si>
  <si>
    <t>RFVDVElPTl9UQVhfUE9TSVRJT05fUFJJT1JfWVJTLjE5OTMuMDYvMDMvMjAyNi4uLlVTRC5IAQAAAN62AQADAAAAAAAUwAflzXveCKr7KDnOe94IRENJUS5OWVNFOklCTS5JUV9BRERfVEFYX1BPU0lUSU9OU19DVVJSRU5UX1lSLjE5OTMuMDYvMDMvMjAyNi4uLlVTRC5IAQAAAN62AQADAAAAAAAUwAflzXveCKr7KDnOe94IOkNJUS5OWVNFOklCTS5JUV9UQVhfQkVORUZJVF9DRl8zWVIuMTk5My4wNi8wMy8yMDI2Li4uVVNELkgBAAAA3rYBAAMAAAAAABTAB+XNe94IAiMpOc573gg0Q0lRLk5ZU0U6SUJNLklRX05PTF9DRl9UT1RBTC4xOTkzLjA2LzAzLzIwMjYuLi5VU0QuSAEAAADetgEAAwAAAAAAFMAH5c173ggCIyk5znveCD9DSVEuTllTRTpJQk0uSVFfQVNTRVRTX09QRVJfTEVBU0VfR1JPU1MuMTk5My4wNi8wMy8yMDI2Li4uVVNELkgBAAAA3rYBAAMAAAAAABTAB+XNe94IAiMpOc573ghGQ0lRLk5ZU0U6SUJNLklRX01VVFVBTF9GVU5EX0FDUVVJU0lUSU9OU19PVEhFUi4xOTkzLjA2LzAzLzIwMjYuLi5VU0QuSAEAAADetgEAAwAAAAAAFMAH5c173ggCIyk5znveCD9DSVEuTllTRTpJQk0uSVFfTVVUVUFMX0ZVTkRfUkVERU1QVElPTlMuMTk5My4wNi8wMy8yMDI2Li4uVVNELkgBAAAA3rYBAAMAAAAAABTAB+XNe94IAiMpOc573ggvQ0lRLk5ZU0U6SUJNLklRX0FVTV9CT1AuMTk5My4wNi8wMy8y</t>
  </si>
  <si>
    <t>MDI2Li4uVVNELkgBAAAA3rYBAAMAAAAAABTAB+XNe94IAiMpOc573gg5Q0lRLk5ZU0U6SUJNLklRX0FVTV9JTlNUSVRVVElPTkFMLjE5OTMuMDYvMDMvMjAyNi4uLlVTRC5IAQAAAN62AQADAAAAAAAUwAflzXveCAIjKTnOe94IVUNJUS5OWVNFOklCTS5JUV9PUEVCX0lOQ1JFQVNFX0VGRkVDVF9TRVJWSUNFX0lOVF9DT1NUX0ZPUkVJR04uMTk5My4wNi8wMy8yMDI2Li4uVVNELkgBAAAA3rYBAAMAAAAAABTAB+XNe94IAiMpOc573ghCQ0lRLk5ZU0U6SUJNLklRX09QRUJfVU5SRUNPR19QUklPUl9GT1JFSUdOLjE5OTMuMDYvMDMvMjAyNi4uLlVTRC5IAQAAAN62AQADAAAAAAAUwAflzXveCAIjKTnOe94IRENJUS5OWVNFOklCTS5JUV9PUEVCX0VTVF9CRU5FRklUXzJZUl9GT1JFSUdOLjE5OTMuMDYvMDMvMjAyNi4uLlVTRC5IAQAAAN62AQADAAAAAAAUwAflzXveCAIjKTnOe94IRUNJUS5OWVNFOklCTS5JUV9PUEVCX0NJX1BSSU9SX1NFUlZJQ0VfRk9SRUlHTi4xOTkzLjA2LzAzLzIwMjYuLi5VU0QuSAEAAADetgEAAwAAAAAAFMAH5c173ggCIyk5znveCDBDSVEuTllTRTpJQk0uSVFfRVBTXzVZUl9BTk5fQ0FHUi4xOTkzLjA2LzAzLzIwMjYBAAAA3rYBAAIAAAAHLTEuNTA5NwEIAAAABQAAAAExAQAAAAstMTk0ODgzNzUxNQMAAAADMTYwAgAAAAQ0MjM5BAAAAAEwBwAAAAgzLzYvMjAyNggAAAAJMy8z</t>
  </si>
  <si>
    <t>MS8yMDI0CQAAAAEwFMAH5c173ggCIyk5znveCDFDSVEuTllTRTpJQk0uSVFfTklfMVlSX0FOTl9HUk9XVEguMTk5My4wNi8wMy8yMDI2AQAAAN62AQACAAAACDM0Ni4yNjI5AQgAAAAFAAAAATEBAAAACy0xOTQ4ODM3NTE1AwAAAAMxNjACAAAABDQxOTkEAAAAATAHAAAACDMvNi8yMDI2CAAAAAkzLzMxLzIwMjQJAAAAATAUwAflzXveCAIjKTnOe94IQkNJUS5OWVNFOklCTS5JUV9UT1RBTF9ERUJUX0VCSVREQV9FWENMX09QRVJfTEVBU0VTLjE5OTMuMDYvMDMvMjAyNgEAAADetgEAAgAAAAg0Ljk2NjUwNgEIAAAABQAAAAExAQAAAAstMTk0ODgzNzUxNQMAAAADMTYwAgAAAAU0ODk5NAQAAAABMAcAAAAIMy82LzIwMjYIAAAACTMvMzEvMjAyNAkAAAABMBTAB+XNe94IAiMpOc573ggwQ0lRLk5ZU0U6SUJNLklRX0RBWVNfUEFZQUJMRV9PVVQuMTk5My4wNi8wMy8yMDI2AQAAAN62AQACAAAACTUwLjAwMjU1NAEIAAAABQAAAAExAQAAAAstMTk0ODgzNzUxNQMAAAADMTYwAgAAAAQ0MTgzBAAAAAEwBwAAAAgzLzYvMjAyNggAAAAJMy8zMS8yMDI0CQAAAAEwFMAH5c173ggCIyk5znveCC1DSVEuTllTRTpJQk0uSVFfRUJJVERBX01BUkdJTi4xOTkzLjA2LzAzLzIwMjYBAAAA3rYBAAIAAAAHMjAuMzk0NwEIAAAABQAAAAExAQAAAAstMTk0ODgzNzUxNQMAAAADMTYwAgAAAAQ0MDQ3BAAAAAEwBwAAAAgzLzYv</t>
  </si>
  <si>
    <t>MjAyNggAAAAJMy8zMS8yMDI0CQAAAAEwFMAH5c173ggbXik5znveCC1DSVEuTllTRTpJQk0uSVFfUkVUVVJOX0VRVUlUWS4xOTkzLjA2LzAzLzIwMjYBAAAA3rYBAAIAAAAHMzYuMjQwNAEIAAAABQAAAAExAQAAAAstMTk0ODgzNzUxNQMAAAADMTYwAgAAAAQ0MTI4BAAAAAEwBwAAAAgzLzYvMjAyNggAAAAJMy8zMS8yMDI0CQAAAAEwFMAH5c173ggbXik5znveCEZDSVEuTllTRTpJQk0uSVFfVU5SRUNPR19UQVhfQkVORUZJVF9FTkRfUEVSSU9ELjE5OTMuMDYvMDMvMjAyNi4uLlVTRC5IAQAAAN62AQADAAAAAAAUwAflzXveCBteKTnOe94ISkNJUS5OWVNFOklCTS5JUV9UUkFOU19JTVBBQ1RfRklOXzQ4X0NVUlJFTlRfQVNTRVRTLjE5OTMuMDYvMDMvMjAyNi4uLlVTRC5IAQAAAN62AQADAAAAAAAUwAflzXveCBteKTnOe94IPkNJUS5OWVNFOklCTS5JUV9DQVBfTE9TU19DRl9BRlRFUl9GSVZFLjE5OTMuMDYvMDMvMjAyNi4uLlVTRC5IAQAAAN62AQADAAAAAAAUwAflzXveCAIjKTnOe94IMkNJUS5OWVNFOklCTS5JUV9OT0xfQ0ZfMllSLjE5OTMuMDYvMDMvMjAyNi4uLlVTRC5IAQAAAN62AQADAAAAAAAUwAflzXveCBteKTnOe94IRkNJUS5OWVNFOklCTS5JUV9DQVBJVEFMSVpFRF9JTlRFUkVTVF9PVEhFUl9BREouMTk5My4wNi8wMy8yMDI2Li4uVVNELkgBAAAA3rYBAAMAAAAAABTAB+XNe94IG14p</t>
  </si>
  <si>
    <t>Oc573ggzQ0lRLk5ZU0U6SUJNLklRX09SR0FOSUNfR1JPV1RIX1JBVEUuMTk5My4wNi8wMy8yMDI2AQAAAN62AQADAAAAAAAUwAflzXveCBteKTnOe94IMENJUS5OWVNFOklCTS5JUV9FUFNfM1lSX0FOTl9DQUdSLjE5OTMuMDYvMDMvMjAyNgEAAADetgEAAgAAAAczNS45MDEyAQgAAAAFAAAAATEBAAAACy0xOTQ4ODM3NTE1AwAAAAMxNjACAAAABDQyMjYEAAAAATAHAAAACDMvNi8yMDI2CAAAAAkzLzMxLzIwMjQJAAAAATAUwAflzXveCBteKTnOe94IOkNJUS5OWVNFOklCTS5JUV9UT1RBTF9SRVZfRU1QTE9ZRUUuMTk5My4wNi8wMy8yMDI2Li4uVVNELkgBAAAA3rYBAAMAAAAAABTAB+XNe94IG14pOc573ggoQ0lRLk5ZU0U6SUJNLklRX0VCSVRfSU5ULjE5OTMuMDYvMDMvMjAyNgEAAADetgEAAgAAAAg1Ljk0MjU4MwEIAAAABQAAAAExAQAAAAstMTk0ODgzNzUxNQMAAAADMTYwAgAAAAQ0MTg5BAAAAAEwBwAAAAgzLzYvMjAyNggAAAAJMy8zMS8yMDI0CQAAAAEwFMAH5c173gh3hSk5znveCC5DSVEuTllTRTpJQk0uSVFfTFRfREVCVF9FUVVJVFkuMTk5My4wNi8wMy8yMDI2AQAAAN62AQACAAAACDI0Mi42NDM0AQgAAAAFAAAAATEBAAAACy0xOTQ4ODM3NTE1AwAAAAMxNjACAAAABDQwODUEAAAAATAHAAAACDMvNi8yMDI2CAAAAAkzLzMxLzIwMjQJAAAAATAUwAflzXveCBteKTnOe94IK0NJUS5OWVNF</t>
  </si>
  <si>
    <t>OklCTS5JUV9BU1NFVF9UVVJOUy4xOTkzLjA2LzAzLzIwMjYBAAAA3rYBAAIAAAAIMC40NTg0MDkBCAAAAAUAAAABMQEAAAALLTE5NDg4Mzc1MTUDAAAAAzE2MAIAAAAENDE3NwQAAAABMAcAAAAIMy82LzIwMjYIAAAACTMvMzEvMjAyNAkAAAABMBTAB+XNe94IG14pOc573ghLQ0lRLk5ZU0U6SUJNLklRX0NIQU5HRV9VTlJFQ09HX1RBWF9CRU5FRklUXzFfWVJfTUFYLjE5OTMuMDYvMDMvMjAyNi4uLlVTRC5IAQAAAN62AQADAAAAAAAUwAflzXveCBteKTnOe94ISUNJUS5OWVNFOklCTS5JUV9SRURVQ1RJT05fVEFYX1BPU0lUSU9OX0NVUlJFTlRfWVIuMTk5My4wNi8wMy8yMDI2Li4uVVNELkgBAAAA3rYBAAMAAAAAABTAB+XNe94IG14pOc573gg6Q0lRLk5ZU0U6SUJNLklRX1RBWF9CRU5FRklUX0NGXzRZUi4xOTkzLjA2LzAzLzIwMjYuLi5VU0QuSAEAAADetgEAAwAAAAAAFMAH5c173gh3hSk5znveCDpDSVEuTllTRTpJQk0uSVFfVEFYX0JFTkVGSVRfQ0ZfMVlSLjE5OTMuMDYvMDMvMjAyNi4uLlVTRC5IAQAAAN62AQADAAAAAAAUwAflzXveCHeFKTnOe94IMkNJUS5OWVNFOklCTS5JUV9FUFNfMVlSX0FOTl9HUk9XVEguMTk5My4wNi8wMy8yMDI2AQAAAN62AQACAAAACDI5Mi42MzU2AQgAAAAFAAAAATEBAAAACy0xOTQ4ODM3NTE1AwAAAAMxNjACAAAABDQyMDAEAAAAATAHAAAACDMvNi8yMDI2CAAA</t>
  </si>
  <si>
    <t>AAkzLzMxLzIwMjQJAAAAATAUwAflzXveCHeFKTnOe94INUNJUS5OWVNFOklCTS5JUV9FQklUREFfMVlSX0FOTl9HUk9XVEguMTk5My4wNi8wMy8yMDI2AQAAAN62AQACAAAABTcuMzE2AQgAAAAFAAAAATEBAAAACy0xOTQ4ODM3NTE1AwAAAAMxNjACAAAABDQxOTYEAAAAATAHAAAACDMvNi8yMDI2CAAAAAkzLzMxLzIwMjQJAAAAATAUwAflzXveCHeFKTnOe94IQUNJUS5OWVNFOklCTS5JUV9FQklUREFfRVhDTF9PUEVSX0xFQVNFU19DQVBFWF9JTlQuMTk5My4wNi8wMy8yMDI2AQAAAN62AQACAAAACDYuODYzMDM4AQgAAAAFAAAAATEBAAAACy0xOTQ4ODM3NTE1AwAAAAMxNjACAAAABTQ5MTc0BAAAAAEwBwAAAAgzLzYvMjAyNggAAAAJMy8zMS8yMDI0CQAAAAEwFMAH5c173gh3hSk5znveCDFDSVEuTllTRTpJQk0uSVFfRUJJVF8zWVJfQU5OX0NBR1IuMTk5My4wNi8wMy8yMDI2AQAAAN62AQACAAAABzIzLjE1NzQBCAAAAAUAAAABMQEAAAALLTE5NDg4Mzc1MTUDAAAAAzE2MAIAAAAENDIyMwQAAAABMAcAAAAIMy82LzIwMjYIAAAACTMvMzEvMjAyNAkAAAABMBTAB+XNe94Id4UpOc573gg1Q0lRLk5ZU0U6SUJNLklRX05FVF9ERUJUX0VCSVREQV9DQVBFWC4xOTkzLjA2LzAzLzIwMjYBAAAA3rYBAAIAAAAIMy40MjQyNTYBCAAAAAUAAAABMQEAAAALLTE5NDg4Mzc1MTUDAAAAAzE2MAIAAAAFMjMzMTQE</t>
  </si>
  <si>
    <t>AAAAATAHAAAACDMvNi8yMDI2CAAAAAkzLzMxLzIwMjQJAAAAATAUwAflzXveCHeFKTnOe94IL0NJUS5OWVNFOklCTS5JUV9MVF9ERUJUX0NBUElUQUwuMTk5My4wNi8wMy8yMDI2AQAAAN62AQACAAAABzY1LjY3NjcBCAAAAAUAAAABMQEAAAALLTE5NDg4Mzc1MTUDAAAAAzE2MAIAAAAENDE4NwQAAAABMAcAAAAIMy82LzIwMjYIAAAACTMvMzEvMjAyNAkAAAABMBTAB+XNe94Id4UpOc573ggxQ0lRLk5ZU0U6SUJNLklRX0ZJWEVEX0FTU0VUX1RVUk5TLjE5OTMuMDYvMDMvMjAyNgEAAADetgEAAgAAAAg3LjMzMjExMgEIAAAABQAAAAExAQAAAAstMTk0ODgzNzUxNQMAAAADMTYwAgAAAAQ0MDY2BAAAAAEwBwAAAAgzLzYvMjAyNggAAAAJMy8zMS8yMDI0CQAAAAEwFMAH5c173gh3hSk5znveCClDSVEuTllTRTpJQk0uSVFfTklfTUFSR0lOLjE5OTMuMDYvMDMvMjAyNgEAAADetgEAAgAAAAcxMy4xNzg2AQgAAAAFAAAAATEBAAAACy0xOTQ4ODM3NTE1AwAAAAMxNjACAAAABDQwOTQEAAAAATAHAAAACDMvNi8yMDI2CAAAAAkzLzMxLzIwMjQJAAAAATAUwAflzXveCHeFKTnOe94ITUNJUS5OWVNFOklCTS5JUV9JTlRFUkVTVF9QRU5BTFRJRVNfUkVDT0dfQlNfQUZURVJfVEFYLjE5OTMuMDYvMDMvMjAyNi4uLlVTRC5IAQAAAN62AQADAAAAAAAUwAflzXveCKSsKTnOe94IRkNJUS5OWVNFOklCTS5JUV9VTlJF</t>
  </si>
  <si>
    <t>Q09HX1RBWF9CRU5FRklUX0JFR19QRVJJT0QuMTk5My4wNi8wMy8yMDI2Li4uVVNELkgBAAAA3rYBAAMAAAAAABTAB+XNe94IpKwpOc573gg6Q0lRLk5ZU0U6SUJNLklRX1RBWF9CRU5FRklUX0NGXzJZUi4xOTkzLjA2LzAzLzIwMjYuLi5VU0QuSAEAAADetgEAAwAAAAAAFMAH5c173gikrCk5znveCDVDSVEuTllTRTpJQk0uSVFfTk9MX0NGX05PX0VYUC4xOTkzLjA2LzAzLzIwMjYuLi5VU0QuSAEAAADetgEAAwAAAAAAFMAH5c173gh3hSk5znveCDJDSVEuTllTRTpJQk0uSVFfTk9MX0NGXzRZUi4xOTkzLjA2LzAzLzIwMjYuLi5VU0QuSAEAAADetgEAAwAAAAAAFMAH5c173gh3hSk5znveCDlDSVEuTllTRTpJQk0uSVFfQVNTRVRfTUFOQUdFRF9HUk9XVEhfUkFURS4xOTkzLjA2LzAzLzIwMjYBAAAA3rYBAAMAAAAAABTAB+XNe94IpcApOc573gg5Q0lRLk5ZU0U6SUJNLklRX01VVFVBTF9GVU5EX1NBTEVTLjE5OTMuMDYvMDMvMjAyNi4uLlVTRC5IAQAAAN62AQADAAAAAAAUwAflzXveCKSsKTnOe94IM0NJUS5OWVNFOklCTS5JUV9BVU1fVE9UQUxfQ1VTVE9NRVJTLjE5OTMuMDYvMDMvMjAyNgEAAADetgEAAwAAAAAAFMAH5c173gikrCk5znveCDdDSVEuTllTRTpJQk0uSVFfQVVNX1JFQUxfRVNUQVRFLjE5OTMuMDYvMDMvMjAyNi4uLlVTRC5IAQAAAN62AQADAAAAAAAUwAflzXveCKSsKTnOe94IL0NJ</t>
  </si>
  <si>
    <t>US5OWVNFOklCTS5JUV9OSV81WVJfQU5OX0NBR1IuMTk5My4wNi8wMy8yMDI2AQAAAN62AQACAAAABy0xLjA4ODIBCAAAAAUAAAABMQEAAAALLTE5NDg4Mzc1MTUDAAAAAzE2MAIAAAAENDIzOAQAAAABMAcAAAAIMy82LzIwMjYIAAAACTMvMzEvMjAyNAkAAAABMBTAB+XNe94IpKwpOc573ggzQ0lRLk5ZU0U6SUJNLklRX0VCSVRfMVlSX0FOTl9HUk9XVEguMTk5My4wNi8wMy8yMDI2AQAAAN62AQACAAAABzIzLjgyODUBCAAAAAUAAAABMQEAAAALLTE5NDg4Mzc1MTUDAAAAAzE2MAIAAAAENDE5NwQAAAABMAcAAAAIMy82LzIwMjYIAAAACTMvMzEvMjAyNAkAAAABMBTAB+XNe94IpcApOc573ggxQ0lRLk5ZU0U6SUJNLklRX1RPVEFMX0RFQlRfRUJJVERBLjE5OTMuMDYvMDMvMjAyNgEAAADetgEAAgAAAAg0LjUwMjkyNwEIAAAABQAAAAExAQAAAAstMTk0ODgzNzUxNQMAAAADMTYwAgAAAAQ0MTkyBAAAAAEwBwAAAAgzLzYvMjAyNggAAAAJMy8zMS8yMDI0CQAAAAEwFMAH5c173gilwCk5znveCDtDSVEuTllTRTpJQk0uSVFfRUJJVERBX0VYQ0xfT1BFUl9MRUFTRVNfSU5ULjE5OTMuMDYvMDMvMjAyNgEAAADetgEAAgAAAAg3LjU3MTE3MgEIAAAABQAAAAExAQAAAAstMTk0ODgzNzUxNQMAAAADMTYwAgAAAAU0OTE3MwQAAAABMAcAAAAIMy82LzIwMjYIAAAACTMvMzEvMjAyNAkAAAABMBTAB+XNe94IpcAp</t>
  </si>
  <si>
    <t>Oc573ggrQ0lRLk5ZU0U6SUJNLklRX1FVSUNLX1JBVElPLjE5OTMuMDYvMDMvMjAyNgEAAADetgEAAgAAAAgwLjk2NDY1NwEIAAAABQAAAAExAQAAAAstMTk0ODgzNzUxNQMAAAADMTYwAgAAAAQ0MTIxBAAAAAEwBwAAAAgzLzYvMjAyNggAAAAJMy8zMS8yMDI0CQAAAAEwFMAH5c173gilwCk5znveCC5DSVEuTllTRTpJQk0uSVFfUkVUVVJOX0NBUElUQUwuMTk5My4wNi8wMy8yMDI2AQAAAN62AQACAAAABjcuMzI1MQEIAAAABQAAAAExAQAAAAstMTk0ODgzNzUxNQMAAAADMTYwAgAAAAQ0MzYzBAAAAAEwBwAAAAgzLzYvMjAyNggAAAAJMy8zMS8yMDI0CQAAAAEwFMAH5c173gilwCk5znveCEVDSVEuTllTRTpJQk0uSVFfVU5SRUNPR19UQVhfQkVORUZJVF9PVEhFUl9BREouMTk5My4wNi8wMy8yMDI2Li4uVVNELkgBAAAA3rYBAAMAAAAAABTAB+XNe94IpcApOc573gg3Q0lRLk5ZU0U6SUJNLklRX1RBWF9CRU5FRklUX0NGX01BWF9ZRUFSLjE5OTMuMDYvMDMvMjAyNgEAAADetgEAAwAAAAAAFMAH5c173gilwCk5znveCEFDSVEuTllTRTpJQk0uSVFfVEFYX0JFTkVGSVRfQ0ZfQUZURVJfRklWRS4xOTkzLjA2LzAzLzIwMjYuLi5VU0QuSAEAAADetgEAAwAAAAAAFMAH5c173gilwCk5znveCDdDSVEuTllTRTpJQk0uSVFfQ0FQX0xPU1NfQ0ZfMllSLjE5OTMuMDYvMDMvMjAyNi4uLlVTRC5IAQAAAN62AQAD</t>
  </si>
  <si>
    <t>AAAAAAAUwAflzXveCKXAKTnOe94IRkNJUS5OWVNFOklCTS5JUV9DQVBJVEFMSVpFRF9JTlRFUkVTVF9XUklURV9PRkYuMTk5My4wNi8wMy8yMDI2Li4uVVNELkgBAAAA3rYBAAMAAAAAABTAB+XNe94IpcApOc573gg2Q0lRLk5ZU0U6SUJNLklRX05VTUJFUl9UUkFERVNfRVhFQ1VURUQuMTk5My4wNi8wMy8yMDI2AQAAAN62AQADAAAAAAAUwAflzXveCPrnKTnOe94IQkNJUS5OWVNFOklCTS5JUV9BVU1fQUNRVUlTSVRJT05TX1RSQU5TRkVSUy4xOTkzLjA2LzAzLzIwMjYuLi5VU0QuSAEAAADetgEAAwAAAAAAFMAH5c173gj65yk5znveCEBDSVEuTllTRTpJQk0uSVFfQVVNX05FVF9JTkZMT1dTX09VVEZMT1dTLjE5OTMuMDYvMDMvMjAyNi4uLlVTRC5IAQAAAN62AQADAAAAAAAUwAflzXveCPrnKTnOe94IOUNJUS5OWVNFOklCTS5JUV9BVU1fT1RIRVJfQ0xJRU5UUy4xOTkzLjA2LzAzLzIwMjYuLi5VU0QuSAEAAADetgEAAwAAAAAAFMAH5c173gilwCk5znveCEhDSVEuTllTRTpJQk0uSVFfT1BFQl9ERUNSRUFTRV9FRkZFQ1RfUEJPX0ZPUkVJR04uMTk5My4wNi8wMy8yMDI2Li4uVVNELkgBAAAA3rYBAAMAAAAAABTAB+XNe94IpcApOc573ghBQ0lRLk5ZU0U6SUJNLklRX09QRUJfQUNDUlVFRF9MSUFCX0ZPUkVJR04uMTk5My4wNi8wMy8yMDI2Li4uVVNELkgBAAAA3rYBAAMAAAAAABTAB+XNe94I+ucp</t>
  </si>
  <si>
    <t>Oc573ghEQ0lRLk5ZU0U6SUJNLklRX09QRUJfRVNUX0JFTkVGSVRfNVlSX0ZPUkVJR04uMTk5My4wNi8wMy8yMDI2Li4uVVNELkgBAAAA3rYBAAMAAAAAABTAB+XNe94I+ucpOc573ggvQ0lRLk5ZU0U6SUJNLklRX05JXzNZUl9BTk5fQ0FHUi4xOTkzLjA2LzAzLzIwMjYBAAAA3rYBAAIAAAAHMTUuMDYwNQEIAAAABQAAAAExAQAAAAstMTk0ODgzNzUxNQMAAAADMTYwAgAAAAQ0MjI1BAAAAAEwBwAAAAgzLzYvMjAyNggAAAAJMy8zMS8yMDI0CQAAAAEwFMAH5c173gj65yk5znveCC9DSVEuTllTRTpJQk0uSVFfR1BfM1lSX0FOTl9DQUdSLjE5OTMuMDYvMDMvMjAyNgEAAADetgEAAgAAAAY0Ljg0MDgBCAAAAAUAAAABMQEAAAALLTE5NDg4Mzc1MTUDAAAAAzE2MAIAAAAENDIyMQQAAAABMAcAAAAIMy82LzIwMjYIAAAACTMvMzEvMjAyNAkAAAABMBTAB+XNe94I+ucpOc573gg3Q0lRLk5ZU0U6SUJNLklRX1RPVEFMX0RFQlRfRUJJVERBX0NBUEVYLjE5OTMuMDYvMDMvMjAyNgEAAADetgEAAgAAAAg0LjkyMDE1NwEIAAAABQAAAAExAQAAAAstMTk0ODgzNzUxNQMAAAADMTYwAgAAAAUyMzMxMwQAAAABMAcAAAAIMy82LzIwMjYIAAAACTMvMzEvMjAyNAkAAAABMBTAB+XNe94I+ucpOc573ggyQ0lRLk5ZU0U6SUJNLklRX1RPVEFMX0RFQlRfQ0FQSVRBTC4xOTkzLjA2LzAzLzIwMjYBAAAA3rYBAAIAAAAHNzIu</t>
  </si>
  <si>
    <t>OTMyOAEIAAAABQAAAAExAQAAAAstMTk0ODgzNzUxNQMAAAADMTYwAgAAAAQ0MTg2BAAAAAEwBwAAAAgzLzYvMjAyNggAAAAJMy8zMS8yMDI0CQAAAAEwFMAH5c173gj65yk5znveCC1DSVEuTllTRTpJQk0uSVFfQ0FQRVhfUENUX1JFVi4xOTkzLjA2LzAzLzIwMjYBAAAA3rYBAAIAAAAGMS45MDc1AQgAAAAFAAAAATEBAAAACy0xOTQ4ODM3NTE1AwAAAAMxNjACAAAABTM1MzgwBAAAAAEwBwAAAAgzLzYvMjAyNggAAAAJMy8zMS8yMDI0CQAAAAEwFMAH5c173gj65yk5znveCEtDSVEuTllTRTpJQk0uSVFfQ0hBTkdFX1VOUkVDT0dfVEFYX0JFTkVGSVRfMV9ZUl9NSU4uMTk5My4wNi8wMy8yMDI2Li4uVVNELkgBAAAA3rYBAAMAAAAAABTAB+XNe94I+ucpOc573ghNQ0lRLk5ZU0U6SUJNLklRX0lOVEVSRVNUX1BFTkFMVElFU19SRUNPR19JU19BRlRFUl9UQVguMTk5My4wNi8wMy8yMDI2Li4uVVNELkgBAAAA3rYBAAMAAAAAABTAB+XNe94I+ucpOc573ghTQ0lRLk5ZU0U6SUJNLklRX1RSQU5TX0lNUEFDVF9GSU5fNDhfTk9OX0NVUlJFTlRfTElBQklMSVRJRVMuMTk5My4wNi8wMy8yMDI2Li4uVVNELkgBAAAA3rYBAAMAAAAAABTAB+XNe94I+ucpOc573gg0Q0lRLk5ZU0U6SUJNLklRX0NBUF9MT1NTX0NGX01BWF9ZRUFSLjE5OTMuMDYvMDMvMjAyNgEAAADetgEAAwAAAAAAFMAH5c173gj65yk5znveCDJD</t>
  </si>
  <si>
    <t>SVEuTllTRTpJQk0uSVFfTk9MX0NGXzVZUi4xOTkzLjA2LzAzLzIwMjYuLi5VU0QuSAEAAADetgEAAwAAAAAAFMAH5c173gj65yk5znveCD1DSVEuTllTRTpJQk0uSVFfQVNTRVRTX0NBUF9MRUFTRV9ERVBSLjE5OTMuMDYvMDMvMjAyNi4uLlVTRC5IAQAAAN62AQADAAAAAAAUwAflzXveCPrnKTnOe94IQ0NJUS5OWVNFOklCTS5JUV9BU1NFVFNfVU5ERVJfQURNSU5JU1RSQVRJT04uMTk5My4wNi8wMy8yMDI2Li4uVVNELkgBAAAA3rYBAAMAAAAAABTAB+XNe94I+ucpOc573gg2Q0lRLk5ZU0U6SUJNLklRX0FVTV9ORVRfQ0hBTkdFLjE5OTMuMDYvMDMvMjAyNi4uLlVTRC5IAQAAAN62AQADAAAAAAAUwAflzXveCPrnKTnOe94IMUNJUS5OWVNFOklCTS5JUV9BVU1fU01FX0NVU1RPTUVSUy4xOTkzLjA2LzAzLzIwMjYBAAAA3rYBAAMAAAAAABTAB+XNe94I1SIqOc573ggrQ0lRLk5ZU0U6SUJNLklRX0FVTS4xOTkzLjA2LzAzLzIwMjYuLi5VU0QuSAEAAADetgEAAwAAAAAAFMAH5c173gjVIio5znveCDNDSVEuTllTRTpJQk0uSVFfRUJJVERBXzVZUl9BTk5fQ0FHUi4xOTkzLjA2LzAzLzIwMjYBAAAA3rYBAAIAAAAHLTUuODU4OQEIAAAABQAAAAExAQAAAAstMTk0ODgzNzUxNQMAAAADMTYwAgAAAAQ0MjM1BAAAAAEwBwAAAAgzLzYvMjAyNggAAAAJMy8zMS8yMDI0CQAAAAEwFMAH5c173gjVIio5znveCDFD</t>
  </si>
  <si>
    <t>SVEuTllTRTpJQk0uSVFfR1BfMVlSX0FOTl9HUk9XVEguMTk5My4wNi8wMy8yMDI2AQAAAN62AQACAAAABjUuMDgxNwEIAAAABQAAAAExAQAAAAstMTk0ODgzNzUxNQMAAAADMTYwAgAAAAQ0MTk1BAAAAAEwBwAAAAgzLzYvMjAyNggAAAAJMy8zMS8yMDI0CQAAAAEwFMAH5c173gj65yk5znveCDBDSVEuTllTRTpJQk0uSVFfRUJJVERBX0NBUEVYX0lOVC4xOTkzLjA2LzAzLzIwMjYBAAAA3rYBAAIAAAAINy42NDI0OTQBCAAAAAUAAAABMQEAAAALLTE5NDg4Mzc1MTUDAAAAAzE2MAIAAAAENDE5MQQAAAABMAcAAAAIMy82LzIwMjYIAAAACTMvMzEvMjAyNAkAAAABMBTAB+XNe94I+ucpOc573ggwQ0lRLk5ZU0U6SUJNLklRX0NGT19DVVJSRU5UX0xJQUIuMTk5My4wNi8wMy8yMDI2AQAAAN62AQACAAAABzAuNDQyMTcBCAAAAAUAAAABMQEAAAALLTE5NDg4Mzc1MTUDAAAAAzE2MAIAAAAENDE4NQQAAAABMAcAAAAIMy82LzIwMjYIAAAACTMvMzEvMjAyNAkAAAABMBTAB+XNe94I1SIqOc573ggvQ0lRLk5ZU0U6SUJNLklRX0lOVkVOVE9SWV9UVVJOUy4xOTkzLjA2LzAzLzIwMjYBAAAA3rYBAAIAAAAJMTkuMzAwODg4AQgAAAAFAAAAATEBAAAACy0xOTQ4ODM3NTE1AwAAAAMxNjACAAAABDQwODIEAAAAATAHAAAACDMvNi8yMDI2CAAAAAkzLzMxLzIwMjQJAAAAATAUwAflzXveCNUiKjnOe94IQ0NJUS5OWVNF</t>
  </si>
  <si>
    <t>OklCTS5JUV9TRVRUTEVNRU5UU19UQVhfQVVUSE9SSVRJRVMuMTk5My4wNi8wMy8yMDI2Li4uVVNELkgBAAAA3rYBAAMAAAAAABTAB+XNe94I1SIqOc573gg9Q0lRLk5ZU0U6SUJNLklRX1RBWF9CRU5FRklUX0NGX05PX0VYUC4xOTkzLjA2LzAzLzIwMjYuLi5VU0QuSAEAAADetgEAAwAAAAAAFMAH5c173gjVIio5znveCDdDSVEuTllTRTpJQk0uSVFfQ0FQX0xPU1NfQ0ZfM1lSLjE5OTMuMDYvMDMvMjAyNi4uLlVTRC5IAQAAAN62AQADAAAAAAAUwAflzXveCNUiKjnOe94IL0NJUS5OWVNFOklCTS5JUV9OT0xfQ0ZfTUFYX1lFQVIuMTk5My4wNi8wMy8yMDI2AQAAAN62AQADAAAAAAAUwAflzXveCNUiKjnOe94IQENJUS5OWVNFOklCTS5JUV9DQVBJVEFMSVpFRF9JTlRFUkVTVF9CT1AuMTk5My4wNi8wMy8yMDI2Li4uVVNELkgBAAAA3rYBAAMAAAAAABTAB+XNe94I1SIqOc573gg3Q0lRLk5ZU0U6SUJNLklRX01VVFVBTF9GVU5EX0VPUC4xOTkzLjA2LzAzLzIwMjYuLi5VU0QuSAEAAADetgEAAwAAAAAAFMAH5c173gjVIio5znveCEBDSVEuTllTRTpJQk0uSVFfQVVNX0NBU0hfRkxPV1NfRElWSURFTkRTLjE5OTMuMDYvMDMvMjAyNi4uLlVTRC5IAQAAAN62AQADAAAAAAAUwAflzXveCNUiKjnOe94INENJUS5OWVNFOklCTS5JUV9BVU1fRE9NRVNUSUMuMTk5My4wNi8wMy8yMDI2Li4uVVNELkgBAAAA3rYB</t>
  </si>
  <si>
    <t>AAMAAAAAABTAB+XNe94INkoqOc573ggyQ0lRLk5ZU0U6SUJNLklRX0FVTV9SRVRBSUwuMTk5My4wNi8wMy8yMDI2Li4uVVNELkgBAAAA3rYBAAMAAAAAABTAB+XNe94INkoqOc573ghIQ0lRLk5ZU0U6SUJNLklRX09QRUJfSU5DUkVBU0VfRUZGRUNUX1BCT19GT1JFSUdOLjE5OTMuMDYvMDMvMjAyNi4uLlVTRC5IAQAAAN62AQADAAAAAAAUwAflzXveCDZKKjnOe94IR0NJUS5OWVNFOklCTS5JUV9PUEVCX0VTVF9CRU5FRklUX0FGVEVSNV9GT1JFSUdOLjE5OTMuMDYvMDMvMjAyNi4uLlVTRC5IAQAAAN62AQADAAAAAAAUwAflzXveCDZKKjnOe94IR0NJUS5OWVNFOklCTS5JUV9PUEVCX1BSSU9SX1NFUlZJQ0VfTkVYVF9GT1JFSUdOLjE5OTMuMDYvMDMvMjAyNi4uLlVTRC5IAQAAAN62AQADAAAAAAAUwAflzXveCDZKKjnOe94IQkNJUS5OWVNFOklCTS5JUV9PUEVCX0NJX1RSQU5TSVRJT05fRk9SRUlHTi4xOTkzLjA2LzAzLzIwMjYuLi5VU0QuSAEAAADetgEAAwAAAAAAFMAH5c173gg2Sio5znveCEdDSVEuTllTRTpJQk0uSVFfT1BFQl9QQk9fUkFURV9DT01QX0lOQ1JFQVNFX01JTl9GT1JFSUdOLjE5OTMuMDYvMDMvMjAyNgEAAADetgEAAwAAAAAAFMAH5c173gg2Sio5znveCD1DSVEuTllTRTpJQk0uSVFfT1BFQl9BQ1RfTkVYVF9GT1JFSUdOLjE5OTMuMDYvMDMvMjAyNi4uLlVTRC5IAQAAAN62AQAD</t>
  </si>
  <si>
    <t>AAAAAAAUwAflzXveCDZKKjnOe94ISUNJUS5OWVNFOklCTS5JUV9PUEVCX0FTU0VUU19BQ1RVQUxfUkVUVVJOX0ZPUkVJR04uMTk5My4wNi8wMy8yMDI2Li4uVVNELkgBAAAA3rYBAAMAAAAAABTAB+XNe94INkoqOc573ghMQ0lRLk5ZU0U6SUJNLklRX09QRUJfT0JMSUdBVElPTl9TRVJWSUNFX0NPU1RfRk9SRUlHTi4xOTkzLjA2LzAzLzIwMjYuLi5VU0QuSAEAAADetgEAAwAAAAAAFMAH5c173gg2Sio5znveCExDSVEuTllTRTpJQk0uSVFfT1BFQl9TVVBQTEVfUExBTlNfVE9UQUxfQ09TVF9GT1JFSUdOLjE5OTMuMDYvMDMvMjAyNi4uLlVTRC5IAQAAAN62AQADAAAAAAAUwAflzXveCERxKjnOe94IPENJUS5OWVNFOklCTS5JUV9UQVhfQkVORUZJVF9DRl9UT1RBTC4xOTkzLjA2LzAzLzIwMjYuLi5VU0QuSAEAAADetgEAAwAAAAAAFMAH5c173gg2Sio5znveCDpDSVEuTllTRTpJQk0uSVFfT1BFQl9PVEhFUl9GT1JFSUdOLjE5OTMuMDYvMDMvMjAyNi4uLlVTRC5IAQAAAN62AQADAAAAAAAUwAflzXveCDZKKjnOe94IQ0NJUS5OWVNFOklCTS5JUV9PUEVCX0FNVF9SRUNPR19ORVhUX0ZPUkVJR04uMTk5My4wNi8wMy8yMDI2Li4uVVNELkgBAAAA3rYBAAMAAAAAABTAB+XNe94INkoqOc573ghEQ0lRLk5ZU0U6SUJNLklRX09QRUJfQlJFQUtET1dOX09USEVSX0ZPUkVJR04uMTk5My4wNi8wMy8yMDI2Li4u</t>
  </si>
  <si>
    <t>VVNELkgBAAAA3rYBAAMAAAAAABTAB+XNe94INkoqOc573ghBQ0lRLk5ZU0U6SUJNLklRX09QRUJfQlJFQUtET1dOX0ZJX0ZPUkVJR04uMTk5My4wNi8wMy8yMDI2Li4uVVNELkgBAAAA3rYBAAMAAAAAABTAB+XNe94IRHEqOc573ghBQ0lRLk5ZU0U6SUJNLklRX0xBUFNFX1NUQVRVVEVfTElNSVRBVElPTlMuMTk5My4wNi8wMy8yMDI2Li4uVVNELkgBAAAA3rYBAAMAAAAAABTAB+XNe94IRHEqOc573gg5Q0lRLk5ZU0U6SUJNLklRX05PTF9DRl9BRlRFUl9GSVZFLjE5OTMuMDYvMDMvMjAyNi4uLlVTRC5IAQAAAN62AQADAAAAAAAUwAflzXveCERxKjnOe94IPUNJUS5OWVNFOklCTS5JUV9WQUxVRV9DVVNUT01FUl9BU1NFVFMuMTk5My4wNi8wMy8yMDI2Li4uVVNELkgBAAAA3rYBAAMAAAAAABTAB+XNe94IRHEqOc573gg+Q0lRLk5ZU0U6SUJNLklRX09QRUJfT1RIRVJfQURKX0ZPUkVJR04uMTk5My4wNi8wMy8yMDI2Li4uVVNELkgBAAAA3rYBAAMAAAAAABTAB+XNe94IRHEqOc573ghEQ0lRLk5ZU0U6SUJNLklRX09QRUJfRVNUX0JFTkVGSVRfMVlSX0ZPUkVJR04uMTk5My4wNi8wMy8yMDI2Li4uVVNELkgBAAAA3rYBAAMAAAAAABTAB+XNe94IRHEqOc573ghAQ0lRLk5ZU0U6SUJNLklRX0NBUElUQUxJWkVEX0lOVEVSRVNUX0VPUC4xOTkzLjA2LzAzLzIwMjYuLi5VU0QuSAEAAADetgEAAwAAAAAAFMAH</t>
  </si>
  <si>
    <t>5c173ghEcSo5znveCDpDSVEuTllTRTpJQk0uSVFfT1BFQl9ESVNDX1JBVEVfTUlOX0ZPUkVJR04uMTk5My4wNi8wMy8yMDI2AQAAAN62AQADAAAAAAAUwAflzXveCERxKjnOe94IRENJUS5OWVNFOklCTS5JUV9PUEVCX0VTVF9CRU5FRklUXzNZUl9GT1JFSUdOLjE5OTMuMDYvMDMvMjAyNi4uLlVTRC5IAQAAAN62AQADAAAAAAAUwAflzXveCERxKjnOe94IUkNJUS5OWVNFOklCTS5JUV9PUEVCX0FTU0VUU19FTVBMT1lFUl9DT05UUklCVVRJT05TX0ZPUkVJR04uMTk5My4wNi8wMy8yMDI2Li4uVVNELkgBAAAA3rYBAAMAAAAAABTAB+XNe94IRHEqOc573gg3Q0lRLk5ZU0U6SUJNLklRX01VVFVBTF9GVU5EX0JPUC4xOTkzLjA2LzAzLzIwMjYuLi5VU0QuSAEAAADetgEAAwAAAAAAFMAH5c173ghTmCo5znveCExDSVEuTllTRTpJQk0uSVFfQVVNX01BUktFVF9BUFBSRUNJQVRJT05fREVQUkVDSUFUSU9OLjE5OTMuMDYvMDMvMjAyNi4uLlVTRC5IAQAAAN62AQADAAAAAAAUwAflzXveCFOYKjnOe94IPENJUS5OWVNFOklCTS5JUV9PUEVCX0xUX0xJQUJfRk9SRUlHTi4xOTkzLjA2LzAzLzIwMjYuLi5VU0QuSAEAAADetgEAAwAAAAAAFMAH5c173ghTmCo5znveCEZDSVEuTllTRTpJQk0uSVFfT1BFQl9PQkxJR0FUSU9OX0ZYX0FESl9GT1JFSUdOLjE5OTMuMDYvMDMvMjAyNi4uLlVTRC5IAQAAAN62AQADAAAA</t>
  </si>
  <si>
    <t>AAAUwAflzXveCERxKjnOe94IPUNJUS5OWVNFOklCTS5JUV9PUEVCX0JSRUFLRE9XTl9QQ1RfRVFfRk9SRUlHTi4xOTkzLjA2LzAzLzIwMjYBAAAA3rYBAAMAAAAAABTAB+XNe94IRHEqOc573gg/Q0lRLk5ZU0U6SUJNLklRX09QRUJfQVNTRVRTX0JFR19GT1JFSUdOLjE5OTMuMDYvMDMvMjAyNi4uLlVTRC5IAQAAAN62AQADAAAAAAAUwAflzXveCFOYKjnOe94IP0NJUS5OWVNFOklCTS5JUV9PUEVCX1RPVEFMX0NPU1RfRk9SRUlHTi4xOTkzLjA2LzAzLzIwMjYuLi5VU0QuSAEAAADetgEAAwAAAAAA3tMH5c173ghTmCo5znveCDpDSVEuTllTRTpJQk0uSVFfUEVOU0lPTl9DTF9GT1JFSUdOLjE5OTMuMDYvMDMvMjAyNi4uLlVTRC5IAQAAAN62AQADAAAAAADe0wflzXveCFOYKjnOe94IRENJUS5OWVNFOklCTS5JUV9QRU5TSU9OX0lOVEFOX0FTU0VUU19GT1JFSUdOLjE5OTMuMDYvMDMvMjAyNi4uLlVTRC5IAQAAAN62AQADAAAAAADe0wflzXveCFOYKjnOe94INENJUS5OWVNFOklCTS5JUV9SRVRVUk5fQ09NTU9OX0VRVUlUWS4xOTkzLjA2LzAzLzIwMjYBAAAA3rYBAAIAAAAHMzYuMzUzNQEIAAAABQAAAAExAQAAAAstMTk0ODgzNzUxNQMAAAADMTYwAgAAAAUzMzMyMAQAAAABMAcAAAAIMy82LzIwMjYIAAAACTMvMzEvMjAyNAkAAAABMN7TB+XNe94IU5gqOc573ggvQ0lRLk5ZU0U6SUJNLklRX0FVTV9F</t>
  </si>
  <si>
    <t>T1AuMTk5My4wNi8wMy8yMDI2Li4uVVNELkgBAAAA3rYBAAMAAAAAAN7TB+XNe94IU5gqOc573ggzQ0lRLk5ZU0U6SUJNLklRX0FVTV9JTkZMT1dTLjE5OTMuMDYvMDMvMjAyNi4uLlVTRC5IAQAAAN62AQADAAAAAADe0wflzXveCFOYKjnOe94IR0NJUS5OWVNFOklCTS5JUV9PUEVCX0hFQUxUSF9DT1NUX1RSRU5EX1VMVElNQVRFX0ZPUkVJR04uMTk5My4wNi8wMy8yMDI2AQAAAN62AQADAAAAAADe0wflzXveCFOYKjnOe94IO0NJUS5OWVNFOklCTS5JUV9PUEVCX0NJX0FDVF9GT1JFSUdOLjE5OTMuMDYvMDMvMjAyNi4uLlVTRC5IAQAAAN62AQADAAAAAADe0wflzXveCFOYKjnOe94IQUNJUS5OWVNFOklCTS5JUV9PUEVCX0JSRUFLRE9XTl9SRV9GT1JFSUdOLjE5OTMuMDYvMDMvMjAyNi4uLlVTRC5IAQAAAN62AQADAAAAAADe0wflzXveCFOYKjnOe94IQUNJUS5OWVNFOklCTS5JUV9PUEVCX0JSRUFLRE9XTl9FUV9GT1JFSUdOLjE5OTMuMDYvMDMvMjAyNi4uLlVTRC5IAQAAAN62AQADAAAAAADe0wflzXveCGm/KjnOe94IP0NJUS5OWVNFOklCTS5JUV9PUEVCX0FTU0VUU19BQ1FfRk9SRUlHTi4xOTkzLjA2LzAzLzIwMjYuLi5VU0QuSAEAAADetgEAAwAAAAAA3tMH5c173ghpvyo5znveCC5DSVEuTllTRTpJQk0uSVFfREFZU19TQUxFU19PVVQuMTk5My4wNi8wMy8yMDI2AQAAAN62AQACAAAACTM4LjE0</t>
  </si>
  <si>
    <t>NzgxNAEIAAAABQAAAAExAQAAAAstMTk0ODgzNzUxNQMAAAADMTYwAgAAAAQ0MDQyBAAAAAEwBwAAAAgzLzYvMjAyNggAAAAJMy8zMS8yMDI0CQAAAAEw3tMH5c173ghpvyo5znveCDNDSVEuTllTRTpJQk0uSVFfQVVNX0ZPUkVJR04uMTk5My4wNi8wMy8yMDI2Li4uVVNELkgBAAAA3rYBAAMAAAAAAN7TB+XNe94Iab8qOc573ghTQ0lRLk5ZU0U6SUJNLklRX09QRUJfT0JMSUdBVElPTl9BQ1RVQVJJQUxfR0FJTl9MT1NTX0ZPUkVJR04uMTk5My4wNi8wMy8yMDI2Li4uVVNELkgBAAAA3rYBAAMAAAAAAN7TB+XNe94Iab8qOc573ghBQ0lRLk5ZU0U6SUJNLklRX1BFTlNJT05fT1RIRVJfQURKX0ZPUkVJR04uMTk5My4wNi8wMy8yMDI2Li4uVVNELkgBAAAA3rYBAAMAAAAAAN7TB+XNe94Iab8qOc573gg9Q0lRLk5ZU0U6SUJNLklRX01VVFVBTF9GVU5EX05FVF9TQUxFUy4xOTkzLjA2LzAzLzIwMjYuLi5VU0QuSAEAAADetgEAAwAAAAAA3tMH5c173ghpvyo5znveCD5DSVEuTllTRTpJQk0uSVFfQVNTRVRTX0NBUF9MRUFTRV9HUk9TUy4xOTkzLjA2LzAzLzIwMjYuLi5VU0QuSAEAAADetgEAAwAAAAAA3tMH5c173ghpvyo5znveCD1DSVEuTllTRTpJQk0uSVFfQVVNX09USEVSX0FESlVTVE1FTlRTLjE5OTMuMDYvMDMvMjAyNi4uLlVTRC5IAQAAAN62AQADAAAAAADe0wflzXveCGm/KjnOe94INENJUS5OWVNF</t>
  </si>
  <si>
    <t>OklCTS5JUV9BVU1fUkVUQUlMX0NVU1RPTUVSUy4xOTkzLjA2LzAzLzIwMjYBAAAA3rYBAAMAAAAAAN7TB+XNe94Iab8qOc573ghHQ0lRLk5ZU0U6SUJNLklRX0FDQ09VTlRfQ09ERV9JTlRFUkVTVF9QRU5BTFRJRVMuMTk5My4wNi8wMy8yMDI2Li4uVVNELkgBAAAA3rYBAAMAAAAAAN7TB+XNe94Id+YqOc573gg9Q0lRLk5ZU0U6SUJNLklRX09QRUJfQlJFQUtET1dOX1BDVF9GSV9GT1JFSUdOLjE5OTMuMDYvMDMvMjAyNgEAAADetgEAAwAAAAAA3tMH5c173gh35io5znveCENDSVEuTllTRTpJQk0uSVFfT1BFQl9BU1NFVFNfQ1VSVEFJTF9GT1JFSUdOLjE5OTMuMDYvMDMvMjAyNi4uLlVTRC5IAQAAAN62AQADAAAAAADe0wflzXveCGm/KjnOe94ITUNJUS5OWVNFOklCTS5JUV9PUEVCX09CTElHQVRJT05fSU5URVJFU1RfQ09TVF9GT1JFSUdOLjE5OTMuMDYvMDMvMjAyNi4uLlVTRC5IAQAAAN62AQADAAAAAADe0wflzXveCGm/KjnOe94IR0NJUS5OWVNFOklCTS5JUV9QRU5TSU9OX05FVF9BU1NFVF9SRUNPR19GT1JFSUdOLjE5OTMuMDYvMDMvMjAyNi4uLlVTRC5IAQAAAN62AQADAAAAAADe0wflzXveCGm/KjnOe94IJENJUS5OWVNFOklCTS5JUV9EQVJULjE5OTMuMDYvMDMvMjAyNgEAAADetgEAAwAAAAAA3tMH5c173gh35io5znveCDtDSVEuTllTRTpJQk0uSVFfQVVNX05PTl9GRUVfRUFSTklORy4x</t>
  </si>
  <si>
    <t>OTkzLjA2LzAzLzIwMjYuLi5VU0QuSAEAAADetgEAAwAAAAAA3tMH5c173gh35io5znveCEdDSVEuTllTRTpJQk0uSVFfT1BFQl9QQk9fUkFURV9DT01QX0lOQ1JFQVNFX01BWF9GT1JFSUdOLjE5OTMuMDYvMDMvMjAyNgEAAADetgEAAwAAAAAA3tMH5c173gh35io5znveCEtDSVEuTllTRTpJQk0uSVFfT1BFQl9PQkxJR0FUSU9OX0FDQ1VNVUxBVEVEX0ZPUkVJR04uMTk5My4wNi8wMy8yMDI2Li4uVVNELkgBAAAA3rYBAAMAAAAAAN7TB+XNe94Id+YqOc573ghVQ0lRLk5ZU0U6SUJNLklRX09QRUJfREVDUkVBU0VfRUZGRUNUX1NFUlZJQ0VfSU5UX0NPU1RfRk9SRUlHTi4xOTkzLjA2LzAzLzIwMjYuLi5VU0QuSAEAAADetgEAAwAAAAAA3tMH5c173gh35io5znveCENDSVEuTllTRTpJQk0uSVFfT1BFQl9BQ0NVTV9PVEhFUl9DSV9GT1JFSUdOLjE5OTMuMDYvMDMvMjAyNi4uLlVTRC5IAQAAAN62AQADAAAAAADe0wflzXveCHfmKjnOe94IPUNJUS5OWVNFOklCTS5JUV9ORVRfTkVXX0NMSUVOVF9BU1NFVFMuMTk5My4wNi8wMy8yMDI2Li4uVVNELkgBAAAA3rYBAAMAAAAAAN7TB+XNe94Id+YqOc573ghGQ0lRLk5ZU0U6SUJNLklRX09QRUJfSEVBTFRIX0NPU1RfVFJFTkRfSU5JVElBTF9GT1JFSUdOLjE5OTMuMDYvMDMvMjAyNgEAAADetgEAAwAAAAAA3tMH5c173gh35io5znveCEhDSVEuTllTRTpJQk0u</t>
  </si>
  <si>
    <t>SVFfUEVOU0lPTl9QQk9fQVNTVU1FRF9SQVRFX1JFVF9NQVhfRk9SRUlHTi4xOTkzLjA2LzAzLzIwMjYBAAAA3rYBAAMAAAAAAN7TB+XNe94Id+YqOc573ghfQ0lRLk5ZU0U6SUJNLklRX1BFTlNJT05fT0JMSUdBVElPTl9UT1RBTF9DT1NUX0lOQ0xfU1VQUExFX1BMQU5TX0ZPUkVJR04uMTk5My4wNi8wMy8yMDI2Li4uVVNELkgBAAAA3rYBAAMAAAAAAN7TB+XNe94I4yUrOc573gg/Q0lRLk5ZU0U6SUJNLklRX09QRUJfQUNDVU1fT1RIRVJfQ0lfRE9NLjE5OTMuMDYvMDMvMjAyNi4uLlVTRC5IAQAAAN62AQADAAAAAADe0wflzXveCOMlKznOe94IRUNJUS5OWVNFOklCTS5JUV9QRU5TSU9OX0NJX1RSQU5TSVRJT05fRk9SRUlHTi4xOTkzLjA2LzAzLzIwMjYuLi5VU0QuSAEAAADetgEAAwAAAAAA3tMH5c173gh35io5znveCENDSVEuTllTRTpJQk0uSVFfUEVOU0lPTl9FWFBfUkFURV9SRVRVUk5fTUFYX0ZPUkVJR04uMTk5My4wNi8wMy8yMDI2AQAAAN62AQADAAAAAADe0wflzXveCHfmKjnOe94ITENJUS5OWVNFOklCTS5JUV9QRU5TSU9OX0FTU0VUU19CRU5FRklUU19QQUlEX0ZPUkVJR04uMTk5My4wNi8wMy8yMDI2Li4uVVNELkgBAAAA3rYBAAMAAAAAAN7TB+XNe94Id+YqOc573ghHQ0lRLk5ZU0U6SUJNLklRX1BFTlNJT05fT0JMSUdBVElPTl9QQUlEX0ZPUkVJR04uMTk5My4wNi8wMy8yMDI2Li4u</t>
  </si>
  <si>
    <t>VVNELkgBAAAA3rYBAAMAAAAAAN7TB+XNe94I4yUrOc573ghEQ0lRLk5ZU0U6SUJNLklRX09QRUJfREVDUkVBU0VfRUZGRUNUX1BCT19ET00uMTk5My4wNi8wMy8yMDI2Li4uVVNELkgBAAAA3rYBAAMAAAAAAN7TB+XNe94I4yUrOc573ghEQ0lRLk5ZU0U6SUJNLklRX09QRUJfT0JMSUdBVElPTl9QQUlEX0ZPUkVJR04uMTk5My4wNi8wMy8yMDI2Li4uVVNELkgBAAAA3rYBAAMAAAAAAN7TB+XNe94I4yUrOc573ghFQ0lRLk5ZU0U6SUJNLklRX1BFTlNJT05fVU5SRUNPR19QUklPUl9GT1JFSUdOLjE5OTMuMDYvMDMvMjAyNi4uLlVTRC5IAQAAAN62AQADAAAAAADe0wflzXveCOMlKznOe94IP0NJUS5OWVNFOklCTS5JUV9QRU5TSU9OX0xUX0xJQUJfRk9SRUlHTi4xOTkzLjA2LzAzLzIwMjYuLi5VU0QuSAEAAADetgEAAwAAAAAA3tMH5c173gjjJSs5znveCEFDSVEuTllTRTpJQk0uSVFfUEVOU0lPTl9MVF9BU1NFVFNfRk9SRUlHTi4xOTkzLjA2LzAzLzIwMjYuLi5VU0QuSAEAAADetgEAAwAAAAAA3tMH5c173gjjJSs5znveCEZDSVEuTllTRTpJQk0uSVFfUEVOU0lPTl9BTVRfUkVDT0dfTkVYVF9GT1JFSUdOLjE5OTMuMDYvMDMvMjAyNi4uLlVTRC5IAQAAAN62AQADAAAAAADe0wflzXveCOMlKznOe94IQkNJUS5OWVNFOklCTS5JUV9QRU5TSU9OX0VYUF9SRVRVUk5fRk9SRUlHTi4xOTkzLjA2LzAzLzIw</t>
  </si>
  <si>
    <t>MjYuLi5VU0QuSAEAAADetgEAAwAAAAAA3tMH5c173gjjJSs5znveCEBDSVEuTllTRTpJQk0uSVFfT1BFQl9FU1RfQkVORUZJVF8yWVJfRE9NLjE5OTMuMDYvMDMvMjAyNi4uLlVTRC5IAQAAAN62AQADAAAAAADe0wflzXveCOMlKznOe94IQUNJUS5OWVNFOklCTS5JUV9PUEVCX1BSRVBBSURfQ09TVF9GT1JFSUdOLjE5OTMuMDYvMDMvMjAyNi4uLlVTRC5IAQAAAN62AQADAAAAAADe0wflzXveCOMlKznOe94IRUNJUS5OWVNFOklCTS5JUV9PUEVCX0NJX05FVF9BTVRfUkVDT0dfRk9SRUlHTi4xOTkzLjA2LzAzLzIwMjYuLi5VU0QuSAEAAADetgEAAwAAAAAA3tMH5c173gh5TSs5znveCFJDSVEuTllTRTpJQk0uSVFfT1BFQl9BU1NFVFNfUEFSVElDSVBfQ09OVFJJQlVUSU9OU19GT1JFSUdOLjE5OTMuMDYvMDMvMjAyNi4uLlVTRC5IAQAAAN62AQADAAAAAADe0wflzXveCHlNKznOe94IVENJUS5OWVNFOklCTS5JUV9QRU5TSU9OX1FVQVJUX0FERExfQ09OVFJJQlVUSU9OU19FWFBfRk9SRUlHTi4xOTkzLjA2LzAzLzIwMjYuLi5VU0QuSAEAAADetgEAAwAAAAAA3tMH5c173gh5TSs5znveCEBDSVEuTllTRTpJQk0uSVFfUEVOU0lPTl9CUkVBS0RPV05fUENUX1JFX0ZPUkVJR04uMTk5My4wNi8wMy8yMDI2AQAAAN62AQADAAAAAADe0wflzXveCHlNKznOe94ISkNJUS5OWVNFOklCTS5JUV9QRU5TSU9OX09C</t>
  </si>
  <si>
    <t>TElHQVRJT05fQ1VSVEFJTF9GT1JFSUdOLjE5OTMuMDYvMDMvMjAyNi4uLlVTRC5IAQAAAN62AQADAAAAAADe0wflzXveCOMlKznOe94ITUNJUS5OWVNFOklCTS5JUV9QRU5TSU9OX09CTElHQVRJT05fVE9UQUxfQ09TVF9GT1JFSUdOLjE5OTMuMDYvMDMvMjAyNi4uLlVTRC5IAQAAAN62AQADAAAAAADe0wflzXveCHlNKznOe94IRENJUS5OWVNFOklCTS5JUV9PUEVCX0lOQ1JFQVNFX0VGRkVDVF9QQk9fRE9NLjE5OTMuMDYvMDMvMjAyNi4uLlVTRC5IAQAAAN62AQADAAAAAADe0wflzXveCHlNKznOe94IPUNJUS5OWVNFOklCTS5JUV9PUEVCX0FDQ1JVRURfTElBQl9ET00uMTk5My4wNi8wMy8yMDI2Li4uVVNELkgBAAAA3rYBAAMAAAAAAN7TB+XNe94IeU0rOc573gg8Q0lRLk5ZU0U6SUJNLklRX09QRUJfRVhQX1JBVEVfUkVUVVJOX01BWF9ET00uMTk5My4wNi8wMy8yMDI2AQAAAN62AQADAAAAAADe0wflzXveCHlNKznOe94ITkNJUS5OWVNFOklCTS5JUV9PUEVCX0FTU0VUU19FTVBMT1lFUl9DT05UUklCVVRJT05TX0RPTS4xOTkzLjA2LzAzLzIwMjYuLi5VU0QuSAEAAADetgEAAwAAAAAA3tMH5c173gh5TSs5znveCEdDSVEuTllTRTpJQk0uSVFfT1BFQl9PQkxJR0FUSU9OX0FDQ1VNVUxBVEVEX0RPTS4xOTkzLjA2LzAzLzIwMjYuLi5VU0QuSAEAAADetgEAAwAAAAAA3tMH5c173ghCdCs5znveCEhD</t>
  </si>
  <si>
    <t>SVEuTllTRTpJQk0uSVFfT1BFQl9TVVBQTEVfUExBTlNfVE9UQUxfQ09TVF9ET00uMTk5My4wNi8wMy8yMDI2Li4uVVNELkgBAAAA3rYBAAMAAAAAAN7TB+XNe94IQnQrOc573gg7Q0lRLk5ZU0U6SUJNLklRX1BFTlNJT05fTFRfTElBQl9ET00uMTk5My4wNi8wMy8yMDI2Li4uVVNELkgBAAAA3rYBAAMAAAAAAN7TB+XNe94IeU0rOc573ghGQ0lRLk5ZU0U6SUJNLklRX1BFTlNJT05fUEJPX1JBVEVfQ09NUF9JTkNSRUFTRV9NQVhfRE9NLjE5OTMuMDYvMDMvMjAyNgEAAADetgEAAwAAAAAA3tMH5c173gh5TSs5znveCERDSVEuTllTRTpJQk0uSVFfUEVOU0lPTl9QQk9fQVNTVU1FRF9SQVRFX1JFVF9NSU5fRE9NLjE5OTMuMDYvMDMvMjAyNgEAAADetgEAAwAAAAAA3tMH5c173gh5TSs5znveCEBDSVEuTllTRTpJQk0uSVFfUEVOU0lPTl9CUkVBS0RPV05fRVFfRE9NLjE5OTMuMDYvMDMvMjAyNi4uLlVTRC5IAQAAAN62AQADAAAAAADe0wflzXveCEJ0KznOe94IR0NJUS5OWVNFOklCTS5JUV9PUEVCX09CTElHQVRJT05fQ1VSVEFJTF9GT1JFSUdOLjE5OTMuMDYvMDMvMjAyNi4uLlVTRC5IAQAAAN62AQADAAAAAADe0wflzXveCEJ0KznOe94IQUNJUS5OWVNFOklCTS5JUV9PUEVCX1NFUlZJQ0VfQ09TVF9GT1JFSUdOLjE5OTMuMDYvMDMvMjAyNi4uLlVTRC5IAQAAAN62AQADAAAAAADe0wflzXveCEJ0KznO</t>
  </si>
  <si>
    <t>e94IPkNJUS5OWVNFOklCTS5JUV9QRU5TSU9OX0NJX0FDVF9GT1JFSUdOLjE5OTMuMDYvMDMvMjAyNi4uLlVTRC5IAQAAAN62AQADAAAAAADe0wflzXveCEJ0KznOe94IVUNJUS5OWVNFOklCTS5JUV9QRU5TSU9OX0FTU0VUU19FTVBMT1lFUl9DT05UUklCVVRJT05TX0ZPUkVJR04uMTk5My4wNi8wMy8yMDI2Li4uVVNELkgBAAAA3rYBAAMAAAAAAN7TB+XNe94IQnQrOc573gg5Q0lRLk5ZU0U6SUJNLklRX09QRUJfQUNUX05FWFRfRE9NLjE5OTMuMDYvMDMvMjAyNi4uLlVTRC5IAQAAAN62AQADAAAAAADe0wflzXveCGKbKznOe94IQENJUS5OWVNFOklCTS5JUV9PUEVCX0VYUF9SQVRFX1JFVFVSTl9NQVhfRk9SRUlHTi4xOTkzLjA2LzAzLzIwMjYBAAAA3rYBAAMAAAAAAN7TB+XNe94IYpsrOc573ghAQ0lRLk5ZU0U6SUJNLklRX1BFTlNJT05fQUNUX05FWFRfRk9SRUlHTi4xOTkzLjA2LzAzLzIwMjYuLi5VU0QuSAEAAADetgEAAwAAAAAA3tMH5c173ghCdCs5znveCEBDSVEuTllTRTpJQk0uSVFfUEVOU0lPTl9CUkVBS0RPV05fUENUX0VRX0ZPUkVJR04uMTk5My4wNi8wMy8yMDI2AQAAAN62AQADAAAAAADe0wflzXveCEJ0KznOe94ITUNJUS5OWVNFOklCTS5JUV9QRU5TSU9OX0FTU0VUU19PVEhFUl9QTEFOX0FESl9GT1JFSUdOLjE5OTMuMDYvMDMvMjAyNi4uLlVTRC5IAQAAAN62AQADAAAAAADe0wfl</t>
  </si>
  <si>
    <t>zXveCEJ0KznOe94IRkNJUS5OWVNFOklCTS5JUV9QRU5TSU9OX09CTElHQVRJT05fUk9BX0ZPUkVJR04uMTk5My4wNi8wMy8yMDI2Li4uVVNELkgBAAAA3rYBAAMAAAAAAN7TB+XNe94IYpsrOc573ggzQ0lRLk5ZU0U6SUJNLklRX0FVTV9PVEhFUl9DVVNUT01FUlMuMTk5My4wNi8wMy8yMDI2AQAAAN62AQADAAAAAADe0wflzXveCGKbKznOe94IQ0NJUS5OWVNFOklCTS5JUV9QRU5TSU9OX0VYUF9SQVRFX1JFVFVSTl9NSU5fRk9SRUlHTi4xOTkzLjA2LzAzLzIwMjYBAAAA3rYBAAMAAAAAAN7TB+XNe94IYpsrOc573gg9Q0lRLk5ZU0U6SUJNLklRX09QRUJfSU5UQU5fQVNTRVRTX0RPTS4xOTkzLjA2LzAzLzIwMjYuLi5VU0QuSAEAAADetgEAAwAAAAAA3tMH5c173ghimys5znveCEFDSVEuTllTRTpJQk0uSVFfT1BFQl9QQk9fQVNTVU1FRF9SQVRFX1JFVF9NQVhfRE9NLjE5OTMuMDYvMDMvMjAyNgEAAADetgEAAwAAAAAA3tMH5c173ghimys5znveCEVDSVEuTllTRTpJQk0uSVFfT1BFQl9QQk9fQVNTVU1FRF9SQVRFX1JFVF9NSU5fRk9SRUlHTi4xOTkzLjA2LzAzLzIwMjYBAAAA3rYBAAMAAAAAAN7TB+XNe94IYpsrOc573ghDQ0lRLk5ZU0U6SUJNLklRX09QRUJfT0JMSUdBVElPTl9BQ1FfRk9SRUlHTi4xOTkzLjA2LzAzLzIwMjYuLi5VU0QuSAEAAADetgEAAwAAAAAA3tMH5c173ghimys5znveCERD</t>
  </si>
  <si>
    <t>SVEuTllTRTpJQk0uSVFfUEVOU0lPTl9CUkVBS0RPV05fRVFfRk9SRUlHTi4xOTkzLjA2LzAzLzIwMjYuLi5VU0QuSAEAAADetgEAAwAAAAAA3tMH5c173ghimys5znveCFZDSVEuTllTRTpJQk0uSVFfUEVOU0lPTl9PQkxJR0FUSU9OX0FDVFVBUklBTF9HQUlOX0xPU1NfRk9SRUlHTi4xOTkzLjA2LzAzLzIwMjYuLi5VU0QuSAEAAADetgEAAwAAAAAA3tMH5c173ghimys5znveCD5DSVEuTllTRTpJQk0uSVFfT1BFQl9VTlJFQ09HX1BSSU9SX0RPTS4xOTkzLjA2LzAzLzIwMjYuLi5VU0QuSAEAAADetgEAAwAAAAAA3tMH5c173ghimys5znveCD5DSVEuTllTRTpJQk0uSVFfT1BFQl9DSV9UUkFOU0lUSU9OX0RPTS4xOTkzLjA2LzAzLzIwMjYuLi5VU0QuSAEAAADetgEAAwAAAAAA3tMH5c173ghimys5znveCD1DSVEuTllTRTpJQk0uSVFfT1BFQl9CUkVBS0RPV05fRVFfRE9NLjE5OTMuMDYvMDMvMjAyNi4uLlVTRC5IAQAAAN62AQADAAAAAADe0wflzXveCGKbKznOe94IP0NJUS5OWVNFOklCTS5JUV9PUEVCX0FTU0VUU19DVVJUQUlMX0RPTS4xOTkzLjA2LzAzLzIwMjYuLi5VU0QuSAEAAADetgEAAwAAAAAA3tMH5c173ghimys5znveCEVDSVEuTllTRTpJQk0uSVFfT1BFQl9BU1NFVFNfQkVORUZJVFNfUEFJRF9ET00uMTk5My4wNi8wMy8yMDI2Li4uVVNELkgBAAAA3rYBAAMAAAAAAN7TB+XNe94IYpsr</t>
  </si>
  <si>
    <t>Oc573ghSQ0lRLk5ZU0U6SUJNLklRX09QRUJfT0JMSUdBVElPTl9FTVBMT1lFRV9DT05UUklCVVRJT05TX0RPTS4xOTkzLjA2LzAzLzIwMjYuLi5VU0QuSAEAAADetgEAAwAAAAAA3tMH5c173ghimys5znveCDdDSVEuTllTRTpJQk0uSVFfQ0FQX0xPU1NfQ0ZfNFlSLjE5OTMuMDYvMDMvMjAyNi4uLlVTRC5IAQAAAN62AQADAAAAAADe0wflzXveCBzWKznOe94IOkNJUS5OWVNFOklCTS5JUV9BVU1fUFJJVkFURV9FUVVJVFkuMTk5My4wNi8wMy8yMDI2Li4uVVNELkgBAAAA3rYBAAMAAAAAAN7TB+XNe94IHNYrOc573gg/Q0lRLk5ZU0U6SUJNLklRX09QRUJfRVhQX1JFVFVSTl9GT1JFSUdOLjE5OTMuMDYvMDMvMjAyNi4uLlVTRC5IAQAAAN62AQADAAAAAADe0wflzXveCBzWKznOe94IR0NJUS5OWVNFOklCTS5JUV9QRU5TSU9OX1RSQU5TSVRJT05fTkVYVF9GT1JFSUdOLjE5OTMuMDYvMDMvMjAyNi4uLlVTRC5IAQAAAN62AQADAAAAAADe0wflzXveCGKbKznOe94IPkNJUS5OWVNFOklCTS5JUV9QRU5TSU9OX0FTU0VUU19GT1JFSUdOLjE5OTMuMDYvMDMvMjAyNi4uLlVTRC5IAQAAAN62AQADAAAAAADe0wflzXveCGKbKznOe94ITENJUS5OWVNFOklCTS5JUV9QRU5TSU9OX09CTElHQVRJT05fUFJPSkVDVEVEX0ZPUkVJR04uMTk5My4wNi8wMy8yMDI2Li4uVVNELkgBAAAA3rYBAAMAAAAAAN7TB+XNe94I</t>
  </si>
  <si>
    <t>NeorOc573ghNQ0lRLk5ZU0U6SUJNLklRX1BFTlNJT05fT0JMSUdBVElPTl9PVEhFUl9DT1NUX0ZPUkVJR04uMTk5My4wNi8wMy8yMDI2Li4uVVNELkgBAAAA3rYBAAMAAAAAAN7TB+XNe94IHNYrOc573ghAQ0lRLk5ZU0U6SUJNLklRX09QRUJfRVNUX0JFTkVGSVRfMVlSX0RPTS4xOTkzLjA2LzAzLzIwMjYuLi5VU0QuSAEAAADetgEAAwAAAAAA3tMH5c173ggc1is5znveCDtDSVEuTllTRTpJQk0uSVFfT1BFQl9BU1NFVFNfRk9SRUlHTi4xOTkzLjA2LzAzLzIwMjYuLi5VU0QuSAEAAADetgEAAwAAAAAA3tMH5c173ggc1is5znveCDdDSVEuTllTRTpJQk0uSVFfT1BFQl9DTF9GT1JFSUdOLjE5OTMuMDYvMDMvMjAyNi4uLlVTRC5IAQAAAN62AQADAAAAAADe0wflzXveCBzWKznOe94IQkNJUS5OWVNFOklCTS5JUV9PUEVCX0FTU0VUU19GWF9BREpfRk9SRUlHTi4xOTkzLjA2LzAzLzIwMjYuLi5VU0QuSAEAAADetgEAAwAAAAAA3tMH5c173gg16is5znveCEdDSVEuTllTRTpJQk0uSVFfUEVOU0lPTl9FU1RfQkVORUZJVF8xWVJfRk9SRUlHTi4xOTkzLjA2LzAzLzIwMjYuLi5VU0QuSAEAAADetgEAAwAAAAAA3tMH5c173gg16is5znveCEZDSVEuTllTRTpJQk0uSVFfUEVOU0lPTl9BU1NFVFNfQ1VSVEFJTF9GT1JFSUdOLjE5OTMuMDYvMDMvMjAyNi4uLlVTRC5IAQAAAN62AQADAAAAAADe0wflzXveCDXq</t>
  </si>
  <si>
    <t>KznOe94IRUNJUS5OWVNFOklCTS5JUV9QRU5TSU9OX0lOVEVSRVNUX0NPU1RfRk9SRUlHTi4xOTkzLjA2LzAzLzIwMjYuLi5VU0QuSAEAAADetgEAAwAAAAAA3tMH5c173gg16is5znveCDlDSVEuTllTRTpJQk0uSVFfT1BFQl9CUkVBS0RPV05fUENUX1JFX0RPTS4xOTkzLjA2LzAzLzIwMjYBAAAA3rYBAAMAAAAAAN7TB+XNe94INeorOc573gg+Q0lRLk5ZU0U6SUJNLklRX09QRUJfQVNTRVRTX0ZYX0FESl9ET00uMTk5My4wNi8wMy8yMDI2Li4uVVNELkgBAAAA3rYBAAMAAAAAAN7TB+XNe94INeorOc573ghPQ0lRLk5ZU0U6SUJNLklRX09QRUJfT0JMSUdBVElPTl9BQ1RVQVJJQUxfR0FJTl9MT1NTX0RPTS4xOTkzLjA2LzAzLzIwMjYuLi5VU0QuSAEAAADetgEAAwAAAAAA3tMH5c173gg16is5znveCEhDSVEuTllTRTpJQk0uSVFfT1BFQl9PQkxJR0FUSU9OX1NFUlZJQ0VfQ09TVF9ET00uMTk5My4wNi8wMy8yMDI2Li4uVVNELkgBAAAA3rYBAAMAAAAAAN7TB+XNe94INeorOc573gg9Q0lRLk5ZU0U6SUJNLklRX1BFTlNJT05fT1RIRVJfQURKX0RPTS4xOTkzLjA2LzAzLzIwMjYuLi5VU0QuSAEAAADetgEAAwAAAAAA3tMH5c173gg16is5znveCENDSVEuTllTRTpJQk0uSVFfUEVOU0lPTl9FU1RfQkVORUZJVF8zWVJfRE9NLjE5OTMuMDYvMDMvMjAyNi4uLlVTRC5IAQAAAN62AQADAAAAAADe0wflzXve</t>
  </si>
  <si>
    <t>CDXqKznOe94IMUNJUS5OWVNFOklCTS5JUV9BVU1fT1RIRVIuMTk5My4wNi8wMy8yMDI2Li4uVVNELkgBAAAA3rYBAAMAAAAAAN7TB+XNe94IgxEsOc573ghUQ0lRLk5ZU0U6SUJNLklRX1BFTlNJT05fUVVBUlRfRU1QTE9ZRVJfQ09OVFJJQlVUSU9OU19GT1JFSUdOLjE5OTMuMDYvMDMvMjAyNi4uLlVTRC5IAQAAAN62AQADAAAAAADe0wflzXveCIMRLDnOe94IRENJUS5OWVNFOklCTS5JUV9QRU5TSU9OX1BSRVBBSURfQ09TVF9GT1JFSUdOLjE5OTMuMDYvMDMvMjAyNi4uLlVTRC5IAQAAAN62AQADAAAAAADe0wflzXveCIMRLDnOe94IR0NJUS5OWVNFOklCTS5JUV9QRU5TSU9OX0VTVF9CRU5FRklUXzVZUl9GT1JFSUdOLjE5OTMuMDYvMDMvMjAyNi4uLlVTRC5IAQAAAN62AQADAAAAAADe0wflzXveCDXqKznOe94ISkNJUS5OWVNFOklCTS5JUV9QRU5TSU9OX1BCT19SQVRFX0NPTVBfSU5DUkVBU0VfTUlOX0ZPUkVJR04uMTk5My4wNi8wMy8yMDI2AQAAAN62AQADAAAAAADe0wflzXveCDXqKznOe94IRENJUS5OWVNFOklCTS5JUV9QRU5TSU9OX0JSRUFLRE9XTl9GSV9GT1JFSUdOLjE5OTMuMDYvMDMvMjAyNi4uLlVTRC5IAQAAAN62AQADAAAAAADe0wflzXveCIMRLDnOe94IPUNJUS5OWVNFOklCTS5JUV9QRU5TSU9OX0RJU0NfUkFURV9NQVhfRk9SRUlHTi4xOTkzLjA2LzAzLzIwMjYBAAAA3rYBAAMA</t>
  </si>
  <si>
    <t>AAAAAN7TB+XNe94IgxEsOc573ghOQ0lRLk5ZU0U6SUJNLklRX1BFTlNJT05fQUNDVU1VTEFURURfT0JMSUdBVElPTl9GT1JFSUdOLjE5OTMuMDYvMDMvMjAyNi4uLlVTRC5IAQAAAN62AQADAAAAAADe0wflzXveCIMRLDnOe94IRkNJUS5OWVNFOklCTS5JUV9QRU5TSU9OX09CTElHQVRJT05fQkVHX0ZPUkVJR04uMTk5My4wNi8wMy8yMDI2Li4uVVNELkgBAAAA3rYBAAMAAAAAAN7TB+XNe94IgxEsOc573gg6Q0lRLk5ZU0U6SUJNLklRX09QRUJfT1RIRVJfQURKX0RPTS4xOTkzLjA2LzAzLzIwMjYuLi5VU0QuSAEAAADetgEAAwAAAAAA3tMH5c173giDESw5znveCEBDSVEuTllTRTpJQk0uSVFfT1BFQl9FU1RfQkVORUZJVF81WVJfRE9NLjE5OTMuMDYvMDMvMjAyNi4uLlVTRC5IAQAAAN62AQADAAAAAADe0wflzXveCIMRLDnOe94IQkNJUS5OWVNFOklCTS5JUV9PUEVCX0NJX09USEVSX01JU0NfQURKX0RPTS4xOTkzLjA2LzAzLzIwMjYuLi5VU0QuSAEAAADetgEAAwAAAAAA3tMH5c173giDESw5znveCE5DSVEuTllTRTpJQk0uSVFfT1BFQl9PQkxJR0FUSU9OX09USEVSX1BMQU5fQURKX0ZPUkVJR04uMTk5My4wNi8wMy8yMDI2Li4uVVNELkgBAAAA3rYBAAMAAAAAAN7TB+XNe94IgxEsOc573ghDQ0lRLk5ZU0U6SUJNLklRX09QRUJfT0JMSUdBVElPTl9CRUdfRk9SRUlHTi4xOTkzLjA2LzAzLzIwMjYu</t>
  </si>
  <si>
    <t>Li5VU0QuSAEAAADetgEAAwAAAAAA3tMH5c173giDESw5znveCEJDSVEuTllTRTpJQk0uSVFfT1BFQl9JTlRFUkVTVF9DT1NUX0ZPUkVJR04uMTk5My4wNi8wMy8yMDI2Li4uVVNELkgBAAAA3rYBAAMAAAAAAN7TB+XNe94IgxEsOc573ghJQ0lRLk5ZU0U6SUJNLklRX1BFTlNJT05fQ0lfT1RIRVJfTUlTQ19BREpfRk9SRUlHTi4xOTkzLjA2LzAzLzIwMjYuLi5VU0QuSAEAAADetgEAAwAAAAAA3tMH5c173gjBOCw5znveCD5DSVEuTllTRTpJQk0uSVFfQVVNX01PTkVZX01BUktFVF9GVU5EUy4xOTkzLjA2LzAzLzIwMjYuLi5VU0QuSAEAAADetgEAAwAAAAAA3tMH5c173gjBOCw5znveCENDSVEuTllTRTpJQk0uSVFfT1BFQl9SQVRFX0NPTVBfSU5DUkVBU0VfTUFYX0ZPUkVJR04uMTk5My4wNi8wMy8yMDI2AQAAAN62AQADAAAAAADe0wflzXveCME4LDnOe94IRkNJUS5OWVNFOklCTS5JUV9QRU5TSU9OX1JBVEVfQ09NUF9JTkNSRUFTRV9NQVhfRk9SRUlHTi4xOTkzLjA2LzAzLzIwMjYBAAAA3rYBAAMAAAAAAN7TB+XNe94IwTgsOc573ghFQ0lRLk5ZU0U6SUJNLklRX1BFTlNJT05fQVNTRVRTX0ZYX0FESl9GT1JFSUdOLjE5OTMuMDYvMDMvMjAyNi4uLlVTRC5IAQAAAN62AQADAAAAAADe0wflzXveCME4LDnOe94IWUNJUS5OWVNFOklCTS5JUV9QRU5TSU9OX09CTElHQVRJT05fRU1QTE9ZRUVfQ09OVFJJ</t>
  </si>
  <si>
    <t>QlVUSU9OU19GT1JFSUdOLjE5OTMuMDYvMDMvMjAyNi4uLlVTRC5IAQAAAN62AQADAAAAAADe0wflzXveCME4LDnOe94IQENJUS5OWVNFOklCTS5JUV9PUEVCX0VTVF9CRU5FRklUXzNZUl9ET00uMTk5My4wNi8wMy8yMDI2Li4uVVNELkgBAAAA3rYBAAMAAAAAAN7TB+XNe94IwTgsOc573gg9Q0lRLk5ZU0U6SUJNLklRX1BFTlNJT05fT1RIRVJfRk9SRUlHTi4xOTkzLjA2LzAzLzIwMjYuLi5VU0QuSAEAAADetgEAAwAAAAAA3tMH5c173gjBOCw5znveCD5DSVEuTllTRTpJQk0uSVFfQVVNX0ZJWEVEX0lOQ09NRV9GVU5EUy4xOTkzLjA2LzAzLzIwMjYuLi5VU0QuSAEAAADetgEAAwAAAAAA3tMH5c173gjBOCw5znveCElDSVEuTllTRTpJQk0uSVFfT1BFQl9BU1NFVFNfQkVORUZJVFNfUEFJRF9GT1JFSUdOLjE5OTMuMDYvMDMvMjAyNi4uLlVTRC5IAQAAAN62AQADAAAAAADe0wflzXveCME4LDnOe94IVkNJUS5OWVNFOklCTS5JUV9PUEVCX09CTElHQVRJT05fRU1QTE9ZRUVfQ09OVFJJQlVUSU9OU19GT1JFSUdOLjE5OTMuMDYvMDMvMjAyNi4uLlVTRC5IAQAAAN62AQADAAAAAADe0wflzXveCLJfLDnOe94ITkNJUS5OWVNFOklCTS5JUV9QRU5TSU9OX1VORlVOREVEX0FERExfTUlOX0xJQUJfRk9SRUlHTi4xOTkzLjA2LzAzLzIwMjYuLi5VU0QuSAEAAADetgEAAwAAAAAA3tMH5c173giyXyw5znveCEhD</t>
  </si>
  <si>
    <t>SVEuTllTRTpJQk0uSVFfUEVOU0lPTl9DSV9QUklPUl9TRVJWSUNFX0ZPUkVJR04uMTk5My4wNi8wMy8yMDI2Li4uVVNELkgBAAAA3rYBAAMAAAAAAN7TB+XNe94IwTgsOc573ghKQ0lRLk5ZU0U6SUJNLklRX09QRUJfQVNTRVRTX09USEVSX1BMQU5fQURKX0ZPUkVJR04uMTk5My4wNi8wMy8yMDI2Li4uVVNELkgBAAAA3rYBAAMAAAAAAN7TB+XNe94IwTgsOc573ghHQ0lRLk5ZU0U6SUJNLklRX1BFTlNJT05fRVNUX0JFTkVGSVRfMllSX0ZPUkVJR04uMTk5My4wNi8wMy8yMDI2Li4uVVNELkgBAAAA3rYBAAMAAAAAAN7TB+XNe94IwTgsOc573ghMQ0lRLk5ZU0U6SUJNLklRX1BFTlNJT05fQVNTRVRTX0FDVFVBTF9SRVRVUk5fRk9SRUlHTi4xOTkzLjA2LzAzLzIwMjYuLi5VU0QuSAEAAADetgEAAwAAAAAA3tMH5c173giHcyw5znveCDpDSVEuTllTRTpJQk0uSVFfT1BFQl9MVF9BU1NFVFNfRE9NLjE5OTMuMDYvMDMvMjAyNi4uLlVTRC5IAQAAAN62AQADAAAAAADe0wflzXveCLJfLDnOe94IQ0NJUS5OWVNFOklCTS5JUV9PUEVCX1BCT19SQVRFX0NPTVBfSU5DUkVBU0VfTUFYX0RPTS4xOTkzLjA2LzAzLzIwMjYBAAAA3rYBAAMAAAAAAN7TB+XNe94Isl8sOc573gg/Q0lRLk5ZU0U6SUJNLklRX09QRUJfQU1UX1JFQ09HX05FWFRfRE9NLjE5OTMuMDYvMDMvMjAyNi4uLlVTRC5IAQAAAN62AQADAAAAAADe</t>
  </si>
  <si>
    <t>0wflzXveCLJfLDnOe94IQkNJUS5OWVNFOklCTS5JUV9PUEVCX09CTElHQVRJT05fRlhfQURKX0RPTS4xOTkzLjA2LzAzLzIwMjYuLi5VU0QuSAEAAADetgEAAwAAAAAA3tMH5c173giyXyw5znveCEFDSVEuTllTRTpJQk0uSVFfT1BFQl9JTlRBTl9BU1NFVFNfRk9SRUlHTi4xOTkzLjA2LzAzLzIwMjYuLi5VU0QuSAEAAADetgEAAwAAAAAA3tMH5c173giHcyw5znveCERDSVEuTllTRTpJQk0uSVFfUEVOU0lPTl9CUkVBS0RPV05fUkVfRk9SRUlHTi4xOTkzLjA2LzAzLzIwMjYuLi5VU0QuSAEAAADetgEAAwAAAAAA3tMH5c173giHcyw5znveCENDSVEuTllTRTpJQk0uSVFfT1BFQl9QUklPUl9TRVJWSUNFX05FWFRfRE9NLjE5OTMuMDYvMDMvMjAyNi4uLlVTRC5IAQAAAN62AQADAAAAAADe0wflzXveCIdzLDnOe94IRENJUS5OWVNFOklCTS5JUV9QRU5TSU9OX0FDQ1JVRURfTElBQl9GT1JFSUdOLjE5OTMuMDYvMDMvMjAyNi4uLlVTRC5IAQAAAN62AQADAAAAAADe0wflzXveCIdzLDnOe94IQENJUS5OWVNFOklCTS5JUV9QRU5TSU9OX0JSRUFLRE9XTl9QQ1RfRklfRk9SRUlHTi4xOTkzLjA2LzAzLzIwMjYBAAAA3rYBAAMAAAAAAN7TB+XNe94Ih3MsOc573ghGQ0lRLk5ZU0U6SUJNLklRX1BFTlNJT05fUkFURV9DT01QX0lOQ1JFQVNFX01JTl9GT1JFSUdOLjE5OTMuMDYvMDMvMjAyNgEAAADetgEAAwAA</t>
  </si>
  <si>
    <t>AAAA3tMH5c173giHcyw5znveCENDSVEuTllTRTpJQk0uSVFfT1BFQl9IRUFMVEhfQ09TVF9UUkVORF9VTFRJTUFURV9ET00uMTk5My4wNi8wMy8yMDI2AQAAAN62AQADAAAAAADe0wflzXveCIdzLDnOe94IP0NJUS5OWVNFOklCTS5JUV9PUEVCX09CTElHQVRJT05fQkVHX0RPTS4xOTkzLjA2LzAzLzIwMjYuLi5VU0QuSAEAAADetgEAAwAAAAAA3tMH5c173giHcyw5znveCEFDSVEuTllTRTpJQk0uSVFfUEVOU0lPTl9DSV9UUkFOU0lUSU9OX0RPTS4xOTkzLjA2LzAzLzIwMjYuLi5VU0QuSAEAAADetgEAAwAAAAAA3tMH5c173giHcyw5znveCDxDSVEuTllTRTpJQk0uSVFfUEVOU0lPTl9CUkVBS0RPV05fUENUX0VRX0RPTS4xOTkzLjA2LzAzLzIwMjYBAAAA3rYBAAMAAAAAAN7TB+XNe94Ih3MsOc573ghDQ0lRLk5ZU0U6SUJNLklRX1BFTlNJT05fRVhQX1JFVFVSTl9ET01FU1RJQy4xOTkzLjA2LzAzLzIwMjYuLi5VU0QuSAEAAADetgEAAwAAAAAA3tMH5c173gjfmiw5znveCE1DSVEuTllTRTpJQk0uSVFfUEVOU0lPTl9PQkxJR0FUSU9OX09USEVSX1BMQU5fQURKX0RPTS4xOTkzLjA2LzAzLzIwMjYuLi5VU0QuSAEAAADetgEAAwAAAAAA3tMH5c173gjfmiw5znveCD1DSVEuTllTRTpJQk0uSVFfT1BFQl9QUkVQQUlEX0NPU1RfRE9NLjE5OTMuMDYvMDMvMjAyNi4uLlVTRC5IAQAAAN62AQADAAAAAADe</t>
  </si>
  <si>
    <t>0wflzXveCN+aLDnOe94IRkNJUS5OWVNFOklCTS5JUV9PUEVCX0FTU0VUU19PVEhFUl9QTEFOX0FESl9ET00uMTk5My4wNi8wMy8yMDI2Li4uVVNELkgBAAAA3rYBAAMAAAAAAN7TB+XNe94Ih3MsOc573gg7Q0lRLk5ZU0U6SUJNLklRX09QRUJfVE9UQUxfQ09TVF9ET00uMTk5My4wNi8wMy8yMDI2Li4uVVNELkgBAAAA3rYBAAMAAAAAAN7TB+XNe94Ih3MsOc573ghDQ0lRLk5ZU0U6SUJNLklRX09QRUJfUEJPX1JBVEVfQ09NUF9JTkNSRUFTRV9NSU5fRE9NLjE5OTMuMDYvMDMvMjAyNgEAAADetgEAAwAAAAAA3tMH5c173gjfmiw5znveCDZDSVEuTllTRTpJQk0uSVFfT1BFQl9ESVNDX1JBVEVfTUFYX0RPTS4xOTkzLjA2LzAzLzIwMjYBAAAA3rYBAAMAAAAAAN7TB+XNe94I35osOc573ghDQ0lRLk5ZU0U6SUJNLklRX09QRUJfT0JMSUdBVElPTl9DVVJUQUlMX0RPTS4xOTkzLjA2LzAzLzIwMjYuLi5VU0QuSAEAAADetgEAAwAAAAAA3tMH5c173gjfmiw5znveCDpDSVEuTllTRTpJQk0uSVFfUEVOU0lPTl9DSV9BQ1RfRE9NLjE5OTMuMDYvMDMvMjAyNi4uLlVTRC5IAQAAAN62AQADAAAAAADe0wflzXveCN+aLDnOe94IP0NJUS5OWVNFOklCTS5JUV9QRU5TSU9OX0VYUF9SQVRFX1JFVFVSTl9NSU5fRE9NLjE5OTMuMDYvMDMvMjAyNgEAAADetgEAAwAAAAAA3tMH5c173gjfmiw5znveCEhDSVEuTllTRTpJ</t>
  </si>
  <si>
    <t>Qk0uSVFfUEVOU0lPTl9BU1NFVFNfQkVORUZJVFNfUEFJRF9ET00uMTk5My4wNi8wMy8yMDI2Li4uVVNELkgBAAAA3rYBAAMAAAAAAN7TB+XNe94I35osOc573ghIQ0lRLk5ZU0U6SUJNLklRX1BFTlNJT05fQVNTRVRTX0FDVFVBTF9SRVRVUk5fRE9NLjE5OTMuMDYvMDMvMjAyNi4uLlVTRC5IAQAAAN62AQADAAAAAADe0wflzXveCN+aLDnOe94IQkNJUS5OWVNFOklCTS5JUV9QRU5TSU9OX09CTElHQVRJT05fQkVHX0RPTS4xOTkzLjA2LzAzLzIwMjYuLi5VU0QuSAEAAADetgEAAwAAAAAA3tMH5c173gjfmiw5znveCDxDSVEuTllTRTpJQk0uSVFfT1BFQl9ORVRfQVNTRVRfUkVDT0cuMTk5My4wNi8wMy8yMDI2Li4uVVNELkgBAAAA3rYBAAMAAAAAAN7TB+XNe94I35osOc573gg8Q0lRLk5ZU0U6SUJNLklRX09QRUJfRVNUX0JFTkVGSVRfNFlSLjE5OTMuMDYvMDMvMjAyNi4uLlVTRC5IAQAAAN62AQADAAAAAADe0wflzXveCN+aLDnOe94IPENJUS5OWVNFOklCTS5JUV9PUEVCX0VTVF9CRU5FRklUXzFZUi4xOTkzLjA2LzAzLzIwMjYuLi5VU0QuSAEAAADetgEAAwAAAAAA3tMH5c173ggfwiw5znveCDNDSVEuTllTRTpJQk0uSVFfT1BFQl9DSV9BQ1QuMTk5My4wNi8wMy8yMDI2Li4uVVNELkgBAAAA3rYBAAMAAAAAAN7TB+XNe94IH8IsOc573ggyQ0lRLk5ZU0U6SUJNLklRX09QRUJfRElTQ19SQVRFX01B</t>
  </si>
  <si>
    <t>WC4xOTkzLjA2LzAzLzIwMjYBAAAA3rYBAAMAAAAAAN7TB+XNe94IH8IsOc573ghBQ0lRLk5ZU0U6SUJNLklRX09QRUJfT0JMSUdBVElPTl9QUk9KRUNURUQuMTk5My4wNi8wMy8yMDI2Li4uVVNELkgBAAAA3rYBAAMAAAAAAN7TB+XNe94IH8IsOc573gg3Q0lRLk5ZU0U6SUJNLklRX09QRUJfVE9UQUxfQ09TVC4xOTkzLjA2LzAzLzIwMjYuLi5VU0QuSAEAAADetgEAAwAAAAAA3tMH5c173ggfwiw5znveCDpDSVEuTllTRTpJQk0uSVFfT1BFQl9JTlRFUkVTVF9DT1NULjE5OTMuMDYvMDMvMjAyNi4uLlVTRC5IAQAAAN62AQADAAAAAADe0wflzXveCB/CLDnOe94IQkNJUS5OWVNFOklCTS5JUV9PUEVCX0hFQUxUSF9DT1NUX1RSRU5EX0lOSVRJQUxfRE9NLjE5OTMuMDYvMDMvMjAyNgEAAADetgEAAwAAAAAA3tMH5c173ggfwiw5znveCEFDSVEuTllTRTpJQk0uSVFfT1BFQl9DSV9ORVRfQU1UX1JFQ09HX0RPTS4xOTkzLjA2LzAzLzIwMjYuLi5VU0QuSAEAAADetgEAAwAAAAAA3tMH5c173ggfwiw5znveCD1DSVEuTllTRTpJQk0uSVFfUEVOU0lPTl9ESVNDT1VOVF9SQVRFX0ZPUkVJR04uMTk5My4wNi8wMy8yMDI2AQAAAN62AQADAAAAAADe0wflzXveCB/CLDnOe94INkNJUS5OWVNFOklCTS5JUV9PUEVCX09USEVSX0RPTS4xOTkzLjA2LzAzLzIwMjYuLi5VU0QuSAEAAADetgEAAwAAAAAA3tMH5c173ggn</t>
  </si>
  <si>
    <t>6Sw5znveCD1DSVEuTllTRTpJQk0uSVFfT1BFQl9CUkVBS0RPV05fRklfRE9NLjE5OTMuMDYvMDMvMjAyNi4uLlVTRC5IAQAAAN62AQADAAAAAADe0wflzXveCCfpLDnOe94IPkNJUS5OWVNFOklCTS5JUV9PUEVCX0lOVEVSRVNUX0NPU1RfRE9NLjE5OTMuMDYvMDMvMjAyNi4uLlVTRC5IAQAAAN62AQADAAAAAADe0wflzXveCB/CLDnOe94IQ0NJUS5OWVNFOklCTS5JUV9QRU5TSU9OX05FVF9BU1NFVF9SRUNPR19ET00uMTk5My4wNi8wMy8yMDI2Li4uVVNELkgBAAAA3rYBAAMAAAAAAN7TB+XNe94IH8IsOc573ghCQ0lRLk5ZU0U6SUJNLklRX1BFTlNJT05fQU1UX1JFQ09HX05FWFRfRE9NLjE5OTMuMDYvMDMvMjAyNi4uLlVTRC5IAQAAAN62AQADAAAAAADe0wflzXveCB/CLDnOe94IQENJUS5OWVNFOklCTS5JUV9QRU5TSU9OX0JSRUFLRE9XTl9SRV9ET00uMTk5My4wNi8wMy8yMDI2Li4uVVNELkgBAAAA3rYBAAMAAAAAAN7TB+XNe94IJ+ksOc573ghCQ0lRLk5ZU0U6SUJNLklRX1BFTlNJT05fQVNTRVRTX0JFR19GT1JFSUdOLjE5OTMuMDYvMDMvMjAyNi4uLlVTRC5IAQAAAN62AQADAAAAAADe0wflzXveCCfpLDnOe94IQ0NJUS5OWVNFOklCTS5JUV9PUEVCX0VTVF9CRU5FRklUX0FGVEVSNV9ET00uMTk5My4wNi8wMy8yMDI2Li4uVVNELkgBAAAA3rYBAAMAAAAAAN7TB+XNe94IJ+ksOc573gg5Q0lR</t>
  </si>
  <si>
    <t>Lk5ZU0U6SUJNLklRX09QRUJfQlJFQUtET1dOX1BDVF9GSV9ET00uMTk5My4wNi8wMy8yMDI2AQAAAN62AQADAAAAAADe0wflzXveCCfpLDnOe94ITUNJUS5OWVNFOklCTS5JUV9PUEVCX1RPVEFMX0NPU1RfSU5DTF9TVVBQTEVfUExBTlNfRE9NLjE5OTMuMDYvMDMvMjAyNi4uLlVTRC5IAQAAAN62AQADAAAAAADe0wflzXveCCfpLDnOe94INkNJUS5OWVNFOklCTS5JUV9QRU5TSU9OX0NMX0RPTS4xOTkzLjA2LzAzLzIwMjYuLi5VU0QuSAEAAADetgEAAwAAAAAA3tMH5c173ggn6Sw5znveCEBDSVEuTllTRTpJQk0uSVFfT1BFQl9UUkFOU0lUSU9OX05FWFRfRE9NLjE5OTMuMDYvMDMvMjAyNi4uLlVTRC5IAQAAAN62AQADAAAAAADe0wflzXveCCfpLDnOe94IPENJUS5OWVNFOklCTS5JUV9QRU5TSU9OX0FDVF9ORVhUX0RPTS4xOTkzLjA2LzAzLzIwMjYuLi5VU0QuSAEAAADetgEAAwAAAAAA3tMH5c173ggn6Sw5znveCEJDSVEuTllTRTpJQk0uSVFfUEVOU0lPTl9SQVRFX0NPTVBfSU5DUkVBU0VfTUlOX0RPTS4xOTkzLjA2LzAzLzIwMjYBAAAA3rYBAAMAAAAAAN7TB+XNe94IJ+ksOc573ghRQ0lRLk5ZU0U6SUJNLklRX1BFTlNJT05fQVNTRVRTX0VNUExPWUVSX0NPTlRSSUJVVElPTlNfRE9NLjE5OTMuMDYvMDMvMjAyNi4uLlVTRC5IAQAAAN62AQADAAAAAADe0wflzXveCCfpLDnOe94IS0NJUS5OWVNF</t>
  </si>
  <si>
    <t>OklCTS5JUV9QRU5TSU9OX09CTElHQVRJT05fU0VSVklDRV9DT1NUX0RPTS4xOTkzLjA2LzAzLzIwMjYuLi5VU0QuSAEAAADetgEAAwAAAAAA3tMH5c173gg4EC05znveCEBDSVEuTllTRTpJQk0uSVFfT1BFQl9CUkVBS0RPV05fUENUX09USEVSX0ZPUkVJR04uMTk5My4wNi8wMy8yMDI2AQAAAN62AQADAAAAAADe0wflzXveCDgQLTnOe94IQUNJUS5OWVNFOklCTS5JUV9QRU5TSU9OX0JFTkVGSVRfSU5GT19EQVRFX0ZPUkVJR04uMTk5My4wNi8wMy8yMDI2AQAAAN62AQADAAAAAADe0wflzXveCDgQLTnOe94ISkNJUS5OWVNFOklCTS5JUV9QRU5TSU9OX0VTVF9CRU5FRklUX0FGVEVSNV9GT1JFSUdOLjE5OTMuMDYvMDMvMjAyNi4uLlVTRC5IAQAAAN62AQADAAAAAADe0wflzXveCCfpLDnOe94ISkNJUS5OWVNFOklCTS5JUV9QRU5TSU9OX1BCT19SQVRFX0NPTVBfSU5DUkVBU0VfTUFYX0ZPUkVJR04uMTk5My4wNi8wMy8yMDI2AQAAAN62AQADAAAAAADe0wflzXveCDgQLTnOe94IRkNJUS5OWVNFOklCTS5JUV9QRU5TSU9OX09CTElHQVRJT05fQUNRX0ZPUkVJR04uMTk5My4wNi8wMy8yMDI2Li4uVVNELkgBAAAA3rYBAAMAAAAAAN7TB+XNe94IOBAtOc573ghQQ0lRLk5ZU0U6SUJNLklRX1BFTlNJT05fT0JMSUdBVElPTl9JTlRFUkVTVF9DT1NUX0ZPUkVJR04uMTk5My4wNi8wMy8yMDI2Li4uVVNELkgB</t>
  </si>
  <si>
    <t>AAAA3rYBAAMAAAAAAN7TB+XNe94IOBAtOc573gg3Q0lRLk5ZU0U6SUJNLklRX09QRUJfQ0lfQUNUX0RPTS4xOTkzLjA2LzAzLzIwMjYuLi5VU0QuSAEAAADetgEAAwAAAAAA3tMH5c173gg4EC05znveCDxDSVEuTllTRTpJQk0uSVFfT1BFQl9FWFBfUkFURV9SRVRVUk5fTUlOX0RPTS4xOTkzLjA2LzAzLzIwMjYBAAAA3rYBAAMAAAAAAN7TB+XNe94IOBAtOc573gg2Q0lRLk5ZU0U6SUJNLklRX09QRUJfRElTQ19SQVRFX01JTl9ET00uMTk5My4wNi8wMy8yMDI2AQAAAN62AQADAAAAAADe0wflzXveCDgQLTnOe94IOUNJUS5OWVNFOklCTS5JUV9QRU5TSU9OX09USEVSX0RPTS4xOTkzLjA2LzAzLzIwMjYuLi5VU0QuSAEAAADetgEAAwAAAAAA3tMH5c173gg4EC05znveCEBDSVEuTllTRTpJQk0uSVFfUEVOU0lPTl9JTlRBTl9BU1NFVFNfRE9NLjE5OTMuMDYvMDMvMjAyNi4uLlVTRC5IAQAAAN62AQADAAAAAADe0wflzXveCDgQLTnOe94IPENJUS5OWVNFOklCTS5JUV9QRU5TSU9OX0JSRUFLRE9XTl9QQ1RfUkVfRE9NLjE5OTMuMDYvMDMvMjAyNgEAAADetgEAAwAAAAAA3tMH5c173gg4EC05znveCFFDSVEuTllTRTpJQk0uSVFfT1BFQl9JTkNSRUFTRV9FRkZFQ1RfU0VSVklDRV9JTlRfQ09TVF9ET00uMTk5My4wNi8wMy8yMDI2Li4uVVNELkgBAAAA3rYBAAMAAAAAAN7TB+XNe94IOBAtOc573ghAQ0lR</t>
  </si>
  <si>
    <t>Lk5ZU0U6SUJNLklRX09QRUJfTkVUX0FTU0VUX1JFQ09HX0RPTS4xOTkzLjA2LzAzLzIwMjYuLi5VU0QuSAEAAADetgEAAwAAAAAA3tMH5c173gg4EC05znveCENDSVEuTllTRTpJQk0uSVFfT1BFQl9SQVRFX0NPTVBfSU5DUkVBU0VfTUlOX0ZPUkVJR04uMTk5My4wNi8wMy8yMDI2AQAAAN62AQADAAAAAADe0wflzXveCDgQLTnOe94IQ0NJUS5OWVNFOklCTS5JUV9QRU5TSU9OX0JSRUFLRE9XTl9QQ1RfT1RIRVJfRk9SRUlHTi4xOTkzLjA2LzAzLzIwMjYBAAAA3rYBAAMAAAAAAN7TB+XNe94IOBAtOc573ghPQ0lRLk5ZU0U6SUJNLklRX1BFTlNJT05fT0JMSUdBVElPTl9TRVJWSUNFX0NPU1RfRk9SRUlHTi4xOTkzLjA2LzAzLzIwMjYuLi5VU0QuSAEAAADetgEAAwAAAAAA3tMH5c173gg4EC05znveCD9DSVEuTllTRTpJQk0uSVFfT1BFQl9SQVRFX0NPTVBfSU5DUkVBU0VfTUFYX0RPTS4xOTkzLjA2LzAzLzIwMjYBAAAA3rYBAAMAAAAAAN7TB+XNe94IOBAtOc573ghVQ0lRLk5ZU0U6SUJNLklRX1BFTlNJT05fQVNTRVRTX1BBUlRJQ0lQX0NPTlRSSUJVVElPTlNfRk9SRUlHTi4xOTkzLjA2LzAzLzIwMjYuLi5VU0QuSAEAAADetgEAAwAAAAAA3tMH5c173gjzSi05znveCDpDSVEuTllTRTpJQk0uSVFfT1BFQl9CRU5FRklUX0lORk9fREFURV9ET00uMTk5My4wNi8wMy8yMDI2AQAAAN62AQADAAAAAADe</t>
  </si>
  <si>
    <t>0wflzXveCPNKLTnOe94IOENJUS5OWVNFOklCTS5JUV9PUEVCX0xUX0xJQUJfRE9NLjE5OTMuMDYvMDMvMjAyNi4uLlVTRC5IAQAAAN62AQADAAAAAADe0wflzXveCDgQLTnOe94IRkNJUS5OWVNFOklCTS5JUV9QRU5TSU9OX0FDQ1VNX09USEVSX0NJX0ZPUkVJR04uMTk5My4wNi8wMy8yMDI2Li4uVVNELkgBAAAA3rYBAAMAAAAAAN7TB+XNe94IOBAtOc573ghKQ0lRLk5ZU0U6SUJNLklRX1BFTlNJT05fUFJJT1JfU0VSVklDRV9ORVhUX0ZPUkVJR04uMTk5My4wNi8wMy8yMDI2Li4uVVNELkgBAAAA3rYBAAMAAAAAAN7TB+XNe94I80otOc573ghBQ0lRLk5ZU0U6SUJNLklRX09QRUJfUEJPX0FTU1VNRURfUkFURV9SRVRfTUlOX0RPTS4xOTkzLjA2LzAzLzIwMjYBAAAA3rYBAAMAAAAAAN7TB+XNe94I80otOc573gg/Q0lRLk5ZU0U6SUJNLklRX09QRUJfUkFURV9DT01QX0lOQ1JFQVNFX01JTl9ET00uMTk5My4wNi8wMy8yMDI2AQAAAN62AQADAAAAAADe0wflzXveCPNKLTnOe94ITkNJUS5OWVNFOklCTS5JUV9PUEVCX0FTU0VUU19QQVJUSUNJUF9DT05UUklCVVRJT05TX0RPTS4xOTkzLjA2LzAzLzIwMjYuLi5VU0QuSAEAAADetgEAAwAAAAAA3tMH5c173gjzSi05znveCEpDSVEuTllTRTpJQk0uSVFfT1BFQl9PQkxJR0FUSU9OX09USEVSX1BMQU5fQURKX0RPTS4xOTkzLjA2LzAzLzIwMjYuLi5VU0Qu</t>
  </si>
  <si>
    <t>SAEAAADetgEAAwAAAAAA3tMH5c173gjzSi05znveCDtDSVEuTllTRTpJQk0uSVFfT1BFQl9PVEhFUl9DT1NUX0RPTS4xOTkzLjA2LzAzLzIwMjYuLi5VU0QuSAEAAADetgEAAwAAAAAA3tMH5c173gjzSi05znveCExDSVEuTllTRTpJQk0uSVFfUEVOU0lPTl9FU1RfQ09OVFJJQlVUSU9OU19ORVhUWVJfRE9NLjE5OTMuMDYvMDMvMjAyNi4uLlVTRC5IAQAAAN62AQADAAAAAADe0wflzXveCPNKLTnOe94IRkNJUS5OWVNFOklCTS5JUV9QRU5TSU9OX1BSSU9SX1NFUlZJQ0VfTkVYVF9ET00uMTk5My4wNi8wMy8yMDI2Li4uVVNELkgBAAAA3rYBAAMAAAAAAN7TB+XNe94I80otOc573gg8Q0lRLk5ZU0U6SUJNLklRX1BFTlNJT05fQlJFQUtET1dOX1BDVF9GSV9ET00uMTk5My4wNi8wMy8yMDI2AQAAAN62AQADAAAAAADe0wflzXveCPNKLTnOe94IPkNJUS5OWVNFOklCTS5JUV9QRU5TSU9OX0RJU0NPVU5UX1JBVEVfRE9NRVNUSUMuMTk5My4wNi8wMy8yMDI2AQAAAN62AQADAAAAAADe0wflzXveCPNKLTnOe94IQUNJUS5OWVNFOklCTS5JUV9QRU5TSU9OX1JBVEVfQ09NUF9HUk9XVEhfRE9NRVNUSUMuMTk5My4wNi8wMy8yMDI2AQAAAN62AQADAAAAAADe0wflzXveCEdyLTnOe94ISENJUS5OWVNFOklCTS5JUV9QRU5TSU9OX09CTElHQVRJT05fUFJPSkVDVEVEX0RPTS4xOTkzLjA2LzAzLzIwMjYuLi5VU0Qu</t>
  </si>
  <si>
    <t>SAEAAADetgEAAwAAAAAA3tMH5c173ghHci05znveCElDSVEuTllTRTpJQk0uSVFfUEVOU0lPTl9PQkxJR0FUSU9OX1RPVEFMX0NPU1RfRE9NLjE5OTMuMDYvMDMvMjAyNi4uLlVTRC5IAQAAAN62AQADAAAAAADe0wflzXveCEdyLTnOe94IMkNJUS5OWVNFOklCTS5JUV9PUEVCX09USEVSLjE5OTMuMDYvMDMvMjAyNi4uLlVTRC5IAQAAAN62AQADAAAAAADe0wflzXveCEdyLTnOe94INkNJUS5OWVNFOklCTS5JUV9PUEVCX0xUX0FTU0VUUy4xOTkzLjA2LzAzLzIwMjYuLi5VU0QuSAEAAADetgEAAwAAAAAA3tMH5c173ghHci05znveCD1DSVEuTllTRTpJQk0uSVFfT1BFQl9QQk9fQVNTVU1FRF9SQVRFX1JFVF9NQVguMTk5My4wNi8wMy8yMDI2AQAAAN62AQADAAAAAADe0wflzXveCEdyLTnOe94IUUNJUS5OWVNFOklCTS5JUV9PUEVCX1RPVEFMX0NPU1RfSU5DTF9TVVBQTEVfUExBTlNfRk9SRUlHTi4xOTkzLjA2LzAzLzIwMjYuLi5VU0QuSAEAAADetgEAAwAAAAAA3tMH5c173ghHci05znveCEdDSVEuTllTRTpJQk0uSVFfUEVOU0lPTl9FU1RfQkVORUZJVF80WVJfRk9SRUlHTi4xOTkzLjA2LzAzLzIwMjYuLi5VU0QuSAEAAADetgEAAwAAAAAA3tMH5c173ghHci05znveCEdDSVEuTllTRTpJQk0uSVFfUEVOU0lPTl9CUkVBS0RPV05fT1RIRVJfRk9SRUlHTi4xOTkzLjA2LzAzLzIwMjYuLi5VU0QuSAEA</t>
  </si>
  <si>
    <t>AADetgEAAwAAAAAA3tMH5c173ghHci05znveCD1DSVEuTllTRTpJQk0uSVFfUEVOU0lPTl9ESVNDX1JBVEVfTUlOX0ZPUkVJR04uMTk5My4wNi8wMy8yMDI2AQAAAN62AQADAAAAAADe0wflzXveCEdyLTnOe94IPUNJUS5OWVNFOklCTS5JUV9PUEVCX0JSRUFLRE9XTl9SRV9ET00uMTk5My4wNi8wMy8yMDI2Li4uVVNELkgBAAAA3rYBAAMAAAAAAN7TB+XNe94IjJktOc573gg7Q0lRLk5ZU0U6SUJNLklRX09QRUJfQVNTRVRTX0FDUV9ET00uMTk5My4wNi8wMy8yMDI2Li4uVVNELkgBAAAA3rYBAAMAAAAAAN7TB+XNe94IjJktOc573gg3Q0lRLk5ZU0U6SUJNLklRX0ZJTl9ESVZfREVCVF9MVC4xOTk1LjA2LzAzLzIwMjYuLi5VU0QuSAEAAADetgEAAwAAAAAAH1tG5c173ggHhxQ5znveCDBDSVEuTllTRTpJQk0uSVFfVE9UQUxfQ0wuMTk5NS4wNi8wMy8yMDI2Li4uVVNELkgBAAAA3rYBAAIAAAAFMjg4NTMBCAAAAAUAAAABMQEAAAALLTE5MjA4NDY5NTADAAAAAzE2MAIAAAAEMTAwOQQAAAABMAcAAAAIMy82LzIwMjYIAAAACTkvMzAvMjAyNAkAAAABMB9bRuXNe94IB4cUOc573gg3Q0lRLk5ZU0U6SUJNLklRX09USEVSX0xUX0FTU0VUUy4xOTk1LjA2LzAzLzIwMjYuLi5VU0QuSAEAAADetgEAAgAAAAQ4MDE1AQgAAAAFAAAAATEBAAAACy0xOTIwODQ2OTUwAwAAAAMxNjACAAAABDEwNjAEAAAAATAHAAAA</t>
  </si>
  <si>
    <t>CDMvNi8yMDI2CAAAAAk5LzMwLzIwMjQJAAAAATAfW0blzXveCAeHFDnOe94IMENJUS5OWVNFOklCTS5JUV9UT1RBTF9DQS4xOTk1LjA2LzAzLzIwMjYuLi5VU0QuSAEAAADetgEAAgAAAAUzMDU0MwEIAAAABQAAAAExAQAAAAstMTkyMDg0Njk1MAMAAAADMTYwAgAAAAQxMDA4BAAAAAEwBwAAAAgzLzYvMjAyNggAAAAJOS8zMC8yMDI0CQAAAAEwH1tG5c173ggHhxQ5znveCD9DSVEuTllTRTpJQk0uSVFfT1BFQl9PQkxJR0FUSU9OX0NVUlRBSUwuMTk5NS4wNi8wMy8yMDI2Li4uVVNELkgBAAAA3rYBAAMAAAAAAB9bRuXNe94IB4cUOc573gg9Q0lRLk5ZU0U6SUJNLklRX1BFTlNJT05fVU5SRUNPR19QUklPUi4xOTk1LjA2LzAzLzIwMjYuLi5VU0QuSAEAAADetgEAAwAAAAAAH1tG5c173ggorhQ5znveCD5DSVEuTllTRTpJQk0uSVFfUEVOU0lPTl9PQkxJR0FUSU9OX0FDUS4xOTk1LjA2LzAzLzIwMjYuLi5VU0QuSAEAAADetgEAAwAAAAAAH1tG5c173ggorhQ5znveCEVDSVEuTllTRTpJQk0uSVFfUEVOU0lPTl9PQkxJR0FUSU9OX09USEVSX0NPU1QuMTk5NS4wNi8wMy8yMDI2Li4uVVNELkgBAAAA3rYBAAMAAAAAAB9bRuXNe94IKK4UOc573ggnQ0lRLk5ZU0U6SUJNLklRX0dBQVBfQlMuMTk5NS4wNi8wMy8yMDI2AQAAAN62AQADAAAAB1VTIEdBQVAAH1tG5c173ggorhQ5znveCEVDSVEuTllTRTpJQk0u</t>
  </si>
  <si>
    <t>SVFfUEVOU0lPTl9BU1NFVFNfT1RIRVJfUExBTl9BREouMTk5NS4wNi8wMy8yMDI2Li4uVVNELkgBAAAA3rYBAAMAAAAAAB9bRuXNe94IKK4UOc573gg6Q0lRLk5ZU0U6SUJNLklRX1BFTlNJT05fQVNTRVRTX0JFRy4xOTk1LjA2LzAzLzIwMjYuLi5VU0QuSAEAAADetgEAAwAAAAAAH1tG5c173ggorhQ5znveCEhDSVEuTllTRTpJQk0uSVFfUEVOU0lPTl9PQkxJR0FUSU9OX0lOVEVSRVNUX0NPU1QuMTk5NS4wNi8wMy8yMDI2Li4uVVNELkgBAAAA3rYBAAMAAAAAAB9bRuXNe94IKK4UOc573gg7Q0lRLk5ZU0U6SUJNLklRX1NUX0RFQlRfREVSSVZBVElWRVMuMTk5NS4wNi8wMy8yMDI2Li4uVVNELkgBAAAA3rYBAAMAAAAAAB9bRuXNe94IKK4UOc573gg6Q0lRLk5ZU0U6SUJNLklRX0RFQlRfRVFVSVZfTkVUX1BCTy4xOTk1LjA2LzAzLzIwMjYuLi5VU0QuSAEAAADetgEAAwAAAAAAH1tG5c173ggorhQ5znveCEdDSVEuTllTRTpJQk0uSVFfRkFJUl9WQUxVRV9DSEFOR0VfSU5DTF9FQVJOSU5HUy4xOTk1LjA2LzAzLzIwMjYuLi5VU0QuSAEAAADetgEAAwAAAAAAH1tG5c173ggorhQ5znveCEtDSVEuTllTRTpJQk0uSVFfTElRVUlEQVRJT05fVkFMVUVfUFJFRkVSUkVEX0NPTlZFUlQuMTk5NS4wNi8wMy8yMDI2Li4uVVNELkgBAAAA3rYBAAMAAAAAAB9bRuXNe94IKK4UOc573gg/Q0lRLk5ZU0U6SUJNLklR</t>
  </si>
  <si>
    <t>X1BFTlNJT05fVFJBTlNJVElPTl9ORVhULjE5OTUuMDYvMDMvMjAyNi4uLlVTRC5IAQAAAN62AQADAAAAAAAfW0blzXveCCiuFDnOe94IPENJUS5OWVNFOklCTS5JUV9QRU5TSU9OX0JSRUFLRE9XTl9FUS4xOTk1LjA2LzAzLzIwMjYuLi5VU0QuSAEAAADetgEAAwAAAAAAH1tG5c173ggorhQ5znveCD1DSVEuTllTRTpJQk0uSVFfUEVOU0lPTl9BU1NFVFNfRlhfQURKLjE5OTUuMDYvMDMvMjAyNi4uLlVTRC5IAQAAAN62AQADAAAAAAAfW0blzXveCCiuFDnOe94INUNJUS5OWVNFOklCTS5JUV9QRU5TSU9OX09USEVSLjE5OTUuMDYvMDMvMjAyNi4uLlVTRC5IAQAAAN62AQADAAAAAAAfW0blzXveCCiuFDnOe94ITkNJUS5OWVNFOklCTS5JUV9QRU5TSU9OX09CTElHQVRJT05fQUNUVUFSSUFMX0dBSU5fTE9TUy4xOTk1LjA2LzAzLzIwMjYuLi5VU0QuSAEAAADetgEAAwAAAAAAH1tG5c173ghP6RQ5znveCC9DSVEuTllTRTpJQk0uSVFfQVVESVRPUl9PUElOSU9OLjE5OTUuMDYvMDMvMjAyNgEAAADetgEAAwAAAAAAH1tG5c173ghP6RQ5znveCDdDSVEuTllTRTpJQk0uSVFfSU5URVJDT01QQU5ZX0NMLjE5OTUuMDYvMDMvMjAyNi4uLlVTRC5IAQAAAN62AQADAAAAAAAfW0blzXveCCiuFDnOe94IMUNJUS5OWVNFOklCTS5JUV9OVU1CRVJfQURSSE9MREVSUy4xOTk1LjA2LzAzLzIwMjYBAAAA3rYBAAMAAAAA</t>
  </si>
  <si>
    <t>AB9bRuXNe94IKK4UOc573gg5Q0lRLk5ZU0U6SUJNLklRX0FTU0VUU19GQUlSX1ZBTFVFLjE5OTUuMDYvMDMvMjAyNi4uLlVTRC5IAQAAAN62AQACAAAABDczOTMAH1tG5c173ggorhQ5znveCDZDSVEuTllTRTpJQk0uSVFfQVNTRVRTX0xFVkVMXzIuMTk5NS4wNi8wMy8yMDI2Li4uVVNELkgBAAAA3rYBAAIAAAAENjk2MQAfW0blzXveCE/pFDnOe94IO0NJUS5OWVNFOklCTS5JUV9NSU5PUklUWV9JTlRfUkVERUVNLjE5OTUuMDYvMDMvMjAyNi4uLlVTRC5IAQAAAN62AQADAAAAAAAfW0blzXveCE/pFDnOe94IKkNJUS5OWVNFOklCTS5JUV9JTlZfTUVUSE9ELjE5OTUuMDYvMDMvMjAyNgEAAADetgEAAwAAAAAAH1tG5c173ghP6RQ5znveCEBDSVEuTllTRTpJQk0uSVFfUEVOU0lPTl9QQk9fQVNTVU1FRF9SQVRFX1JFVF9NQVguMTk5NS4wNi8wMy8yMDI2AQAAAN62AQADAAAAAAAfW0blzXveCE/pFDnOe94IOUNJUS5OWVNFOklCTS5JUV9QRU5TSU9OX1RPVEFMX0VYUC4xOTk1LjA2LzAzLzIwMjYuLi5VU0QuSAEAAADetgEAAwAAAAAAH1tG5c173ghP6RQ5znveCDxDSVEuTllTRTpJQk0uSVFfUEVOU0lPTl9TRVJWSUNFX0NPU1QuMTk5NS4wNi8wMy8yMDI2Li4uVVNELkgBAAAA3rYBAAMAAAAAAB9bRuXNe94IT+kUOc573ghBQ0lRLk5ZU0U6SUJNLklRX0RFUklWQVRJVkVfQVNTRVRTX0NVUlJFTlQuMTk5</t>
  </si>
  <si>
    <t>NS4wNi8wMy8yMDI2Li4uVVNELkgBAAAA3rYBAAIAAAACODQBCAAAAAUAAAABMQEAAAALLTE5MjA4NDY5NTADAAAAAzE2MAIAAAAEMTEwOQQAAAABMAcAAAAIMy82LzIwMjYIAAAACTkvMzAvMjAyNAkAAAABMB9bRuXNe94IT+kUOc573gg+Q0lRLk5ZU0U6SUJNLklRX0NPTlRJTkdFTlRfTElBQklMSVRJRVMuMTk5NS4wNi8wMy8yMDI2Li4uVVNELkgBAAAA3rYBAAMAAAAAAB9bRuXNe94IT+kUOc573gg4Q0lRLk5ZU0U6SUJNLklRX1BFTlNJT05fQUNUX05FWFQuMTk5NS4wNi8wMy8yMDI2Li4uVVNELkgBAAAA3rYBAAMAAAAAAB9bRuXNe94IT+kUOc573gg9Q0lRLk5ZU0U6SUJNLklRX0RFQlRfRVFVSVZfT1BFUl9MRUFTRS4xOTk1LjA2LzAzLzIwMjYuLi5VU0QuSAEAAADetgEAAwAAAAAAH1tG5c173ghP6RQ5znveCDpDSVEuTllTRTpJQk0uSVFfRklOX0RJVl9DQVNIX0VRVUlWLjE5OTUuMDYvMDMvMjAyNi4uLlVTRC5IAQAAAN62AQADAAAAAAAfW0blzXveCLwQFTnOe94ITUNJUS5OWVNFOklCTS5JUV9MSUFCSUxJVElFU19ORVRUSU5HX09USEVSX0FESlVTVE1FTlRTLjE5OTUuMDYvMDMvMjAyNi4uLlVTRC5IAQAAAN62AQADAAAAAAAfW0blzXveCLwQFTnOe94ISUNJUS5OWVNFOklCTS5JUV9HRU5FUkFMX1BBUlRORVJfTUlOT1JJVFlfSU5URVJFU1QuMTk5NS4wNi8wMy8yMDI2Li4uVVNELkgBAAAA</t>
  </si>
  <si>
    <t>3rYBAAMAAAAAAB9bRuXNe94IvBAVOc573ggxQ0lRLk5ZU0U6SUJNLklRX0JVSUxESU5HUy4xOTk1LjA2LzAzLzIwMjYuLi5VU0QuSAEAAADetgEAAwAAAAAAH1tG5c173gi8EBU5znveCERDSVEuTllTRTpJQk0uSVFfUEVOU0lPTl9BU1NFVFNfQkVORUZJVFNfUEFJRC4xOTk1LjA2LzAzLzIwMjYuLi5VU0QuSAEAAADetgEAAwAAAAAAH1tG5c173ghP6RQ5znveCD5DSVEuTllTRTpJQk0uSVFfUEVOU0lPTl9PQkxJR0FUSU9OX1JPQS4xOTk1LjA2LzAzLzIwMjYuLi5VU0QuSAEAAADetgEAAwAAAAAAH1tG5c173gikJBU5znveCCxDSVEuTllTRTpJQk0uSVFfQ0FMQ19UWVBFX0JTLjE5OTUuMDYvMDMvMjAyNgEAAADetgEAAwAAAANSVVAAH1tG5c173gikJBU5znveCENDSVEuTllTRTpJQk0uSVFfREVSSVZBVElWRV9MSUFCX05PTl9DVVJSRU5ULjE5OTUuMDYvMDMvMjAyNi4uLlVTRC5IAQAAAN62AQACAAAAAzI1MgEIAAAABQAAAAExAQAAAAstMTkyMDg0Njk1MAMAAAADMTYwAgAAAAU0MDQxOQQAAAABMAcAAAAIMy82LzIwMjYIAAAACTkvMzAvMjAyNAkAAAABMB9bRuXNe94IvBAVOc573gg3Q0lRLk5ZU0U6SUJNLklRX09QRUJfRVhQX1JFVFVSTi4xOTk1LjA2LzAzLzIwMjYuLi5VU0QuSAEAAADetgEAAwAAAAAAH1tG5c173gi8EBU5znveCDxDSVEuTllTRTpJQk0uSVFfUEVOU0lPTl9QUkVQQUlEX0NP</t>
  </si>
  <si>
    <t>U1QuMTk5NS4wNi8wMy8yMDI2Li4uVVNELkgBAAAA3rYBAAMAAAAAAB9bRuXNe94IvBAVOc573ghGQ0lRLk5ZU0U6SUJNLklRX1BFTlNJT05fQUNDVU1VTEFURURfT0JMSUdBVElPTi4xOTk1LjA2LzAzLzIwMjYuLi5VU0QuSAEAAADetgEAAwAAAAAAH1tG5c173gikJBU5znveCEFDSVEuTllTRTpJQk0uSVFfUEVOU0lPTl9PQkxJR0FUSU9OX0ZYX0FESi4xOTk1LjA2LzAzLzIwMjYuLi5VU0QuSAEAAADetgEAAwAAAAAAH1tG5c173gikJBU5znveCDtDSVEuTllTRTpJQk0uSVFfVE9UQUxfREVCVF9FWENMX0ZJTi4xOTk1LjA2LzAzLzIwMjYuLi5VU0QuSAEAAADetgEAAgAAAAU2MDEyNgEIAAAABQAAAAExAQAAAAstMTkyMDg0Njk1MAMAAAADMTYwAgAAAAUyMTg2MAQAAAABMAcAAAAIMy82LzIwMjYIAAAACTkvMzAvMjAyNAkAAAABMB9bRuXNe94IpCQVOc573gg3Q0lRLk5ZU0U6SUJNLklRX1BFTlNJT05fVVZfTElBQi4xOTk1LjA2LzAzLzIwMjYuLi5VU0QuSAEAAADetgEAAwAAAAAAH1tG5c173gikJBU5znveCD9DSVEuTllTRTpJQk0uSVFfUEVOU0lPTl9FU1RfQkVORUZJVF8yWVIuMTk5NS4wNi8wMy8yMDI2Li4uVVNELkgBAAAA3rYBAAMAAAAAAB9bRuXNe94IpCQVOc573gg9Q0lRLk5ZU0U6SUJNLklRX1BFTlNJT05fQ0lfVFJBTlNJVElPTi4xOTk1LjA2LzAzLzIwMjYuLi5VU0QuSAEAAADetgEA</t>
  </si>
  <si>
    <t>AwAAAAAAH1tG5c173gikJBU5znveCD5DSVEuTllTRTpJQk0uSVFfUEVOU0lPTl9SQVRFX0NPTVBfSU5DUkVBU0VfTUFYLjE5OTUuMDYvMDMvMjAyNgEAAADetgEAAwAAAAAAH1tG5c173gikJBU5znveCD5DSVEuTllTRTpJQk0uSVFfUEVOU0lPTl9BU1NFVFNfQ1VSVEFJTC4xOTk1LjA2LzAzLzIwMjYuLi5VU0QuSAEAAADetgEAAwAAAAAAH1tG5c173gikJBU5znveCDpDSVEuTllTRTpJQk0uSVFfVEJWX1NIQVJFX1JFUE9SVEVELjE5OTUuMDYvMDMvMjAyNi4uLlVTRC5IAQAAAN62AQADAAAAAAAfW0blzXveCKQkFTnOe94IQ0NJUS5OWVNFOklCTS5JUV9SVUFfQ0FQSVRBTF9MRUFTRV9BQ0NVTV9ERVAuMTk5NS4wNi8wMy8yMDI2Li4uVVNELkgBAAAA3rYBAAMAAAAAAB9bRuXNe94IpCQVOc573gg8Q0lRLk5ZU0U6SUJNLklRX0ZJTl9ESVZfTElBQl9DVVJSRU5ULjE5OTUuMDYvMDMvMjAyNi4uLlVTRC5IAQAAAN62AQADAAAAAAAfW0blzXveCOBLFTnOe94IKkNJUS5OWVNFOklCTS5JUV9BUi4xOTk1LjA2LzAzLzIwMjYuLi5VU0QuSAEAAADetgEAAgAAAAQ1OTYyAQgAAAAFAAAAATEBAAAACy0xOTIwODQ2OTUwAwAAAAMxNjACAAAABDEwMjEEAAAAATAHAAAACDMvNi8yMDI2CAAAAAk5LzMwLzIwMjQJAAAAATAfW0blzXveCOBLFTnOe94IP0NJUS5OWVNFOklCTS5JUV9NSU5PUklUWV9JTlRFUkVTVF9U</t>
  </si>
  <si>
    <t>T1RBTC4xOTk1LjA2LzAzLzIwMjYuLi5VU0QuSAEAAADetgEAAgAAAAI4MgEIAAAABQAAAAExAQAAAAstMTkyMDg0Njk1MAMAAAADMTYwAgAAAAQxMzEyBAAAAAEwBwAAAAgzLzYvMjAyNggAAAAJOS8zMC8yMDI0CQAAAAEwH1tG5c173gjgSxU5znveCDBDSVEuTllTRTpJQk0uSVFfQlZfU0hBUkUuMTk5NS4wNi8wMy8yMDI2Li4uVVNELkgBAAAA3rYBAAIAAAAJMjYuNDQwNDEzAQgAAAAFAAAAATEBAAAACy0xOTIwODQ2OTUwAwAAAAMxNjACAAAABDQwMjAEAAAAATAHAAAACDMvNi8yMDI2CAAAAAk5LzMwLzIwMjQJAAAAATAfW0blzXveCOBLFTnOe94IPkNJUS5OWVNFOklCTS5JUV9ERUZfVEFYX0FTU0VUU19DVVJSRU5ULjE5OTUuMDYvMDMvMjAyNi4uLlVTRC5IAQAAAN62AQADAAAAAAAfW0blzXveCKQkFTnOe94IK0NJUS5OWVNFOklCTS5JUV9DSVAuMTk5NS4wNi8wMy8yMDI2Li4uVVNELkgBAAAA3rYBAAMAAAAAAB9bRuXNe94I4EsVOc573ggwQ0lRLk5ZU0U6SUJNLklRX0dXX0lOVEFOLjE5OTUuMDYvMDMvMjAyNi4uLlVTRC5IAQAAAN62AQACAAAABTcyMTgyAQgAAAAFAAAAATEBAAAACy0xOTIwODQ2OTUwAwAAAAMxNjACAAAABTM1MzgxBAAAAAEwBwAAAAgzLzYvMjAyNggAAAAJOS8zMC8yMDI0CQAAAAEwH1tG5c173gjgSxU5znveCCpDSVEuTllTRTpJQk0uSVFfUkUuMTk5NS4wNi8wMy8yMDI2</t>
  </si>
  <si>
    <t>Li4uVVNELkgBAAAA3rYBAAIAAAAGMTQ5Nzg5AQgAAAAFAAAAATEBAAAACy0xOTIwODQ2OTUwAwAAAAMxNjACAAAABDEyMjIEAAAAATAHAAAACDMvNi8yMDI2CAAAAAk5LzMwLzIwMjQJAAAAATAfW0blzXveCOBLFTnOe94ILkNJUS5OWVNFOklCTS5JUV9DT01NT04uMTk5NS4wNi8wMy8yMDI2Li4uVVNELkgBAAAA3rYBAAIAAAAFNjEwMTMBCAAAAAUAAAABMQEAAAALLTE5MjA4NDY5NTADAAAAAzE2MAIAAAAEMTEwMwQAAAABMAcAAAAIMy82LzIwMjYIAAAACTkvMzAvMjAyNAkAAAABMB9bRuXNe94I4EsVOc573ggvQ0lRLk5ZU0U6SUJNLklRX0xUX0RFQlQuMTk5NS4wNi8wMy8yMDI2Li4uVVNELkgBAAAA3rYBAAIAAAAFNTIxMDIBCAAAAAUAAAABMQEAAAALLTE5MjA4NDY5NTADAAAAAzE2MAIAAAAEMTA0OQQAAAABMAcAAAAIMy82LzIwMjYIAAAACTkvMzAvMjAyNAkAAAABMB9bRuXNe94I4EsVOc573gg2Q0lRLk5ZU0U6SUJNLklRX09USEVSX0NMX1NVUFBMLjE5OTUuMDYvMDMvMjAyNi4uLlVTRC5IAQAAAN62AQACAAAAAzI0OAEIAAAABQAAAAExAQAAAAstMTkyMDg0Njk1MAMAAAADMTYwAgAAAAQxMDU3BAAAAAEwBwAAAAgzLzYvMjAyNggAAAAJOS8zMC8yMDI0CQAAAAEwH1tG5c173gjgSxU5znveCCdDSVEuTllTRTpJQk0uSVFfR0FBUF9DRi4xOTk1LjA2LzAzLzIwMjYBAAAA3rYBAAMAAAAAAB9b</t>
  </si>
  <si>
    <t>RuXNe94I4EsVOc573gg3Q0lRLk5ZU0U6SUJNLklRX05FVF9ERUJUX0lTU1VFRC4xOTk1LjA2LzAzLzIwMjYuLi5VU0QuSAEAAADetgEAAgAAAAQtODk5AQgAAAAFAAAAATEBAAAACy0xOTIwODQ2OTUwAwAAAAMxNjACAAAABDIwMDMEAAAAATAHAAAACDMvNi8yMDI2CAAAAAk5LzMwLzIwMjQJAAAAATAfW0blzXveCOBLFTnOe94IM0NJUS5OWVNFOklCTS5JUV9MRVZFUkVEX0ZDRi4xOTk1LjA2LzAzLzIwMjYuLi5VU0QuSAEAAADetgEAAgAAAAkxMDQxNy4xMjUBCAAAAAUAAAABMQEAAAALLTE5MjA4NDY5NTADAAAAAzE2MAIAAAAENDQyMgQAAAABMAcAAAAIMy82LzIwMjYIAAAACTkvMzAvMjAyNAkAAAABMB9bRuXNe94I4EsVOc573ghDQ0lRLk5ZU0U6SUJNLklRX1NBTEVfUFJPQ0VFRFNfUkVOVEFMX0FTU0VUUy4xOTk1LjA2LzAzLzIwMjYuLi5VU0QuSAEAAADetgEAAwAAAAAAH1tG5c173gjgSxU5znveCCpDSVEuTllTRTpJQk0uSVFfUEVSSU9EREFURS4xOTk1LjA2LzAzLzIwMjYBAAAA3rYBAAUAAAAKMzAvMDkvMjAyNABb46nlzXveCBdFGTnOe94IMkNJUS5OWVNFOklCTS5JUV9DT01NT05fUkVQLjE5OTUuMDYvMDMvMjAyNi4uLlVTRC5IAQAAAN62AQACAAAABC02MDMBCAAAAAUAAAABMQEAAAALLTE5MjA4NDY5NTADAAAAAzE2MAIAAAAEMjE2NAQAAAABMAcAAAAIMy82LzIwMjYIAAAACTkvMzAv</t>
  </si>
  <si>
    <t>MjAyNAkAAAABMB9bRuXNe94I4EsVOc573gg7Q0lRLk5ZU0U6SUJNLklRX1NBTEVfUkVBTF9FU1RBVEVfQ0YuMTk5NS4wNi8wMy8yMDI2Li4uVVNELkgBAAAA3rYBAAMAAAAAAB9bRuXNe94I4EsVOc573ggzQ0lRLk5ZU0U6SUJNLklRX1NBTEVfUFBFX0NGLjE5OTUuMDYvMDMvMjAyNi4uLlVTRC5IAQAAAN62AQACAAAAAzcyMAEIAAAABQAAAAExAQAAAAstMTkyMDg0Njk1MAMAAAADMTYwAgAAAAQyMDQyBAAAAAEwBwAAAAgzLzYvMjAyNggAAAAJOS8zMC8yMDI0CQAAAAEwH1tG5c173gjgSxU5znveCDlDSVEuTllTRTpJQk0uSVFfUFJPVl9CQURfREVCVFNfQ0YuMTk5NS4wNi8wMy8yMDI2Li4uVVNELkgBAAAA3rYBAAMAAAAAAB9bRuXNe94I4EsVOc573gg5Q0lRLk5ZU0U6SUJNLklRX0dXX0lOVEFOX0FNT1JUX0NGLjE5OTUuMDYvMDMvMjAyNi4uLlVTRC5IAQAAAN62AQACAAAABDE3ODEBCAAAAAUAAAABMQEAAAALLTE5MjA4NDY5NTADAAAAAzE2MAIAAAAEMjE4MgQAAAABMAcAAAAIMy82LzIwMjYIAAAACTkvMzAvMjAyNAkAAAABMB9bRuXNe94IuoYVOc573gg5Q0lRLk5ZU0U6SUJNLklRX1NUT0NLX0JBU0VEX1RPVEFMLjE5OTUuMDYvMDMvMjAyNi4uLlVTRC5IAQAAAN62AQACAAAABDEyNTcBCAAAAAUAAAABMQEAAAALLTE5MjA4NDY5NTADAAAAAzE2MAIAAAAFMjQwMzQEAAAAATAHAAAACDMvNi8y</t>
  </si>
  <si>
    <t>MDI2CAAAAAk5LzMwLzIwMjQJAAAAATAfW0blzXveCLqGFTnOe94IO0NJUS5OWVNFOklCTS5JUV9MRUdBTF9TRVRUTEVfU1VQUExFLjE5OTUuMDYvMDMvMjAyNi4uLlVTRC5IAQAAAN62AQADAAAAAAAfW0blzXveCLqGFTnOe94IOENJUS5OWVNFOklCTS5JUV9HQUlOX0JBUkdBSU5fQUNRLjE5OTUuMDYvMDMvMjAyNi4uLlVTRC5IAQAAAN62AQADAAAAAAAfW0blzXveCLqGFTnOe94INENJUS5OWVNFOklCTS5JUV9PVEhFUl9SRU5UQUwuMTk5NS4wNi8wMy8yMDI2Li4uVVNELkgBAAAA3rYBAAMAAAAAAB9bRuXNe94I4EsVOc573gg+Q0lRLk5ZU0U6SUJNLklRX1RPVEFMX0RFQlRfRVhDTF9MRUFTRVMuMTk5NS4wNi8wMy8yMDI2Li4uVVNELkgBAAAA3rYBAAIAAAAFNTU3MDEBCAAAAAUAAAABMQEAAAALLTE5MjA4NDY5NTADAAAAAzE2MAIAAAAFNDg5OTIEAAAAATAHAAAACDMvNi8yMDI2CAAAAAk5LzMwLzIwMjQJAAAAATAfW0blzXveCLqGFTnOe94IPUNJUS5OWVNFOklCTS5JUV9OUFBFX0VYQ0xfT1BFUl9MRUFTRVMuMTk5NS4wNi8wMy8yMDI2Li4uVVNELkgBAAAA3rYBAAIAAAAENTYxNAEIAAAABQAAAAExAQAAAAstMTkyMDg0Njk1MAMAAAADMTYwAgAAAAU0ODk3NgQAAAABMAcAAAAIMy82LzIwMjYIAAAACTkvMzAvMjAyNAkAAAABMB9bRuXNe94IuoYVOc573ggtQ0lRLk5ZU0U6SUJNLklRX0FSX0xU</t>
  </si>
  <si>
    <t>LjE5OTUuMDYvMDMvMjAyNi4uLlVTRC5IAQAAAN62AQADAAAAAAAfW0blzXveCLqGFTnOe94IOENJUS5OWVNFOklCTS5JUV9GSU5fRElWX0xPQU5TX0xULjE5OTUuMDYvMDMvMjAyNi4uLlVTRC5IAQAAAN62AQACAAAABDQ5MzEBCAAAAAUAAAABMQEAAAALLTE5MjA4NDY5NTADAAAAAzE2MAIAAAAEMTAzMwQAAAABMAcAAAAIMy82LzIwMjYIAAAACTkvMzAvMjAyNAkAAAABMB9bRuXNe94IuoYVOc573ggtQ0lRLk5ZU0U6SUJNLklRX0FWR19FTVBMT1lFRVMuMTk5NS4wNi8wMy8yMDI2AQAAAN62AQADAAAAAAAfW0blzXveCLqGFTnOe94IQENJUS5OWVNFOklCTS5JUV9GSU5BTkNFX0xFQVNFU19MT05HX1RFUk0uMTk5NS4wNi8wMy8yMDI2Li4uVVNELkgBAAAA3rYBAAIAAAADODc4AQgAAAAFAAAAATEBAAAACy0xOTIwODQ2OTUwAwAAAAMxNjACAAAABTQ4OTkxBAAAAAEwBwAAAAgzLzYvMjAyNggAAAAJOS8zMC8yMDI0CQAAAAEwwnNG5c173ggwrhU5znveCDlDSVEuTllTRTpJQk0uSVFfVE9UQUxfTElBQl9FUVVJVFkuMTk5NS4wNi8wMy8yMDI2Li4uVVNELkgBAAAA3rYBAAIAAAAGMTM0MzM5AQgAAAAFAAAAATEBAAAACy0xOTIwODQ2OTUwAwAAAAMxNjACAAAABDEwMTMEAAAAATAHAAAACDMvNi8yMDI2CAAAAAk5LzMwLzIwMjQJAAAAATDCc0blzXveCLqGFTnOe94IOUNJUS5OWVNFOklCTS5JUV9NSU5P</t>
  </si>
  <si>
    <t>UklUWV9JTlRFUkVTVC4xOTk1LjA2LzAzLzIwMjYuLi5VU0QuSAEAAADetgEAAgAAAAI4MgEIAAAABQAAAAExAQAAAAstMTkyMDg0Njk1MAMAAAADMTYwAgAAAAQxMDUyBAAAAAEwBwAAAAgzLzYvMjAyNggAAAAJOS8zMC8yMDI0CQAAAAEwwnNG5c173gi6hhU5znveCDRDSVEuTllTRTpJQk0uSVFfT1RIRVJfRVFVSVRZLjE5OTUuMDYvMDMvMjAyNi4uLlVTRC5IAQAAAN62AQACAAAABi0xNjQxOQEIAAAABQAAAAExAQAAAAstMTkyMDg0Njk1MAMAAAADMTYwAgAAAAQxMDI4BAAAAAEwBwAAAAgzLzYvMjAyNggAAAAJOS8zMC8yMDI0CQAAAAEwwnNG5c173gi6hhU5znveCCpDSVEuTllTRTpJQk0uSVFfR1cuMTk5NS4wNi8wMy8yMDI2Li4uVVNELkgBAAAA3rYBAAIAAAAFNjEwOTIBCAAAAAUAAAABMQEAAAALLTE5MjA4NDY5NTADAAAAAzE2MAIAAAAEMTE3MQQAAAABMAcAAAAIMy82LzIwMjYIAAAACTkvMzAvMjAyNAkAAAABMMJzRuXNe94IuoYVOc573gg+Q0lRLk5ZU0U6SUJNLklRX0ZJTl9ESVZfQVNTRVRTX0NVUlJFTlQuMTk5NS4wNi8wMy8yMDI2Li4uVVNELkgBAAAA3rYBAAIAAAADNTA5AQgAAAAFAAAAATEBAAAACy0xOTIwODQ2OTUwAwAAAAMxNjACAAAABDEwMjkEAAAAATAHAAAACDMvNi8yMDI2CAAAAAk5LzMwLzIwMjQJAAAAATDCc0blzXveCDCuFTnOe94INENJUS5OWVNFOklCTS5JUV9PVEhF</t>
  </si>
  <si>
    <t>Ul9SRUNFSVYuMTk5NS4wNi8wMy8yMDI2Li4uVVNELkgBAAAA3rYBAAIAAAADOTIzAQgAAAAFAAAAATEBAAAACy0xOTIwODQ2OTUwAwAAAAMxNjACAAAABDEyMDYEAAAAATAHAAAACDMvNi8yMDI2CAAAAAk5LzMwLzIwMjQJAAAAATDCc0blzXveCDCuFTnOe94INkNJUS5OWVNFOklCTS5JUV9UUkFESU5HX0FTU0VUUy4xOTk1LjA2LzAzLzIwMjYuLi5VU0QuSAEAAADetgEAAwAAAAAAwnNG5c173ggwrhU5znveCEBDSVEuTllTRTpJQk0uSVFfT1BFUkFUSU5HX0xFQVNFX1BBWU1FTlRTLjE5OTUuMDYvMDMvMjAyNi4uLlVTRC5IAQAAAN62AQADAAAAAADCc0blzXveCDCuFTnOe94IMkNJUS5OWVNFOklCTS5JUV9DQVNIX1RBWEVTLjE5OTUuMDYvMDMvMjAyNi4uLlVTRC5IAQAAAN62AQACAAAABDE1NjQBCAAAAAUAAAABMQEAAAALLTE5MjA4NDY5NTADAAAAAzE2MAIAAAAEMzA1MwQAAAABMAcAAAAIMy82LzIwMjYIAAAACTkvMzAvMjAyNAkAAAABMMJzRuXNe94IMK4VOc573ggvQ0lRLk5ZU0U6SUJNLklRX0RFUF9SVUEuMTk5NS4wNi8wMy8yMDI2Li4uVVNELkgBAAAA3rYBAAIAAAADOTAwAQgAAAAFAAAAATEBAAAACy0xOTIwODQ2OTUwAwAAAAMxNjACAAAABTQ4MzU3BAAAAAEwBwAAAAgzLzYvMjAyNggAAAAJOS8zMC8yMDI0CQAAAAEwwnNG5c173ggwrhU5znveCD5DSVEuTllTRTpJQk0uSVFfTkFUVVJB</t>
  </si>
  <si>
    <t>TF9SRVNPVVJDRVNfQ09TVC4xOTk1LjA2LzAzLzIwMjYuLi5VU0QuSAEAAADetgEAAwAAAAAAwnNG5c173ggwrhU5znveCDFDSVEuTllTRTpJQk0uSVFfVEJWX1NIQVJFLjE5OTUuMDYvMDMvMjAyNi4uLlVTRC5IAQAAAN62AQACAAAACi01MS42MjQxMjgBCAAAAAUAAAABMQEAAAALLTE5MjA4NDY5NTADAAAAAzE2MAIAAAAENDE1NgQAAAABMAcAAAAIMy82LzIwMjYIAAAACTkvMzAvMjAyNAkAAAABMMJzRuXNe94IMK4VOc573ghDQ0lRLk5ZU0U6SUJNLklRX0ZJTl9ESVZfTUlOT1JJVFlfSU5UX1JFREVFTS4xOTk1LjA2LzAzLzIwMjYuLi5VU0QuSAEAAADetgEAAwAAAAAAwnNG5c173ggwrhU5znveCDNDSVEuTllTRTpJQk0uSVFfV09SS0lOR19DQVAuMTk5NS4wNi8wMy8yMDI2Li4uVVNELkgBAAAA3rYBAAIAAAAEMTY5MAEIAAAABQAAAAExAQAAAAstMTkyMDg0Njk1MAMAAAADMTYwAgAAAAQ0MTY1BAAAAAEwBwAAAAgzLzYvMjAyNggAAAAJOS8zMC8yMDI0CQAAAAEwwnNG5c173ggwrhU5znveCC1DSVEuTllTRTpJQk0uSVFfRklMSU5HREFURV9CUy4xOTk1LjA2LzAzLzIwMjYBAAAA3rYBAAUAAAAKMjMvMTAvMjAyNQDCc0blzXveCDXVFTnOe94IOUNJUS5OWVNFOklCTS5JUV9UT1RBTF9PUEVSX0xFQVNFUy4xOTk1LjA2LzAzLzIwMjYuLi5VU0QuSAEAAADetgEAAgAAAAQzNTQ3AQgAAAAFAAAAATEB</t>
  </si>
  <si>
    <t>AAAACy0xOTIwODQ2OTUwAwAAAAMxNjACAAAABTQ4OTc4BAAAAAEwBwAAAAgzLzYvMjAyNggAAAAJOS8zMC8yMDI0CQAAAAEwwnNG5c173gg11RU5znveCDxDSVEuTllTRTpJQk0uSVFfRklOX0RJVl9ERUJUX0NVUlJFTlQuMTk5NS4wNi8wMy8yMDI2Li4uVVNELkgBAAAA3rYBAAMAAAAAAMJzRuXNe94INdUVOc573gg5Q0lRLk5ZU0U6SUJNLklRX0NVUlJFTlRfUE9SVF9ERUJULjE5OTUuMDYvMDMvMjAyNi4uLlVTRC5IAQAAAN62AQACAAAABDM1OTABCAAAAAUAAAABMQEAAAALLTE5MjA4NDY5NTADAAAAAzE2MAIAAAAEMTI5NwQAAAABMAcAAAAIMy82LzIwMjYIAAAACTkvMzAvMjAyNAkAAAABMMJzRuXNe94INdUVOc573ggqQ0lRLk5ZU0U6SUJNLklRX0FFLjE5OTUuMDYvMDMvMjAyNi4uLlVTRC5IAQAAAN62AQACAAAABDY0NzYBCAAAAAUAAAABMQEAAAALLTE5MjA4NDY5NTADAAAAAzE2MAIAAAAEMTAxNgQAAAABMAcAAAAIMy82LzIwMjYIAAAACTkvMzAvMjAyNAkAAAABMMJzRuXNe94INdUVOc573ggsQ0lRLk5ZU0U6SUJNLklRX0xBTkQuMTk5NS4wNi8wMy8yMDI2Li4uVVNELkgBAAAA3rYBAAMAAAAAAMJzRuXNe94INdUVOc573ghQQ0lRLk5ZU0U6SUJNLklRX0ZJTkFOQ0lOR19PQkxJR19DVVJSRU5UX0VYQ0xfT1BFUl9MRUFTRVMuMTk5NS4wNi8wMy8yMDI2Li4uVVNELkgBAAAA3rYBAAIAAAAE</t>
  </si>
  <si>
    <t>MzU5OQEIAAAABQAAAAExAQAAAAstMTkyMDg0Njk1MAMAAAADMTYwAgAAAAU0ODk4MAQAAAABMAcAAAAIMy82LzIwMjYIAAAACTkvMzAvMjAyNAkAAAABMMJzRuXNe94INdUVOc573gg7Q0lRLk5ZU0U6SUJNLklRX0lOQ19UQVhfUEFZX0NVUlJFTlQuMTk5NS4wNi8wMy8yMDI2Li4uVVNELkgBAAAA3rYBAAIAAAAEMTU4NAEIAAAABQAAAAExAQAAAAstMTkyMDg0Njk1MAMAAAADMTYwAgAAAAQxMDk0BAAAAAEwBwAAAAgzLzYvMjAyNggAAAAJOS8zMC8yMDI0CQAAAAEwwnNG5c173gg11RU5znveCDNDSVEuTllTRTpJQk0uSVFfUFJFUEFJRF9FWFAuMTk5NS4wNi8wMy8yMDI2Li4uVVNELkgBAAAA3rYBAAIAAAAEMTc1MgEIAAAABQAAAAExAQAAAAstMTkyMDg0Njk1MAMAAAADMTYwAgAAAAQxMjEyBAAAAAEwBwAAAAgzLzYvMjAyNggAAAAJOS8zMC8yMDI0CQAAAAEwwnNG5c173gg11RU5znveCDtDSVEuTllTRTpJQk0uSVFfTElBQklMSVRJRVNfTEVWRUxfMi4xOTk1LjA2LzAzLzIwMjYuLi5VU0QuSAEAAADetgEAAgAAAAU1MjIxOADCc0blzXveCDXVFTnOe94IQUNJUS5OWVNFOklCTS5JUV9SVUFfT1BFUkFUSU5HX0xFQVNFX0dST1NTLjE5OTUuMDYvMDMvMjAyNi4uLlVTRC5IAQAAAN62AQACAAAABDMzNTUBCAAAAAUAAAABMQEAAAALLTE5MjA4NDY5NTADAAAAAzE2MAIAAAAFNDgzNzcEAAAAATAHAAAA</t>
  </si>
  <si>
    <t>CDMvNi8yMDI2CAAAAAk5LzMwLzIwMjQJAAAAATDCc0blzXveCEn8FTnOe94IM0NJUS5OWVNFOklCTS5JUV9QUkVGX0VRVUlUWS4xOTk1LjA2LzAzLzIwMjYuLi5VU0QuSAEAAADetgEAAwAAAAAAwnNG5c173ghJ/BU5znveCDRDSVEuTllTRTpJQk0uSVFfUFJFRl9DT05WRVJULjE5OTUuMDYvMDMvMjAyNi4uLlVTRC5IAQAAAN62AQADAAAAAADCc0blzXveCEn8FTnOe94IPENJUS5OWVNFOklCTS5JUV9ERUZfVEFYX0xJQUJfQ1VSUkVOVC4xOTk1LjA2LzAzLzIwMjYuLi5VU0QuSAEAAADetgEAAwAAAAAAwnNG5c173gg11RU5znveCDZDSVEuTllTRTpJQk0uSVFfQ0FTSF9TVF9JTlZFU1QuMTk5NS4wNi8wMy8yMDI2Li4uVVNELkgBAAAA3rYBAAIAAAAFMTM3MDIBCAAAAAUAAAABMQEAAAALLTE5MjA4NDY5NTADAAAAAzE2MAIAAAAEMTAwMgQAAAABMAcAAAAIMy82LzIwMjYIAAAACTkvMzAvMjAyNAkAAAABMMJzRuXNe94INdUVOc573ghDQ0lRLk5ZU0U6SUJNLklRX09QRVJBVElOR19MRUFTRV9MSUFCSUxJVElFUy4xOTk1LjA2LzAzLzIwMjYuLi5VU0QuSAEAAADetgEAAwAAAAAAwnNG5c173ghJ/BU5znveCDRDSVEuTllTRTpJQk0uSVFfRE9fSU5WRVNUX0NGLjE5OTUuMDYvMDMvMjAyNi4uLlVTRC5IAQAAAN62AQADAAAAAADCc0blzXveCEn8FTnOe94IPENJUS5OWVNFOklCTS5JUV9DQVNIX0lOVEVS</t>
  </si>
  <si>
    <t>RVNUX0lOVkVTVC4xOTk1LjA2LzAzLzIwMjYuLi5VU0QuSAEAAADetgEAAwAAAAAAwnNG5c173ghJ/BU5znveCDBDSVEuTllTRTpJQk0uSVFfU09GVFdBUkUuMTk5NS4wNi8wMy8yMDI2Li4uVVNELkgBAAAA3rYBAAMAAAAAAMJzRuXNe94ISfwVOc573ggwQ0lRLk5ZU0U6SUJNLklRX05FVF9ERUJULjE5OTUuMDYvMDMvMjAyNi4uLlVTRC5IAQAAAN62AQACAAAABTQ2NDI0AQgAAAAFAAAAATEBAAAACy0xOTIwODQ2OTUwAwAAAAMxNjACAAAABDQzNjQEAAAAATAHAAAACDMvNi8yMDI2CAAAAAk5LzMwLzIwMjQJAAAAATDCc0blzXveCEn8FTnOe94IOkNJUS5OWVNFOklCTS5JUV9MVF9NQVJLX1NFQ1VSSVRJRVMuMTk5NS4wNi8wMy8yMDI2Li4uVVNELkgBAAAA3rYBAAMAAAAAAMJzRuXNe94ITCMWOc573gg1Q0lRLk5ZU0U6SUJNLklRX0VRVUlUWV9NRVRIT0QuMTk5NS4wNi8wMy8yMDI2Li4uVVNELkgBAAAA3rYBAAMAAAAAAMJzRuXNe94ISfwVOc573gg+Q0lRLk5ZU0U6SUJNLklRX0ZJTkFOQ0VfTEVBU0VTX0NVUlJFTlQuMTk5NS4wNi8wMy8yMDI2Li4uVVNELkgBAAAA3rYBAAMAAAAAAMJzRuXNe94ISfwVOc573gg7Q0lRLk5ZU0U6SUJNLklRX0FEX0VYQ0xfT1BFUl9MRUFTRVMuMTk5NS4wNi8wMy8yMDI2Li4uVVNELkgBAAAA3rYBAAIAAAAGLTEyMzgwAQgAAAAFAAAAATEBAAAACy0xOTIwODQ2OTUw</t>
  </si>
  <si>
    <t>AwAAAAMxNjACAAAABTQ4OTc1BAAAAAEwBwAAAAgzLzYvMjAyNggAAAAJOS8zMC8yMDI0CQAAAAEwwnNG5c173ghJ/BU5znveCD9DSVEuTllTRTpJQk0uSVFfUlVBX09QRVJBVElOR19MRUFTRV9ORVQuMTk5NS4wNi8wMy8yMDI2Li4uVVNELkgBAAAA3rYBAAMAAAAAAMJzRuXNe94ISfwVOc573ggwQ0lRLk5ZU0U6SUJNLklRX1RSRUFTVVJZLjE5OTUuMDYvMDMvMjAyNi4uLlVTRC5IAQAAAN62AQACAAAABy0xNjk5MzUBCAAAAAUAAAABMQEAAAALLTE5MjA4NDY5NTADAAAAAzE2MAIAAAAEMTI0OAQAAAABMAcAAAAIMy82LzIwMjYIAAAACTkvMzAvMjAyNAkAAAABMMJzRuXNe94ITCMWOc573ggxQ0lRLk5ZU0U6SUJNLklRX0xUX0lOVkVTVC4xOTk1LjA2LzAzLzIwMjYuLi5VU0QuSAEAAADetgEAAgAAAAQxODY4AQgAAAAFAAAAATEBAAAACy0xOTIwODQ2OTUwAwAAAAMxNjACAAAABDEwNTQEAAAAATAHAAAACDMvNi8yMDI2CAAAAAk5LzMwLzIwMjQJAAAAATDCc0blzXveCEwjFjnOe94INENJUS5OWVNFOklCTS5JUV9UT1RBTF9SRUNFSVYuMTk5NS4wNi8wMy8yMDI2Li4uVVNELkgBAAAA3rYBAAIAAAAENjg4NQEIAAAABQAAAAExAQAAAAstMTkyMDg0Njk1MAMAAAADMTYwAgAAAAQxMDAxBAAAAAEwBwAAAAgzLzYvMjAyNggAAAAJOS8zMC8yMDI0CQAAAAEwwnNG5c173ghMIxY5znveCDtDSVEuTllTRTpJ</t>
  </si>
  <si>
    <t>Qk0uSVFfR0FJTl9CQVJHQUlOX0FDUV9DRi4xOTk1LjA2LzAzLzIwMjYuLi5VU0QuSAEAAADetgEAAwAAAAAAwnNG5c173ghMIxY5znveCEJDSVEuTllTRTpJQk0uSVFfQ0hBTkdFX05FVF9XT1JLSU5HX0NBUElUQUwuMTk5NS4wNi8wMy8yMDI2Li4uVVNELkgBAAAA3rYBAAIAAAAELTk2NQEIAAAABQAAAAExAQAAAAstMTkyMDg0Njk1MAMAAAADMTYwAgAAAAQ0NDIxBAAAAAEwBwAAAAgzLzYvMjAyNggAAAAJOS8zMC8yMDI0CQAAAAEwwnNG5c173ghMIxY5znveCEBDSVEuTllTRTpJQk0uSVFfQU1PUlRfU09GVFdBUkVfQVNTRVRTX0NGLjE5OTUuMDYvMDMvMjAyNi4uLlVTRC5IAQAAAN62AQACAAAAAzc0MAEIAAAABQAAAAExAQAAAAstMTkyMDg0Njk1MAMAAAADMTYwAgAAAAU0NjAxMQQAAAABMAcAAAAIMy82LzIwMjYIAAAACTkvMzAvMjAyNAkAAAABMMJzRuXNe94ITCMWOc573ggyQ0lRLk5ZU0U6SUJNLklRX05FVF9DSEFOR0UuMTk5NS4wNi8wMy8yMDI2Li4uVVNELkgBAAAA3rYBAAIAAAAENTkzOQEIAAAABQAAAAExAQAAAAstMTkyMDg0Njk1MAMAAAADMTYwAgAAAAQyMDkzBAAAAAEwBwAAAAgzLzYvMjAyNggAAAAJOS8zMC8yMDI0CQAAAAEwwnNG5c173ghMIxY5znveCDJDSVEuTllTRTpJQk0uSVFfQ0FTSF9GSU5BTi4xOTk1LjA2LzAzLzIwMjYuLi5VU0QuSAEAAADetgEAAgAAAAUtNzAxOAEI</t>
  </si>
  <si>
    <t>AAAABQAAAAExAQAAAAstMTkyMDg0Njk1MAMAAAADMTYwAgAAAAQyMDA0BAAAAAEwBwAAAAgzLzYvMjAyNggAAAAJOS8zMC8yMDI0CQAAAAEwwnNG5c173ghMIxY5znveCDZDSVEuTllTRTpJQk0uSVFfU1RfREVCVF9SRVBBSUQuMTk5NS4wNi8wMy8yMDI2Li4uVVNELkgBAAAA3rYBAAMAAAAAAMJzRuXNe94ITCMWOc573ggtQ0lRLk5ZU0U6SUJNLklRX0NBUEVYLjE5OTUuMDYvMDMvMjAyNi4uLlVTRC5IAQAAAN62AQACAAAABS0xMDQ1AQgAAAAFAAAAATEBAAAACy0xOTIwODQ2OTUwAwAAAAMxNjACAAAABDIwMjEEAAAAATAHAAAACDMvNi8yMDI2CAAAAAk5LzMwLzIwMjQJAAAAATDCc0blzXveCEwjFjnOe94IO0NJUS5OWVNFOklCTS5JUV9UQVhfQkVORUZJVF9PUFRJT05TLjE5OTUuMDYvMDMvMjAyNi4uLlVTRC5IAQAAAN62AQADAAAAAADCc0blzXveCFxKFjnOe94IM0NJUS5OWVNFOklCTS5JUV9EQV9TVVBQTF9DRi4xOTk1LjA2LzAzLzIwMjYuLi5VU0QuSAEAAADetgEAAgAAAAQyMTg1AQgAAAAFAAAAATEBAAAACy0xOTIwODQ2OTUwAwAAAAMxNjACAAAABDIxNzEEAAAAATAHAAAACDMvNi8yMDI2CAAAAAk5LzMwLzIwMjQJAAAAATDCc0blzXveCFxKFjnOe94IOENJUS5OWVNFOklCTS5JUV9TVE9DS19CQVNFRF9DT01QLjE5OTUuMDYvMDMvMjAyNi4uLlVTRC5IAQAAAN62AQACAAAAAzgyOQDCc0bl</t>
  </si>
  <si>
    <t>zXveCFxKFjnOe94IN0NJUS5OWVNFOklCTS5JUV9TVE9DS19CQVNFRF9TR0EuMTk5NS4wNi8wMy8yMDI2Li4uVVNELkgBAAAA3rYBAAIAAAADNjYyAQgAAAAFAAAAATEBAAAACy0xOTIwODQ2OTUwAwAAAAMxNjACAAAABTIyNjc5BAAAAAEwBwAAAAgzLzYvMjAyNggAAAAJOS8zMC8yMDI0CQAAAAEwwnNG5c173ghMIxY5znveCDBDSVEuTllTRTpJQk0uSVFfR1JPU1NfR1cuMTk5NS4wNi8wMy8yMDI2Li4uVVNELkgBAAAA3rYBAAMAAAAAAMJzRuXNe94ITCMWOc573gg8Q0lRLk5ZU0U6SUJNLklRX1RPVEFMX0ZJTkFOQ0VfTEVBU0VTLjE5OTUuMDYvMDMvMjAyNi4uLlVTRC5IAQAAAN62AQACAAAAAzg3OAEIAAAABQAAAAExAQAAAAstMTkyMDg0Njk1MAMAAAADMTYwAgAAAAU0OTAzMQQAAAABMAcAAAAIMy82LzIwMjYIAAAACTkvMzAvMjAyNAkAAAABMMJzRuXNe94IXEoWOc573gg5Q0lRLk5ZU0U6SUJNLklRX0RFRl9UQVhfQVNTRVRTX0xULjE5OTUuMDYvMDMvMjAyNi4uLlVTRC5IAQAAAN62AQACAAAABDY5NDMBCAAAAAUAAAABMQEAAAALLTE5MjA4NDY5NTADAAAAAzE2MAIAAAAEMTAyNgQAAAABMAcAAAAIMy82LzIwMjYIAAAACTkvMzAvMjAyNAkAAAABMMJzRuXNe94IXEoWOc573ggqQ0lRLk5ZU0U6SUJNLklRX0FELjE5OTUuMDYvMDMvMjAyNi4uLlVTRC5IAQAAAN62AQACAAAABi0xMjM4MAEIAAAA</t>
  </si>
  <si>
    <t>BQAAAAExAQAAAAstMTkyMDg0Njk1MAMAAAADMTYwAgAAAAQxMDc1BAAAAAEwBwAAAAgzLzYvMjAyNggAAAAJOS8zMC8yMDI0CQAAAAEwwnNG5c173ghcShY5znveCD1DSVEuTllTRTpJQk0uSVFfRklOX0RJVl9MT0FOU19DVVJSRU5ULjE5OTUuMDYvMDMvMjAyNi4uLlVTRC5IAQAAAN62AQACAAAABDUyNTYBCAAAAAUAAAABMQEAAAALLTE5MjA4NDY5NTADAAAAAzE2MAIAAAAEMTAzMgQAAAABMAcAAAAIMy82LzIwMjYIAAAACTkvMzAvMjAyNAkAAAABMMJzRuXNe94IXEoWOc573ghOQ0lRLk5ZU0U6SUJNLklRX0xJUVVJREFUSU9OX1ZBTFVFX1BSRUZFUlJFRF9OT05fUkVERUVNLjE5OTUuMDYvMDMvMjAyNi4uLlVTRC5IAQAAAN62AQADAAAAAADCc0blzXveCFxKFjnOe94IMUNJUS5OWVNFOklCTS5JUV9PVEhFUl9JTlYuMTk5NS4wNi8wMy8yMDI2Li4uVVNELkgBAAAA3rYBAAMAAAAAAMJzRuXNe94IXEoWOc573gg3Q0lRLk5ZU0U6SUJNLklRX0RFRl9UQVhfTElBQl9MVC4xOTk1LjA2LzAzLzIwMjYuLi5VU0QuSAEAAADetgEAAwAAAAAAwnNG5c173ghcShY5znveCDVDSVEuTllTRTpJQk0uSVFfVU5FQVJOX1JFVl9MVC4xOTk1LjA2LzAzLzIwMjYuLi5VU0QuSAEAAADetgEAAgAAAAQzNjY2AQgAAAAFAAAAATEBAAAACy0xOTIwODQ2OTUwAwAAAAMxNjACAAAABDEyNTYEAAAAATAHAAAACDMvNi8yMDI2</t>
  </si>
  <si>
    <t>CAAAAAk5LzMwLzIwMjQJAAAAATDCc0blzXveCFxKFjnOe94IL0NJUS5OWVNFOklCTS5JUV9TVF9ERUJULjE5OTUuMDYvMDMvMjAyNi4uLlVTRC5IAQAAAN62AQACAAAAATkBCAAAAAUAAAABMQEAAAALLTE5MjA4NDY5NTADAAAAAzE2MAIAAAAEMTA0NgQAAAABMAcAAAAIMy82LzIwMjYIAAAACTkvMzAvMjAyNAkAAAABMMJzRuXNe94IXEoWOc573ggqQ0lRLk5ZU0U6SUJNLklRX0FQLjE5OTUuMDYvMDMvMjAyNi4uLlVTRC5IAQAAAN62AQACAAAABDMyNzQBCAAAAAUAAAABMQEAAAALLTE5MjA4NDY5NTADAAAAAzE2MAIAAAAEMTAxOAQAAAABMAcAAAAIMy82LzIwMjYIAAAACTkvMzAvMjAyNAkAAAABMMJzRuXNe94IXEoWOc573ggxQ0lRLk5ZU0U6SUJNLklRX1NUX0lOVkVTVC4xOTk1LjA2LzAzLzIwMjYuLi5VU0QuSAEAAADetgEAAgAAAAM1MDUBCAAAAAUAAAABMQEAAAALLTE5MjA4NDY5NTADAAAAAzE2MAIAAAAEMTA2OQQAAAABMAcAAAAIMy82LzIwMjYIAAAACTkvMzAvMjAyNAkAAAABMMJzRuXNe94IaHEWOc573gg1Q0lRLk5ZU0U6SUJNLklRX0RPX0ZJTkFOQ0VfQ0YuMTk5NS4wNi8wMy8yMDI2Li4uVVNELkgBAAAA3rYBAAMAAAAAAMJzRuXNe94IaHEWOc573gg7Q0lRLk5ZU0U6SUJNLklRX0NBU0hfSU5URVJFU1RfRklOQU4uMTk5NS4wNi8wMy8yMDI2Li4uVVNELkgBAAAA3rYBAAMAAAAAAMJz</t>
  </si>
  <si>
    <t>RuXNe94IaHEWOc573gg+Q0lRLk5ZU0U6SUJNLklRX0NBU0hfSU5URVJFU1RfUkVDRUlWRUQuMTk5NS4wNi8wMy8yMDI2Li4uVVNELkgBAAAA3rYBAAMAAAAAAMJzRuXNe94IaHEWOc573gg7Q0lRLk5ZU0U6SUJNLklRX0RBX1NVUFBMX1BBUlRJQUxfQ0YuMTk5NS4wNi8wMy8yMDI2Li4uVVNELkgBAAAA3rYBAAMAAAAAAMJzRuXNe94IaHEWOc573gg1Q0lRLk5ZU0U6SUJNLklRX0NPTU1PTl9ESVZfQ0YuMTk5NS4wNi8wMy8yMDI2Li4uVVNELkgBAAAA3rYBAAIAAAAFLTYxMTkBCAAAAAUAAAABMQEAAAALLTE5MjA4NDY5NTADAAAAAzE2MAIAAAAEMjA3NAQAAAABMAcAAAAIMy82LzIwMjYIAAAACTkvMzAvMjAyNAkAAAABMMJzRuXNe94IUYUWOc573gg3Q0lRLk5ZU0U6SUJNLklRX0lOVkVTVF9MT0FOU19DRi4xOTk1LjA2LzAzLzIwMjYuLi5VU0QuSAEAAADetgEAAwAAAAAAwnNG5c173ghRhRY5znveCEVDSVEuTllTRTpJQk0uSVFfR0VORVJBTF9QQVJUTkVSX0NPTU1PTl9FUVVJVFkuMTk5NS4wNi8wMy8yMDI2Li4uVVNELkgBAAAA3rYBAAMAAAAAAMJzRuXNe94IUYUWOc573gg4Q0lRLk5ZU0U6SUJNLklRX0FMTE9XX0RPVUJUX0FDQ1QuMTk5NS4wNi8wMy8yMDI2Li4uVVNELkgBAAAA3rYBAAIAAAADMTMyAQgAAAAFAAAAATEBAAAACy0xOTIwODQ2OTUwAwAAAAMxNjACAAAABDMwMTIEAAAAATAHAAAA</t>
  </si>
  <si>
    <t>CDMvNi8yMDI2CAAAAAk5LzMwLzIwMjQJAAAAATDCc0blzXveCFGFFjnOe94IMUNJUS5OWVNFOklCTS5JUV9UT1RBTF9DQVAuMTk5NS4wNi8wMy8yMDI2Li4uVVNELkgBAAAA3rYBAAIAAAAFODQ2NTYBCAAAAAUAAAABMQEAAAALLTE5MjA4NDY5NTADAAAAAzE2MAIAAAAENDE3NQQAAAABMAcAAAAIMy82LzIwMjYIAAAACTkvMzAvMjAyNAkAAAABMMJzRuXNe94IaHEWOc573ggyQ0lRLk5ZU0U6SUJNLklRX1RPVEFMX0xJQUIuMTk5NS4wNi8wMy8yMDI2Li4uVVNELkgBAAAA3rYBAAIAAAAGMTA5ODA5AQgAAAAFAAAAATEBAAAACy0xOTIwODQ2OTUwAwAAAAMxNjACAAAABDEyNzYEAAAAATAHAAAACDMvNi8yMDI2CAAAAAk5LzMwLzIwMjQJAAAAATDCc0blzXveCFGFFjnOe94IP0NJUS5OWVNFOklCTS5JUV9SVUFfQ0FQSVRBTF9MRUFTRV9HUk9TUy4xOTk1LjA2LzAzLzIwMjYuLi5VU0QuSAEAAADetgEAAwAAAAAAwnNG5c173ghRhRY5znveCDVDSVEuTllTRTpJQk0uSVFfUlVBX0FDQ1VNX0RFUC4xOTk1LjA2LzAzLzIwMjYuLi5VU0QuSAEAAADetgEAAwAAAAAAwnNG5c173ghRhRY5znveCDdDSVEuTllTRTpJQk0uSVFfUFJFRl9OT05fUkVERUVNLjE5OTUuMDYvMDMvMjAyNi4uLlVTRC5IAQAAAN62AQADAAAAAADCc0blzXveCFGFFjnOe94IO0NJUS5OWVNFOklCTS5JUV9DVVJSRU5UX1BPUlRfTEVBU0VT</t>
  </si>
  <si>
    <t>LjE5OTUuMDYvMDMvMjAyNi4uLlVTRC5IAQAAAN62AQACAAAAAzc5MAEIAAAABQAAAAExAQAAAAstMTkyMDg0Njk1MAMAAAADMTYwAgAAAAQxMDkwBAAAAAEwBwAAAAgzLzYvMjAyNggAAAAJOS8zMC8yMDI0CQAAAAEwwnNG5c173ghRhRY5znveCDFDSVEuTllTRTpJQk0uSVFfSU5WRU5UT1JZLjE5OTUuMDYvMDMvMjAyNi4uLlVTRC5IAQAAAN62AQACAAAABDEzNjgBCAAAAAUAAAABMQEAAAALLTE5MjA4NDY5NTADAAAAAzE2MAIAAAAEMTA0MwQAAAABMAcAAAAIMy82LzIwMjYIAAAACTkvMzAvMjAyNAkAAAABMMJzRuXNe94IiqwWOc573ggvQ0lRLk5ZU0U6SUJNLklRX0ZJTElOR19DVVJSRU5DWS4xOTk1LjA2LzAzLzIwMjYBAAAA3rYBAAMAAAADVVNEAIbOqeXNe94IvoQXOc573ghJQ0lRLk5ZU0U6SUJNLklRX0xPTkdfVEVSTV9ERUJUX1JFUEFJRF9FWENMX0xFQVNFUy4xOTk1LjA2LzAzLzIwMjYuLi5VU0QuSAEAAADetgEAAgAAAAUtNjYwMAEIAAAABQAAAAExAQAAAAstMTkyMDg0Njk1MAMAAAADMTYwAgAAAAU0ODk4NAQAAAABMAcAAAAIMy82LzIwMjYIAAAACTkvMzAvMjAyNAkAAAABMMJzRuXNe94IUYUWOc573gg4Q0lRLk5ZU0U6SUJNLklRX0NBU0hfVEFYRVNfRklOQU4uMTk5NS4wNi8wMy8yMDI2Li4uVVNELkgBAAAA3rYBAAMAAAAAAMJzRuXNe94IUYUWOc573gg5Q0lRLk5ZU0U6SUJNLklR</t>
  </si>
  <si>
    <t>X1RPVEFMX09VVFNUQU5ESU5HX0JTX0RBVEUuMTk5NS4wNi8wMy8yMDI2AQAAAN62AQACAAAACjkyNC42NDUxNTIBBAAAAAUAAAABNQEAAAALLTE5MjA4NDY5NTACAAAABTI0MTUyBgAAAAEwwnNG5c173ghRhRY5znveCDdDSVEuTllTRTpJQk0uSVFfUkVTVFJJQ1RFRF9DQVNILjE5OTUuMDYvMDMvMjAyNi4uLlVTRC5IAQAAAN62AQACAAAAAjE3AQgAAAAFAAAAATEBAAAACy0xOTIwODQ2OTUwAwAAAAMxNjACAAAABDExMDQEAAAAATAHAAAACDMvNi8yMDI2CAAAAAk5LzMwLzIwMjQJAAAAATDCc0blzXveCIqsFjnOe94IO0NJUS5OWVNFOklCTS5JUV9MVF9ERUJUX0RFUklWQVRJVkVTLjE5OTUuMDYvMDMvMjAyNi4uLlVTRC5IAQAAAN62AQADAAAAAADCc0blzXveCIqsFjnOe94IPUNJUS5OWVNFOklCTS5JUV9HUFBFX0VYQ0xfT1BFUl9MRUFTRVMuMTk5NS4wNi8wMy8yMDI2Li4uVVNELkgBAAAA3rYBAAIAAAAFMTc5OTQBCAAAAAUAAAABMQEAAAALLTE5MjA4NDY5NTADAAAAAzE2MAIAAAAFNDg5NzQEAAAAATAHAAAACDMvNi8yMDI2CAAAAAk5LzMwLzIwMjQJAAAAATDCc0blzXveCIqsFjnOe94IRUNJUS5OWVNFOklCTS5JUV9SVUFfT1BFUkFUSU5HX0xFQVNFX0FDQ1VNX0RFUC4xOTk1LjA2LzAzLzIwMjYuLi5VU0QuSAEAAADetgEAAwAAAAAAwnNG5c173giKrBY5znveCDNDSVEuTllTRTpJQk0uSVFf</t>
  </si>
  <si>
    <t>TUFJTlRfQ0FQRVguMTk5NS4wNi8wMy8yMDI2Li4uVVNELkgBAAAA3rYBAAMAAAAAAMJzRuXNe94IiqwWOc573gg6Q0lRLk5ZU0U6SUJNLklRX0NBU0hfSU5URVJFU1RfT1BFUi4xOTk1LjA2LzAzLzIwMjYuLi5VU0QuSAEAAADetgEAAwAAAAAAwnNG5c173giKrBY5znveCEFDSVEuTllTRTpJQk0uSVFfR1dfSU5UQU5fQU1PUlRfUEFSVElBTF9DRi4xOTk1LjA2LzAzLzIwMjYuLi5VU0QuSAEAAADetgEAAwAAAAAAwnNG5c173giKrBY5znveCC1DSVEuTllTRTpJQk0uSVFfRklMSU5HREFURV9DRi4xOTk1LjA2LzAzLzIwMjYBAAAA3rYBAAUAAAAKMjMvMTAvMjAyNQDCc0blzXveCIqsFjnOe94IM0NJUS5OWVNFOklCTS5JUV9QUkVGX0lTU1VFRC4xOTk1LjA2LzAzLzIwMjYuLi5VU0QuSAEAAADetgEAAwAAAAAAwnNG5c173giKrBY5znveCDVDSVEuTllTRTpJQk0uSVFfU0FMRV9JTlRBTl9DRi4xOTk1LjA2LzAzLzIwMjYuLi5VU0QuSAEAAADetgEAAgAAAAQtNjQ0AQgAAAAFAAAAATEBAAAACy0xOTIwODQ2OTUwAwAAAAMxNjACAAAABDIwMjkEAAAAATAHAAAACDMvNi8yMDI2CAAAAAk5LzMwLzIwMjQJAAAAATDCc0blzXveCJrTFjnOe94IMUNJUS5OWVNFOklCTS5JUV9DSEFOR0VfQVIuMTk5NS4wNi8wMy8yMDI2Li4uVVNELkgBAAAA3rYBAAIAAAADNzI1AQgAAAAFAAAAATEBAAAACy0xOTIwODQ2OTUw</t>
  </si>
  <si>
    <t>AwAAAAMxNjACAAAABDIwMTgEAAAAATAHAAAACDMvNi8yMDI2CAAAAAk5LzMwLzIwMjQJAAAAATDCc0blzXveCJrTFjnOe94IPENJUS5OWVNFOklCTS5JUV9NSU5PUklUWV9JTlRFUkVTVF9DRi4xOTk1LjA2LzAzLzIwMjYuLi5VU0QuSAEAAADetgEAAwAAAAAAwnNG5c173gia0xY5znveCDJDSVEuTllTRTpJQk0uSVFfT0lMX0lNUEFJUi4xOTk1LjA2LzAzLzIwMjYuLi5VU0QuSAEAAADetgEAAwAAAAAAwnNG5c173giKrBY5znveCDZDSVEuTllTRTpJQk0uSVFfQVNTRVRTX0xFVkVMXzMuMTk5NS4wNi8wMy8yMDI2Li4uVVNELkgBAAAA3rYBAAMAAAAAAMJzRuXNe94IiqwWOc573ghDQ0lRLk5ZU0U6SUJNLklRX1RPVEFMX0RFQlRfRVhDTF9PUEVSX0xFQVNFUy4xOTk1LjA2LzAzLzIwMjYuLi5VU0QuSAEAAADetgEAAgAAAAU1NjU3OQEIAAAABQAAAAExAQAAAAstMTkyMDg0Njk1MAMAAAADMTYwAgAAAAU0ODk4MgQAAAABMAcAAAAIMy82LzIwMjYIAAAACTkvMzAvMjAyNAkAAAABMMJzRuXNe94ImtMWOc573gg+Q0lRLk5ZU0U6SUJNLklRX1RPVEFMX0RFQlRfTk9OX0NVUlJFTlQuMTk5NS4wNi8wMy8yMDI2Li4uVVNELkgBAAAA3rYBAAIAAAAFNTU3MzcBCAAAAAUAAAABMQEAAAALLTE5MjA4NDY5NTADAAAAAzE2MAIAAAAFMjUyMjQEAAAAATAHAAAACDMvNi8yMDI2CAAAAAk5LzMwLzIwMjQJAAAAATDC</t>
  </si>
  <si>
    <t>c0blzXveCJrTFjnOe94INENJUS5OWVNFOklCTS5JUV9UT1RBTF9FUVVJVFkuMTk5NS4wNi8wMy8yMDI2Li4uVVNELkgBAAAA3rYBAAIAAAAFMjQ1MzABCAAAAAUAAAABMQEAAAALLTE5MjA4NDY5NTADAAAAAzE2MAIAAAAEMTI3NQQAAAABMAcAAAAIMy82LzIwMjYIAAAACTkvMzAvMjAyNAkAAAABMMJzRuXNe94ImtMWOc573ggzQ0lRLk5ZU0U6SUJNLklRX09USEVSX0lOVEFOLjE5OTUuMDYvMDMvMjAyNi4uLlVTRC5IAQAAAN62AQACAAAABTExMDkwAQgAAAAFAAAAATEBAAAACy0xOTIwODQ2OTUwAwAAAAMxNjACAAAABDEwNDAEAAAAATAHAAAACDMvNi8yMDI2CAAAAAk5LzMwLzIwMjQJAAAAATDCc0blzXveCJrTFjnOe94IPkNJUS5OWVNFOklCTS5JUV9MSUFCSUxJVElFU19GQUlSX1ZBTFVFLjE5OTUuMDYvMDMvMjAyNi4uLlVTRC5IAQAAAN62AQACAAAABTUyMjE4AMJzRuXNe94ImtMWOc573gg9Q0lRLk5ZU0U6SUJNLklRX1RPVEFMX09VVFNUQU5ESU5HX0ZJTElOR19EQVRFLjE5OTUuMDYvMDMvMjAyNgEAAADetgEAAgAAAAo5MjQuNjQ1MTUyAQQAAAAFAAAAATUBAAAACy0xOTIwODQ2OTUwAgAAAAUyNDE1MwYAAAABMMJzRuXNe94ImtMWOc573gg2Q0lRLk5ZU0U6SUJNLklRX0NIQU5HRV9JTkNfVEFYLjE5OTUuMDYvMDMvMjAyNi4uLlVTRC5IAQAAAN62AQADAAAAAADCc0blzXveCJrTFjnOe94I</t>
  </si>
  <si>
    <t>NkNJUS5OWVNFOklCTS5JUV9HQUlOX0FTU0VUU19DRi4xOTk1LjA2LzAzLzIwMjYuLi5VU0QuSAEAAADetgEAAgAAAAQtNzAyAQgAAAAFAAAAATEBAAAACy0xOTIwODQ2OTUwAwAAAAMxNjACAAAABDIwMjYEAAAAATAHAAAACDMvNi8yMDI2CAAAAAk5LzMwLzIwMjQJAAAAATDCc0blzXveCJrTFjnOe94INkNJUS5OWVNFOklCTS5JUV9TVE9DS19CQVNFRF9BVC4xOTk1LjA2LzAzLzIwMjYuLi5VU0QuSAEAAADetgEAAwAAAAAAwnNG5c173gia0xY5znveCDhDSVEuTllTRTpJQk0uSVFfU1RPQ0tfQkFTRURfQ09HUy4xOTk1LjA2LzAzLzIwMjYuLi5VU0QuSAEAAADetgEAAgAAAAMyMTQBCAAAAAUAAAABMQEAAAALLTE5MjA4NDY5NTADAAAAAzE2MAIAAAAFMjI2NzQEAAAAATAHAAAACDMvNi8yMDI2CAAAAAk5LzMwLzIwMjQJAAAAATDCc0blzXveCJrTFjnOe94IQkNJUS5OWVNFOklCTS5JUV9ERVBSRUNJQVRJT05fUkVOVEFMX0FTU0VUUy4xOTk1LjA2LzAzLzIwMjYuLi5VU0QuSAEAAADetgEAAwAAAAAAwnNG5c173gia0xY5znveCDZDSVEuTllTRTpJQk0uSVFfTkVUX1JFTlRBTF9FWFAuMTk5NS4wNi8wMy8yMDI2Li4uVVNELkgBAAAA3rYBAAMAAAAAAMJzRuXNe94ImtMWOc573gguQ0lRLk5ZU0U6SUJNLklRX0dBX0VYUC4xOTk1LjA2LzAzLzIwMjYuLi5VU0QuSAEAAADetgEAAwAAAAAAwnNG5c173gia</t>
  </si>
  <si>
    <t>0xY5znveCD5DSVEuTllTRTpJQk0uSVFfQU5OVV9ESVNUUklCVVRJT05fVU5JVC4xOTk1LjA2LzAzLzIwMjYuLi5VU0QuSAEAAADetgEAAwAAAAAAwnNG5c173gia0xY5znveCEFDSVEuTllTRTpJQk0uSVFfTk9OUkVDVVJSSU5HX0lOQ09NRV9UQVhFUy4xOTk1LjA2LzAzLzIwMjYuLi5VU0QuSAEAAADetgEAAgAAAAM0MzgBCAAAAAUAAAABMQEAAAALLTE5MjA4NDY5NTADAAAAAzE2MAIAAAAFNDg4MzkEAAAAATAHAAAACDMvNi8yMDI2CAAAAAk5LzMwLzIwMjQJAAAAATDCc0blzXveCHUOFznOe94ISkNJUS5OWVNFOklCTS5JUV9QUk9WX0JBRF9ERUJUU19QQVRJRU5UX1NFUlZJQ0VfUkVWLjE5OTUuMDYvMDMvMjAyNi4uLlVTRC5IAQAAAN62AQADAAAAAADCc0blzXveCHUOFznOe94ILUNJUS5OWVNFOklCTS5JUV9FQklUQS4xOTk1LjA2LzAzLzIwMjYuLi5VU0QuSAEAAADetgEAAgAAAAUxMTc1OQEIAAAABQAAAAExAQAAAAstMTkyMDg0Njk1MAMAAAADMTYwAgAAAAYxMDA2ODkEAAAAATAHAAAACDMvNi8yMDI2CAAAAAk5LzMwLzIwMjQJAAAAATDCc0blzXveCHUOFznOe94IM0NJUS5OWVNFOklCTS5JUV9FQklUX0VRX0lOQy4xOTk1LjA2LzAzLzIwMjYuLi5VU0QuSAEAAADetgEAAgAAAAQ5OTc4AQgAAAAFAAAAATEBAAAACy0xOTIwODQ2OTUwAwAAAAMxNjACAAAABTIxNjc1BAAAAAEwBwAAAAgzLzYv</t>
  </si>
  <si>
    <t>MjAyNggAAAAJOS8zMC8yMDI0CQAAAAEwwnNG5c173gh1Dhc5znveCEBDSVEuTllTRTpJQk0uSVFfRElTVFJJQlVUQUJMRV9DQVNIX1NIQVJFLjE5OTUuMDYvMDMvMjAyNi4uLlVTRC5IAQAAAN62AQADAAAAAADCc0blzXveCJrTFjnOe94INkNJUS5OWVNFOklCTS5JUV9TUEVDSUFMX0RJVl9DRi4xOTk1LjA2LzAzLzIwMjYuLi5VU0QuSAEAAADetgEAAwAAAAAAwnNG5c173giSIhc5znveCDNDSVEuTllTRTpJQk0uSVFfQ0FTSF9JTlZFU1QuMTk5NS4wNi8wMy8yMDI2Li4uVVNELkgBAAAA3rYBAAIAAAAELTcyMgEIAAAABQAAAAExAQAAAAstMTkyMDg0Njk1MAMAAAADMTYwAgAAAAQyMDA1BAAAAAEwBwAAAAgzLzYvMjAyNggAAAAJOS8zMC8yMDI0CQAAAAEwwnNG5c173giSIhc5znveCERDSVEuTllTRTpJQk0uSVFfQ0hBTkdFX09USEVSX05FVF9PUEVSX0FTU0VUUy4xOTk1LjA2LzAzLzIwMjYuLi5VU0QuSAEAAADetgEAAgAAAAQtODcwAQgAAAAFAAAAATEBAAAACy0xOTIwODQ2OTUwAwAAAAMxNjACAAAABDIwNDUEAAAAATAHAAAACDMvNi8yMDI2CAAAAAk5LzMwLzIwMjQJAAAAATDCc0blzXveCJIiFznOe94IOkNJUS5OWVNFOklCTS5JUV9BU1NFVF9XUklURURPV05fQ0YuMTk5NS4wNi8wMy8yMDI2Li4uVVNELkgBAAAA3rYBAAMAAAAAAMJzRuXNe94IkiIXOc573ghJQ0lRLk5ZU0U6SUJNLklRX0xU</t>
  </si>
  <si>
    <t>X1BPUlRJT05fT1BFUl9MRUFTRV9MSUFCSUxJVElFUy4xOTk1LjA2LzAzLzIwMjYuLi5VU0QuSAEAAADetgEAAgAAAAQyNzU3AQgAAAAFAAAAATEBAAAACy0xOTIwODQ2OTUwAwAAAAMxNjACAAAABTQ4MzgzBAAAAAEwBwAAAAgzLzYvMjAyNggAAAAJOS8zMC8yMDI0CQAAAAEwwnNG5c173gh1Dhc5znveCCpDSVEuTllTRTpJQk0uSVFfRlguMTk5NS4wNi8wMy8yMDI2Li4uVVNELkgBAAAA3rYBAAIAAAADMTAwAQgAAAAFAAAAATEBAAAACy0xOTIwODQ2OTUwAwAAAAMxNjACAAAABDIxNDQEAAAAATAHAAAACDMvNi8yMDI2CAAAAAk5LzMwLzIwMjQJAAAAATDCc0blzXveCJIiFznOe94INkNJUS5OWVNFOklCTS5JUV9DUkVESVRfTE9TU19DRi4xOTk1LjA2LzAzLzIwMjYuLi5VU0QuSAEAAADetgEAAwAAAAAAwnNG5c173giSIhc5znveCEVDSVEuTllTRTpJQk0uSVFfREVQUkVDSUFUSU9OX1JFTlRBTF9BU1NFVFNfQ0YuMTk5NS4wNi8wMy8yMDI2Li4uVVNELkgBAAAA3rYBAAMAAAAAAMJzRuXNe94IkiIXOc573gg3Q0lRLk5ZU0U6SUJNLklRX0NBU0hfQUNRVUlSRV9DRi4xOTk1LjA2LzAzLzIwMjYuLi5VU0QuSAEAAADetgEAAgAAAAUtMjg4NQEIAAAABQAAAAExAQAAAAstMTkyMDg0Njk1MAMAAAADMTYwAgAAAAQyMDU3BAAAAAEwBwAAAAgzLzYvMjAyNggAAAAJOS8zMC8yMDI0CQAAAAEwwnNG5c173giS</t>
  </si>
  <si>
    <t>Ihc5znveCCxDSVEuTllTRTpJQk0uSVFfTlBQRS4xOTk1LjA2LzAzLzIwMjYuLi5VU0QuSAEAAADetgEAAgAAAAQ4OTY5AQgAAAAFAAAAATEBAAAACy0xOTIwODQ2OTUwAwAAAAMxNjACAAAABDEwMDQEAAAAATAHAAAACDMvNi8yMDI2CAAAAAk5LzMwLzIwMjQJAAAAATDCc0blzXveCJIiFznOe94IMENJUS5OWVNFOklCTS5JUV9DRl9TSEFSRS4xOTk1LjA2LzAzLzIwMjYuLi5VU0QuSAEAAADetgEAAgAAAAkxMi45Mzg4NTQBCAAAAAUAAAABMQEAAAALLTE5MjA4NDY5NTADAAAAAzE2MAIAAAAFNDM5MjMEAAAAATAHAAAACDMvNi8yMDI2CAAAAAk5LzMwLzIwMjQJAAAAATDCc0blzXveCOdJFznOe94IPENJUS5OWVNFOklCTS5JUV9PVEhFUl9VTlVTVUFMX1NVUFBMRS4xOTk1LjA2LzAzLzIwMjYuLi5VU0QuSAEAAADetgEAAwAAAAAAwnNG5c173gjnSRc5znveCCxDSVEuTllTRTpJQk0uSVFfR1BQRS4xOTk1LjA2LzAzLzIwMjYuLi5VU0QuSAEAAADetgEAAgAAAAUyMTM0OQEIAAAABQAAAAExAQAAAAstMTkyMDg0Njk1MAMAAAADMTYwAgAAAAQxMTY5BAAAAAEwBwAAAAgzLzYvMjAyNggAAAAJOS8zMC8yMDI0CQAAAAEwwnNG5c173gjnSRc5znveCC5DSVEuTllTRTpJQk0uSVFfUkVTVEFURU1FTlRfQ0YuMTk5NS4wNi8wMy8yMDI2AQAAAN62AQADAAAAAk5DAMJzRuXNe94I50kXOc573ggvQ0lRLk5ZU0U6</t>
  </si>
  <si>
    <t>SUJNLklRX1BFUklPRExFTkdUSF9DRi4xOTk1LjA2LzAzLzIwMjYBAAAA3rYBAAEAAAACMTIAwnNG5c173gjnSRc5znveCDlDSVEuTllTRTpJQk0uSVFfQ0hBTkdFX1VORUFSTl9SRVYuMTk5NS4wNi8wMy8yMDI2Li4uVVNELkgBAAAA3rYBAAMAAAAAAMJzRuXNe94IjV0XOc573gg5Q0lRLk5ZU0U6SUJNLklRX1NUT0NLX0JBU0VEX09USEVSLjE5OTUuMDYvMDMvMjAyNi4uLlVTRC5IAQAAAN62AQADAAAAAADCc0blzXveCI1dFznOe94IOUNJUS5OWVNFOklCTS5JUV9JTlNfU0VUVExFX1NVUFBMRS4xOTk1LjA2LzAzLzIwMjYuLi5VU0QuSAEAAADetgEAAwAAAAAAwnNG5c173giNXRc5znveCDVDSVEuTllTRTpJQk0uSVFfQUlSQ1JBRlRfUkVOVC4xOTk1LjA2LzAzLzIwMjYuLi5VU0QuSAEAAADetgEAAwAAAAAAwnNG5c173gjnSRc5znveCC9DSVEuTllTRTpJQk0uSVFfUEVOU0lPTi4xOTk1LjA2LzAzLzIwMjYuLi5VU0QuSAEAAADetgEAAgAAAAUxMDM2NgEIAAAABQAAAAExAQAAAAstMTkyMDg0Njk1MAMAAAADMTYwAgAAAAQxMjEzBAAAAAEwBwAAAAgzLzYvMjAyNggAAAAJOS8zMC8yMDI0CQAAAAEwwnNG5c173gjnSRc5znveCDVDSVEuTllTRTpJQk0uSVFfVU5MRVZFUkVEX0ZDRi4xOTk1LjA2LzAzLzIwMjYuLi5VU0QuSAEAAADetgEAAgAAAAgxMTQ3NS4yNQEIAAAABQAAAAExAQAAAAstMTkyMDg0</t>
  </si>
  <si>
    <t>Njk1MAMAAAADMTYwAgAAAAQ0NDIzBAAAAAEwBwAAAAgzLzYvMjAyNggAAAAJOS8zMC8yMDI0CQAAAAEwwnNG5c173giNXRc5znveCDJDSVEuTllTRTpJQk0uSVFfREVQUkVfU1VQUC4xOTk1LjA2LzAzLzIwMjYuLi5VU0QuSAEAAADetgEAAwAAAAAAwnNG5c173giNXRc5znveCDVDSVEuTllTRTpJQk0uSVFfQ09NTU9OX0lTU1VFRC4xOTk1LjA2LzAzLzIwMjYuLi5VU0QuSAEAAADetgEAAgAAAAQxMDUxAQgAAAAFAAAAATEBAAAACy0xOTIwODQ2OTUwAwAAAAMxNjACAAAABDIxNjkEAAAAATAHAAAACDMvNi8yMDI2CAAAAAk5LzMwLzIwMjQJAAAAATDCc0blzXveCI1dFznOe94IMUNJUS5OWVNFOklCTS5JUV9DQVNIX09QRVIuMTk5NS4wNi8wMy8yMDI2Li4uVVNELkgBAAAA3rYBAAIAAAAFMTM1NzgBCAAAAAUAAAABMQEAAAALLTE5MjA4NDY5NTADAAAAAzE2MAIAAAAEMjAwNgQAAAABMAcAAAAIMy82LzIwMjYIAAAACTkvMzAvMjAyNAkAAAABMMJzRuXNe94IjV0XOc573gg2Q0lRLk5ZU0U6SUJNLklRX0NIQU5HRV9ERUZfVEFYLjE5OTUuMDYvMDMvMjAyNi4uLlVTRC5IAQAAAN62AQADAAAAAADCc0blzXveCI1dFznOe94INkNJUS5OWVNFOklCTS5JUV9TVE9DS19CQVNFRF9TTS4xOTk1LjA2LzAzLzIwMjYuLi5VU0QuSAEAAADetgEAAwAAAAAAwnNG5c173gi+hBc5znveCD9DSVEuTllTRTpJQk0uSVFf</t>
  </si>
  <si>
    <t>U0FMQVJJRVNfT1RIRVJfQkVORUZJVFMuMTk5NS4wNi8wMy8yMDI2Li4uVVNELkgBAAAA3rYBAAMAAAAAAMJzRuXNe94IjV0XOc573gg3Q0lRLk5ZU0U6SUJNLklRX1NBTEVTX01BUktFVElORy4xOTk1LjA2LzAzLzIwMjYuLi5VU0QuSAEAAADetgEAAgAAAAQxMTYwAQgAAAAFAAAAATEBAAAACy0xOTIwODQ2OTUwAwAAAAMxNjACAAAABTIxNTYxBAAAAAEwBwAAAAgzLzYvMjAyNggAAAAJOS8zMC8yMDI0CQAAAAEwwnNG5c173giNXRc5znveCEFDSVEuTllTRTpJQk0uSVFfRElTVFJJQlVUQUJMRV9DQVNIX1NIQVJFU19ESUxVVEVELjE5OTUuMDYvMDMvMjAyNgEAAADetgEAAwAAAAAAwnNG5c173gjezxg5znveCDxDSVEuTllTRTpJQk0uSVFfREVGRVJSRURfVEFYRVNfVE9UQUwuMTk5NS4wNi8wMy8yMDI2Li4uVVNELkgBAAAA3rYBAAIAAAAFLTExMDUBCAAAAAUAAAABMQEAAAALLTE5MjA4NDY5NTADAAAAAzE2MAIAAAAFMzUzODUEAAAAATAHAAAACDMvNi8yMDI2CAAAAAk5LzMwLzIwMjQJAAAAATDCc0blzXveCI1dFznOe94INENJUS5OWVNFOklCTS5JUV9UT1RBTF9BU1NFVFMuMTk5NS4wNi8wMy8yMDI2Li4uVVNELkgBAAAA3rYBAAIAAAAGMTM0MzM5AQgAAAAFAAAAATEBAAAACy0xOTIwODQ2OTUwAwAAAAMxNjACAAAABDEwMDcEAAAAATAHAAAACDMvNi8yMDI2CAAAAAk5LzMwLzIwMjQJAAAAATDC</t>
  </si>
  <si>
    <t>c0blzXveCL6EFznOe94INkNJUS5OWVNFOklCTS5JUV9PVEhFUl9DQV9TVVBQTC4xOTk1LjA2LzAzLzIwMjYuLi5VU0QuSAEAAADetgEAAgAAAAQxMDU0AQgAAAAFAAAAATEBAAAACy0xOTIwODQ2OTUwAwAAAAMxNjACAAAABDEwNTUEAAAAATAHAAAACDMvNi8yMDI2CAAAAAk5LzMwLzIwMjQJAAAAATDCc0blzXveCL6EFznOe94IRENJUS5OWVNFOklCTS5JUV9EQV9TVVBQTF9DRl9FWENMX09QRVJfTEVBU0VTLjE5OTUuMDYvMDMvMjAyNi4uLlVTRC5IAQAAAN62AQACAAAABDEyODUBCAAAAAUAAAABMQEAAAALLTE5MjA4NDY5NTADAAAAAzE2MAIAAAAFNDg5ODMEAAAAATAHAAAACDMvNi8yMDI2CAAAAAk5LzMwLzIwMjQJAAAAATDCc0blzXveCL6EFznOe94IM0NJUS5OWVNFOklCTS5JUV9QUkVGX0RJVl9DRi4xOTk1LjA2LzAzLzIwMjYuLi5VU0QuSAEAAADetgEAAwAAAAAAwnNG5c173gi+hBc5znveCDdDSVEuTllTRTpJQk0uSVFfRklOX0RJVl9MSUFCX0xULjE5OTUuMDYvMDMvMjAyNi4uLlVTRC5IAQAAAN62AQADAAAAAADCc0blzXveCL6EFznOe94IOUNJUS5OWVNFOklCTS5JUV9DQVNIX1RBWEVTX0lOVkVTVC4xOTk1LjA2LzAzLzIwMjYuLi5VU0QuSAEAAADetgEAAwAAAAAAwnNG5c173gi+hBc5znveCDZDSVEuTllTRTpJQk0uSVFfTFRfREVCVF9JU1NVRUQuMTk5NS4wNi8wMy8yMDI2Li4uVVNE</t>
  </si>
  <si>
    <t>LkgBAAAA3rYBAAMAAAAAAMJzRuXNe94IvoQXOc573gg2Q0lRLk5ZU0U6SUJNLklRX01JTklNVU1fUkVOVEFMLjE5OTUuMDYvMDMvMjAyNi4uLlVTRC5IAQAAAN62AQADAAAAAADCc0blzXveCL6EFznOe94IMUNJUS5OWVNFOklCTS5JUV9SVUFfR1JPU1MuMTk5NS4wNi8wMy8yMDI2Li4uVVNELkgBAAAA3rYBAAMAAAAAAMJzRuXNe94IvoQXOc573gg2Q0lRLk5ZU0U6SUJNLklRX0RFRl9DSEFSR0VTX0xULjE5OTUuMDYvMDMvMjAyNi4uLlVTRC5IAQAAAN62AQACAAAAAzc4OAEIAAAABQAAAAExAQAAAAstMTkyMDg0Njk1MAMAAAADMTYwAgAAAAQxMDI1BAAAAAEwBwAAAAgzLzYvMjAyNggAAAAJOS8zMC8yMDI0CQAAAAEwwnNG5c173gjPqxc5znveCDhDSVEuTllTRTpJQk0uSVFfTE9OR19URVJNX0xFQVNFUy4xOTk1LjA2LzAzLzIwMjYuLi5VU0QuSAEAAADetgEAAgAAAAQzNjM1AQgAAAAFAAAAATEBAAAACy0xOTIwODQ2OTUwAwAAAAMxNjACAAAABDExODMEAAAAATAHAAAACDMvNi8yMDI2CAAAAAk5LzMwLzIwMjQJAAAAATDCc0blzXveCM+rFznOe94IO0NJUS5OWVNFOklCTS5JUV9UT1RBTF9DT01NT05fRVFVSVRZLjE5OTUuMDYvMDMvMjAyNi4uLlVTRC5IAQAAAN62AQACAAAABTI0NDQ4AQgAAAAFAAAAATEBAAAACy0xOTIwODQ2OTUwAwAAAAMxNjACAAAABDEwMDYEAAAAATAHAAAACDMvNi8yMDI2</t>
  </si>
  <si>
    <t>CAAAAAk5LzMwLzIwMjQJAAAAATDCc0blzXveCM+rFznOe94INkNJUS5OWVNFOklCTS5JUV9MT0FOU19GT1JfU0FMRS4xOTk1LjA2LzAzLzIwMjYuLi5VU0QuSAEAAADetgEAAwAAAAAAwnNG5c173gi+hBc5znveCDdDSVEuTllTRTpJQk0uSVFfQ0FTSF9UQVhFU19PUEVSLjE5OTUuMDYvMDMvMjAyNi4uLlVTRC5IAQAAAN62AQADAAAAAADCc0blzXveCL6EFznOe94IMENJUS5OWVNFOklCTS5JUV9MT0FOU19DRi4xOTk1LjA2LzAzLzIwMjYuLi5VU0QuSAEAAADetgEAAwAAAAAAwnNG5c173ghsvxc5znveCDZDSVEuTllTRTpJQk0uSVFfR0FJTl9JTlZFU1RfQ0YuMTk5NS4wNi8wMy8yMDI2Li4uVVNELkgBAAAA3rYBAAMAAAAAAMJzRuXNe94Iz6sXOc573gg5Q0lRLk5ZU0U6SUJNLklRX0ZJTl9ESVZfQVNTRVRTX0xULjE5OTUuMDYvMDMvMjAyNi4uLlVTRC5IAQAAAN62AQADAAAAAADCc0blzXveCM+rFznOe94IOUNJUS5OWVNFOklCTS5JUV9UT1RBTF9ERUJUX0lTU1VFRC4xOTk1LjA2LzAzLzIwMjYuLi5VU0QuSAEAAADetgEAAgAAAAQ1NzA4AQgAAAAFAAAAATEBAAAACy0xOTIwODQ2OTUwAwAAAAMxNjACAAAABDIxNjEEAAAAATAHAAAACDMvNi8yMDI2CAAAAAk5LzMwLzIwMjQJAAAAATDCc0blzXveCM+rFznOe94IMUNJUS5OWVNFOklCTS5JUV9ESVZFU1RfQ0YuMTk5NS4wNi8wMy8yMDI2Li4uVVNE</t>
  </si>
  <si>
    <t>LkgBAAAA3rYBAAIAAAADNzA1AQgAAAAFAAAAATEBAAAACy0xOTIwODQ2OTUwAwAAAAMxNjACAAAABDIwNzcEAAAAATAHAAAACDMvNi8yMDI2CAAAAAk5LzMwLzIwMjQJAAAAATDCc0blzXveCM+rFznOe94IPENJUS5OWVNFOklCTS5JUV9UT1RBTF9VTlVTVUFMX1NVUFBMRS4xOTk1LjA2LzAzLzIwMjYuLi5VU0QuSAEAAADetgEAAwAAAAAAwnNG5c173ghsvxc5znveCDlDSVEuTllTRTpJQk0uSVFfTkVUX1JFTlRBTF9FWFBfRk4uMTk5NS4wNi8wMy8yMDI2Li4uVVNELkgBAAAA3rYBAAMAAAAAAMJzRuXNe94IbL8XOc573ggyQ0lRLk5ZU0U6SUJNLklRX0NPTU1PTl9ESVYuMTk5NS4wNi8wMy8yMDI2Li4uVVNELkgBAAAA3rYBAAIAAAAENjExOQDCc0blzXveCGy/FznOe94IMkNJUS5OWVNFOklCTS5JUV9DQVNIX0VRVUlWLjE5OTUuMDYvMDMvMjAyNi4uLlVTRC5IAQAAAN62AQACAAAABTEzMTk3AQgAAAAFAAAAATEBAAAACy0xOTIwODQ2OTUwAwAAAAMxNjACAAAABDEwOTYEAAAAATAHAAAACDMvNi8yMDI2CAAAAAk5LzMwLzIwMjQJAAAAATDCc0blzXveCGy/FznOe94INkNJUS5OWVNFOklCTS5JUV9NSVNDX0FESlVTVF9DRi4xOTk1LjA2LzAzLzIwMjYuLi5VU0QuSAEAAADetgEAAgAAAAExAQgAAAAFAAAAATEBAAAACy0xOTIwODQ2OTUwAwAAAAMxNjACAAAABDIxNDkEAAAAATAHAAAACDMvNi8yMDI2</t>
  </si>
  <si>
    <t>CAAAAAk5LzMwLzIwMjQJAAAAATDCc0blzXveCGy/FznOe94IOkNJUS5OWVNFOklCTS5JUV9DT01NT05fUFJFRl9ESVZfQ0YuMTk5NS4wNi8wMy8yMDI2Li4uVVNELkgBAAAA3rYBAAMAAAAAAMJzRuXNe94IbL8XOc573ggtQ0lRLk5ZU0U6SUJNLklRX0RPX0NGLjE5OTUuMDYvMDMvMjAyNi4uLlVTRC5IAQAAAN62AQADAAAAAADCc0blzXveCGy/FznOe94IPENJUS5OWVNFOklCTS5JUV9DSEFOR0VfREVGX1RBWF9UT1RBTC4xOTk1LjA2LzAzLzIwMjYuLi5VU0QuSAEAAADetgEAAgAAAAUtMTExNAEIAAAABQAAAAExAQAAAAstMTkyMDg0Njk1MAMAAAADMTYwAgAAAAUzMDkyNAQAAAABMAcAAAAIMy82LzIwMjYIAAAACTkvMzAvMjAyNAkAAAABMMJzRuXNe94IbL8XOc573ggwQ0lRLk5ZU0U6SUJNLklRX1BSRUZfUkVQLjE5OTUuMDYvMDMvMjAyNi4uLlVTRC5IAQAAAN62AQADAAAAAADCc0blzXveCGy/FznOe94INkNJUS5OWVNFOklCTS5JUV9MVF9ERUJUX1JFUEFJRC4xOTk1LjA2LzAzLzIwMjYuLi5VU0QuSAEAAADetgEAAwAAAAAAwnNG5c173ghsvxc5znveCD9DSVEuTllTRTpJQk0uSVFfU1RPQ0tfQkFTRURfQ09NUF9QUkVUQVguMTk5NS4wNi8wMy8yMDI2Li4uVVNELkgBAAAA3rYBAAIAAAAEMTI1NwDCc0blzXveCJnmFznOe94IPkNJUS5OWVNFOklCTS5JUV9TVE9DS19PUFRJT05TX0NPTVBfVEFY</t>
  </si>
  <si>
    <t>LjE5OTUuMDYvMDMvMjAyNi4uLlVTRC5IAQAAAN62AQADAAAAAADCc0blzXveCJnmFznOe94IOENJUS5OWVNFOklCTS5JUV9SRVNUUl9TVE9DS19DT01QLjE5OTUuMDYvMDMvMjAyNi4uLlVTRC5IAQAAAN62AQADAAAAAADCc0blzXveCJnmFznOe94IPENJUS5OWVNFOklCTS5JUV9JTVBBSVJNRU5UX0dXX1NVUFBMRS4xOTk1LjA2LzAzLzIwMjYuLi5VU0QuSAEAAADetgEAAwAAAAAAwnNG5c173ghsvxc5znveCCdDSVEuTllTRTpJQk0uSVFfR0FBUF9JUy4xOTk1LjA2LzAzLzIwMjYBAAAA3rYBAAMAAAAAAMJzRuXNe94IbL8XOc573gg6Q0lRLk5ZU0U6SUJNLklRX0RJU1RSSUJVVEFCTEVfQ0FTSC4xOTk1LjA2LzAzLzIwMjYuLi5VU0QuSAEAAADetgEAAwAAAAAAwnNG5c173giZ5hc5znveCDhDSVEuTllTRTpJQk0uSVFfSU5UX0VYUF9JTkNMX0NBUC4xOTk1LjA2LzAzLzIwMjYuLi5VU0QuSAEAAADetgEAAgAAAAQxNzA1AQgAAAAFAAAAATEBAAAACy0xOTIwODQ2OTUwAwAAAAMxNjACAAAABTIxODYxBAAAAAEwBwAAAAgzLzYvMjAyNggAAAAJOS8zMC8yMDI0CQAAAAEwwnNG5c173giZ5hc5znveCDFDSVEuTllTRTpJQk0uSVFfQ0hBTkdFX0FQLjE5OTUuMDYvMDMvMjAyNi4uLlVTRC5IAQAAAN62AQACAAAAAjY1AQgAAAAFAAAAATEBAAAACy0xOTIwODQ2OTUwAwAAAAMxNjACAAAABDIwMTcEAAAAATAH</t>
  </si>
  <si>
    <t>AAAACDMvNi8yMDI2CAAAAAk5LzMwLzIwMjQJAAAAATDCc0blzXveCJnmFznOe94INUNJUS5OWVNFOklCTS5JUV9NRVJHRVJfU1VQUExFLjE5OTUuMDYvMDMvMjAyNi4uLlVTRC5IAQAAAN62AQADAAAAAADCc0blzXveCJnmFznOe94IO0NJUS5OWVNFOklCTS5JUV9OT05DQVNIX1BFTlNJT05fRVhQLjE5OTUuMDYvMDMvMjAyNi4uLlVTRC5IAQAAAN62AQADAAAAAADCc0blzXveCJnmFznOe94IPENJUS5OWVNFOklCTS5JUV9FQklUX0VRX0lOQ19FWENMX1NCQy4xOTk1LjA2LzAzLzIwMjYuLi5VU0QuSAEAAADetgEAAgAAAAUxMTIzNQEIAAAABQAAAAExAQAAAAstMTkyMDg0Njk1MAMAAAADMTYwAgAAAAUyNDEzMAQAAAABMAcAAAAIMy82LzIwMjYIAAAACTkvMzAvMjAyNAkAAAABMMJzRuXNe94ImeYXOc573ggsQ0lRLk5ZU0U6SUJNLklRX0VCSVQuMTk5NS4wNi8wMy8yMDI2Li4uVVNELkgBAAAA3rYBAAIAAAAEOTk3OAEIAAAABQAAAAExAQAAAAstMTkyMDg0Njk1MAMAAAADMTYwAgAAAAM0MDAEAAAAATAHAAAACDMvNi8yMDI2CAAAAAk5LzMwLzIwMjQJAAAAATDCc0blzXveCJnmFznOe94IP0NJUS5OWVNFOklCTS5JUV9MRUFTRV9BREpVU1RNRU5UX0VCSVREQS4xOTk1LjA2LzAzLzIwMjYuLi5VU0QuSAEAAADetgEAAgAAAAcxMzI1Ljc1AMJzRuXNe94ImeYXOc573ggyQ0lRLk5ZU0U6SUJNLklRX0VB</t>
  </si>
  <si>
    <t>Uk5JTkdfQ08uMTk5NS4wNi8wMy8yMDI2Li4uVVNELkgBAAAA3rYBAAIAAAAENjM3MwEIAAAABQAAAAExAQAAAAstMTkyMDg0Njk1MAMAAAADMTYwAgAAAAE3BAAAAAEwBwAAAAgzLzYvMjAyNggAAAAJOS8zMC8yMDI0CQAAAAEwwnNG5c173giZ5hc5znveCDdDSVEuTllTRTpJQk0uSVFfT1RIRVJfUkVWX1NVUFBMLjE5OTUuMDYvMDMvMjAyNi4uLlVTRC5IAQAAAN62AQADAAAAAADCc0blzXveCJnmFznOe94INUNJUS5OWVNFOklCTS5JUV9PVEhFUl9MSUFCX0xULjE5OTUuMDYvMDMvMjAyNi4uLlVTRC5IAQAAAN62AQACAAAABTExMTg3AQgAAAAFAAAAATEBAAAACy0xOTIwODQ2OTUwAwAAAAMxNjACAAAABDEwNjIEAAAAATAHAAAACDMvNi8yMDI2CAAAAAk5LzMwLzIwMjQJAAAAATDCc0blzXveCLYNGDnOe94IM0NJUS5OWVNFOklCTS5JUV9JUFJEX1NVUFBMRS4xOTk1LjA2LzAzLzIwMjYuLi5VU0QuSAEAAADetgEAAwAAAAAAwnNG5c173gi2DRg5znveCDlDSVEuTllTRTpJQk0uSVFfRElTVFJJQlVUQUJMRV9DQVNIX1BBWU9VVC4xOTk1LjA2LzAzLzIwMjYBAAAA3rYBAAMAAAAAAMJzRuXNe94Itg0YOc573gg3Q0lRLk5ZU0U6SUJNLklRX0VCSVREQV9FWENMX1NCQy4xOTk1LjA2LzAzLzIwMjYuLi5VU0QuSAEAAADetgEAAgAAAAUxNDMwMQEIAAAABQAAAAExAQAAAAstMTkyMDg0Njk1MAMAAAADMTYw</t>
  </si>
  <si>
    <t>AgAAAAUyNDEzNQQAAAABMAcAAAAIMy82LzIwMjYIAAAACTkvMzAvMjAyNAkAAAABMMJzRuXNe94Itg0YOc573gg5Q0lRLk5ZU0U6SUJNLklRX1NQRUNJQUxfRElWX1NIQVJFLjE5OTUuMDYvMDMvMjAyNi4uLlVTRC5IAQAAAN62AQADAAAAAADCc0blzXveCLYNGDnOe94IN0NJUS5OWVNFOklCTS5JUV9UT1RBTF9SRVZfU0hBUkUuMTk5NS4wNi8wMy8yMDI2Li4uVVNELkgBAAAA3rYBAAIAAAAJNjguMTA2MTA3AQgAAAAFAAAAATEBAAAACy0xOTIwODQ2OTUwAwAAAAMxNjACAAAABDQzODIEAAAAATAHAAAACDMvNi8yMDI2CAAAAAk5LzMwLzIwMjQJAAAAATDCc0blzXveCLYNGDnOe94IMUNJUS5OWVNFOklCTS5JUV9ESVZfU0hBUkUuMTk5NS4wNi8wMy8yMDI2Li4uVVNELkgBAAAA3rYBAAIAAAAENi42NgEIAAAABQAAAAExAQAAAAstMTkyMDg0Njk1MAMAAAADMTYwAgAAAAQzMDU4BAAAAAEwBwAAAAgzLzYvMjAyNggAAAAJOS8zMC8yMDI0CQAAAAEwwnNG5c173gi2DRg5znveCDVDSVEuTllTRTpJQk0uSVFfTklfQVZBSUxfRVhDTC4xOTk1LjA2LzAzLzIwMjYuLi5VU0QuSAEAAADetgEAAgAAAAQ2MzczAQgAAAAFAAAAATEBAAAACy0xOTIwODQ2OTUwAwAAAAMxNjACAAAAAzM3OQQAAAABMAcAAAAIMy82LzIwMjYIAAAACTkvMzAvMjAyNAkAAAABMMJzRuXNe94Itg0YOc573gg5Q0lRLk5ZU0U6SUJNLklR</t>
  </si>
  <si>
    <t>X1RPVEFMX0RJVl9QQUlEX0NGLjE5OTUuMDYvMDMvMjAyNi4uLlVTRC5IAQAAAN62AQACAAAABS02MTE5AQgAAAAFAAAAATEBAAAACy0xOTIwODQ2OTUwAwAAAAMxNjACAAAABDIwMjIEAAAAATAHAAAACDMvNi8yMDI2CAAAAAk5LzMwLzIwMjQJAAAAATDCc0blzXveCLYNGDnOe94IP0NJUS5OWVNFOklCTS5JUV9FWFBMT1JFX0RSSUxMX0VYUF9UT1RBTC4xOTk1LjA2LzAzLzIwMjYuLi5VU0QuSAEAAADetgEAAwAAAAAAwnNG5c173gi2DRg5znveCD9DSVEuTllTRTpJQk0uSVFfRElTVFJJQlVUQUJMRV9DQVNIX1NIQVJFU19CQVNJQy4xOTk1LjA2LzAzLzIwMjYBAAAA3rYBAAMAAAAAAMJzRuXNe94Ics4ZOc573gg2Q0lRLk5ZU0U6SUJNLklRX1BSRUZfRElWX09USEVSLjE5OTUuMDYvMDMvMjAyNi4uLlVTRC5IAQAAAN62AQADAAAAAADCc0blzXveCLYNGDnOe94IM0NJUS5OWVNFOklCTS5JUV9HQUlOX0FTU0VUUy4xOTk1LjA2LzAzLzIwMjYuLi5VU0QuSAEAAADetgEAAgAAAAM2MzcBCAAAAAUAAAABMQEAAAALLTE5MjA4NDY5NTADAAAAAzE2MAIAAAACNTYEAAAAATAHAAAACDMvNi8yMDI2CAAAAAk5LzMwLzIwMjQJAAAAATDCc0blzXveCLYNGDnOe94INENJUS5OWVNFOklCTS5JUV9JTlRFUkVTVF9FWFAuMTk5NS4wNi8wMy8yMDI2Li4uVVNELkgBAAAA3rYBAAIAAAAFLTE2OTMBCAAAAAUAAAABMQEA</t>
  </si>
  <si>
    <t>AAALLTE5MjA4NDY5NTADAAAAAzE2MAIAAAACODIEAAAAATAHAAAACDMvNi8yMDI2CAAAAAk5LzMwLzIwMjQJAAAAATDCc0blzXveCLYNGDnOe94IMUNJUS5OWVNFOklCTS5JUV9TR0FfU1VQUEwuMTk5NS4wNi8wMy8yMDI2Li4uVVNELkgBAAAA3rYBAAIAAAAFMTkwNzkBCAAAAAUAAAABMQEAAAALLTE5MjA4NDY5NTADAAAAAzE2MAIAAAADMTAyBAAAAAEwBwAAAAgzLzYvMjAyNggAAAAJOS8zMC8yMDI0CQAAAAEwwnNG5c173gi2DRg5znveCDNDSVEuTllTRTpJQk0uSVFfSU5TX0RJVl9FWFAuMTk5NS4wNi8wMy8yMDI2Li4uVVNELkgBAAAA3rYBAAMAAAAAAMJzRuXNe94I4EQYOc573gg2Q0lRLk5ZU0U6SUJNLklRX1NUT0NLX0JBU0VEX0dBLjE5OTUuMDYvMDMvMjAyNi4uLlVTRC5IAQAAAN62AQADAAAAAADCc0blzXveCOBEGDnOe94IPUNJUS5OWVNFOklCTS5JUV9ORVRfUkVOVEFMX0VYUF9TVVBQTEUuMTk5NS4wNi8wMy8yMDI2Li4uVVNELkgBAAAA3rYBAAMAAAAAAMJzRuXNe94I4EQYOc573ggwQ0lRLk5ZU0U6SUJNLklRX0RJTFVUX05JLjE5OTUuMDYvMDMvMjAyNi4uLlVTRC5IAQAAAN62AQACAAAACzYzNzcuNTQ0Njk4AQgAAAAFAAAAATEBAAAACy0xOTIwODQ2OTUwAwAAAAMxNjACAAAABDM1MjIEAAAAATAHAAAACDMvNi8yMDI2CAAAAAk5LzMwLzIwMjQJAAAAATDCc0blzXveCOBEGDnOe94I</t>
  </si>
  <si>
    <t>NkNJUS5OWVNFOklCTS5JUV9ESUxVVF9FUFNfTk9STS4xOTk1LjA2LzAzLzIwMjYuLi5VU0QuSAEAAADetgEAAgAAAAg2LjEwNDcwNQEIAAAABQAAAAExAQAAAAstMTkyMDg0Njk1MAMAAAADMTYwAgAAAAQ0MzgwBAAAAAEwBwAAAAgzLzYvMjAyNggAAAAJOS8zMC8yMDI0CQAAAAEwwnNG5c173gjgRBg5znveCCtDSVEuTllTRTpJQk0uSVFfRUJULjE5OTUuMDYvMDMvMjAyNi4uLlVTRC5IAQAAAN62AQACAAAABDYyNTABCAAAAAUAAAABMQEAAAALLTE5MjA4NDY5NTADAAAAAzE2MAIAAAADMTM5BAAAAAEwBwAAAAgzLzYvMjAyNggAAAAJOS8zMC8yMDI0CQAAAAEwwnNG5c173gi8WBg5znveCDVDSVEuTllTRTpJQk0uSVFfSU1QQUlSTUVOVF9HVy4xOTk1LjA2LzAzLzIwMjYuLi5VU0QuSAEAAADetgEAAwAAAAAAwnNG5c173gi8WBg5znveCDpDSVEuTllTRTpJQk0uSVFfU1RPQ0tfT1BUSU9OU19DT01QLjE5OTUuMDYvMDMvMjAyNi4uLlVTRC5IAQAAAN62AQADAAAAAADCc0blzXveCLxYGDnOe94IPENJUS5OWVNFOklCTS5JUV9SRVNUUl9TVE9DS19DT01QX1RBWC4xOTk1LjA2LzAzLzIwMjYuLi5VU0QuSAEAAADetgEAAwAAAAAAwnNG5c173gi8WBg5znveCDNDSVEuTllTRTpJQk0uSVFfSU5UX0VYUF9MVEQuMTk5NS4wNi8wMy8yMDI2Li4uVVNELkgBAAAA3rYBAAMAAAAAAMJzRuXNe94I4EQYOc573ggy</t>
  </si>
  <si>
    <t>Q0lRLk5ZU0U6SUJNLklRX0lOQ19FUVVJVFkuMTk5NS4wNi8wMy8yMDI2Li4uVVNELkgBAAAA3rYBAAMAAAAAAMJzRuXNe94IvFgYOc573gg1Q0lRLk5ZU0U6SUJNLklRX1BSRV9PUEVOX0NPU1QuMTk5NS4wNi8wMy8yMDI2Li4uVVNELkgBAAAA3rYBAAMAAAAAAMJzRuXNe94IvFgYOc573gg3Q0lRLk5ZU0U6SUJNLklRX0dBSU5fSU5WRVNUX1JFVi4xOTk1LjA2LzAzLzIwMjYuLi5VU0QuSAEAAADetgEAAwAAAAAAwnNG5c173gi8WBg5znveCD9DSVEuTllTRTpJQk0uSVFfREVGRVJSRURfRE9NRVNUSUNfVEFYRVMuMTk5NS4wNi8wMy8yMDI2Li4uVVNELkgBAAAA3rYBAAIAAAAFLTE1MzMBCAAAAAUAAAABMQEAAAALLTE5MjA4NDY5NTADAAAAAzE2MAIAAAAEMzA1NAQAAAABMAcAAAAIMy82LzIwMjYIAAAACTkvMzAvMjAyNAkAAAABMMJzRuXNe94IvFgYOc573gg6Q0lRLk5ZU0U6SUJNLklRX0NVUlJfRk9SRUlHTl9UQVhFUy4xOTk1LjA2LzAzLzIwMjYuLi5VU0QuSAEAAADetgEAAgAAAAQxNTk0AQgAAAAFAAAAATEBAAAACy0xOTIwODQ2OTUwAwAAAAMxNjACAAAABDMwMzAEAAAAATAHAAAACDMvNi8yMDI2CAAAAAk5LzMwLzIwMjQJAAAAATDCc0blzXveCLxYGDnOe94IKkNJUS5OWVNFOklCTS5JUV9TQU1FX1NUT1JFLjE5OTUuMDYvMDMvMjAyNgEAAADetgEAAwAAAAAAwnNG5c173gi8WBg5znveCDFD</t>
  </si>
  <si>
    <t>SVEuTllTRTpJQk0uSVFfUkRfRVhQX0ZOLjE5OTUuMDYvMDMvMjAyNi4uLlVTRC5IAQAAAN62AQACAAAABDcyNjABCAAAAAUAAAABMQEAAAALLTE5MjA4NDY5NTADAAAAAzE2MAIAAAAEMzE2OAQAAAABMAcAAAAIMy82LzIwMjYIAAAACTkvMzAvMjAyNAkAAAABMMJzRuXNe94IvFgYOc573gg5Q0lRLk5ZU0U6SUJNLklRX0NBU0hfSU5URVJFU1RfTkVULjE5OTUuMDYvMDMvMjAyNi4uLlVTRC5IAQAAAN62AQADAAAAAADCc0blzXveCLxYGDnOe94INkNJUS5OWVNFOklCTS5JUV9TVF9ERUJUX0lTU1VFRC4xOTk1LjA2LzAzLzIwMjYuLi5VU0QuSAEAAADetgEAAwAAAAAAwnNG5c173gi8WBg5znveCDhDSVEuTllTRTpJQk0uSVFfQ0hBTkdFX0lOVkVOVE9SWS4xOTk1LjA2LzAzLzIwMjYuLi5VU0QuSAEAAADetgEAAgAAAAMzOTABCAAAAAUAAAABMQEAAAALLTE5MjA4NDY5NTADAAAAAzE2MAIAAAAEMjA5OQQAAAABMAcAAAAIMy82LzIwMjYIAAAACTkvMzAvMjAyNAkAAAABMMJzRuXNe94IvFgYOc573gg/Q0lRLk5ZU0U6SUJNLklRX0dBSU5fQkFSR0FJTl9BQ1FfU1VQUExFLjE5OTUuMDYvMDMvMjAyNi4uLlVTRC5IAQAAAN62AQADAAAAAADCc0blzXveCLxYGDnOe94IPkNJUS5OWVNFOklCTS5JUV9BU1NFVF9XUklURURPV05fU1VQUExFLjE5OTUuMDYvMDMvMjAyNi4uLlVTRC5IAQAAAN62AQADAAAAAADC</t>
  </si>
  <si>
    <t>c0blzXveCLxYGDnOe94IMUNJUS5OWVNFOklCTS5JUV9NQVJLRVRJTkcuMTk5NS4wNi8wMy8yMDI2Li4uVVNELkgBAAAA3rYBAAMAAAAAAMJzRuXNe94IvFgYOc573gg/Q0lRLk5ZU0U6SUJNLklRX0VYQ0lTRV9UQVhFU19JTkNMX1NBTEVTLjE5OTUuMDYvMDMvMjAyNi4uLlVTRC5IAQAAAN62AQADAAAAAADCc0blzXveCLxYGDnOe94IOUNJUS5OWVNFOklCTS5JUV9JTlZFU1RNRU5UX0lOQ09NRS4xOTk1LjA2LzAzLzIwMjYuLi5VU0QuSAEAAADetgEAAwAAAAAAwnNG5c173gi8WBg5znveCDRDSVEuTllTRTpJQk0uSVFfRUJJVERBX0NBUEVYLjE5OTUuMDYvMDMvMjAyNi4uLlVTRC5IAQAAAN62AQACAAAABTExOTk5AQgAAAAFAAAAATEBAAAACy0xOTIwODQ2OTUwAwAAAAMxNjACAAAABTM1Mzc5BAAAAAEwBwAAAAgzLzYvMjAyNggAAAAJOS8zMC8yMDI0CQAAAAEwwnNG5c173ggxlBg5znveCDZDSVEuTllTRTpJQk0uSVFfQkFTSUNfRVBTX0lOQ0wuMTk5NS4wNi8wMy8yMDI2Li4uVVNELkgBAAAA3rYBAAIAAAAINi45NjE4ODUBCAAAAAUAAAABMQEAAAALLTE5MjA4NDY5NTADAAAAAzE2MAIAAAABOQQAAAABMAcAAAAIMy82LzIwMjYIAAAACTkvMzAvMjAyNAkAAAABMMJzRuXNe94IMZQYOc573gg0Q0lRLk5ZU0U6SUJNLklRX0xFR0FMX1NFVFRMRS4xOTk1LjA2LzAzLzIwMjYuLi5VU0QuSAEAAADetgEA</t>
  </si>
  <si>
    <t>AwAAAAAAwnNG5c173ggxlBg5znveCDdDSVEuTllTRTpJQk0uSVFfRklOX0RJVl9JTlRfRVhQLjE5OTUuMDYvMDMvMjAyNi4uLlVTRC5IAQAAAN62AQADAAAAAADCc0blzXveCDGUGDnOe94INUNJUS5OWVNFOklCTS5JUV9DQVNIX0lOVEVSRVNULjE5OTUuMDYvMDMvMjAyNi4uLlVTRC5IAQAAAN62AQACAAAABDE3NTMBCAAAAAUAAAABMQEAAAALLTE5MjA4NDY5NTADAAAAAzE2MAIAAAAEMzAyOAQAAAABMAcAAAAIMy82LzIwMjYIAAAACTkvMzAvMjAyNAkAAAABMMJzRuXNe94IvFgYOc573ghAQ0lRLk5ZU0U6SUJNLklRX0lNUFVUX09QRVJfTEVBU0VfSU5UX0VYUC4xOTk1LjA2LzAzLzIwMjYuLi5VU0QuSAEAAADetgEAAwAAAAAAwnNG5c173gh2qBg5znveCD9DSVEuTllTRTpJQk0uSVFfRUJJVERBUl9FUV9JTkNfRVhDTF9TQkMuMTk5NS4wNi8wMy8yMDI2Li4uVVNELkgBAAAA3rYBAAMAAAAAAMJzRuXNe94IdqgYOc573ggvQ0lRLk5ZU0U6SUJNLklRX0VCSVREQVIuMTk5NS4wNi8wMy8yMDI2Li4uVVNELkgBAAAA3rYBAAMAAAAAAMJzRuXNe94IdqgYOc573ghJQ0lRLk5ZU0U6SUJNLklRX0VCSVREQV9FUV9JTkNfRVhDTF9PUEVSX0xFQVNFX0FESi4xOTk1LjA2LzAzLzIwMjYuLi5VU0QuSAEAAADetgEAAgAAAAUxMzA0NAEIAAAABQAAAAExAQAAAAstMTkyMDg0Njk1MAMAAAADMTYwAgAAAAU0ODk4</t>
  </si>
  <si>
    <t>NwQAAAABMAcAAAAIMy82LzIwMjYIAAAACTkvMzAvMjAyNAkAAAABMMJzRuXNe94IMZQYOc573gg1Q0lRLk5ZU0U6SUJNLklRX05JX0FWQUlMX0lOQ0wuMTk5NS4wNi8wMy8yMDI2Li4uVVNELkgBAAAA3rYBAAIAAAAENjM5NwEIAAAABQAAAAExAQAAAAstMTkyMDg0Njk1MAMAAAADMTYwAgAAAAIxNgQAAAABMAcAAAAIMy82LzIwMjYIAAAACTkvMzAvMjAyNAkAAAABMMJzRuXNe94IMZQYOc573gg7Q0lRLk5ZU0U6SUJNLklRX0lOVEVSRVNUX0lOVkVTVF9JTkMuMTk5NS4wNi8wMy8yMDI2Li4uVVNELkgBAAAA3rYBAAIAAAADNzQwAQgAAAAFAAAAATEBAAAACy0xOTIwODQ2OTUwAwAAAAMxNjACAAAAAjY1BAAAAAEwBwAAAAgzLzYvMjAyNggAAAAJOS8zMC8yMDI0CQAAAAEwwnNG5c173gh2qBg5znveCD1DSVEuTllTRTpJQk0uSVFfRUJJVEFfRVFfSU5DX0VYQ0xfU0JDLjE5OTUuMDYvMDMvMjAyNi4uLlVTRC5IAQAAAN62AQACAAAABTEzMDE2AQgAAAAFAAAAATEBAAAACy0xOTIwODQ2OTUwAwAAAAMxNjACAAAABTI0MTMyBAAAAAEwBwAAAAgzLzYvMjAyNggAAAAJOS8zMC8yMDI0CQAAAAEwwnNG5c173gh2qBg5znveCD1DSVEuTllTRTpJQk0uSVFfRUJJVERBX0xFQVNFX0FESlVTVEVELjE5OTUuMDYvMDMvMjAyNi4uLlVTRC5IAQAAAN62AQACAAAACDE0MzY5Ljc1AQgAAAAFAAAAATEBAAAACy0xOTIw</t>
  </si>
  <si>
    <t>ODQ2OTUwAwAAAAMxNjACAAAABTQ4OTkzBAAAAAEwBwAAAAgzLzYvMjAyNggAAAAJOS8zMC8yMDI0CQAAAAEwwnNG5c173gh2qBg5znveCD5DSVEuTllTRTpJQk0uSVFfRUJJVERBX0VRX0lOQ19FWENMX1NCQy4xOTk1LjA2LzAzLzIwMjYuLi5VU0QuSAEAAADetgEAAgAAAAUxNDMwMQEIAAAABQAAAAExAQAAAAstMTkyMDg0Njk1MAMAAAADMTYwAgAAAAUyNDEzMQQAAAABMAcAAAAIMy82LzIwMjYIAAAACTkvMzAvMjAyNAkAAAABMMJzRuXNe94IdqgYOc573ggtQ0lRLk5ZU0U6SUJNLklRX0ZJTElOR0RBVEVfSVMuMTk5NS4wNi8wMy8yMDI2AQAAAN62AQAFAAAACjIzLzEwLzIwMjUAwnNG5c173gh2qBg5znveCC9DSVEuTllTRTpJQk0uSVFfSU5DX1RBWC4xOTk1LjA2LzAzLzIwMjYuLi5VU0QuSAEAAADetgEAAgAAAAQtMTIzAQgAAAAFAAAAATEBAAAACy0xOTIwODQ2OTUwAwAAAAMxNjACAAAAAjc1BAAAAAEwBwAAAAgzLzYvMjAyNggAAAAJOS8zMC8yMDI0CQAAAAEwwnNG5c173gh2qBg5znveCDNDSVEuTllTRTpJQk0uSVFfUkVTVFJVQ1RVUkUuMTk5NS4wNi8wMy8yMDI2Li4uVVNELkgBAAAA3rYBAAIAAAAELTcyOQEIAAAABQAAAAExAQAAAAstMTkyMDg0Njk1MAMAAAADMTYwAgAAAAI5OAQAAAABMAcAAAAIMy82LzIwMjYIAAAACTkvMzAvMjAyNAkAAAABMMJzRuXNe94IdqgYOc573gguQ0lRLk5Z</t>
  </si>
  <si>
    <t>U0U6SUJNLklRX1JEX0VYUC4xOTk1LjA2LzAzLzIwMjYuLi5VU0QuSAEAAADetgEAAgAAAAQ3MjYwAQgAAAAFAAAAATEBAAAACy0xOTIwODQ2OTUwAwAAAAMxNjACAAAAAzEwMAQAAAABMAcAAAAIMy82LzIwMjYIAAAACTkvMzAvMjAyNAkAAAABMMJzRuXNe94IdqgYOc573gg2Q0lRLk5ZU0U6SUJNLklRX1BST1ZfQkFEX0RFQlRTLjE5OTUuMDYvMDMvMjAyNi4uLlVTRC5IAQAAAN62AQADAAAAAADCc0blzXveCHaoGDnOe94IM0NJUS5OWVNFOklCTS5JUV9JTlNfRElWX1JFVi4xOTk1LjA2LzAzLzIwMjYuLi5VU0QuSAEAAADetgEAAwAAAAAAwnNG5c173gh2qBg5znveCDlDSVEuTllTRTpJQk0uSVFfVE9UQUxfREVCVF9SRVBBSUQuMTk5NS4wNi8wMy8yMDI2Li4uVVNELkgBAAAA3rYBAAIAAAAFLTY2MDcBCAAAAAUAAAABMQEAAAALLTE5MjA4NDY5NTADAAAAAzE2MAIAAAAEMjE2NgQAAAABMAcAAAAIMy82LzIwMjYIAAAACTkvMzAvMjAyNAkAAAABMMJzRuXNe94I3s8YOc573gguQ0lRLk5ZU0U6SUJNLklRX0VCSVREQS4xOTk1LjA2LzAzLzIwMjYuLi5VU0QuSAEAAADetgEAAgAAAAUxMzA0NAEIAAAABQAAAAExAQAAAAstMTkyMDg0Njk1MAMAAAADMTYwAgAAAAQ0MDUxBAAAAAEwBwAAAAgzLzYvMjAyNggAAAAJOS8zMC8yMDI0CQAAAAEwwnNG5c173gjezxg5znveCExDSVEuTllTRTpJQk0uSVFfRElT</t>
  </si>
  <si>
    <t>VFJJQlVUQUJMRV9DQVNIX1BFUl9TSEFSRV9ESUxVVEVELjE5OTUuMDYvMDMvMjAyNi4uLlVTRC5IAQAAAN62AQADAAAAAADCc0blzXveCN7PGDnOe94IKkNJUS5OWVNFOklCTS5JUV9OSS4xOTk1LjA2LzAzLzIwMjYuLi5VU0QuSAEAAADetgEAAgAAAAQ2Mzk3AQgAAAAFAAAAATEBAAAACy0xOTIwODQ2OTUwAwAAAAMxNjACAAAAAjE1BAAAAAEwBwAAAAgzLzYvMjAyNggAAAAJOS8zMC8yMDI0CQAAAAEwwnNG5c173gjezxg5znveCDBDSVEuTllTRTpJQk0uSVFfREFfU1VQUEwuMTk5NS4wNi8wMy8yMDI2Li4uVVNELkgBAAAA3rYBAAMAAAAAAMJzRuXNe94I3s8YOc573gg4Q0lRLk5ZU0U6SUJNLklRX05FVF9JTlRFUkVTVF9FWFAuMTk5NS4wNi8wMy8yMDI2Li4uVVNELkgBAAAA3rYBAAIAAAAELTk1MwEIAAAABQAAAAExAQAAAAstMTkyMDg0Njk1MAMAAAADMTYwAgAAAAMzNjgEAAAAATAHAAAACDMvNi8yMDI2CAAAAAk5LzMwLzIwMjQJAAAAATDCc0blzXveCN7PGDnOe94ILENJUS5OWVNFOklCTS5JUV9JUFJELjE5OTUuMDYvMDMvMjAyNi4uLlVTRC5IAQAAAN62AQADAAAAAADCc0blzXveCN7PGDnOe94INkNJUS5OWVNFOklCTS5JUV9CQVNJQ19FUFNfRVhDTC4xOTk1LjA2LzAzLzIwMjYuLi5VU0QuSAEAAADetgEAAgAAAAg2LjkzNTc2NQEIAAAABQAAAAExAQAAAAstMTkyMDg0Njk1MAMAAAADMTYw</t>
  </si>
  <si>
    <t>AgAAAAQzMDY0BAAAAAEwBwAAAAgzLzYvMjAyNggAAAAJOS8zMC8yMDI0CQAAAAEwwnNG5c173gjezxg5znveCDhDSVEuTllTRTpJQk0uSVFfRUJJVERBUl9FWENMX1NCQy4xOTk1LjA2LzAzLzIwMjYuLi5VU0QuSAEAAADetgEAAwAAAAAAwnNG5c173gjezxg5znveCDlDSVEuTllTRTpJQk0uSVFfRkVFU19PVEhFUl9JTkNPTUUuMTk5NS4wNi8wMy8yMDI2Li4uVVNELkgBAAAA3rYBAAMAAAAAAMJzRuXNe94I9/YYOc573gg9Q0lRLk5ZU0U6SUJNLklRX1RPVEFMX1JFVl9BU19SRVBPUlRFRC4xOTk1LjA2LzAzLzIwMjYuLi5VU0QuSAEAAADetgEAAgAAAAU2MjU4MAEIAAAABQAAAAExAQAAAAstMTkyMDg0Njk1MAMAAAADMTYwAgAAAAMzMzkEAAAAATAHAAAACDMvNi8yMDI2CAAAAAk5LzMwLzIwMjQJAAAAATDCc0blzXveCPf2GDnOe94IPkNJUS5OWVNFOklCTS5JUV9ERUZFUlJFRF9GT1JFSUdOX1RBWEVTLjE5OTUuMDYvMDMvMjAyNi4uLlVTRC5IAQAAAN62AQACAAAAAzQyOAEIAAAABQAAAAExAQAAAAstMTkyMDg0Njk1MAMAAAADMTYwAgAAAAQzMDU1BAAAAAEwBwAAAAgzLzYvMjAyNggAAAAJOS8zMC8yMDI0CQAAAAEwwnNG5c173gjezxg5znveCElDSVEuTllTRTpJQk0uSVFfSU5URVJFU1RfRVhQX0xFQVNFX0xJQUJJTElUWV9ERUJULjE5OTUuMDYvMDMvMjAyNi4uLlVTRC5IAQAAAN62AQADAAAA</t>
  </si>
  <si>
    <t>AADCc0blzXveCN7PGDnOe94IOUNJUS5OWVNFOklCTS5JUV9DT05USU5HRU5UX1JFTlRBTC4xOTk1LjA2LzAzLzIwMjYuLi5VU0QuSAEAAADetgEAAwAAAAAAwnNG5c173gjezxg5znveCDpDSVEuTllTRTpJQk0uSVFfSU5WRVNUX1NFQ1VSSVRZX0NGLjE5OTUuMDYvMDMvMjAyNi4uLlVTRC5IAQAAAN62AQACAAAABDI0MjYBCAAAAAUAAAABMQEAAAALLTE5MjA4NDY5NTADAAAAAzE2MAIAAAAEMjAyNwQAAAABMAcAAAAIMy82LzIwMjYIAAAACTkvMzAvMjAyNAkAAAABMMJzRuXNe94I9/YYOc573ghLQ0lRLk5ZU0U6SUJNLklRX09QRVJBVElOR19MRUFTRV9MSUFCSUxJVElFU19OT05DQVNILjE5OTUuMDYvMDMvMjAyNi4uLlVTRC5IAQAAAN62AQADAAAAAADCc0blzXveCPf2GDnOe94IKkNJUS5OWVNFOklCTS5JUV9HUC4xOTk1LjA2LzAzLzIwMjYuLi5VU0QuSAEAAADetgEAAgAAAAUzNTM3OQEIAAAABQAAAAExAQAAAAstMTkyMDg0Njk1MAMAAAADMTYwAgAAAAIxMAQAAAABMAcAAAAIMy82LzIwMjYIAAAACTkvMzAvMjAyNAkAAAABMMJzRuXNe94I9/YYOc573ggyQ0lRLk5ZU0U6SUJNLklRX0lNUEFJUl9PSUwuMTk5NS4wNi8wMy8yMDI2Li4uVVNELkgBAAAA3rYBAAMAAAAAAMJzRuXNe94I9/YYOc573gg3Q0lRLk5ZU0U6SUJNLklRX0VYVFJBX0FDQ19JVEVNUy4xOTk1LjA2LzAzLzIwMjYuLi5VU0Qu</t>
  </si>
  <si>
    <t>SAEAAADetgEAAwAAAAAAwnNG5c173gj9HRk5znveCC9DSVEuTllTRTpJQk0uSVFfTklfU0ZBUy4xOTk1LjA2LzAzLzIwMjYuLi5VU0QuSAEAAADetgEAAwAAAAAAwnNG5c173gj39hg5znveCDJDSVEuTllTRTpJQk0uSVFfQ1VSUl9UQVhFUy4xOTk1LjA2LzAzLzIwMjYuLi5VU0QuSAEAAADetgEAAgAAAAQyMjgxAQgAAAAFAAAAATEBAAAACy0xOTIwODQ2OTUwAwAAAAMxNjACAAAABTM1MzgzBAAAAAEwBwAAAAgzLzYvMjAyNggAAAAJOS8zMC8yMDI0CQAAAAEwwnNG5c173gj39hg5znveCCxDSVEuTllTRTpJQk0uSVFfUEFZT1VUX1JBVElPLjE5OTUuMDYvMDMvMjAyNgEAAADetgEAAgAAAAc5NS42NTQyAQgAAAAFAAAAATEBAAAACy0xOTIwODQ2OTUwAwAAAAMxNjACAAAABDQzNzcEAAAAATAHAAAACDMvNi8yMDI2CAAAAAk5LzMwLzIwMjQJAAAAATDCc0blzXveCPf2GDnOe94IPUNJUS5OWVNFOklCTS5JUV9JTVBVVF9PUEVSX0xFQVNFX0RFUFIuMTk5NS4wNi8wMy8yMDI2Li4uVVNELkgBAAAA3rYBAAMAAAAAAMJzRuXNe94I9/YYOc573gg1Q0lRLk5ZU0U6SUJNLklRX0lOQ19FUVVJVFlfQ0YuMTk5NS4wNi8wMy8yMDI2Li4uVVNELkgBAAAA3rYBAAMAAAAAAMJzRuXNe94I/R0ZOc573ggzQ0lRLk5ZU0U6SUJNLklRX0dBSU5fSU5WRVNULjE5OTUuMDYvMDMvMjAyNi4uLlVTRC5IAQAAAN62AQACAAAA</t>
  </si>
  <si>
    <t>AjU2AQgAAAAFAAAAATEBAAAACy0xOTIwODQ2OTUwAwAAAAMxNjACAAAAAjYyBAAAAAEwBwAAAAgzLzYvMjAyNggAAAAJOS8zMC8yMDI0CQAAAAEwwnNG5c173gj9HRk5znveCDZDSVEuTllTRTpJQk0uSVFfRElMVVRfRVBTX0lOQ0wuMTk5NS4wNi8wMy8yMDI2Li4uVVNELkgBAAAA3rYBAAIAAAAINi44NTgzMTYBCAAAAAUAAAABMQEAAAALLTE5MjA4NDY5NTADAAAAAzE2MAIAAAABOAQAAAABMAcAAAAIMy82LzIwMjYIAAAACTkvMzAvMjAyNAkAAAABMMJzRuXNe94I/R0ZOc573gguQ0lRLk5ZU0U6SUJNLklRX1JFU1RBVEVNRU5UX0lTLjE5OTUuMDYvMDMvMjAyNgEAAADetgEAAwAAAAJSQwDCc0blzXveCP0dGTnOe94IPkNJUS5OWVNFOklCTS5JUV9EQV9DRl9FWENMX09QRVJfTEVBU0VTLjE5OTUuMDYvMDMvMjAyNi4uLlVTRC5IAQAAAN62AQACAAAABDMwNjYBCAAAAAUAAAABMQEAAAALLTE5MjA4NDY5NTADAAAAAzE2MAIAAAAFNDg5ODUEAAAAATAHAAAACDMvNi8yMDI2CAAAAAk5LzMwLzIwMjQJAAAAATDCc0blzXveCP0dGTnOe94IRUNJUS5OWVNFOklCTS5JUV9UT1RBTF9ERUJUX1JFUEFJRF9FWENMX0xFQVNFUy4xOTk1LjA2LzAzLzIwMjYuLi5VU0QuSAEAAADetgEAAgAAAAUtNjYwNwEIAAAABQAAAAExAQAAAAstMTkyMDg0Njk1MAMAAAADMTYwAgAAAAU0ODk4NgQAAAABMAcAAAAIMy82LzIw</t>
  </si>
  <si>
    <t>MjYIAAAACTkvMzAvMjAyNAkAAAABMMJzRuXNe94I/R0ZOc573ggzQ0lRLk5ZU0U6SUJNLklRX0lOVF9JTlZfSU5DLjE5OTUuMDYvMDMvMjAyNi4uLlVTRC5IAQAAAN62AQADAAAAAADCc0blzXveCP0dGTnOe94ILENJUS5OWVNFOklCTS5JUV9DT0dTLjE5OTUuMDYvMDMvMjAyNi4uLlVTRC5IAQAAAN62AQACAAAABTI2ODM1AQgAAAAFAAAAATEBAAAACy0xOTIwODQ2OTUwAwAAAAMxNjACAAAAAjM0BAAAAAEwBwAAAAgzLzYvMjAyNggAAAAJOS8zMC8yMDI0CQAAAAEwwnNG5c173gj9HRk5znveCDVDSVEuTllTRTpJQk0uSVFfQ1VSUkVOQ1lfR0FJTi4xOTk1LjA2LzAzLzIwMjYuLi5VU0QuSAEAAADetgEAAgAAAAQtMTY5AQgAAAAFAAAAATEBAAAACy0xOTIwODQ2OTUwAwAAAAMxNjACAAAAAjM4BAAAAAEwBwAAAAgzLzYvMjAyNggAAAAJOS8zMC8yMDI0CQAAAAEwwnNG5c173gj9HRk5znveCDZDSVEuTllTRTpJQk0uSVFfU1RPQ0tfQkFTRURfUkQuMTk5NS4wNi8wMy8yMDI2Li4uVVNELkgBAAAA3rYBAAIAAAADMzgxAQgAAAAFAAAAATEBAAAACy0xOTIwODQ2OTUwAwAAAAMxNjACAAAABTIyNjc4BAAAAAEwBwAAAAgzLzYvMjAyNggAAAAJOS8zMC8yMDI0CQAAAAEwwnNG5c173ggXRRk5znveCC1DSVEuTllTRTpJQk0uSVFfTklfQ0YuMTk5NS4wNi8wMy8yMDI2Li4uVVNELkgBAAAA3rYBAAIAAAAENjM5</t>
  </si>
  <si>
    <t>NwEIAAAABQAAAAExAQAAAAstMTkyMDg0Njk1MAMAAAADMTYwAgAAAAQyMTUwBAAAAAEwBwAAAAgzLzYvMjAyNggAAAAJOS8zMC8yMDI0CQAAAAEwwnNG5c173ggXRRk5znveCDZDSVEuTllTRTpJQk0uSVFfT1RIRVJfT1BFUl9BQ1QuMTk5NS4wNi8wMy8yMDI2Li4uVVNELkgBAAAA3rYBAAIAAAAEMTYxMQEIAAAABQAAAAExAQAAAAstMTkyMDg0Njk1MAMAAAADMTYwAgAAAAQyMDQ3BAAAAAEwBwAAAAgzLzYvMjAyNggAAAAJOS8zMC8yMDI0CQAAAAEwwnNG5c173ggXRRk5znveCD9DSVEuTllTRTpJQk0uSVFfT1RIRVJfRklOQU5DRV9BQ1RfU1VQUEwuMTk5NS4wNi8wMy8yMDI2Li4uVVNELkgBAAAA3rYBAAIAAAAELTQ0OAEIAAAABQAAAAExAQAAAAstMTkyMDg0Njk1MAMAAAADMTYwAgAAAAQyMDUwBAAAAAEwBwAAAAgzLzYvMjAyNggAAAAJOS8zMC8yMDI0CQAAAAEwwnNG5c173gj9HRk5znveCDxDSVEuTllTRTpJQk0uSVFfTkVHQVRJVkVfR1dfQU1PUlRfQ0YuMTk5NS4wNi8wMy8yMDI2Li4uVVNELkgBAAAA3rYBAAMAAAAAAMJzRuXNe94I/R0ZOc573gg4Q0lRLk5ZU0U6SUJNLklRX1RPVEFMX09USEVSX09QRVIuMTk5NS4wNi8wMy8yMDI2Li4uVVNELkgBAAAA3rYBAAIAAAAFMjU0MDEBCAAAAAUAAAABMQEAAAALLTE5MjA4NDY5NTADAAAAAzE2MAIAAAADMzgwBAAAAAEwBwAAAAgzLzYvMjAyNggA</t>
  </si>
  <si>
    <t>AAAJOS8zMC8yMDI0CQAAAAEwwnNG5c173ggXRRk5znveCDdDSVEuTllTRTpJQk0uSVFfQVNTRVRfV1JJVEVET1dOLjE5OTUuMDYvMDMvMjAyNi4uLlVTRC5IAQAAAN62AQADAAAAAADCc0blzXveCBdFGTnOe94IPENJUS5OWVNFOklCTS5JUV9NSU5PUklUWV9JTlRFUkVTVF9JUy4xOTk1LjA2LzAzLzIwMjYuLi5VU0QuSAEAAADetgEAAwAAAAAAwnNG5c173ggXRRk5znveCCxDSVEuTllTRTpJQk0uSVFfRElMVVRfV0VJR0hULjE5OTUuMDYvMDMvMjAyNgEAAADetgEAAgAAAAo5MzMuMzk4ODI4AMJzRuXNe94IF0UZOc573ggwQ0lRLk5ZU0U6SUJNLklRX0RSX1JBVElPX1BSSU1BUlkuMTk5NS4wNi8wMy8yMDI2AQAAAN62AQACAAAAATEAwnNG5c173ggXRRk5znveCDxDSVEuTllTRTpJQk0uSVFfQ0FQSVRBTElaRURfSU5URVJFU1QuMTk5NS4wNi8wMy8yMDI2Li4uVVNELkgBAAAA3rYBAAMAAAAAAMJzRuXNe94ISmwZOc573ghHQ0lRLk5ZU0U6SUJNLklRX0RJU1RSSUJVVEFCTEVfQ0FTSF9TVEFOREFSRElaRUQuMTk5NS4wNi8wMy8yMDI2Li4uVVNELkgBAAAA3rYBAAMAAAAAAMJzRuXNe94IF0UZOc573ggzQ0lRLk5ZU0U6SUJNLklRX0FEVkVSVElTSU5HLjE5OTUuMDYvMDMvMjAyNi4uLlVTRC5IAQAAAN62AQADAAAAAADCc0blzXveCBdFGTnOe94IQUNJUS5OWVNFOklCTS5JUV9TVE9DS19PUFRJT05T</t>
  </si>
  <si>
    <t>X0NPTVBfUFJFVEFYLjE5OTUuMDYvMDMvMjAyNi4uLlVTRC5IAQAAAN62AQADAAAAAADCc0blzXveCBdFGTnOe94IL0NJUS5OWVNFOklCTS5JUV9OSV9OT1JNLjE5OTUuMDYvMDMvMjAyNi4uLlVTRC5IAQAAAN62AQACAAAACDU2OTguMTI1AQgAAAAFAAAAATEBAAAACy0xOTIwODQ2OTUwAwAAAAMxNjACAAAABDQzNzgEAAAAATAHAAAACDMvNi8yMDI2CAAAAAk5LzMwLzIwMjQJAAAAATDCc0blzXveCEpsGTnOe94IMUNJUS5OWVNFOklCTS5JUV9EQV9FQklUREEuMTk5NS4wNi8wMy8yMDI2Li4uVVNELkgBAAAA3rYBAAIAAAAEMzA2NgEIAAAABQAAAAExAQAAAAstMTkyMDg0Njk1MAMAAAADMTYwAgAAAAQyMjA2BAAAAAEwBwAAAAgzLzYvMjAyNggAAAAJOS8zMC8yMDI0CQAAAAEwwnNG5c173ghKbBk5znveCCtDSVEuTllTRTpJQk0uSVFfRElDLjE5OTUuMDYvMDMvMjAyNi4uLlVTRC5IAQAAAN62AQADAAAAAADCc0blzXveCEpsGTnOe94INENJUS5OWVNFOklCTS5JUV9BTU9SVF9ESUNfQ0YuMTk5NS4wNi8wMy8yMDI2Li4uVVNELkgBAAAA3rYBAAMAAAAAAMJzRuXNe94ISmwZOc573ggsQ0lRLk5ZU0U6SUJNLklRX0NBTENfVFlQRV9DRi4xOTk1LjA2LzAzLzIwMjYBAAAA3rYBAAMAAAADTFRNAMJzRuXNe94ISmwZOc573ggzQ0lRLk5ZU0U6SUJNLklRX0ZJTl9ESVZfUkVWLjE5OTUuMDYvMDMvMjAyNi4u</t>
  </si>
  <si>
    <t>LlVTRC5IAQAAAN62AQACAAAAAzcxMwEIAAAABQAAAAExAQAAAAstMTkyMDg0Njk1MAMAAAADMTYwAgAAAAI1MgQAAAABMAcAAAAIMy82LzIwMjYIAAAACTkvMzAvMjAyNAkAAAABMMJzRuXNe94ISmwZOc573gg1Q0lRLk5ZU0U6SUJNLklRX0VYUExPUkVfRFJJTEwuMTk5NS4wNi8wMy8yMDI2Li4uVVNELkgBAAAA3rYBAAMAAAAAAMJzRuXNe94ISmwZOc573gg2Q0lRLk5ZU0U6SUJNLklRX0dXX0lOVEFOX0FNT1JULjE5OTUuMDYvMDMvMjAyNi4uLlVTRC5IAQAAAN62AQADAAAAAADCc0blzXveCEpsGTnOe94IMENJUS5OWVNFOklCTS5JUV9FQlRfRVhDTC4xOTk1LjA2LzAzLzIwMjYuLi5VU0QuSAEAAADetgEAAgAAAAQ5MTE3AQgAAAAFAAAAATEBAAAACy0xOTIwODQ2OTUwAwAAAAMxNjACAAAAATQEAAAAATAHAAAACDMvNi8yMDI2CAAAAAk5LzMwLzIwMjQJAAAAATDCc0blzXveCEpsGTnOe94IKkNJUS5OWVNFOklCTS5JUV9ETy4xOTk1LjA2LzAzLzIwMjYuLi5VU0QuSAEAAADetgEAAgAAAAIyNAEIAAAABQAAAAExAQAAAAstMTkyMDg0Njk1MAMAAAADMTYwAgAAAAI0MAQAAAABMAcAAAAIMy82LzIwMjYIAAAACTkvMzAvMjAyNAkAAAABMMJzRuXNe94ISmwZOc573ggvQ0lRLk5ZU0U6SUJNLklRX1BFUklPRExFTkdUSF9JUy4xOTk1LjA2LzAzLzIwMjYBAAAA3rYBAAEAAAACMTIAwnNG5c173ghKbBk5</t>
  </si>
  <si>
    <t>znveCDVDSVEuTllTRTpJQk0uSVFfRUJJVF9FWENMX1NCQy4xOTk1LjA2LzAzLzIwMjYuLi5VU0QuSAEAAADetgEAAgAAAAUxMTIzNQEIAAAABQAAAAExAQAAAAstMTkyMDg0Njk1MAMAAAADMTYwAgAAAAUyNDEzNAQAAAABMAcAAAAIMy82LzIwMjYIAAAACTkvMzAvMjAyNAkAAAABMMJzRuXNe94ISmwZOc573gg5Q0lRLk5ZU0U6SUJNLklRX05FR0FUSVZFX0dXX0FNT1JULjE5OTUuMDYvMDMvMjAyNi4uLlVTRC5IAQAAAN62AQADAAAAAADCc0blzXveCEpsGTnOe94INkNJUS5OWVNFOklCTS5JUV9TVE9DS19CQVNFRF9DRi4xOTk1LjA2LzAzLzIwMjYuLi5VU0QuSAEAAADetgEAAgAAAAQxMjU2AQgAAAAFAAAAATEBAAAACy0xOTIwODQ2OTUwAwAAAAMxNjACAAAABDIxMjcEAAAAATAHAAAACDMvNi8yMDI2CAAAAAk5LzMwLzIwMjQJAAAAATDCc0blzXveCEpsGTnOe94IPUNJUS5OWVNFOklCTS5JUV9DSEFOR0VfVFJBRElOR19BU1NFVFMuMTk5NS4wNi8wMy8yMDI2Li4uVVNELkgBAAAA3rYBAAMAAAAAAMJzRuXNe94ISmwZOc573ggyQ0lRLk5ZU0U6SUJNLklRX0lOU19TRVRUTEUuMTk5NS4wNi8wMy8yMDI2Li4uVVNELkgBAAAA3rYBAAMAAAAAAMJzRuXNe94ID6cZOc573gg1Q0lRLk5ZU0U6SUJNLklRX0VCSVREQV9FUV9JTkMuMTk5NS4wNi8wMy8yMDI2Li4uVVNELkgBAAAA3rYBAAIAAAAIMTQzNjku</t>
  </si>
  <si>
    <t>NzUBCAAAAAUAAAABMQEAAAALLTE5MjA4NDY5NTADAAAAAzE2MAIAAAAFMjE2NzcEAAAAATAHAAAACDMvNi8yMDI2CAAAAAk5LzMwLzIwMjQJAAAAATDCc0blzXveCEpsGTnOe94INENJUS5OWVNFOklCTS5JUV9FQklUQV9FUV9JTkMuMTk5NS4wNi8wMy8yMDI2Li4uVVNELkgBAAAA3rYBAAIAAAAFMTE3NTkBCAAAAAUAAAABMQEAAAALLTE5MjA4NDY5NTADAAAAAzE2MAIAAAAFMjE2NzYEAAAAATAHAAAACDMvNi8yMDI2CAAAAAk5LzMwLzIwMjQJAAAAATDCc0blzXveCEpsGTnOe94INkNJUS5OWVNFOklCTS5JUV9FQklUREFSX0VRX0lOQy4xOTk1LjA2LzAzLzIwMjYuLi5VU0QuSAEAAADetgEAAwAAAAAAwnNG5c173ghKbBk5znveCDpDSVEuTllTRTpJQk0uSVFfQVNfUkVQT1JURURfRUJJVERBLjE5OTUuMDYvMDMvMjAyNi4uLlVTRC5IAQAAAN62AQADAAAAAADCc0blzXveCEpsGTnOe94ILENJUS5OWVNFOklCTS5JUV9DQUxDX1RZUEVfSVMuMTk5NS4wNi8wMy8yMDI2AQAAAN62AQADAAAAA0xUTQDCc0blzXveCA+nGTnOe94INENJUS5OWVNFOklCTS5JUV9NQUlOVF9SRVBBSVIuMTk5NS4wNi8wMy8yMDI2Li4uVVNELkgBAAAA3rYBAAMAAAAAAMJzRuXNe94ID6cZOc573ggtQ0lRLk5ZU0U6SUJNLklRX0RBX0NGLjE5OTUuMDYvMDMvMjAyNi4uLlVTRC5IAQAAAN62AQACAAAABDM5NjYBCAAAAAUAAAAB</t>
  </si>
  <si>
    <t>MQEAAAALLTE5MjA4NDY5NTADAAAAAzE2MAIAAAAEMjE2MAQAAAABMAcAAAAIMy82LzIwMjYIAAAACTkvMzAvMjAyNAkAAAABMMJzRuXNe94ID6cZOc573gg+Q0lRLk5ZU0U6SUJNLklRX09USEVSX0lOVkVTVF9BQ1RfU1VQUEwuMTk5NS4wNi8wMy8yMDI2Li4uVVNELkgBAAAA3rYBAAIAAAABMQEIAAAABQAAAAExAQAAAAstMTkyMDg0Njk1MAMAAAADMTYwAgAAAAQyMDUxBAAAAAEwBwAAAAgzLzYvMjAyNggAAAAJOS8zMC8yMDI0CQAAAAEwwnNG5c173ggPpxk5znveCDFDSVEuTllTRTpJQk0uSVFfVE9UQUxfUkVWLjE5OTUuMDYvMDMvMjAyNi4uLlVTRC5IAQAAAN62AQACAAAABTYyNTgwAQgAAAAFAAAAATEBAAAACy0xOTIwODQ2OTUwAwAAAAMxNjACAAAAAjI4BAAAAAEwBwAAAAgzLzYvMjAyNggAAAAJOS8zMC8yMDI0CQAAAAEwwnNG5c173ggPpxk5znveCC5DSVEuTllTRTpJQk0uSVFfTUVSR0VSLjE5OTUuMDYvMDMvMjAyNi4uLlVTRC5IAQAAAN62AQACAAAABC0xMDYBCAAAAAUAAAABMQEAAAALLTE5MjA4NDY5NTADAAAAAzE2MAIAAAACODAEAAAAATAHAAAACDMvNi8yMDI2CAAAAAk5LzMwLzIwMjQJAAAAATDCc0blzXveCA+nGTnOe94ILENJUS5OWVNFOklCTS5JUV9CQVNJQ19XRUlHSFQuMTk5NS4wNi8wMy8yMDI2AQAAAN62AQACAAAACjkxOC44NjAzMTkAwnNG5c173ggPpxk5znveCDZDSVEu</t>
  </si>
  <si>
    <t>TllTRTpJQk0uSVFfRUJJVEFfRVhDTF9TQkMuMTk5NS4wNi8wMy8yMDI2Li4uVVNELkgBAAAA3rYBAAIAAAAFMTMwMTYBCAAAAAUAAAABMQEAAAALLTE5MjA4NDY5NTADAAAAAzE2MAIAAAAFMjQxMzYEAAAAATAHAAAACDMvNi8yMDI2CAAAAAk5LzMwLzIwMjQJAAAAATDCc0blzXveCA+nGTnOe94IQUNJUS5OWVNFOklCTS5JUV9FQVJOSU5HX1BBUkVOVF9FWENMX0VYVFJBLjE5OTUuMDYvMDMvMjAyNi4uLlVTRC5IAQAAAN62AQACAAAABDYzNzMBCAAAAAUAAAABMQEAAAALLTE5MjA4NDY5NTADAAAAAzE2MAIAAAAFNDE1OTYEAAAAATAHAAAACDMvNi8yMDI2CAAAAAk5LzMwLzIwMjQJAAAAATDCc0blzXveCA+nGTnOe94IP0NJUS5OWVNFOklCTS5JUV9FWENJU0VfVEFYRVNfRVhDTF9TQUxFUy4xOTk1LjA2LzAzLzIwMjYuLi5VU0QuSAEAAADetgEAAwAAAAAAwnNG5c173ggPpxk5znveCD9DSVEuTllTRTpJQk0uSVFfUkVTVFJfU1RPQ0tfQ09NUF9QUkVUQVguMTk5NS4wNi8wMy8yMDI2Li4uVVNELkgBAAAA3rYBAAMAAAAAAMJzRuXNe94Ics4ZOc573ggrQ0lRLk5ZU0U6SUJNLklRX1JFVi4xOTk1LjA2LzAzLzIwMjYuLi5VU0QuSAEAAADetgEAAgAAAAU2MTg2NwEIAAAABQAAAAExAQAAAAstMTkyMDg0Njk1MAMAAAADMTYwAgAAAAMxMTIEAAAAATAHAAAACDMvNi8yMDI2CAAAAAk5LzMwLzIwMjQJAAAA</t>
  </si>
  <si>
    <t>ATDCc0blzXveCHLOGTnOe94IM0NJUS5OWVNFOklCTS5JUV9TVE9DS19CQVNFRC4xOTk1LjA2LzAzLzIwMjYuLi5VU0QuSAEAAADetgEAAwAAAAAAwnNG5c173ghyzhk5znveCDtDSVEuTllTRTpJQk0uSVFfQ1VSUl9ET01FU1RJQ19UQVhFUy4xOTk1LjA2LzAzLzIwMjYuLi5VU0QuSAEAAADetgEAAgAAAAM2ODcBCAAAAAUAAAABMQEAAAALLTE5MjA4NDY5NTADAAAAAzE2MAIAAAAEMzAyNwQAAAABMAcAAAAIMy82LzIwMjYIAAAACTkvMzAvMjAyNAkAAAABMMJzRuXNe94Ics4ZOc573gg8Q0lRLk5ZU0U6SUJNLklRX1NUT0NLX0JBU0VEX0NPTVBfVEFYLjE5OTUuMDYvMDMvMjAyNi4uLlVTRC5IAQAAAN62AQACAAAABC00MjcAwnNG5c173ghyzhk5znveCDJDSVEuTllTRTpJQk0uSVFfT1RIRVJfT1BFUi4xOTk1LjA2LzAzLzIwMjYuLi5VU0QuSAEAAADetgEAAgAAAAQtOTM4AQgAAAAFAAAAATEBAAAACy0xOTIwODQ2OTUwAwAAAAMxNjACAAAAAzI2MAQAAAABMAcAAAAIMy82LzIwMjYIAAAACTkvMzAvMjAyNAkAAAABMMJzRuXNe94Ics4ZOc573ggyQ0lRLk5ZU0U6SUJNLklRX05JX0NPTVBBTlkuMTk5NS4wNi8wMy8yMDI2Li4uVVNELkgBAAAA3rYBAAIAAAAENjM5NwEIAAAABQAAAAExAQAAAAstMTkyMDg0Njk1MAMAAAADMTYwAgAAAAU0MTU3MQQAAAABMAcAAAAIMy82LzIwMjYIAAAACTkvMzAvMjAy</t>
  </si>
  <si>
    <t>NAkAAAABMMJzRuXNe94Ics4ZOc573ghAQ0lRLk5ZU0U6SUJNLklRX09USEVSX05PTl9PUEVSX0VYUF9TVVBQTC4xOTk1LjA2LzAzLzIwMjYuLi5VU0QuSAEAAADetgEAAgAAAAMyNjEBCAAAAAUAAAABMQEAAAALLTE5MjA4NDY5NTADAAAAAzE2MAIAAAACODUEAAAAATAHAAAACDMvNi8yMDI2CAAAAAk5LzMwLzIwMjQJAAAAATDCc0blzXveCHLOGTnOe94IO0NJUS5OWVNFOklCTS5JUV9PVEhFUl9VTlVTVUFMX1NVUFBMLjE5OTUuMDYvMDMvMjAyNi4uLlVTRC5IAQAAAN62AQACAAAABS0yNzI1AQgAAAAFAAAAATEBAAAACy0xOTIwODQ2OTUwAwAAAAMxNjACAAAAAjg3BAAAAAEwBwAAAAgzLzYvMjAyNggAAAAJOS8zMC8yMDI0CQAAAAEwwnNG5c173ghyzhk5znveCDZDSVEuTllTRTpJQk0uSVFfRElMVVRfRVBTX0VYQ0wuMTk5NS4wNi8wMy8yMDI2Li4uVVNELkgBAAAA3rYBAAIAAAAINi44MzI2MDQBCAAAAAUAAAABMQEAAAALLTE5MjA4NDY5NTADAAAAAzE2MAIAAAADMTQyBAAAAAEwBwAAAAgzLzYvMjAyNggAAAAJOS8zMC8yMDI0CQAAAAEwwnNG5c173gic9Rk5znveCDBDSVEuTllTRTpJQk0uSVFfRVBTX05PUk0uMTk5NS4wNi8wMy8yMDI2Li4uVVNELkgBAAAA3rYBAAIAAAAINi4yMDEyOTYBCAAAAAUAAAABMQEAAAALLTE5MjA4NDY5NTADAAAAAzE2MAIAAAAENDM3OQQAAAABMAcAAAAIMy82LzIw</t>
  </si>
  <si>
    <t>MjYIAAAACTkvMzAvMjAyNAkAAAABMMJzRuXNe94InPUZOc573gg8Q0lRLk5ZU0U6SUJNLklRX05FR0FUSVZFX0dXX0FNT1JUX0FULjE5OTUuMDYvMDMvMjAyNi4uLlVTRC5IAQAAAN62AQADAAAAAADCc0blzXveCJz1GTnOe94IQUNJUS5OWVNFOklCTS5JUV9TVE9DS19CQVNFRF9FWFBMT1JFX0RSSUxMLjE5OTUuMDYvMDMvMjAyNi4uLlVTRC5IAQAAAN62AQADAAAAAADCc0blzXveCHLOGTnOe94IM0NJUS5OWVNFOklCTS5JUV9PVEhFUl9BTU9SVC4xOTk1LjA2LzAzLzIwMjYuLi5VU0QuSAEAAADetgEAAgAAAAM3NDABCAAAAAUAAAABMQEAAAALLTE5MjA4NDY5NTADAAAAAzE2MAIAAAAEMjAxNAQAAAABMAcAAAAIMy82LzIwMjYIAAAACTkvMzAvMjAyNAkAAAABMMJzRuXNe94Ics4ZOc573gg2Q0lRLk5ZU0U6SUJNLklRX1NUX05PVEVfUkVDRUlWLjE5OTUuMDYvMDMvMjAyNi4uLlVTRC5IAQAAAN62AQADAAAAAADCc0blzXveCJz1GTnOe94IM0NJUS5OWVNFOklCTS5JUV9GSU5fRElWX0VYUC4xOTk1LjA2LzAzLzIwMjYuLi5VU0QuSAEAAADetgEAAgAAAAMzNjYBCAAAAAUAAAABMQEAAAALLTE5MjA4NDY5NTADAAAAAzE2MAIAAAACNTEEAAAAATAHAAAACDMvNi8yMDI2CAAAAAk5LzMwLzIwMjQJAAAAATDCc0blzXveCJz1GTnOe94IMENJUS5OWVNFOklCTS5JUV9PUEVSX0lOQy4xOTk1LjA2LzAzLzIw</t>
  </si>
  <si>
    <t>MjYuLi5VU0QuSAEAAADetgEAAgAAAAQ5OTc4AQgAAAAFAAAAATEBAAAACy0xOTIwODQ2OTUwAwAAAAMxNjACAAAAAjIxBAAAAAEwBwAAAAgzLzYvMjAyNggAAAAJOS8zMC8yMDI0CQAAAAEwwnNG5c173gic9Rk5znveCC9DSVEuTllTRTpJQk0uSVFfRUZGRUNUX1RBWF9SQVRFLjE5OTUuMDYvMDMvMjAyNgEAAADetgEAAwAAAAJOTQEIAAAABQAAAAExAQAAAAstMTkyMDg0Njk1MAMAAAADMTYwAgAAAAQ0Mzc2BAAAAAEwBwAAAAgzLzYvMjAyNggAAAAJOS8zMC8yMDI0CQAAAAEwwnNG5c173gic9Rk5znveCDpDSVEuTllTRTpJQk0uSVFfUkVTVFJVQ1RVUkVfU1VQUExFLjE5OTUuMDYvMDMvMjAyNi4uLlVTRC5IAQAAAN62AQADAAAAAADCc0blzXveCJz1GTnOe94IN0NJUS5OWVNFOklCTS5JUV9HQUlOX0FTU0VUU19SRVYuMTk5NS4wNi8wMy8yMDI2Li4uVVNELkgBAAAA3rYBAAMAAAAAAMJzRuXNe94InPUZOc573gg3Q0lRLk5ZU0U6SUJNLklRX0lOVEVSRVNUX0lOQ09NRS4xOTk1LjA2LzAzLzIwMjYuLi5VU0QuSAEAAADetgEAAgAAAAM3NDABCAAAAAUAAAABMQEAAAALLTE5MjA4NDY5NTADAAAAAzE2MAIAAAADMjEwBAAAAAEwBwAAAAgzLzYvMjAyNggAAAAJOS8zMC8yMDI0CQAAAAEwwnNG5c173gic9Rk5znveCDBDSVEuTllTRTpJQk0uSVFfRVBTXzVZUl9BTk5fQ0FHUi4xOTk0LjA2LzAzLzIwMjYB</t>
  </si>
  <si>
    <t>AAAA3rYBAAIAAAAHLTEuNDU4NgEIAAAABQAAAAExAQAAAAstMTkyMDg0NjgzMgMAAAADMTYwAgAAAAQ0MjM5BAAAAAEwBwAAAAgzLzYvMjAyNggAAAAJNi8zMC8yMDI0CQAAAAEwwnNG5c173gjuHBo5znveCDNDSVEuTllTRTpJQk0uSVFfRUJJVERBXzVZUl9BTk5fQ0FHUi4xOTk0LjA2LzAzLzIwMjYBAAAA3rYBAAIAAAAHLTUuODQxMwEIAAAABQAAAAExAQAAAAstMTkyMDg0NjgzMgMAAAADMTYwAgAAAAQ0MjM1BAAAAAEwBwAAAAgzLzYvMjAyNggAAAAJNi8zMC8yMDI0CQAAAAEwwnNG5c173gjuHBo5znveCDFDSVEuTllTRTpJQk0uSVFfR1BfMVlSX0FOTl9HUk9XVEguMTk5NC4wNi8wMy8yMDI2AQAAAN62AQACAAAABjUuNzc1MgEIAAAABQAAAAExAQAAAAstMTkyMDg0NjgzMgMAAAADMTYwAgAAAAQ0MTk1BAAAAAEwBwAAAAgzLzYvMjAyNggAAAAJNi8zMC8yMDI0CQAAAAEwwnNG5c173gg+VRo5znveCDBDSVEuTllTRTpJQk0uSVFfRUJJVERBX0NBUEVYX0lOVC4xOTk0LjA2LzAzLzIwMjYBAAAA3rYBAAIAAAAINy43NjI4MjgBCAAAAAUAAAABMQEAAAALLTE5MjA4NDY4MzIDAAAAAzE2MAIAAAAENDE5MQQAAAABMAcAAAAIMy82LzIwMjYIAAAACTYvMzAvMjAyNAkAAAABMMJzRuXNe94IPlUaOc573ggwQ0lRLk5ZU0U6SUJNLklRX0NGT19DVVJSRU5UX0xJQUIuMTk5NC4wNi8wMy8yMDI2AQAAAN62</t>
  </si>
  <si>
    <t>AQACAAAACDAuNDYzODc2AQgAAAAFAAAAATEBAAAACy0xOTIwODQ2ODMyAwAAAAMxNjACAAAABDQxODUEAAAAATAHAAAACDMvNi8yMDI2CAAAAAk2LzMwLzIwMjQJAAAAATDCc0blzXveCO4cGjnOe94ILUNJUS5OWVNFOklCTS5JUV9SRVRVUk5fRVFVSVRZLjE5OTQuMDYvMDMvMjAyNgEAAADetgEAAgAAAAczNi4yNDQ0AQgAAAAFAAAAATEBAAAACy0xOTIwODQ2ODMyAwAAAAMxNjACAAAABDQxMjgEAAAAATAHAAAACDMvNi8yMDI2CAAAAAk2LzMwLzIwMjQJAAAAATDCc0blzXveCO4cGjnOe94IM0NJUS5OWVNFOklCTS5JUV9FQklUREFfM1lSX0FOTl9DQUdSLjE5OTQuMDYvMDMvMjAyNgEAAADetgEAAgAAAAYzLjcxMTUBCAAAAAUAAAABMQEAAAALLTE5MjA4NDY4MzIDAAAAAzE2MAIAAAAENDIyMgQAAAABMAcAAAAIMy82LzIwMjYIAAAACTYvMzAvMjAyNAkAAAABMMJzRuXNe94IIGkaOc573ghIQ0lRLk5ZU0U6SUJNLklRX1RPVEFMX0RFQlRfRUJJVERBX0VYQ0xfT1BFUl9MRUFTRVNfQ0FQRVguMTk5NC4wNi8wMy8yMDI2AQAAAN62AQACAAAACDUuMTE2MTkzAQgAAAAFAAAAATEBAAAACy0xOTIwODQ2ODMyAwAAAAMxNjACAAAABTQ5MTgzBAAAAAEwBwAAAAgzLzYvMjAyNggAAAAJNi8zMC8yMDI0CQAAAAEwwnNG5c173gg+VRo5znveCC5DSVEuTllTRTpJQk0uSVFfTFRfREVCVF9FUVVJVFkuMTk5NC4w</t>
  </si>
  <si>
    <t>Ni8wMy8yMDI2AQAAAN62AQACAAAABzIzMC4xNTgBCAAAAAUAAAABMQEAAAALLTE5MjA4NDY4MzIDAAAAAzE2MAIAAAAENDA4NQQAAAABMAcAAAAIMy82LzIwMjYIAAAACTYvMzAvMjAyNAkAAAABMMJzRuXNe94IPlUaOc573ggvQ0lRLk5ZU0U6SUJNLklRX0NBU0hfQ09OVkVSU0lPTi4xOTk0LjA2LzAzLzIwMjYBAAAA3rYBAAIAAAAINS4wNTI5OTYBCAAAAAUAAAABMQEAAAALLTE5MjA4NDY4MzIDAAAAAzE2MAIAAAAENDE4NAQAAAABMAcAAAAIMy82LzIwMjYIAAAACTYvMzAvMjAyNAkAAAABMMJzRuXNe94IPlUaOc573ggrQ0lRLk5ZU0U6SUJNLklRX0VCSVRfTUFSR0lOLjE5OTQuMDYvMDMvMjAyNgEAAADetgEAAgAAAAcxNi4wNDA3AQgAAAAFAAAAATEBAAAACy0xOTIwODQ2ODMyAwAAAAMxNjACAAAABDQwNTMEAAAAATAHAAAACDMvNi8yMDI2CAAAAAk2LzMwLzIwMjQJAAAAATDCc0blzXveCD5VGjnOe94IMUNJUS5OWVNFOklCTS5JUV9FQklUXzVZUl9BTk5fQ0FHUi4xOTk0LjA2LzAzLzIwMjYBAAAA3rYBAAIAAAAHLTMuOTE5NgEIAAAABQAAAAExAQAAAAstMTkyMDg0NjgzMgMAAAADMTYwAgAAAAQ0MjM2BAAAAAEwBwAAAAgzLzYvMjAyNggAAAAJNi8zMC8yMDI0CQAAAAEwwnNG5c173gggaRo5znveCDVDSVEuTllTRTpJQk0uSVFfRUJJVERBXzFZUl9BTk5fR1JPV1RILjE5OTQuMDYvMDMvMjAy</t>
  </si>
  <si>
    <t>NgEAAADetgEAAgAAAAY3LjU0OTQBCAAAAAUAAAABMQEAAAALLTE5MjA4NDY4MzIDAAAAAzE2MAIAAAAENDE5NgQAAAABMAcAAAAIMy82LzIwMjYIAAAACTYvMzAvMjAyNAkAAAABMMJzRuXNe94IIGkaOc573ggnQ0lRLk5ZU0U6SUJNLklRX1pfU0NPUkUuMTk5NC4wNi8wMy8yMDI2AQAAAN62AQACAAAACDMuMTQyNTEyAQgAAAAFAAAAATEBAAAACy0xOTIwODQ2ODMyAwAAAAMxNjACAAAABjEwMDEyMwQAAAABMAcAAAAIMy82LzIwMjYIAAAACTYvMzAvMjAyNAkAAAABMMJzRuXNe94IIGkaOc573ggqQ0lRLk5ZU0U6SUJNLklRX0VCSVREQV9JTlQuMTk5NC4wNi8wMy8yMDI2AQAAAN62AQACAAAACDguMzgzMzUzAQgAAAAFAAAAATEBAAAACy0xOTIwODQ2ODMyAwAAAAMxNjACAAAABDQxOTAEAAAAATAHAAAACDMvNi8yMDI2CAAAAAk2LzMwLzIwMjQJAAAAATDCc0blzXveCCBpGjnOe94ILUNJUS5OWVNFOklCTS5JUV9DVVJSRU5UX1JBVElPLjE5OTQuMDYvMDMvMjAyNgEAAADetgEAAgAAAAgxLjEyMzE0NAEIAAAABQAAAAExAQAAAAstMTkyMDg0NjgzMgMAAAADMTYwAgAAAAQ0MDMwBAAAAAEwBwAAAAgzLzYvMjAyNggAAAAJNi8zMC8yMDI0CQAAAAEwwnNG5c173gggaRo5znveCC1DSVEuTllTRTpJQk0uSVFfUkVUVVJOX0FTU0VUUy4xOTk0LjA2LzAzLzIwMjYBAAAA3rYBAAIAAAADNC43AQgAAAAFAAAA</t>
  </si>
  <si>
    <t>ATEBAAAACy0xOTIwODQ2ODMyAwAAAAMxNjACAAAABDQxNzgEAAAAATAHAAAACDMvNi8yMDI2CAAAAAk2LzMwLzIwMjQJAAAAATDCc0blzXveCGSQGjnOe94IQUNJUS5OWVNFOklCTS5JUV9MQVBTRV9TVEFUVVRFX0xJTUlUQVRJT05TLjE5OTQuMDYvMDMvMjAyNi4uLlVTRC5IAQAAAN62AQADAAAAAADCc0blzXveCGSQGjnOe94IQ0NJUS5OWVNFOklCTS5JUV9BRERfVEFYX1BPU0lUSU9OU19QUklPUl9ZUlMuMTk5NC4wNi8wMy8yMDI2Li4uVVNELkgBAAAA3rYBAAMAAAAAAMJzRuXNe94IIGkaOc573gg6Q0lRLk5ZU0U6SUJNLklRX1RBWF9CRU5FRklUX0NGXzVZUi4xOTk0LjA2LzAzLzIwMjYuLi5VU0QuSAEAAADetgEAAwAAAAAAwnNG5c173gggaRo5znveCDdDSVEuTllTRTpJQk0uSVFfQ0FQX0xPU1NfQ0ZfMVlSLjE5OTQuMDYvMDMvMjAyNi4uLlVTRC5IAQAAAN62AQADAAAAAADCc0blzXveCCBpGjnOe94IQENJUS5OWVNFOklCTS5JUV9DQVBJVEFMSVpFRF9JTlRFUkVTVF9FWFAuMTk5NC4wNi8wMy8yMDI2Li4uVVNELkgBAAAA3rYBAAMAAAAAAMJzRuXNe94IZJAaOc573ggkQ0lRLk5ZU0U6SUJNLklRX0RBUlQuMTk5NC4wNi8wMy8yMDI2AQAAAN62AQADAAAAAADCc0blzXveCGSQGjnOe94ITUNJUS5OWVNFOklCTS5JUV9NVVRVQUxfRlVORF9BUFBSRUNJQVRJT05fREVQUkVDSUFUSU9OLjE5OTQu</t>
  </si>
  <si>
    <t>MDYvMDMvMjAyNi4uLlVTRC5IAQAAAN62AQADAAAAAADCc0blzXveCGSQGjnOe94INENJUS5OWVNFOklCTS5JUV9BVU1fT1VURkxPV1MuMTk5NC4wNi8wMy8yMDI2Li4uVVNELkgBAAAA3rYBAAMAAAAAAMJzRuXNe94IZJAaOc573gg6Q0lRLk5ZU0U6SUJNLklRX0FVTV9ISUdIX05FVF9XT1JUSC4xOTk0LjA2LzAzLzIwMjYuLi5VU0QuSAEAAADetgEAAwAAAAAAwnNG5c173ghkkBo5znveCFVDSVEuTllTRTpJQk0uSVFfT1BFQl9ERUNSRUFTRV9FRkZFQ1RfU0VSVklDRV9JTlRfQ09TVF9GT1JFSUdOLjE5OTQuMDYvMDMvMjAyNi4uLlVTRC5IAQAAAN62AQADAAAAAADCc0blzXveCGSQGjnOe94IRENJUS5OWVNFOklCTS5JUV9PUEVCX05FVF9BU1NFVF9SRUNPR19GT1JFSUdOLjE5OTQuMDYvMDMvMjAyNi4uLlVTRC5IAQAAAN62AQADAAAAAADCc0blzXveCGSQGjnOe94IRENJUS5OWVNFOklCTS5JUV9PUEVCX0VTVF9CRU5FRklUXzRZUl9GT1JFSUdOLjE5OTQuMDYvMDMvMjAyNi4uLlVTRC5IAQAAAN62AQADAAAAAADCc0blzXveCGSQGjnOe94IRkNJUS5OWVNFOklCTS5JUV9PUEVCX0NJX09USEVSX01JU0NfQURKX0ZPUkVJR04uMTk5NC4wNi8wMy8yMDI2Li4uVVNELkgBAAAA3rYBAAMAAAAAAMJzRuXNe94IZJAaOc573gg+Q0lRLk5ZU0U6SUJNLklRX09QRUJfQkVORUZJVF9JTkZPX0RBVEVfRk9SRUlH</t>
  </si>
  <si>
    <t>Ti4xOTk0LjA2LzAzLzIwMjYBAAAA3rYBAAMAAAAAAMJzRuXNe94IfrcaOc573gg2Q0lRLk5ZU0U6SUJNLklRX1RPVEFMX1JFVl8zWVJfQU5OX0NBR1IuMTk5NC4wNi8wMy8yMDI2AQAAAN62AQACAAAABjkuOTcyMgEIAAAABQAAAAExAQAAAAstMTkyMDg0NjgzMgMAAAADMTYwAgAAAAQ0MjIwBAAAAAEwBwAAAAgzLzYvMjAyNggAAAAJNi8zMC8yMDI0CQAAAAEwwnNG5c173gh+txo5znveCC9DSVEuTllTRTpJQk0uSVFfR1BfNVlSX0FOTl9DQUdSLjE5OTQuMDYvMDMvMjAyNgEAAADetgEAAgAAAActMC44Njk5AQgAAAAFAAAAATEBAAAACy0xOTIwODQ2ODMyAwAAAAMxNjACAAAABDQyMzQEAAAAATAHAAAACDMvNi8yMDI2CAAAAAk2LzMwLzIwMjQJAAAAATDCc0blzXveCH63GjnOe94IOENJUS5OWVNFOklCTS5JUV9UT1RBTF9SRVZfMVlSX0FOTl9HUk9XVEguMTk5NC4wNi8wMy8yMDI2AQAAAN62AQACAAAABjMuMDQxNwEIAAAABQAAAAExAQAAAAstMTkyMDg0NjgzMgMAAAADMTYwAgAAAAQ0MTk0BAAAAAEwBwAAAAgzLzYvMjAyNggAAAAJNi8zMC8yMDI0CQAAAAEwwnNG5c173gh+txo5znveCDtDSVEuTllTRTpJQk0uSVFfRUJJVERBX0VYQ0xfT1BFUl9MRUFTRVNfSU5ULjE5OTQuMDYvMDMvMjAyNgEAAADetgEAAgAAAAg3LjU5OTA0NQEIAAAABQAAAAExAQAAAAstMTkyMDg0NjgzMgMAAAADMTYwAgAA</t>
  </si>
  <si>
    <t>AAU0OTE3MwQAAAABMAcAAAAIMy82LzIwMjYIAAAACTYvMzAvMjAyNAkAAAABMMJzRuXNe94IZJAaOc573gg3Q0lRLk5ZU0U6SUJNLklRX1RPVEFMX0xJQUJfVE9UQUxfQVNTRVRTLjE5OTQuMDYvMDMvMjAyNgEAAADetgEAAgAAAAc4MS45OTIyAQgAAAAFAAAAATEBAAAACy0xOTIwODQ2ODMyAwAAAAMxNjACAAAABDQxODgEAAAAATAHAAAACDMvNi8yMDI2CAAAAAk2LzMwLzIwMjQJAAAAATDCc0blzXveCH63GjnOe94IKENJUS5OWVNFOklCTS5JUV9BUl9UVVJOUy4xOTk0LjA2LzAzLzIwMjYBAAAA3rYBAAIAAAAIOS45MTk3MDMBCAAAAAUAAAABMQEAAAALLTE5MjA4NDY4MzIDAAAAAzE2MAIAAAAENDAwMQQAAAABMAcAAAAIMy82LzIwMjYIAAAACTYvMzAvMjAyNAkAAAABMMJzRuXNe94IfrcaOc573ghIQ0lRLk5ZU0U6SUJNLklRX1JFRFVDVElPTl9UQVhfUE9TSVRJT05fUFJJT1JfWVJTLjE5OTQuMDYvMDMvMjAyNi4uLlVTRC5IAQAAAN62AQADAAAAAADCc0blzXveCH63GjnOe94IQUNJUS5OWVNFOklCTS5JUV9UQVhfQkVORUZJVF9DRl9BRlRFUl9GSVZFLjE5OTQuMDYvMDMvMjAyNi4uLlVTRC5IAQAAAN62AQADAAAAAADCc0blzXveCH63GjnOe94IOkNJUS5OWVNFOklCTS5JUV9UQVhfQkVORUZJVF9DRl8zWVIuMTk5NC4wNi8wMy8yMDI2Li4uVVNELkgBAAAA3rYBAAMAAAAAAMJzRuXNe94Ifrca</t>
  </si>
  <si>
    <t>Oc573gg0Q0lRLk5ZU0U6SUJNLklRX05PTF9DRl9UT1RBTC4xOTk0LjA2LzAzLzIwMjYuLi5VU0QuSAEAAADetgEAAwAAAAAAwnNG5c173gjO3ho5znveCD9DSVEuTllTRTpJQk0uSVFfQVNTRVRTX09QRVJfTEVBU0VfR1JPU1MuMTk5NC4wNi8wMy8yMDI2Li4uVVNELkgBAAAA3rYBAAMAAAAAAMJzRuXNe94IfrcaOc573ghGQ0lRLk5ZU0U6SUJNLklRX01VVFVBTF9GVU5EX0FDUVVJU0lUSU9OU19PVEhFUi4xOTk0LjA2LzAzLzIwMjYuLi5VU0QuSAEAAADetgEAAwAAAAAAwnNG5c173gh+txo5znveCEBDSVEuTllTRTpJQk0uSVFfQVVNX05FVF9JTkZMT1dTX09VVEZMT1dTLjE5OTQuMDYvMDMvMjAyNi4uLlVTRC5IAQAAAN62AQADAAAAAADCc0blzXveCH63GjnOe94IL0NJUS5OWVNFOklCTS5JUV9BVU1fQk9QLjE5OTQuMDYvMDMvMjAyNi4uLlVTRC5IAQAAAN62AQADAAAAAADCc0blzXveCH63GjnOe94IOUNJUS5OWVNFOklCTS5JUV9BVU1fSU5TVElUVVRJT05BTC4xOTk0LjA2LzAzLzIwMjYuLi5VU0QuSAEAAADetgEAAwAAAAAAwnNG5c173gjO3ho5znveCC9DSVEuTllTRTpJQk0uSVFfR1BfM1lSX0FOTl9DQUdSLjE5OTQuMDYvMDMvMjAyNgEAAADetgEAAgAAAAY2LjMwMDcBCAAAAAUAAAABMQEAAAALLTE5MjA4NDY4MzIDAAAAAzE2MAIAAAAENDIyMQQAAAABMAcAAAAIMy82LzIwMjYIAAAACTYv</t>
  </si>
  <si>
    <t>MzAvMjAyNAkAAAABMMJzRuXNe94Izt4aOc573ggxQ0lRLk5ZU0U6SUJNLklRX05JXzFZUl9BTk5fR1JPV1RILjE5OTQuMDYvMDMvMjAyNgEAAADetgEAAgAAAAgzMTYuMjk2MgEIAAAABQAAAAExAQAAAAstMTkyMDg0NjgzMgMAAAADMTYwAgAAAAQ0MTk5BAAAAAEwBwAAAAgzLzYvMjAyNggAAAAJNi8zMC8yMDI0CQAAAAEwwnNG5c173gjO3ho5znveCEJDSVEuTllTRTpJQk0uSVFfVE9UQUxfREVCVF9FQklUREFfRVhDTF9PUEVSX0xFQVNFUy4xOTk0LjA2LzAzLzIwMjYBAAAA3rYBAAIAAAAINC42OTg0MTMBCAAAAAUAAAABMQEAAAALLTE5MjA4NDY4MzIDAAAAAzE2MAIAAAAFNDg5OTQEAAAAATAHAAAACDMvNi8yMDI2CAAAAAk2LzMwLzIwMjQJAAAAATDCc0blzXveCM7eGjnOe94IMENJUS5OWVNFOklCTS5JUV9EQVlTX1BBWUFCTEVfT1VULjE5OTQuMDYvMDMvMjAyNgEAAADetgEAAgAAAAg1MC4zNjcwOQEIAAAABQAAAAExAQAAAAstMTkyMDg0NjgzMgMAAAADMTYwAgAAAAQ0MTgzBAAAAAEwBwAAAAgzLzYvMjAyNggAAAAJNi8zMC8yMDI0CQAAAAEwwnNG5c173gjO3ho5znveCC1DSVEuTllTRTpJQk0uSVFfRUJJVERBX01BUkdJTi4xOTk0LjA2LzAzLzIwMjYBAAAA3rYBAAIAAAAHMjAuNDIxMwEIAAAABQAAAAExAQAAAAstMTkyMDg0NjgzMgMAAAADMTYwAgAAAAQ0MDQ3BAAAAAEwBwAAAAgzLzYv</t>
  </si>
  <si>
    <t>MjAyNggAAAAJNi8zMC8yMDI0CQAAAAEwwnNG5c173gjO3ho5znveCE1DSVEuTllTRTpJQk0uSVFfSU5URVJFU1RfUEVOQUxUSUVTX1JFQ09HX0lTX0FGVEVSX1RBWC4xOTk0LjA2LzAzLzIwMjYuLi5VU0QuSAEAAADetgEAAwAAAAAAwnNG5c173gjO3ho5znveCDBDSVEuTllTRTpJQk0uSVFfRVBTXzNZUl9BTk5fQ0FHUi4xOTk0LjA2LzAzLzIwMjYBAAAA3rYBAAIAAAAHNDUuNzcxMQEIAAAABQAAAAExAQAAAAstMTkyMDg0NjgzMgMAAAADMTYwAgAAAAQ0MjI2BAAAAAEwBwAAAAgzLzYvMjAyNggAAAAJNi8zMC8yMDI0CQAAAAEwXJtG5c173gjO3ho5znveCDpDSVEuTllTRTpJQk0uSVFfVE9UQUxfUkVWX0VNUExPWUVFLjE5OTQuMDYvMDMvMjAyNi4uLlVTRC5IAQAAAN62AQADAAAAAABcm0blzXveCM7eGjnOe94IKENJUS5OWVNFOklCTS5JUV9FQklUX0lOVC4xOTk0LjA2LzAzLzIwMjYBAAAA3rYBAAIAAAAINS45Njg5NzMBCAAAAAUAAAABMQEAAAALLTE5MjA4NDY4MzIDAAAAAzE2MAIAAAAENDE4OQQAAAABMAcAAAAIMy82LzIwMjYIAAAACTYvMzAvMjAyNAkAAAABMFybRuXNe94Izt4aOc573ggvQ0lRLk5ZU0U6SUJNLklRX0lOVkVOVE9SWV9UVVJOUy4xOTk0LjA2LzAzLzIwMjYBAAAA3rYBAAIAAAAJMTkuNzU3OTUyAQgAAAAFAAAAATEBAAAACy0xOTIwODQ2ODMyAwAAAAMxNjACAAAABDQwODIE</t>
  </si>
  <si>
    <t>AAAAATAHAAAACDMvNi8yMDI2CAAAAAk2LzMwLzIwMjQJAAAAATBcm0blzXveCKEFGznOe94IK0NJUS5OWVNFOklCTS5JUV9BU1NFVF9UVVJOUy4xOTk0LjA2LzAzLzIwMjYBAAAA3rYBAAIAAAAIMC40Njg4MDkBCAAAAAUAAAABMQEAAAALLTE5MjA4NDY4MzIDAAAAAzE2MAIAAAAENDE3NwQAAAABMAcAAAAIMy82LzIwMjYIAAAACTYvMzAvMjAyNAkAAAABMFybRuXNe94IoQUbOc573ghLQ0lRLk5ZU0U6SUJNLklRX0NIQU5HRV9VTlJFQ09HX1RBWF9CRU5FRklUXzFfWVJfTUFYLjE5OTQuMDYvMDMvMjAyNi4uLlVTRC5IAQAAAN62AQADAAAAAABcm0blzXveCKEFGznOe94ISUNJUS5OWVNFOklCTS5JUV9SRURVQ1RJT05fVEFYX1BPU0lUSU9OX0NVUlJFTlRfWVIuMTk5NC4wNi8wMy8yMDI2Li4uVVNELkgBAAAA3rYBAAMAAAAAAFybRuXNe94Izt4aOc573gg6Q0lRLk5ZU0U6SUJNLklRX1RBWF9CRU5FRklUX0NGXzRZUi4xOTk0LjA2LzAzLzIwMjYuLi5VU0QuSAEAAADetgEAAwAAAAAAXJtG5c173gjO3ho5znveCC9DSVEuTllTRTpJQk0uSVFfTk9MX0NGX01BWF9ZRUFSLjE5OTQuMDYvMDMvMjAyNgEAAADetgEAAwAAAAAAXJtG5c173gihBRs5znveCDlDSVEuTllTRTpJQk0uSVFfTk9MX0NGX0FGVEVSX0ZJVkUuMTk5NC4wNi8wMy8yMDI2Li4uVVNELkgBAAAA3rYBAAMAAAAAAFybRuXNe94IoQUbOc57</t>
  </si>
  <si>
    <t>3ggyQ0lRLk5ZU0U6SUJNLklRX0VQU18xWVJfQU5OX0dST1dUSC4xOTk0LjA2LzAzLzIwMjYBAAAA3rYBAAIAAAAIMjgwLjY1NTkBCAAAAAUAAAABMQEAAAALLTE5MjA4NDY4MzIDAAAAAzE2MAIAAAAENDIwMAQAAAABMAcAAAAIMy82LzIwMjYIAAAACTYvMzAvMjAyNAkAAAABMFybRuXNe94IoQUbOc573ggvQ0lRLk5ZU0U6SUJNLklRX05FVF9ERUJUX0VCSVREQS4xOTk0LjA2LzAzLzIwMjYBAAAA3rYBAAIAAAAIMy4yODQ0MzgBCAAAAAUAAAABMQEAAAALLTE5MjA4NDY4MzIDAAAAAzE2MAIAAAAENDE5MwQAAAABMAcAAAAIMy82LzIwMjYIAAAACTYvMzAvMjAyNAkAAAABMFybRuXNe94IoQUbOc573ghBQ0lRLk5ZU0U6SUJNLklRX0VCSVREQV9FWENMX09QRVJfTEVBU0VTX0NBUEVYX0lOVC4xOTk0LjA2LzAzLzIwMjYBAAAA3rYBAAIAAAAHNi45Nzg1MgEIAAAABQAAAAExAQAAAAstMTkyMDg0NjgzMgMAAAADMTYwAgAAAAU0OTE3NAQAAAABMAcAAAAIMy82LzIwMjYIAAAACTYvMzAvMjAyNAkAAAABMFybRuXNe94IoQUbOc573gguQ0lRLk5ZU0U6SUJNLklRX0RBWVNfU0FMRVNfT1VULjE5OTQuMDYvMDMvMjAyNgEAAADetgEAAgAAAAkzNi44OTYwOTQBCAAAAAUAAAABMQEAAAALLTE5MjA4NDY4MzIDAAAAAzE2MAIAAAAENDA0MgQAAAABMAcAAAAIMy82LzIwMjYIAAAACTYvMzAvMjAyNAkAAAABMFyb</t>
  </si>
  <si>
    <t>RuXNe94I4ywbOc573gg0Q0lRLk5ZU0U6SUJNLklRX1JFVFVSTl9DT01NT05fRVFVSVRZLjE5OTQuMDYvMDMvMjAyNgEAAADetgEAAgAAAAczNi4zNTk3AQgAAAAFAAAAATEBAAAACy0xOTIwODQ2ODMyAwAAAAMxNjACAAAABTMzMzIwBAAAAAEwBwAAAAgzLzYvMjAyNggAAAAJNi8zMC8yMDI0CQAAAAEwXJtG5c173gjjLBs5znveCEdDSVEuTllTRTpJQk0uSVFfQUNDT1VOVF9DT0RFX0lOVEVSRVNUX1BFTkFMVElFUy4xOTk0LjA2LzAzLzIwMjYuLi5VU0QuSAEAAADetgEAAwAAAAAAXJtG5c173gihBRs5znveCEVDSVEuTllTRTpJQk0uSVFfVFJBTlNfSU1QQUNUX0ZJTl80OF9MVF9BU1NFVFMuMTk5NC4wNi8wMy8yMDI2Li4uVVNELkgBAAAA3rYBAAMAAAAAAFybRuXNe94IoQUbOc573gg8Q0lRLk5ZU0U6SUJNLklRX1RBWF9CRU5FRklUX0NGX1RPVEFMLjE5OTQuMDYvMDMvMjAyNi4uLlVTRC5IAQAAAN62AQADAAAAAABcm0blzXveCKEFGznOe94IN0NJUS5OWVNFOklCTS5JUV9DQVBfTE9TU19DRl80WVIuMTk5NC4wNi8wMy8yMDI2Li4uVVNELkgBAAAA3rYBAAMAAAAAAFybRuXNe94I4ywbOc573ghAQ0lRLk5ZU0U6SUJNLklRX0NBUElUQUxJWkVEX0lOVEVSRVNUX0VPUC4xOTk0LjA2LzAzLzIwMjYuLi5VU0QuSAEAAADetgEAAwAAAAAAXJtG5c173gjjLBs5znveCD1DSVEuTllTRTpJQk0uSVFfTkVU</t>
  </si>
  <si>
    <t>X05FV19DTElFTlRfQVNTRVRTLjE5OTQuMDYvMDMvMjAyNi4uLlVTRC5IAQAAAN62AQADAAAAAABcm0blzXveCOMsGznOe94INkNJUS5OWVNFOklCTS5JUV9UT1RBTF9SRVZfNVlSX0FOTl9DQUdSLjE5OTQuMDYvMDMvMjAyNgEAAADetgEAAgAAAActNC4zNDAzAQgAAAAFAAAAATEBAAAACy0xOTIwODQ2ODMyAwAAAAMxNjACAAAABDQyMzMEAAAAATAHAAAACDMvNi8yMDI2CAAAAAk2LzMwLzIwMjQJAAAAATBcm0blzXveCOMsGznOe94IMUNJUS5OWVNFOklCTS5JUV9FQklUXzNZUl9BTk5fQ0FHUi4xOTk0LjA2LzAzLzIwMjYBAAAA3rYBAAIAAAAHMjguNzkwMwEIAAAABQAAAAExAQAAAAstMTkyMDg0NjgzMgMAAAADMTYwAgAAAAQ0MjIzBAAAAAEwBwAAAAgzLzYvMjAyNggAAAAJNi8zMC8yMDI0CQAAAAEwXJtG5c173gjjLBs5znveCDVDSVEuTllTRTpJQk0uSVFfTkVUX0RFQlRfRUJJVERBX0NBUEVYLjE5OTQuMDYvMDMvMjAyNgEAAADetgEAAgAAAAgzLjU0Njk4MQEIAAAABQAAAAExAQAAAAstMTkyMDg0NjgzMgMAAAADMTYwAgAAAAUyMzMxNAQAAAABMAcAAAAIMy82LzIwMjYIAAAACTYvMzAvMjAyNAkAAAABMFybRuXNe94I4ywbOc573ggvQ0lRLk5ZU0U6SUJNLklRX0xUX0RFQlRfQ0FQSVRBTC4xOTk0LjA2LzAzLzIwMjYBAAAA3rYBAAIAAAAHNjYuMDg3MgEIAAAABQAAAAExAQAAAAstMTkyMDg0</t>
  </si>
  <si>
    <t>NjgzMgMAAAADMTYwAgAAAAQ0MTg3BAAAAAEwBwAAAAgzLzYvMjAyNggAAAAJNi8zMC8yMDI0CQAAAAEwXJtG5c173gjjLBs5znveCDFDSVEuTllTRTpJQk0uSVFfRklYRURfQVNTRVRfVFVSTlMuMTk5NC4wNi8wMy8yMDI2AQAAAN62AQACAAAACDcuNDEzMDUxAQgAAAAFAAAAATEBAAAACy0xOTIwODQ2ODMyAwAAAAMxNjACAAAABDQwNjYEAAAAATAHAAAACDMvNi8yMDI2CAAAAAk2LzMwLzIwMjQJAAAAATBcm0blzXveCOMsGznOe94IUENJUS5OWVNFOklCTS5JUV9JTVBBQ1RfVU5SRUNPR19UQVhfQkVORUZJVF9FRkZFQ1RJVkVfVEFYLjE5OTQuMDYvMDMvMjAyNi4uLlVTRC5IAQAAAN62AQADAAAAAABcm0blzXveCOMsGznOe94ITUNJUS5OWVNFOklCTS5JUV9JTlRFUkVTVF9QRU5BTFRJRVNfUkVDT0dfQlNfQUZURVJfVEFYLjE5OTQuMDYvMDMvMjAyNi4uLlVTRC5IAQAAAN62AQADAAAAAABcm0blzXveCOMsGznOe94IRkNJUS5OWVNFOklCTS5JUV9VTlJFQ09HX1RBWF9CRU5FRklUX0JFR19QRVJJT0QuMTk5NC4wNi8wMy8yMDI2Li4uVVNELkgBAAAA3rYBAAMAAAAAAFybRuXNe94I+FMbOc573gg6Q0lRLk5ZU0U6SUJNLklRX1RBWF9CRU5FRklUX0NGXzJZUi4xOTk0LjA2LzAzLzIwMjYuLi5VU0QuSAEAAADetgEAAwAAAAAAXJtG5c173gj4Uxs5znveCDVDSVEuTllTRTpJQk0uSVFfTk9MX0NGX05P</t>
  </si>
  <si>
    <t>X0VYUC4xOTk0LjA2LzAzLzIwMjYuLi5VU0QuSAEAAADetgEAAwAAAAAAXJtG5c173gj4Uxs5znveCD5DSVEuTllTRTpJQk0uSVFfQVNTRVRTX09QRVJfTEVBU0VfREVQUi4xOTk0LjA2LzAzLzIwMjYuLi5VU0QuSAEAAADetgEAAwAAAAAAXJtG5c173gj4Uxs5znveCDlDSVEuTllTRTpJQk0uSVFfQVNTRVRfTUFOQUdFRF9HUk9XVEhfUkFURS4xOTk0LjA2LzAzLzIwMjYBAAAA3rYBAAMAAAAAAFybRuXNe94I4ywbOc573ggvQ0lRLk5ZU0U6SUJNLklRX05JXzVZUl9BTk5fQ0FHUi4xOTk0LjA2LzAzLzIwMjYBAAAA3rYBAAIAAAAGLTAuNzA2AQgAAAAFAAAAATEBAAAACy0xOTIwODQ2ODMyAwAAAAMxNjACAAAABDQyMzgEAAAAATAHAAAACDMvNi8yMDI2CAAAAAk2LzMwLzIwMjQJAAAAATBcm0blzXveCPhTGznOe94IM0NJUS5OWVNFOklCTS5JUV9FQklUXzFZUl9BTk5fR1JPV1RILjE5OTQuMDYvMDMvMjAyNgEAAADetgEAAgAAAAcxNy4xNTY1AQgAAAAFAAAAATEBAAAACy0xOTIwODQ2ODMyAwAAAAMxNjACAAAABDQxOTcEAAAAATAHAAAACDMvNi8yMDI2CAAAAAk2LzMwLzIwMjQJAAAAATBcm0blzXveCPhTGznOe94IMUNJUS5OWVNFOklCTS5JUV9UT1RBTF9ERUJUX0VCSVREQS4xOTk0LjA2LzAzLzIwMjYBAAAA3rYBAAIAAAAINC4yNTg4NTEBCAAAAAUAAAABMQEAAAALLTE5MjA4NDY4MzIDAAAAAzE2</t>
  </si>
  <si>
    <t>MAIAAAAENDE5MgQAAAABMAcAAAAIMy82LzIwMjYIAAAACTYvMzAvMjAyNAkAAAABMFybRuXNe94I+FMbOc573ggyQ0lRLk5ZU0U6SUJNLklRX0RBWVNfSU5WRU5UT1JZX09VVC4xOTk0LjA2LzAzLzIwMjYBAAAA3rYBAAIAAAAJMTguNTIzOTkyAQgAAAAFAAAAATEBAAAACy0xOTIwODQ2ODMyAwAAAAMxNjACAAAABDQwMzUEAAAAATAHAAAACDMvNi8yMDI2CAAAAAk2LzMwLzIwMjQJAAAAATBcm0blzXveCPhTGznOe94IK0NJUS5OWVNFOklCTS5JUV9RVUlDS19SQVRJTy4xOTk0LjA2LzAzLzIwMjYBAAAA3rYBAAIAAAAGMC44Njk0AQgAAAAFAAAAATEBAAAACy0xOTIwODQ2ODMyAwAAAAMxNjACAAAABDQxMjEEAAAAATAHAAAACDMvNi8yMDI2CAAAAAk2LzMwLzIwMjQJAAAAATBcm0blzXveCPhTGznOe94ILkNJUS5OWVNFOklCTS5JUV9SRVRVUk5fQ0FQSVRBTC4xOTk0LjA2LzAzLzIwMjYBAAAA3rYBAAIAAAAGNy41MDk3AQgAAAAFAAAAATEBAAAACy0xOTIwODQ2ODMyAwAAAAMxNjACAAAABDQzNjMEAAAAATAHAAAACDMvNi8yMDI2CAAAAAk2LzMwLzIwMjQJAAAAATBcm0blzXveCPZ6GznOe94IRUNJUS5OWVNFOklCTS5JUV9VTlJFQ09HX1RBWF9CRU5FRklUX09USEVSX0FESi4xOTk0LjA2LzAzLzIwMjYuLi5VU0QuSAEAAADetgEAAwAAAAAAXJtG5c173gj2ehs5znveCDdDSVEuTllTRTpJQk0uSVFf</t>
  </si>
  <si>
    <t>VEFYX0JFTkVGSVRfQ0ZfTUFYX1lFQVIuMTk5NC4wNi8wMy8yMDI2AQAAAN62AQADAAAAAABcm0blzXveCPhTGznOe94IN0NJUS5OWVNFOklCTS5JUV9DQVBfTE9TU19DRl81WVIuMTk5NC4wNi8wMy8yMDI2Li4uVVNELkgBAAAA3rYBAAMAAAAAAFybRuXNe94I+FMbOc573gg3Q0lRLk5ZU0U6SUJNLklRX0NBUF9MT1NTX0NGXzJZUi4xOTk0LjA2LzAzLzIwMjYuLi5VU0QuSAEAAADetgEAAwAAAAAAXJtG5c173gj4Uxs5znveCEZDSVEuTllTRTpJQk0uSVFfQ0FQSVRBTElaRURfSU5URVJFU1RfV1JJVEVfT0ZGLjE5OTQuMDYvMDMvMjAyNi4uLlVTRC5IAQAAAN62AQADAAAAAABcm0blzXveCPZ6GznOe94INkNJUS5OWVNFOklCTS5JUV9OVU1CRVJfVFJBREVTX0VYRUNVVEVELjE5OTQuMDYvMDMvMjAyNgEAAADetgEAAwAAAAAAXJtG5c173gj2ehs5znveCC9DSVEuTllTRTpJQk0uSVFfTklfM1lSX0FOTl9DQUdSLjE5OTQuMDYvMDMvMjAyNgEAAADetgEAAgAAAAcxNi40ODE4AQgAAAAFAAAAATEBAAAACy0xOTIwODQ2ODMyAwAAAAMxNjACAAAABDQyMjUEAAAAATAHAAAACDMvNi8yMDI2CAAAAAk2LzMwLzIwMjQJAAAAATBcm0blzXveCPZ6GznOe94IRkNJUS5OWVNFOklCTS5JUV9ORVRfREVCVF9FQklUREFfRVhDTF9PUEVSX0xFQVNFU19DQVBFWC4xOTk0LjA2LzAzLzIwMjYBAAAA3rYBAAIAAAAIMy45</t>
  </si>
  <si>
    <t>NDU2MjIBCAAAAAUAAAABMQEAAAALLTE5MjA4NDY4MzIDAAAAAzE2MAIAAAAFNDkxODIEAAAAATAHAAAACDMvNi8yMDI2CAAAAAk2LzMwLzIwMjQJAAAAATBcm0blzXveCPZ6GznOe94IN0NJUS5OWVNFOklCTS5JUV9UT1RBTF9ERUJUX0VCSVREQV9DQVBFWC4xOTk0LjA2LzAzLzIwMjYBAAAA3rYBAAIAAAAINC41OTkyODUBCAAAAAUAAAABMQEAAAALLTE5MjA4NDY4MzIDAAAAAzE2MAIAAAAFMjMzMTMEAAAAATAHAAAACDMvNi8yMDI2CAAAAAk2LzMwLzIwMjQJAAAAATBcm0blzXveCPZ6GznOe94IMkNJUS5OWVNFOklCTS5JUV9UT1RBTF9ERUJUX0NBUElUQUwuMTk5NC4wNi8wMy8yMDI2AQAAAN62AQACAAAABzcxLjI4NjEBCAAAAAUAAAABMQEAAAALLTE5MjA4NDY4MzIDAAAAAzE2MAIAAAAENDE4NgQAAAABMAcAAAAIMy82LzIwMjYIAAAACTYvMzAvMjAyNAkAAAABMFybRuXNe94I9nobOc573ghAQ0lRLk5ZU0U6SUJNLklRX05FVF9ERUJUX0VCSVREQV9FWENMX09QRVJfTEVBU0VTLjE5OTQuMDYvMDMvMjAyNgEAAADetgEAAgAAAAgzLjYyMzQyOQEIAAAABQAAAAExAQAAAAstMTkyMDg0NjgzMgMAAAADMTYwAgAAAAU0OTE3NQQAAAABMAcAAAAIMy82LzIwMjYIAAAACTYvMzAvMjAyNAkAAAABMFybRuXNe94I9nobOc573gg6Q0lRLk5ZU0U6SUJNLklRX1RBWF9CRU5FRklUX0NGXzFZUi4xOTk0LjA2</t>
  </si>
  <si>
    <t>LzAzLzIwMjYuLi5VU0QuSAEAAADetgEAAwAAAAAAXJtG5c173gj2ehs5znveCDJDSVEuTllTRTpJQk0uSVFfTk9MX0NGXzFZUi4xOTk0LjA2LzAzLzIwMjYuLi5VU0QuSAEAAADetgEAAwAAAAAAXJtG5c173gj2ehs5znveCEBDSVEuTllTRTpJQk0uSVFfQ0FQSVRBTElaRURfSU5URVJFU1RfQk9QLjE5OTQuMDYvMDMvMjAyNi4uLlVTRC5IAQAAAN62AQADAAAAAABcm0blzXveCPZ6GznOe94IN0NJUS5OWVNFOklCTS5JUV9BVU1fRkVFX0VBUk5JTkcuMTk5NC4wNi8wMy8yMDI2Li4uVVNELkgBAAAA3rYBAAMAAAAAAFybRuXNe94I36EbOc573ggrQ0lRLk5ZU0U6SUJNLklRX0FVTS4xOTk0LjA2LzAzLzIwMjYuLi5VU0QuSAEAAADetgEAAwAAAAAAXJtG5c173gjfoRs5znveCEFDSVEuTllTRTpJQk0uSVFfT1BFQl9JTlRBTl9BU1NFVFNfRk9SRUlHTi4xOTk0LjA2LzAzLzIwMjYuLi5VU0QuSAEAAADetgEAAwAAAAAAXJtG5c173gjfoRs5znveCEVDSVEuTllTRTpJQk0uSVFfT1BFQl9DSV9ORVRfQU1UX1JFQ09HX0ZPUkVJR04uMTk5NC4wNi8wMy8yMDI2Li4uVVNELkgBAAAA3rYBAAMAAAAAAFybRuXNe94I36EbOc573gg/Q0lRLk5ZU0U6SUJNLklRX09QRUJfQVNTRVRTX0FDUV9GT1JFSUdOLjE5OTQuMDYvMDMvMjAyNi4uLlVTRC5IAQAAAN62AQADAAAAAABcm0blzXveCPZ6GznOe94IQ0NJUS5OWVNF</t>
  </si>
  <si>
    <t>OklCTS5JUV9PUEVCX09CTElHQVRJT05fQUNRX0ZPUkVJR04uMTk5NC4wNi8wMy8yMDI2Li4uVVNELkgBAAAA3rYBAAMAAAAAAFybRuXNe94I36EbOc573ghBQ0lRLk5ZU0U6SUJNLklRX1BFTlNJT05fQkVORUZJVF9JTkZPX0RBVEVfRk9SRUlHTi4xOTk0LjA2LzAzLzIwMjYBAAAA3rYBAAMAAAAAAFybRuXNe94I36EbOc573ggtQ0lRLk5ZU0U6SUJNLklRX0NBUEVYX1BDVF9SRVYuMTk5NC4wNi8wMy8yMDI2AQAAAN62AQACAAAABjEuNjY3NQEIAAAABQAAAAExAQAAAAstMTkyMDg0NjgzMgMAAAADMTYwAgAAAAUzNTM4MAQAAAABMAcAAAAIMy82LzIwMjYIAAAACTYvMzAvMjAyNAkAAAABMFybRuXNe94I36EbOc573gg3Q0lRLk5ZU0U6SUJNLklRX0NBUF9MT1NTX0NGXzNZUi4xOTk0LjA2LzAzLzIwMjYuLi5VU0QuSAEAAADetgEAAwAAAAAAXJtG5c173gjfoRs5znveCDtDSVEuTllTRTpJQk0uSVFfQVVNX0lOU1RJVFVUSU9OQUxfQ1VTVE9NRVJTLjE5OTQuMDYvMDMvMjAyNgEAAADetgEAAwAAAAAAXJtG5c173gjfoRs5znveCEdDSVEuTllTRTpJQk0uSVFfT1BFQl9QQk9fUkFURV9DT01QX0lOQ1JFQVNFX01JTl9GT1JFSUdOLjE5OTQuMDYvMDMvMjAyNgEAAADetgEAAwAAAAAAXJtG5c173gjfoRs5znveCD1DSVEuTllTRTpJQk0uSVFfT1BFQl9BQ1RfTkVYVF9GT1JFSUdOLjE5OTQuMDYvMDMvMjAy</t>
  </si>
  <si>
    <t>Ni4uLlVTRC5IAQAAAN62AQADAAAAAABcm0blzXveCN+hGznOe94IPUNJUS5OWVNFOklCTS5JUV9PUEVCX0JSRUFLRE9XTl9QQ1RfRVFfRk9SRUlHTi4xOTk0LjA2LzAzLzIwMjYBAAAA3rYBAAMAAAAAAFybRuXNe94I36EbOc573ggpQ0lRLk5ZU0U6SUJNLklRX05JX01BUkdJTi4xOTk0LjA2LzAzLzIwMjYBAAAA3rYBAAIAAAAHMTMuNTE2OQEIAAAABQAAAAExAQAAAAstMTkyMDg0NjgzMgMAAAADMTYwAgAAAAQ0MDk0BAAAAAEwBwAAAAgzLzYvMjAyNggAAAAJNi8zMC8yMDI0CQAAAAEwXJtG5c173gjfoRs5znveCE1DSVEuTllTRTpJQk0uSVFfVFJBTlNfSU1QQUNUX0ZJTl80OF9SRVRBSU5FRF9FQVJOSU5HUy4xOTk0LjA2LzAzLzIwMjYuLi5VU0QuSAEAAADetgEAAwAAAAAAXJtG5c173gjfoRs5znveCDNDSVEuTllTRTpJQk0uSVFfT1JHQU5JQ19HUk9XVEhfUkFURS4xOTk0LjA2LzAzLzIwMjYBAAAA3rYBAAMAAAAAAFybRuXNe94I36EbOc573ghIQ0lRLk5ZU0U6SUJNLklRX09QRUJfSU5DUkVBU0VfRUZGRUNUX1BCT19GT1JFSUdOLjE5OTQuMDYvMDMvMjAyNi4uLlVTRC5IAQAAAN62AQADAAAAAABcm0blzXveCN+hGznOe94IOkNJUS5OWVNFOklCTS5JUV9PUEVCX09USEVSX0ZPUkVJR04uMTk5NC4wNi8wMy8yMDI2Li4uVVNELkgBAAAA3rYBAAMAAAAAAFybRuXNe94I36EbOc573ghDQ0lRLk5Z</t>
  </si>
  <si>
    <t>U0U6SUJNLklRX09QRUJfQU1UX1JFQ09HX05FWFRfRk9SRUlHTi4xOTk0LjA2LzAzLzIwMjYuLi5VU0QuSAEAAADetgEAAwAAAAAAXJtG5c173gjfoRs5znveCEVDSVEuTllTRTpJQk0uSVFfT1BFQl9DSV9QUklPUl9TRVJWSUNFX0ZPUkVJR04uMTk5NC4wNi8wMy8yMDI2Li4uVVNELkgBAAAA3rYBAAMAAAAAAFybRuXNe94IguUbOc573ghEQ0lRLk5ZU0U6SUJNLklRX09QRUJfQlJFQUtET1dOX09USEVSX0ZPUkVJR04uMTk5NC4wNi8wMy8yMDI2Li4uVVNELkgBAAAA3rYBAAMAAAAAAFybRuXNe94I36EbOc573ghLQ0lRLk5ZU0U6SUJNLklRX0NIQU5HRV9VTlJFQ09HX1RBWF9CRU5FRklUXzFfWVJfTUlOLjE5OTQuMDYvMDMvMjAyNi4uLlVTRC5IAQAAAN62AQADAAAAAABcm0blzXveCN+hGznOe94IPUNJUS5OWVNFOklCTS5JUV9UQVhfQkVORUZJVF9DRl9OT19FWFAuMTk5NC4wNi8wMy8yMDI2Li4uVVNELkgBAAAA3rYBAAMAAAAAAFybRuXNe94I36EbOc573gg+Q0lRLk5ZU0U6SUJNLklRX09QRUJfTFRfQVNTRVRTX0ZPUkVJR04uMTk5NC4wNi8wMy8yMDI2Li4uVVNELkgBAAAA3rYBAAMAAAAAAFybRuXNe94I36EbOc573ghDQ0lRLk5ZU0U6SUJNLklRX09QRUJfUkFURV9DT01QX0lOQ1JFQVNFX01JTl9GT1JFSUdOLjE5OTQuMDYvMDMvMjAyNgEAAADetgEAAwAAAAAAXJtG5c173giC5Rs5znveCElD</t>
  </si>
  <si>
    <t>SVEuTllTRTpJQk0uSVFfT1BFQl9BU1NFVFNfQkVORUZJVFNfUEFJRF9GT1JFSUdOLjE5OTQuMDYvMDMvMjAyNi4uLlVTRC5IAQAAAN62AQADAAAAAABcm0blzXveCILlGznOe94IRENJUS5OWVNFOklCTS5JUV9PUEVCX09CTElHQVRJT05fUEFJRF9GT1JFSUdOLjE5OTQuMDYvMDMvMjAyNi4uLlVTRC5IAQAAAN62AQADAAAAAABcm0blzXveCILlGznOe94IVENJUS5OWVNFOklCTS5JUV9QRU5TSU9OX1FVQVJUX0FERExfQ09OVFJJQlVUSU9OU19FWFBfRk9SRUlHTi4xOTk0LjA2LzAzLzIwMjYuLi5VU0QuSAEAAADetgEAAwAAAAAAXJtG5c173giC5Rs5znveCDRDSVEuTllTRTpJQk0uSVFfQ0FQX0xPU1NfQ0ZfTUFYX1lFQVIuMTk5NC4wNi8wMy8yMDI2AQAAAN62AQADAAAAAABcm0blzXveCILlGznOe94IPUNJUS5OWVNFOklCTS5JUV9WQUxVRV9DVVNUT01FUl9BU1NFVFMuMTk5NC4wNi8wMy8yMDI2Li4uVVNELkgBAAAA3rYBAAMAAAAAAFybRuXNe94I5fkbOc573gg5Q0lRLk5ZU0U6SUJNLklRX01VVFVBTF9GVU5EX1NBTEVTLjE5OTQuMDYvMDMvMjAyNi4uLlVTRC5IAQAAAN62AQADAAAAAABcm0blzXveCOX5GznOe94IM0NJUS5OWVNFOklCTS5JUV9BVU1fVE9UQUxfQ1VTVE9NRVJTLjE5OTQuMDYvMDMvMjAyNgEAAADetgEAAwAAAAAAXJtG5c173gjl+Rs5znveCDlDSVEuTllTRTpJQk0uSVFfQVVN</t>
  </si>
  <si>
    <t>X09USEVSX0NMSUVOVFMuMTk5NC4wNi8wMy8yMDI2Li4uVVNELkgBAAAA3rYBAAMAAAAAAFybRuXNe94I5fkbOc573ggxQ0lRLk5ZU0U6SUJNLklRX0FVTV9PVEhFUi4xOTk0LjA2LzAzLzIwMjYuLi5VU0QuSAEAAADetgEAAwAAAAAAXJtG5c173gjl+Rs5znveCD5DSVEuTllTRTpJQk0uSVFfT1BFQl9PVEhFUl9BREpfRk9SRUlHTi4xOTk0LjA2LzAzLzIwMjYuLi5VU0QuSAEAAADetgEAAwAAAAAAXJtG5c173gjl+Rs5znveCEdDSVEuTllTRTpJQk0uSVFfT1BFQl9FU1RfQkVORUZJVF9BRlRFUjVfRk9SRUlHTi4xOTk0LjA2LzAzLzIwMjYuLi5VU0QuSAEAAADetgEAAwAAAAAAXJtG5c173gjl+Rs5znveCERDSVEuTllTRTpJQk0uSVFfT1BFQl9FU1RfQkVORUZJVF8xWVJfRk9SRUlHTi4xOTk0LjA2LzAzLzIwMjYuLi5VU0QuSAEAAADetgEAAwAAAAAAXJtG5c173gjl+Rs5znveCENDSVEuTllTRTpJQk0uSVFfU0VUVExFTUVOVFNfVEFYX0FVVEhPUklUSUVTLjE5OTQuMDYvMDMvMjAyNi4uLlVTRC5IAQAAAN62AQADAAAAAABcm0blzXveCOX5GznOe94IMkNJUS5OWVNFOklCTS5JUV9OT0xfQ0ZfNVlSLjE5OTQuMDYvMDMvMjAyNi4uLlVTRC5IAQAAAN62AQADAAAAAABcm0blzXveCOX5GznOe94IL0NJUS5OWVNFOklCTS5JUV9BVU1fRU9QLjE5OTQuMDYvMDMvMjAyNi4uLlVTRC5IAQAAAN62AQADAAAA</t>
  </si>
  <si>
    <t>AABcm0blzXveCFchHDnOe94IRUNJUS5OWVNFOklCTS5JUV9PUEVCX1BCT19BU1NVTUVEX1JBVEVfUkVUX01BWF9GT1JFSUdOLjE5OTQuMDYvMDMvMjAyNgEAAADetgEAAwAAAAAAXJtG5c173gjl+Rs5znveCDpDSVEuTllTRTpJQk0uSVFfT1BFQl9ESVNDX1JBVEVfTUlOX0ZPUkVJR04uMTk5NC4wNi8wMy8yMDI2AQAAAN62AQADAAAAAABcm0blzXveCOX5GznOe94IU0NJUS5OWVNFOklCTS5JUV9UUkFOU19JTVBBQ1RfRklOXzQ4X05PTl9DVVJSRU5UX0xJQUJJTElUSUVTLjE5OTQuMDYvMDMvMjAyNi4uLlVTRC5IAQAAAN62AQADAAAAAABcm0blzXveCOX5GznOe94IRkNJUS5OWVNFOklCTS5JUV9DQVBJVEFMSVpFRF9JTlRFUkVTVF9PVEhFUl9BREouMTk5NC4wNi8wMy8yMDI2Li4uVVNELkgBAAAA3rYBAAMAAAAAAFybRuXNe94I5fkbOc573ghDQ0lRLk5ZU0U6SUJNLklRX0FTU0VUU19VTkRFUl9BRE1JTklTVFJBVElPTi4xOTk0LjA2LzAzLzIwMjYuLi5VU0QuSAEAAADetgEAAwAAAAAAXJtG5c173ghXIRw5znveCEhDSVEuTllTRTpJQk0uSVFfT1BFQl9ERUNSRUFTRV9FRkZFQ1RfUEJPX0ZPUkVJR04uMTk5NC4wNi8wMy8yMDI2Li4uVVNELkgBAAAA3rYBAAMAAAAAAFybRuXNe94IVyEcOc573ghVQ0lRLk5ZU0U6SUJNLklRX09QRUJfSU5DUkVBU0VfRUZGRUNUX1NFUlZJQ0VfSU5UX0NPU1RfRk9S</t>
  </si>
  <si>
    <t>RUlHTi4xOTk0LjA2LzAzLzIwMjYuLi5VU0QuSAEAAADetgEAAwAAAAAAXJtG5c173ghXIRw5znveCERDSVEuTllTRTpJQk0uSVFfT1BFQl9FU1RfQkVORUZJVF8zWVJfRk9SRUlHTi4xOTk0LjA2LzAzLzIwMjYuLi5VU0QuSAEAAADetgEAAwAAAAAAXJtG5c173ghXIRw5znveCDFDSVEuTllTRTpJQk0uSVFfVE9UQUxfREVCVF9FUVVJVFkuMTk5NC4wNi8wMy8yMDI2AQAAAN62AQACAAAACDI0OC4yNjM3AQgAAAAFAAAAATEBAAAACy0xOTIwODQ2ODMyAwAAAAMxNjACAAAABDQwMzQEAAAAATAHAAAACDMvNi8yMDI2CAAAAAk2LzMwLzIwMjQJAAAAATBcm0blzXveCFchHDnOe94IOUNJUS5OWVNFOklCTS5JUV9DQVBfTE9TU19DRl9UT1RBTC4xOTk0LjA2LzAzLzIwMjYuLi5VU0QuSAEAAADetgEAAwAAAAAAXJtG5c173ghXIRw5znveCDdDSVEuTllTRTpJQk0uSVFfQVVNX1JFQUxfRVNUQVRFLjE5OTQuMDYvMDMvMjAyNi4uLlVTRC5IAQAAAN62AQADAAAAAABcm0blzXveCFchHDnOe94IQUNJUS5OWVNFOklCTS5JUV9PUEVCX0FDQ1JVRURfTElBQl9GT1JFSUdOLjE5OTQuMDYvMDMvMjAyNi4uLlVTRC5IAQAAAN62AQADAAAAAABcm0blzXveCFchHDnOe94ISkNJUS5OWVNFOklCTS5JUV9PUEVCX0FTU0VUU19PVEhFUl9QTEFOX0FESl9GT1JFSUdOLjE5OTQuMDYvMDMvMjAyNi4uLlVTRC5IAQAAAN62AQAD</t>
  </si>
  <si>
    <t>AAAAAABcm0blzXveCFchHDnOe94ILENJUS5OWVNFOklCTS5JUV9HUk9TU19NQVJHSU4uMTk5NC4wNi8wMy8yMDI2AQAAAN62AQACAAAABzU2LjA5MTQBCAAAAAUAAAABMQEAAAALLTE5MjA4NDY4MzIDAAAAAzE2MAIAAAAENDA3NAQAAAABMAcAAAAIMy82LzIwMjYIAAAACTYvMzAvMjAyNAkAAAABMFybRuXNe94IVyEcOc573ghLQ0lRLk5ZU0U6SUJNLklRX0lOVEVSRVNUX1BFTkFMVElFU19SRUNPR19CU19QUkVfVEFYLjE5OTQuMDYvMDMvMjAyNi4uLlVTRC5IAQAAAN62AQADAAAAAABcm0blzXveCFlIHDnOe94IMkNJUS5OWVNFOklCTS5JUV9OT0xfQ0ZfNFlSLjE5OTQuMDYvMDMvMjAyNi4uLlVTRC5IAQAAAN62AQADAAAAAABcm0blzXveCFlIHDnOe94IN0NJUS5OWVNFOklCTS5JUV9NVVRVQUxfRlVORF9CT1AuMTk5NC4wNi8wMy8yMDI2Li4uVVNELkgBAAAA3rYBAAMAAAAAAFybRuXNe94IWUgcOc573ghMQ0lRLk5ZU0U6SUJNLklRX0FVTV9NQVJLRVRfQVBQUkVDSUFUSU9OX0RFUFJFQ0lBVElPTi4xOTk0LjA2LzAzLzIwMjYuLi5VU0QuSAEAAADetgEAAwAAAAAAXJtG5c173ghZSBw5znveCDxDSVEuTllTRTpJQk0uSVFfT1BFQl9MVF9MSUFCX0ZPUkVJR04uMTk5NC4wNi8wMy8yMDI2Li4uVVNELkgBAAAA3rYBAAMAAAAAAFybRuXNe94IVyEcOc573ghEQ0lRLk5ZU0U6SUJNLklRX09QRUJfRVNU</t>
  </si>
  <si>
    <t>X0JFTkVGSVRfNVlSX0ZPUkVJR04uMTk5NC4wNi8wMy8yMDI2Li4uVVNELkgBAAAA3rYBAAMAAAAAAFybRuXNe94IWUgcOc573ghHQ0lRLk5ZU0U6SUJNLklRX09QRUJfUFJJT1JfU0VSVklDRV9ORVhUX0ZPUkVJR04uMTk5NC4wNi8wMy8yMDI2Li4uVVNELkgBAAAA3rYBAAMAAAAAAFybRuXNe94IWUgcOc573gg9Q0lRLk5ZU0U6SUJNLklRX09QRUJfQlJFQUtET1dOX1BDVF9SRV9GT1JFSUdOLjE5OTQuMDYvMDMvMjAyNgEAAADetgEAAwAAAAAAXJtG5c173ghZSBw5znveCEZDSVEuTllTRTpJQk0uSVFfT1BFQl9PQkxJR0FUSU9OX0ZYX0FESl9GT1JFSUdOLjE5OTQuMDYvMDMvMjAyNi4uLlVTRC5IAQAAAN62AQADAAAAAABcm0blzXveCFlIHDnOe94IT0NJUS5OWVNFOklCTS5JUV9UUkFOU19JTVBBQ1RfRklOXzQ4X0NVUlJFTlRfTElBQklMSVRJRVMuMTk5NC4wNi8wMy8yMDI2Li4uVVNELkgBAAAA3rYBAAMAAAAAAFybRuXNe94IWUgcOc573ggzQ0lRLk5ZU0U6SUJNLklRX0FVTV9PVEhFUl9DVVNUT01FUlMuMTk5NC4wNi8wMy8yMDI2AQAAAN62AQADAAAAAABcm0blzXveCD1vHDnOe94IP0NJUS5OWVNFOklCTS5JUV9PUEVCX0FTU0VUU19CRUdfRk9SRUlHTi4xOTk0LjA2LzAzLzIwMjYuLi5VU0QuSAEAAADetgEAAwAAAAAAXJtG5c173gg9bxw5znveCD9DSVEuTllTRTpJQk0uSVFfT1BFQl9UT1RB</t>
  </si>
  <si>
    <t>TF9DT1NUX0ZPUkVJR04uMTk5NC4wNi8wMy8yMDI2Li4uVVNELkgBAAAA3rYBAAMAAAAAAFybRuXNe94IPW8cOc573gg6Q0lRLk5ZU0U6SUJNLklRX1BFTlNJT05fQ0xfRk9SRUlHTi4xOTk0LjA2LzAzLzIwMjYuLi5VU0QuSAEAAADetgEAAwAAAAAAXJtG5c173ghZSBw5znveCDNDSVEuTllTRTpJQk0uSVFfQVVNX0lORkxPV1MuMTk5NC4wNi8wMy8yMDI2Li4uVVNELkgBAAAA3rYBAAMAAAAAAFybRuXNe94IWUgcOc573ghHQ0lRLk5ZU0U6SUJNLklRX09QRUJfSEVBTFRIX0NPU1RfVFJFTkRfVUxUSU1BVEVfRk9SRUlHTi4xOTk0LjA2LzAzLzIwMjYBAAAA3rYBAAMAAAAAAFybRuXNe94IPW8cOc573ghDQ0lRLk5ZU0U6SUJNLklRX09QRUJfQUNDVU1fT1RIRVJfQ0lfRk9SRUlHTi4xOTk0LjA2LzAzLzIwMjYuLi5VU0QuSAEAAADetgEAAwAAAAAAXJtG5c173gg9bxw5znveCEdDSVEuTllTRTpJQk0uSVFfT1BFQl9QQk9fUkFURV9DT01QX0lOQ1JFQVNFX01BWF9GT1JFSUdOLjE5OTQuMDYvMDMvMjAyNgEAAADetgEAAwAAAAAAXJtG5c173gg9bxw5znveCERDSVEuTllTRTpJQk0uSVFfT1BFQl9UUkFOU0lUSU9OX05FWFRfRk9SRUlHTi4xOTk0LjA2LzAzLzIwMjYuLi5VU0QuSAEAAADetgEAAwAAAAAAXJtG5c173gg9bxw5znveCDtDSVEuTllTRTpJQk0uSVFfT1BFQl9DSV9BQ1RfRk9SRUlHTi4xOTk0</t>
  </si>
  <si>
    <t>LjA2LzAzLzIwMjYuLi5VU0QuSAEAAADetgEAAwAAAAAAXJtG5c173gg9bxw5znveCEFDSVEuTllTRTpJQk0uSVFfT1BFQl9CUkVBS0RPV05fUkVfRk9SRUlHTi4xOTk0LjA2LzAzLzIwMjYuLi5VU0QuSAEAAADetgEAAwAAAAAAXJtG5c173gg9bxw5znveCEFDSVEuTllTRTpJQk0uSVFfT1BFQl9CUkVBS0RPV05fRVFfRk9SRUlHTi4xOTk0LjA2LzAzLzIwMjYuLi5VU0QuSAEAAADetgEAAwAAAAAAXJtG5c173gg9bxw5znveCDpDSVEuTllTRTpJQk0uSVFfQ0FQX0xPU1NfQ0ZfTk9fRVhQLjE5OTQuMDYvMDMvMjAyNi4uLlVTRC5IAQAAAN62AQADAAAAAABcm0blzXveCD1vHDnOe94IPUNJUS5OWVNFOklCTS5JUV9NVVRVQUxfRlVORF9ORVRfU0FMRVMuMTk5NC4wNi8wMy8yMDI2Li4uVVNELkgBAAAA3rYBAAMAAAAAAFybRuXNe94IPW8cOc573ghAQ0lRLk5ZU0U6SUJNLklRX0FVTV9DQVNIX0ZMT1dTX0RJVklERU5EUy4xOTk0LjA2LzAzLzIwMjYuLi5VU0QuSAEAAADetgEAAwAAAAAAXJtG5c173gg9bxw5znveCEtDSVEuTllTRTpJQk0uSVFfSU5URVJFU1RfUEVOQUxUSUVTX1JFQ09HX0lTX1BSRV9UQVguMTk5NC4wNi8wMy8yMDI2Li4uVVNELkgBAAAA3rYBAAMAAAAAAFybRuXNe94IYZYcOc573gg+Q0lRLk5ZU0U6SUJNLklRX0NBUF9MT1NTX0NGX0FGVEVSX0ZJVkUuMTk5NC4wNi8wMy8yMDI2Li4u</t>
  </si>
  <si>
    <t>VVNELkgBAAAA3rYBAAMAAAAAAFybRuXNe94IYZYcOc573ggyQ0lRLk5ZU0U6SUJNLklRX05PTF9DRl8zWVIuMTk5NC4wNi8wMy8yMDI2Li4uVVNELkgBAAAA3rYBAAMAAAAAAFybRuXNe94IYZYcOc573gg5Q0lRLk5ZU0U6SUJNLklRX0FWR19SRVZfUEVSX1RSQURFLjE5OTQuMDYvMDMvMjAyNi4uLlVTRC5IAQAAAN62AQADAAAAAABcm0blzXveCGGWHDnOe94IQENJUS5OWVNFOklCTS5JUV9PUEVCX0JSRUFLRE9XTl9QQ1RfT1RIRVJfRk9SRUlHTi4xOTk0LjA2LzAzLzIwMjYBAAAA3rYBAAMAAAAAAFybRuXNe94IYZYcOc573gg9Q0lRLk5ZU0U6SUJNLklRX0FTU0VUU19DQVBfTEVBU0VfREVQUi4xOTk0LjA2LzAzLzIwMjYuLi5VU0QuSAEAAADetgEAAwAAAAAAXJtG5c173ggPqhw5znveCDRDSVEuTllTRTpJQk0uSVFfQVVNX0RPTUVTVElDLjE5OTQuMDYvMDMvMjAyNi4uLlVTRC5IAQAAAN62AQADAAAAAABcm0blzXveCA+qHDnOe94IQUNJUS5OWVNFOklCTS5JUV9PUEVCX0JSRUFLRE9XTl9GSV9GT1JFSUdOLjE5OTQuMDYvMDMvMjAyNi4uLlVTRC5IAQAAAN62AQADAAAAAABcm0blzXveCA+qHDnOe94IPUNJUS5OWVNFOklCTS5JUV9PUEVCX0JSRUFLRE9XTl9QQ1RfRklfRk9SRUlHTi4xOTk0LjA2LzAzLzIwMjYBAAAA3rYBAAMAAAAAAFybRuXNe94ID6ocOc573ghDQ0lRLk5ZU0U6SUJNLklRX09Q</t>
  </si>
  <si>
    <t>RUJfQVNTRVRTX0NVUlRBSUxfRk9SRUlHTi4xOTk0LjA2LzAzLzIwMjYuLi5VU0QuSAEAAADetgEAAwAAAAAAXJtG5c173ghhlhw5znveCE1DSVEuTllTRTpJQk0uSVFfT1BFQl9PQkxJR0FUSU9OX0lOVEVSRVNUX0NPU1RfRk9SRUlHTi4xOTk0LjA2LzAzLzIwMjYuLi5VU0QuSAEAAADetgEAAwAAAAAAXJtG5c173ggPqhw5znveCERDSVEuTllTRTpJQk0uSVFfQUREX1RBWF9QT1NJVElPTlNfQ1VSUkVOVF9ZUi4xOTk0LjA2LzAzLzIwMjYuLi5VU0QuSAEAAADetgEAAwAAAAAAXJtG5c173ggPqhw5znveCEpDSVEuTllTRTpJQk0uSVFfVFJBTlNfSU1QQUNUX0ZJTl80OF9DVVJSRU5UX0FTU0VUUy4xOTk0LjA2LzAzLzIwMjYuLi5VU0QuSAEAAADetgEAAwAAAAAAXJtG5c173ggPqhw5znveCDJDSVEuTllTRTpJQk0uSVFfTk9MX0NGXzJZUi4xOTk0LjA2LzAzLzIwMjYuLi5VU0QuSAEAAADetgEAAwAAAAAAXJtG5c173ggPqhw5znveCD9DSVEuTllTRTpJQk0uSVFfTVVUVUFMX0ZVTkRfUkVERU1QVElPTlMuMTk5NC4wNi8wMy8yMDI2Li4uVVNELkgBAAAA3rYBAAMAAAAAAFybRuXNe94ID6ocOc573gg2Q0lRLk5ZU0U6SUJNLklRX0FVTV9ORVRfQ0hBTkdFLjE5OTQuMDYvMDMvMjAyNi4uLlVTRC5IAQAAAN62AQADAAAAAABcm0blzXveCIPRHDnOe94IOkNJUS5OWVNFOklCTS5JUV9BVU1fUFJJVkFURV9F</t>
  </si>
  <si>
    <t>UVVJVFkuMTk5NC4wNi8wMy8yMDI2Li4uVVNELkgBAAAA3rYBAAMAAAAAAFybRuXNe94ID6ocOc573gg+Q0lRLk5ZU0U6SUJNLklRX0FVTV9NT05FWV9NQVJLRVRfRlVORFMuMTk5NC4wNi8wMy8yMDI2Li4uVVNELkgBAAAA3rYBAAMAAAAAAFybRuXNe94ID6ocOc573ghAQ0lRLk5ZU0U6SUJNLklRX09QRUJfRVhQX1JBVEVfUkVUVVJOX01BWF9GT1JFSUdOLjE5OTQuMDYvMDMvMjAyNgEAAADetgEAAwAAAAAAXJtG5c173ggPqhw5znveCEJDSVEuTllTRTpJQk0uSVFfT1BFQl9BU1NFVFNfRlhfQURKX0ZPUkVJR04uMTk5NC4wNi8wMy8yMDI2Li4uVVNELkgBAAAA3rYBAAMAAAAAAFybRuXNe94Ig9EcOc573gg/Q0lRLk5ZU0U6SUJNLklRX09QRUJfT1RIRVJfQ09TVF9GT1JFSUdOLjE5OTQuMDYvMDMvMjAyNi4uLlVTRC5IAQAAAN62AQADAAAAAABcm0blzXveCIPRHDnOe94ITkNJUS5OWVNFOklCTS5JUV9QRU5TSU9OX1VORlVOREVEX0FERExfTUlOX0xJQUJfRk9SRUlHTi4xOTk0LjA2LzAzLzIwMjYuLi5VU0QuSAEAAADetgEAAwAAAAAAXJtG5c173giD0Rw5znveCERDSVEuTllTRTpJQk0uSVFfUEVOU0lPTl9BQ0NSVUVEX0xJQUJfRk9SRUlHTi4xOTk0LjA2LzAzLzIwMjYuLi5VU0QuSAEAAADetgEAAwAAAAAAXJtG5c173giD0Rw5znveCEdDSVEuTllTRTpJQk0uSVFfUEVOU0lPTl9UUkFOU0lUSU9O</t>
  </si>
  <si>
    <t>X05FWFRfRk9SRUlHTi4xOTk0LjA2LzAzLzIwMjYuLi5VU0QuSAEAAADetgEAAwAAAAAAXJtG5c173giD0Rw5znveCEBDSVEuTllTRTpJQk0uSVFfUEVOU0lPTl9CUkVBS0RPV05fUENUX1JFX0ZPUkVJR04uMTk5NC4wNi8wMy8yMDI2AQAAAN62AQADAAAAAABcm0blzXveCPHpHDnOe94ITUNJUS5OWVNFOklCTS5JUV9QRU5TSU9OX0FTU0VUU19PVEhFUl9QTEFOX0FESl9GT1JFSUdOLjE5OTQuMDYvMDMvMjAyNi4uLlVTRC5IAQAAAN62AQADAAAAAABcm0blzXveCPHpHDnOe94IRUNJUS5OWVNFOklCTS5JUV9QRU5TSU9OX0FTU0VUU19GWF9BREpfRk9SRUlHTi4xOTk0LjA2LzAzLzIwMjYuLi5VU0QuSAEAAADetgEAAwAAAAAAXJtG5c173gjx6Rw5znveCFZDSVEuTllTRTpJQk0uSVFfUEVOU0lPTl9PQkxJR0FUSU9OX0FDVFVBUklBTF9HQUlOX0xPU1NfRk9SRUlHTi4xOTk0LjA2LzAzLzIwMjYuLi5VU0QuSAEAAADetgEAAwAAAAAAXJtG5c173gjx6Rw5znveCERDSVEuTllTRTpJQk0uSVFfT1BFQl9ERUNSRUFTRV9FRkZFQ1RfUEJPX0RPTS4xOTk0LjA2LzAzLzIwMjYuLi5VU0QuSAEAAADetgEAAwAAAAAAXJtG5c173gjx6Rw5znveCD1DSVEuTllTRTpJQk0uSVFfT1BFQl9BQ0NSVUVEX0xJQUJfRE9NLjE5OTQuMDYvMDMvMjAyNi4uLlVTRC5IAQAAAN62AQADAAAAAABcm0blzXveCPHpHDnOe94IQENJ</t>
  </si>
  <si>
    <t>US5OWVNFOklCTS5JUV9PUEVCX0VTVF9CRU5FRklUXzVZUl9ET00uMTk5NC4wNi8wMy8yMDI2Li4uVVNELkgBAAAA3rYBAAMAAAAAAFybRuXNe94I8ekcOc573ghBQ0lRLk5ZU0U6SUJNLklRX09QRUJfQ0lfTkVUX0FNVF9SRUNPR19ET00uMTk5NC4wNi8wMy8yMDI2Li4uVVNELkgBAAAA3rYBAAMAAAAAAFybRuXNe94I8ekcOc573ghGQ0lRLk5ZU0U6SUJNLklRX1VOUkVDT0dfVEFYX0JFTkVGSVRfRU5EX1BFUklPRC4xOTk0LjA2LzAzLzIwMjYuLi5VU0QuSAEAAADetgEAAwAAAAAAXJtG5c173gjx6Rw5znveCDdDSVEuTllTRTpJQk0uSVFfTVVUVUFMX0ZVTkRfRU9QLjE5OTQuMDYvMDMvMjAyNi4uLlVTRC5IAQAAAN62AQADAAAAAABcm0blzXveCPHpHDnOe94IPkNJUS5OWVNFOklCTS5JUV9BVU1fRklYRURfSU5DT01FX0ZVTkRTLjE5OTQuMDYvMDMvMjAyNi4uLlVTRC5IAQAAAN62AQADAAAAAABcm0blzXveCPHpHDnOe94IQkNJUS5OWVNFOklCTS5JUV9PUEVCX1VOUkVDT0dfUFJJT1JfRk9SRUlHTi4xOTk0LjA2LzAzLzIwMjYuLi5VU0QuSAEAAADetgEAAwAAAAAAXJtG5c173gjx6Rw5znveCDpDSVEuTllTRTpJQk0uSVFfT1BFQl9ESVNDX1JBVEVfTUFYX0ZPUkVJR04uMTk5NC4wNi8wMy8yMDI2AQAAAN62AQADAAAAAABcm0blzXveCPHpHDnOe94IR0NJUS5OWVNFOklCTS5JUV9PUEVCX09CTElH</t>
  </si>
  <si>
    <t>QVRJT05fQ1VSVEFJTF9GT1JFSUdOLjE5OTQuMDYvMDMvMjAyNi4uLlVTRC5IAQAAAN62AQADAAAAAABcm0blzXveCPHpHDnOe94IUUNJUS5OWVNFOklCTS5JUV9PUEVCX1RPVEFMX0NPU1RfSU5DTF9TVVBQTEVfUExBTlNfRk9SRUlHTi4xOTk0LjA2LzAzLzIwMjYuLi5VU0QuSAEAAADetgEAAwAAAAAAXJtG5c173gjx6Rw5znveCEFDSVEuTllTRTpJQk0uSVFfT1BFQl9TRVJWSUNFX0NPU1RfRk9SRUlHTi4xOTk0LjA2LzAzLzIwMjYuLi5VU0QuSAEAAADetgEAAwAAAAAAXJtG5c173gjx6Rw5znveCFBDSVEuTllTRTpJQk0uSVFfUEVOU0lPTl9FU1RfQ09OVFJJQlVUSU9OU19ORVhUWVJfRk9SRUlHTi4xOTk0LjA2LzAzLzIwMjYuLi5VU0QuSAEAAADetgEAAwAAAAAAXJtG5c173gjx6Rw5znveCD1DSVEuTllTRTpJQk0uSVFfUEVOU0lPTl9ESVNDX1JBVEVfTUlOX0ZPUkVJR04uMTk5NC4wNi8wMy8yMDI2AQAAAN62AQADAAAAAABcm0blzXveCPHpHDnOe94IRENJUS5OWVNFOklCTS5JUV9QRU5TSU9OX1NFUlZJQ0VfQ09TVF9GT1JFSUdOLjE5OTQuMDYvMDMvMjAyNi4uLlVTRC5IAQAAAN62AQADAAAAAABcm0blzXveCPHpHDnOe94IQENJUS5OWVNFOklCTS5JUV9PUEVCX0VTVF9CRU5FRklUXzRZUl9ET00uMTk5NC4wNi8wMy8yMDI2Li4uVVNELkgBAAAA3rYBAAMAAAAAAFybRuXNe94I8ekcOc573gg5</t>
  </si>
  <si>
    <t>Q0lRLk5ZU0U6SUJNLklRX09QRUJfQlJFQUtET1dOX1BDVF9GSV9ET00uMTk5NC4wNi8wMy8yMDI2AQAAAN62AQADAAAAAABcm0blzXveCIIrHTnOe94IRUNJUS5OWVNFOklCTS5JUV9PUEVCX0FTU0VUU19CRU5FRklUU19QQUlEX0RPTS4xOTk0LjA2LzAzLzIwMjYuLi5VU0QuSAEAAADetgEAAwAAAAAAXJtG5c173giCKx05znveCEVDSVEuTllTRTpJQk0uSVFfT1BFQl9BU1NFVFNfQUNUVUFMX1JFVFVSTl9ET00uMTk5NC4wNi8wMy8yMDI2Li4uVVNELkgBAAAA3rYBAAMAAAAAAFybRuXNe94IgisdOc573gg/Q0lRLk5ZU0U6SUJNLklRX09QRUJfT0JMSUdBVElPTl9CRUdfRE9NLjE5OTQuMDYvMDMvMjAyNi4uLlVTRC5IAQAAAN62AQADAAAAAABcm0blzXveCIIrHTnOe94IQUNJUS5OWVNFOklCTS5JUV9QRU5TSU9OX1VOUkVDT0dfUFJJT1JfRE9NLjE5OTQuMDYvMDMvMjAyNi4uLlVTRC5IAQAAAN62AQADAAAAAABcm0blzXveCPHpHDnOe94ISENJUS5OWVNFOklCTS5JUV9QRU5TSU9OX1BCT19BU1NVTUVEX1JBVEVfUkVUX01BWF9GT1JFSUdOLjE5OTQuMDYvMDMvMjAyNgEAAADetgEAAwAAAAAAXJtG5c173giCKx05znveCERDSVEuTllTRTpJQk0uSVFfUEVOU0lPTl9CUkVBS0RPV05fRVFfRk9SRUlHTi4xOTk0LjA2LzAzLzIwMjYuLi5VU0QuSAEAAADetgEAAwAAAAAAXJtG5c173giCKx05znveCExD</t>
  </si>
  <si>
    <t>SVEuTllTRTpJQk0uSVFfUEVOU0lPTl9PQkxJR0FUSU9OX1BST0pFQ1RFRF9GT1JFSUdOLjE5OTQuMDYvMDMvMjAyNi4uLlVTRC5IAQAAAN62AQADAAAAAABcm0blzXveCIIrHTnOe94IX0NJUS5OWVNFOklCTS5JUV9QRU5TSU9OX09CTElHQVRJT05fVE9UQUxfQ09TVF9JTkNMX1NVUFBMRV9QTEFOU19GT1JFSUdOLjE5OTQuMDYvMDMvMjAyNi4uLlVTRC5IAQAAAN62AQADAAAAAABcm0blzXveCIIrHTnOe94IP0NJUS5OWVNFOklCTS5JUV9PUEVCX0FDQ1VNX09USEVSX0NJX0RPTS4xOTk0LjA2LzAzLzIwMjYuLi5VU0QuSAEAAADetgEAAwAAAAAAXJtG5c173giCKx05znveCEtDSVEuTllTRTpJQk0uSVFfT1BFQl9PQkxJR0FUSU9OX0FDQ1VNVUxBVEVEX0ZPUkVJR04uMTk5NC4wNi8wMy8yMDI2Li4uVVNELkgBAAAA3rYBAAMAAAAAAFybRuXNe94IxFIdOc573ghFQ0lRLk5ZU0U6SUJNLklRX1BFTlNJT05fQ0lfVFJBTlNJVElPTl9GT1JFSUdOLjE5OTQuMDYvMDMvMjAyNi4uLlVTRC5IAQAAAN62AQADAAAAAABcm0blzXveCIIrHTnOe94ITENJUS5OWVNFOklCTS5JUV9QRU5TSU9OX0FTU0VUU19CRU5FRklUU19QQUlEX0ZPUkVJR04uMTk5NC4wNi8wMy8yMDI2Li4uVVNELkgBAAAA3rYBAAMAAAAAAFybRuXNe94IgisdOc573gg/Q0lRLk5ZU0U6SUJNLklRX09QRUJfQU1UX1JFQ09HX05FWFRfRE9NLjE5</t>
  </si>
  <si>
    <t>OTQuMDYvMDMvMjAyNi4uLlVTRC5IAQAAAN62AQADAAAAAABcm0blzXveCIIrHTnOe94IPUNJUS5OWVNFOklCTS5JUV9PUEVCX0JSRUFLRE9XTl9GSV9ET00uMTk5NC4wNi8wMy8yMDI2Li4uVVNELkgBAAAA3rYBAAMAAAAAAFybRuXNe94IgisdOc573ghGQ0lRLk5ZU0U6SUJNLklRX09QRUJfQVNTRVRTX09USEVSX1BMQU5fQURKX0RPTS4xOTk0LjA2LzAzLzIwMjYuLi5VU0QuSAEAAADetgEAAwAAAAAAXJtG5c173gjEUh05znveCDJDSVEuTllTRTpJQk0uSVFfQVVNX1JFVEFJTC4xOTk0LjA2LzAzLzIwMjYuLi5VU0QuSAEAAADetgEAAwAAAAAAXJtG5c173gjEUh05znveCEVDSVEuTllTRTpJQk0uSVFfUEVOU0lPTl9VTlJFQ09HX1BSSU9SX0ZPUkVJR04uMTk5NC4wNi8wMy8yMDI2Li4uVVNELkgBAAAA3rYBAAMAAAAAAFybRuXNe94IxFIdOc573gg/Q0lRLk5ZU0U6SUJNLklRX1BFTlNJT05fTFRfTElBQl9GT1JFSUdOLjE5OTQuMDYvMDMvMjAyNi4uLlVTRC5IAQAAAN62AQADAAAAAABcm0blzXveCMRSHTnOe94IQUNJUS5OWVNFOklCTS5JUV9QRU5TSU9OX0xUX0FTU0VUU19GT1JFSUdOLjE5OTQuMDYvMDMvMjAyNi4uLlVTRC5IAQAAAN62AQADAAAAAABcm0blzXveCMRSHTnOe94IRkNJUS5OWVNFOklCTS5JUV9QRU5TSU9OX0FNVF9SRUNPR19ORVhUX0ZPUkVJR04uMTk5NC4wNi8wMy8yMDI2Li4u</t>
  </si>
  <si>
    <t>VVNELkgBAAAA3rYBAAMAAAAAAFybRuXNe94IxFIdOc573ghCQ0lRLk5ZU0U6SUJNLklRX1BFTlNJT05fRVhQX1JFVFVSTl9GT1JFSUdOLjE5OTQuMDYvMDMvMjAyNi4uLlVTRC5IAQAAAN62AQADAAAAAABcm0blzXveCMRSHTnOe94IOENJUS5OWVNFOklCTS5JUV9PUEVCX0xUX0xJQUJfRE9NLjE5OTQuMDYvMDMvMjAyNi4uLlVTRC5IAQAAAN62AQADAAAAAABcm0blzXveCMRSHTnOe94IQENJUS5OWVNFOklCTS5JUV9PUEVCX0VTVF9CRU5FRklUXzJZUl9ET00uMTk5NC4wNi8wMy8yMDI2Li4uVVNELkgBAAAA3rYBAAMAAAAAAFybRuXNe94IxFIdOc573ghBQ0lRLk5ZU0U6SUJNLklRX09QRUJfUFJFUEFJRF9DT1NUX0ZPUkVJR04uMTk5NC4wNi8wMy8yMDI2Li4uVVNELkgBAAAA3rYBAAMAAAAAAFybRuXNe94IxFIdOc573ghCQ0lRLk5ZU0U6SUJNLklRX09QRUJfQ0lfVFJBTlNJVElPTl9GT1JFSUdOLjE5OTQuMDYvMDMvMjAyNi4uLlVTRC5IAQAAAN62AQADAAAAAABcm0blzXveCO95HTnOe94IUkNJUS5OWVNFOklCTS5JUV9PUEVCX0FTU0VUU19QQVJUSUNJUF9DT05UUklCVVRJT05TX0ZPUkVJR04uMTk5NC4wNi8wMy8yMDI2Li4uVVNELkgBAAAA3rYBAAMAAAAAAFybRuXNe94I73kdOc573ghHQ0lRLk5ZU0U6SUJNLklRX1BFTlNJT05fTkVUX0FTU0VUX1JFQ09HX0ZPUkVJR04uMTk5NC4wNi8wMy8y</t>
  </si>
  <si>
    <t>MDI2Li4uVVNELkgBAAAA3rYBAAMAAAAAAFybRuXNe94I73kdOc573ghKQ0lRLk5ZU0U6SUJNLklRX1BFTlNJT05fT0JMSUdBVElPTl9DVVJUQUlMX0ZPUkVJR04uMTk5NC4wNi8wMy8yMDI2Li4uVVNELkgBAAAA3rYBAAMAAAAAAFybRuXNe94I73kdOc573ghNQ0lRLk5ZU0U6SUJNLklRX1BFTlNJT05fT0JMSUdBVElPTl9UT1RBTF9DT1NUX0ZPUkVJR04uMTk5NC4wNi8wMy8yMDI2Li4uVVNELkgBAAAA3rYBAAMAAAAAAFybRuXNe94IxFIdOc573ghEQ0lRLk5ZU0U6SUJNLklRX09QRUJfSU5DUkVBU0VfRUZGRUNUX1BCT19ET00uMTk5NC4wNi8wMy8yMDI2Li4uVVNELkgBAAAA3rYBAAMAAAAAAFybRuXNe94I73kdOc573gg3Q0lRLk5ZU0U6SUJNLklRX09QRUJfQ0lfQUNUX0RPTS4xOTk0LjA2LzAzLzIwMjYuLi5VU0QuSAEAAADetgEAAwAAAAAAXJtG5c173gjveR05znveCDxDSVEuTllTRTpJQk0uSVFfT1BFQl9FWFBfUkFURV9SRVRVUk5fTUFYX0RPTS4xOTk0LjA2LzAzLzIwMjYBAAAA3rYBAAMAAAAAAFybRuXNe94I73kdOc573ghOQ0lRLk5ZU0U6SUJNLklRX09QRUJfQVNTRVRTX0VNUExPWUVSX0NPTlRSSUJVVElPTlNfRE9NLjE5OTQuMDYvMDMvMjAyNi4uLlVTRC5IAQAAAN62AQADAAAAAABcm0blzXveCO95HTnOe94ISENJUS5OWVNFOklCTS5JUV9PUEVCX09CTElHQVRJT05fU0VSVklDRV9D</t>
  </si>
  <si>
    <t>T1NUX0RPTS4xOTk0LjA2LzAzLzIwMjYuLi5VU0QuSAEAAADetgEAAwAAAAAAXJtG5c173gjveR05znveCEhDSVEuTllTRTpJQk0uSVFfT1BFQl9TVVBQTEVfUExBTlNfVE9UQUxfQ09TVF9ET00uMTk5NC4wNi8wMy8yMDI2Li4uVVNELkgBAAAA3rYBAAMAAAAAAFybRuXNe94I73kdOc573gg9Q0lRLk5ZU0U6SUJNLklRX1BFTlNJT05fQkVORUZJVF9JTkZPX0RBVEVfRE9NLjE5OTQuMDYvMDMvMjAyNgEAAADetgEAAwAAAAAAXJtG5c173gjveR05znveCDtDSVEuTllTRTpJQk0uSVFfUEVOU0lPTl9MVF9MSUFCX0RPTS4xOTk0LjA2LzAzLzIwMjYuLi5VU0QuSAEAAADetgEAAwAAAAAAXJtG5c173gjveR05znveCExDSVEuTllTRTpJQk0uSVFfT1BFQl9PQkxJR0FUSU9OX1NFUlZJQ0VfQ09TVF9GT1JFSUdOLjE5OTQuMDYvMDMvMjAyNi4uLlVTRC5IAQAAAN62AQADAAAAAABcm0blzXveCO95HTnOe94ITENJUS5OWVNFOklCTS5JUV9PUEVCX1NVUFBMRV9QTEFOU19UT1RBTF9DT1NUX0ZPUkVJR04uMTk5NC4wNi8wMy8yMDI2Li4uVVNELkgBAAAA3rYBAAMAAAAAAFybRuXNe94IBKEdOc573gg+Q0lRLk5ZU0U6SUJNLklRX1BFTlNJT05fQ0lfQUNUX0ZPUkVJR04uMTk5NC4wNi8wMy8yMDI2Li4uVVNELkgBAAAA3rYBAAMAAAAAAFybRuXNe94IBKEdOc573gg9Q0lRLk5ZU0U6SUJNLklRX1BFTlNJT05fRElT</t>
  </si>
  <si>
    <t>Q19SQVRFX01BWF9GT1JFSUdOLjE5OTQuMDYvMDMvMjAyNgEAAADetgEAAwAAAAAAXJtG5c173ggEoR05znveCFVDSVEuTllTRTpJQk0uSVFfUEVOU0lPTl9BU1NFVFNfRU1QTE9ZRVJfQ09OVFJJQlVUSU9OU19GT1JFSUdOLjE5OTQuMDYvMDMvMjAyNi4uLlVTRC5IAQAAAN62AQADAAAAAABcm0blzXveCAShHTnOe94IU0NJUS5OWVNFOklCTS5JUV9PUEVCX09CTElHQVRJT05fQUNUVUFSSUFMX0dBSU5fTE9TU19GT1JFSUdOLjE5OTQuMDYvMDMvMjAyNi4uLlVTRC5IAQAAAN62AQADAAAAAABcm0blzXveCAShHTnOe94IUkNJUS5OWVNFOklCTS5JUV9PUEVCX0FTU0VUU19FTVBMT1lFUl9DT05UUklCVVRJT05TX0ZPUkVJR04uMTk5NC4wNi8wMy8yMDI2Li4uVVNELkgBAAAA3rYBAAMAAAAAAFybRuXNe94IBKEdOc573ghUQ0lRLk5ZU0U6SUJNLklRX1BFTlNJT05fUVVBUlRfRU1QTE9ZRVJfQ09OVFJJQlVUSU9OU19GT1JFSUdOLjE5OTQuMDYvMDMvMjAyNi4uLlVTRC5IAQAAAN62AQADAAAAAABcm0blzXveCAShHTnOe94IRkNJUS5OWVNFOklCTS5JUV9QRU5TSU9OX0FDQ1VNX09USEVSX0NJX0ZPUkVJR04uMTk5NC4wNi8wMy8yMDI2Li4uVVNELkgBAAAA3rYBAAMAAAAAAFybRuXNe94IBKEdOc573ghIQ0lRLk5ZU0U6SUJNLklRX1BFTlNJT05fUEJPX0FTU1VNRURfUkFURV9SRVRfTUlOX0ZPUkVJR04u</t>
  </si>
  <si>
    <t>MTk5NC4wNi8wMy8yMDI2AQAAAN62AQADAAAAAABcm0blzXveCAShHTnOe94IQENJUS5OWVNFOklCTS5JUV9QRU5TSU9OX1JBVEVfQ09NUF9HUk9XVEhfRk9SRUlHTi4xOTk0LjA2LzAzLzIwMjYBAAAA3rYBAAMAAAAAAFybRuXNe94IBKEdOc573ghCQ0lRLk5ZU0U6SUJNLklRX1BFTlNJT05fQVNTRVRTX0JFR19GT1JFSUdOLjE5OTQuMDYvMDMvMjAyNi4uLlVTRC5IAQAAAN62AQADAAAAAABcm0blzXveCBvIHTnOe94IQENJUS5OWVNFOklCTS5JUV9PUEVCX0VTVF9CRU5FRklUXzNZUl9ET00uMTk5NC4wNi8wMy8yMDI2Li4uVVNELkgBAAAA3rYBAAMAAAAAAFybRuXNe94IG8gdOc573gg/Q0lRLk5ZU0U6SUJNLklRX09QRUJfUkFURV9DT01QX0lOQ1JFQVNFX01BWF9ET00uMTk5NC4wNi8wMy8yMDI2AQAAAN62AQADAAAAAABcm0blzXveCAShHTnOe94IO0NJUS5OWVNFOklCTS5JUV9PUEVCX0FTU0VUU19CRUdfRE9NLjE5OTQuMDYvMDMvMjAyNi4uLlVTRC5IAQAAAN62AQADAAAAAABcm0blzXveCAShHTnOe94IRkNJUS5OWVNFOklCTS5JUV9PUEVCX0hFQUxUSF9DT1NUX1RSRU5EX0lOSVRJQUxfRk9SRUlHTi4xOTk0LjA2LzAzLzIwMjYBAAAA3rYBAAMAAAAAAFybRuXNe94IG8gdOc573ghIQ0lRLk5ZU0U6SUJNLklRX1BFTlNJT05fQ0lfUFJJT1JfU0VSVklDRV9GT1JFSUdOLjE5OTQuMDYvMDMvMjAy</t>
  </si>
  <si>
    <t>Ni4uLlVTRC5IAQAAAN62AQADAAAAAABcm0blzXveCBvIHTnOe94IQ0NJUS5OWVNFOklCTS5JUV9QRU5TSU9OX0VYUF9SQVRFX1JFVFVSTl9NSU5fRk9SRUlHTi4xOTk0LjA2LzAzLzIwMjYBAAAA3rYBAAMAAAAAAFybRuXNe94IG8gdOc573gg9Q0lRLk5ZU0U6SUJNLklRX09QRUJfSU5UQU5fQVNTRVRTX0RPTS4xOTk0LjA2LzAzLzIwMjYuLi5VU0QuSAEAAADetgEAAwAAAAAAXJtG5c173ggbyB05znveCDFDSVEuTllTRTpJQk0uSVFfQVVNX1NNRV9DVVNUT01FUlMuMTk5NC4wNi8wMy8yMDI2AQAAAN62AQADAAAAAABcm0blzXveCBvIHTnOe94IRUNJUS5OWVNFOklCTS5JUV9PUEVCX1BCT19BU1NVTUVEX1JBVEVfUkVUX01JTl9GT1JFSUdOLjE5OTQuMDYvMDMvMjAyNgEAAADetgEAAwAAAAAAXJtG5c173ggbyB05znveCEBDSVEuTllTRTpJQk0uSVFfT1BFQl9FWFBfUkFURV9SRVRVUk5fTUlOX0ZPUkVJR04uMTk5NC4wNi8wMy8yMDI2AQAAAN62AQADAAAAAABcm0blzXveCBvIHTnOe94IVUNJUS5OWVNFOklCTS5JUV9QRU5TSU9OX0FTU0VUU19QQVJUSUNJUF9DT05UUklCVVRJT05TX0ZPUkVJR04uMTk5NC4wNi8wMy8yMDI2Li4uVVNELkgBAAAA3rYBAAMAAAAAAFybRuXNe94IG8gdOc573gg+Q0lRLk5ZU0U6SUJNLklRX09QRUJfVU5SRUNPR19QUklPUl9ET00uMTk5NC4wNi8wMy8yMDI2Li4uVVNE</t>
  </si>
  <si>
    <t>LkgBAAAA3rYBAAMAAAAAAFybRuXNe94IG8gdOc573gg+Q0lRLk5ZU0U6SUJNLklRX09QRUJfQ0lfVFJBTlNJVElPTl9ET00uMTk5NC4wNi8wMy8yMDI2Li4uVVNELkgBAAAA3rYBAAMAAAAAAFybRuXNe94IG8gdOc573gg9Q0lRLk5ZU0U6SUJNLklRX09QRUJfQlJFQUtET1dOX0VRX0RPTS4xOTk0LjA2LzAzLzIwMjYuLi5VU0QuSAEAAADetgEAAwAAAAAAXJtG5c173ggbyB05znveCD9DSVEuTllTRTpJQk0uSVFfT1BFQl9BU1NFVFNfQ1VSVEFJTF9ET00uMTk5NC4wNi8wMy8yMDI2Li4uVVNELkgBAAAA3rYBAAMAAAAAAFybRuXNe94IG8gdOc573ghCQ0lRLk5ZU0U6SUJNLklRX09QRUJfT0JMSUdBVElPTl9GWF9BREpfRE9NLjE5OTQuMDYvMDMvMjAyNi4uLlVTRC5IAQAAAN62AQADAAAAAABcm0blzXveCBvIHTnOe94IUkNJUS5OWVNFOklCTS5JUV9PUEVCX09CTElHQVRJT05fRU1QTE9ZRUVfQ09OVFJJQlVUSU9OU19ET00uMTk5NC4wNi8wMy8yMDI2Li4uVVNELkgBAAAA3rYBAAMAAAAAAFybRuXNe94IG8gdOc573ghMQ0lRLk5ZU0U6SUJNLklRX1BFTlNJT05fRVNUX0NPTlRSSUJVVElPTlNfTkVYVFlSX0RPTS4xOTk0LjA2LzAzLzIwMjYuLi5VU0QuSAEAAADetgEAAwAAAAAAXJtG5c173ggbyB05znveCENDSVEuTllTRTpJQk0uSVFfUEVOU0lPTl9FU1RfQkVORUZJVF81WVJfRE9NLjE5OTQuMDYv</t>
  </si>
  <si>
    <t>MDMvMjAyNi4uLlVTRC5IAQAAAN62AQADAAAAAABcm0blzXveCP4CHjnOe94IRENJUS5OWVNFOklCTS5JUV9QRU5TSU9OX0NJX05FVF9BTVRfUkVDT0dfRE9NLjE5OTQuMDYvMDMvMjAyNi4uLlVTRC5IAQAAAN62AQADAAAAAABcm0blzXveCP4CHjnOe94IRENJUS5OWVNFOklCTS5JUV9QRU5TSU9OX0NJX1BSSU9SX1NFUlZJQ0VfRE9NLjE5OTQuMDYvMDMvMjAyNi4uLlVTRC5IAQAAAN62AQADAAAAAABcm0blzXveCP4CHjnOe94ISUNJUS5OWVNFOklCTS5JUV9PUEVCX0FTU0VUU19BQ1RVQUxfUkVUVVJOX0ZPUkVJR04uMTk5NC4wNi8wMy8yMDI2Li4uVVNELkgBAAAA3rYBAAMAAAAAAFybRuXNe94IG8gdOc573ghJQ0lRLk5ZU0U6SUJNLklRX09QRUJfT0JMSUdBVElPTl9QUk9KRUNURURfRk9SRUlHTi4xOTk0LjA2LzAzLzIwMjYuLi5VU0QuSAEAAADetgEAAwAAAAAAXJtG5c173ggbyB05znveCFZDSVEuTllTRTpJQk0uSVFfT1BFQl9PQkxJR0FUSU9OX0VNUExPWUVFX0NPTlRSSUJVVElPTlNfRk9SRUlHTi4xOTk0LjA2LzAzLzIwMjYuLi5VU0QuSAEAAADetgEAAwAAAAAAXJtG5c173gj+Ah45znveCDtDSVEuTllTRTpJQk0uSVFfT1BFQl9BU1NFVFNfRk9SRUlHTi4xOTk0LjA2LzAzLzIwMjYuLi5VU0QuSAEAAADetgEAAwAAAAAAXJtG5c173gj+Ah45znveCDNDSVEuTllTRTpJQk0uSVFfQVVNX0FW</t>
  </si>
  <si>
    <t>RVJBR0UuMTk5NC4wNi8wMy8yMDI2Li4uVVNELkgBAAAA3rYBAAMAAAAAAFybRuXNe94I/gIeOc573gg0Q0lRLk5ZU0U6SUJNLklRX0FVTV9SRVRBSUxfQ1VTVE9NRVJTLjE5OTQuMDYvMDMvMjAyNgEAAADetgEAAwAAAAAAXJtG5c173gj+Ah45znveCDdDSVEuTllTRTpJQk0uSVFfT1BFQl9DTF9GT1JFSUdOLjE5OTQuMDYvMDMvMjAyNi4uLlVTRC5IAQAAAN62AQADAAAAAABcm0blzXveCP4CHjnOe94IR0NJUS5OWVNFOklCTS5JUV9QRU5TSU9OX0VTVF9CRU5FRklUXzNZUl9GT1JFSUdOLjE5OTQuMDYvMDMvMjAyNi4uLlVTRC5IAQAAAN62AQADAAAAAABcm0blzXveCP4CHjnOe94ISkNJUS5OWVNFOklCTS5JUV9QRU5TSU9OX1BSSU9SX1NFUlZJQ0VfTkVYVF9GT1JFSUdOLjE5OTQuMDYvMDMvMjAyNi4uLlVTRC5IAQAAAN62AQADAAAAAABcm0blzXveCP4CHjnOe94ITENJUS5OWVNFOklCTS5JUV9QRU5TSU9OX0FTU0VUU19BQ1RVQUxfUkVUVVJOX0ZPUkVJR04uMTk5NC4wNi8wMy8yMDI2Li4uVVNELkgBAAAA3rYBAAMAAAAAAFybRuXNe94I/gIeOc573gg6Q0lRLk5ZU0U6SUJNLklRX09QRUJfQkVORUZJVF9JTkZPX0RBVEVfRE9NLjE5OTQuMDYvMDMvMjAyNgEAAADetgEAAwAAAAAAXJtG5c173gj+Ah45znveCENDSVEuTllTRTpJQk0uSVFfT1BFQl9QQk9fUkFURV9DT01QX0lOQ1JFQVNFX01JTl9E</t>
  </si>
  <si>
    <t>T00uMTk5NC4wNi8wMy8yMDI2AQAAAN62AQADAAAAAABcm0blzXveCHQqHjnOe94IPUNJUS5OWVNFOklCTS5JUV9BVU1fT1RIRVJfQURKVVNUTUVOVFMuMTk5NC4wNi8wMy8yMDI2Li4uVVNELkgBAAAA3rYBAAMAAAAAAFybRuXNe94IdCoeOc573gg7Q0lRLk5ZU0U6SUJNLklRX0FVTV9OT05fRkVFX0VBUk5JTkcuMTk5NC4wNi8wMy8yMDI2Li4uVVNELkgBAAAA3rYBAAMAAAAAAFybRuXNe94IdCoeOc573ghHQ0lRLk5ZU0U6SUJNLklRX1BFTlNJT05fRVNUX0JFTkVGSVRfMVlSX0ZPUkVJR04uMTk5NC4wNi8wMy8yMDI2Li4uVVNELkgBAAAA3rYBAAMAAAAAAFybRuXNe94IdCoeOc573ghDQ0lRLk5ZU0U6SUJNLklRX1BFTlNJT05fRVhQX1JBVEVfUkVUVVJOX01BWF9GT1JFSUdOLjE5OTQuMDYvMDMvMjAyNgEAAADetgEAAwAAAAAAXJtG5c173gj+Ah45znveCEZDSVEuTllTRTpJQk0uSVFfUEVOU0lPTl9BU1NFVFNfQ1VSVEFJTF9GT1JFSUdOLjE5OTQuMDYvMDMvMjAyNi4uLlVTRC5IAQAAAN62AQADAAAAAABcm0blzXveCHQqHjnOe94IR0NJUS5OWVNFOklCTS5JUV9QRU5TSU9OX09CTElHQVRJT05fUEFJRF9GT1JFSUdOLjE5OTQuMDYvMDMvMjAyNi4uLlVTRC5IAQAAAN62AQADAAAAAABcm0blzXveCHQqHjnOe94IRUNJUS5OWVNFOklCTS5JUV9QRU5TSU9OX0lOVEVSRVNUX0NPU1RfRk9SRUlHTi4x</t>
  </si>
  <si>
    <t>OTk0LjA2LzAzLzIwMjYuLi5VU0QuSAEAAADetgEAAwAAAAAAXJtG5c173gh0Kh45znveCDlDSVEuTllTRTpJQk0uSVFfT1BFQl9CUkVBS0RPV05fUENUX1JFX0RPTS4xOTk0LjA2LzAzLzIwMjYBAAAA3rYBAAMAAAAAAFybRuXNe94IdCoeOc573gg+Q0lRLk5ZU0U6SUJNLklRX09QRUJfQVNTRVRTX0ZYX0FESl9ET00uMTk5NC4wNi8wMy8yMDI2Li4uVVNELkgBAAAA3rYBAAMAAAAAAFybRuXNe94IdCoeOc573ghPQ0lRLk5ZU0U6SUJNLklRX09QRUJfT0JMSUdBVElPTl9BQ1RVQVJJQUxfR0FJTl9MT1NTX0RPTS4xOTk0LjA2LzAzLzIwMjYuLi5VU0QuSAEAAADetgEAAwAAAAAAXJtG5c173gh0Kh45znveCD1DSVEuTllTRTpJQk0uSVFfUEVOU0lPTl9PVEhFUl9BREpfRE9NLjE5OTQuMDYvMDMvMjAyNi4uLlVTRC5IAQAAAN62AQADAAAAAABcm0blzXveCHQqHjnOe94IRENJUS5OWVNFOklCTS5JUV9QRU5TSU9OX0lOVEFOX0FTU0VUU19GT1JFSUdOLjE5OTQuMDYvMDMvMjAyNi4uLlVTRC5IAQAAAN62AQADAAAAAABcm0blzXveCHQqHjnOe94IRENJUS5OWVNFOklCTS5JUV9QRU5TSU9OX1BSRVBBSURfQ09TVF9GT1JFSUdOLjE5OTQuMDYvMDMvMjAyNi4uLlVTRC5IAQAAAN62AQADAAAAAABcm0blzXveCHQqHjnOe94IR0NJUS5OWVNFOklCTS5JUV9QRU5TSU9OX0VTVF9CRU5FRklUXzVZUl9GT1JFSUdO</t>
  </si>
  <si>
    <t>LjE5OTQuMDYvMDMvMjAyNi4uLlVTRC5IAQAAAN62AQADAAAAAABcm0blzXveCHQqHjnOe94IRENJUS5OWVNFOklCTS5JUV9QRU5TSU9OX0JSRUFLRE9XTl9GSV9GT1JFSUdOLjE5OTQuMDYvMDMvMjAyNi4uLlVTRC5IAQAAAN62AQADAAAAAABcm0blzXveCHQqHjnOe94ITkNJUS5OWVNFOklCTS5JUV9QRU5TSU9OX0FDQ1VNVUxBVEVEX09CTElHQVRJT05fRk9SRUlHTi4xOTk0LjA2LzAzLzIwMjYuLi5VU0QuSAEAAADetgEAAwAAAAAAXJtG5c173gh0Kh45znveCERDSVEuTllTRTpJQk0uSVFfT1BFQl9FU1RfQkVORUZJVF8yWVJfRk9SRUlHTi4xOTk0LjA2LzAzLzIwMjYuLi5VU0QuSAEAAADetgEAAwAAAAAAXJtG5c173gh0Kh45znveCE5DSVEuTllTRTpJQk0uSVFfT1BFQl9PQkxJR0FUSU9OX09USEVSX1BMQU5fQURKX0ZPUkVJR04uMTk5NC4wNi8wMy8yMDI2Li4uVVNELkgBAAAA3rYBAAMAAAAAAFybRuXNe94IdCoeOc573ghDQ0lRLk5ZU0U6SUJNLklRX09QRUJfT0JMSUdBVElPTl9CRUdfRk9SRUlHTi4xOTk0LjA2LzAzLzIwMjYuLi5VU0QuSAEAAADetgEAAwAAAAAAXJtG5c173gh0Kh45znveCEJDSVEuTllTRTpJQk0uSVFfT1BFQl9JTlRFUkVTVF9DT1NUX0ZPUkVJR04uMTk5NC4wNi8wMy8yMDI2Li4uVVNELkgBAAAA3rYBAAMAAAAAAFybRuXNe94IVGUeOc573ghJQ0lRLk5ZU0U6SUJNLklR</t>
  </si>
  <si>
    <t>X1BFTlNJT05fQ0lfT1RIRVJfTUlTQ19BREpfRk9SRUlHTi4xOTk0LjA2LzAzLzIwMjYuLi5VU0QuSAEAAADetgEAAwAAAAAAXJtG5c173ghUZR45znveCEJDSVEuTllTRTpJQk0uSVFfT1BFQl9IRUFMVEhfQ09TVF9UUkVORF9JTklUSUFMX0RPTS4xOTk0LjA2LzAzLzIwMjYBAAAA3rYBAAMAAAAAAFybRuXNe94IVGUeOc573ghBQ0lRLk5ZU0U6SUJNLklRX09QRUJfUEJPX0FTU1VNRURfUkFURV9SRVRfTUlOX0RPTS4xOTk0LjA2LzAzLzIwMjYBAAAA3rYBAAMAAAAAAFybRuXNe94IVGUeOc573gg/Q0lRLk5ZU0U6SUJNLklRX09QRUJfUkFURV9DT01QX0lOQ1JFQVNFX01JTl9ET00uMTk5NC4wNi8wMy8yMDI2AQAAAN62AQADAAAAAABcm0blzXveCFRlHjnOe94IQkNJUS5OWVNFOklCTS5JUV9BVU1fQUNRVUlTSVRJT05TX1RSQU5TRkVSUy4xOTk0LjA2LzAzLzIwMjYuLi5VU0QuSAEAAADetgEAAwAAAAAAXJtG5c173ghUZR45znveCENDSVEuTllTRTpJQk0uSVFfT1BFQl9SQVRFX0NPTVBfSU5DUkVBU0VfTUFYX0ZPUkVJR04uMTk5NC4wNi8wMy8yMDI2AQAAAN62AQADAAAAAABcm0blzXveCFRlHjnOe94IM0NJUS5OWVNFOklCTS5JUV9BVU1fRk9SRUlHTi4xOTk0LjA2LzAzLzIwMjYuLi5VU0QuSAEAAADetgEAAwAAAAAAXJtG5c173ghUZR45znveCEFDSVEuTllTRTpJQk0uSVFfUEVOU0lPTl9PVEhF</t>
  </si>
  <si>
    <t>Ul9BREpfRk9SRUlHTi4xOTk0LjA2LzAzLzIwMjYuLi5VU0QuSAEAAADetgEAAwAAAAAAXJtG5c173ghUZR45znveCEBDSVEuTllTRTpJQk0uSVFfUEVOU0lPTl9BQ1RfTkVYVF9GT1JFSUdOLjE5OTQuMDYvMDMvMjAyNi4uLlVTRC5IAQAAAN62AQADAAAAAABcm0blzXveCFRlHjnOe94IQ0NJUS5OWVNFOklCTS5JUV9QRU5TSU9OX0JSRUFLRE9XTl9QQ1RfT1RIRVJfRk9SRUlHTi4xOTk0LjA2LzAzLzIwMjYBAAAA3rYBAAMAAAAAAFybRuXNe94IVGUeOc573gg+Q0lRLk5ZU0U6SUJNLklRX0FTU0VUU19DQVBfTEVBU0VfR1JPU1MuMTk5NC4wNi8wMy8yMDI2Li4uVVNELkgBAAAA3rYBAAMAAAAAAFybRuXNe94IVGUeOc573ghCQ0lRLk5ZU0U6SUJNLklRX1BFTlNJT05fQVNTRVRTX0FDUV9GT1JFSUdOLjE5OTQuMDYvMDMvMjAyNi4uLlVTRC5IAQAAAN62AQADAAAAAABcm0blzXveCFRlHjnOe94IQUNJUS5OWVNFOklCTS5JUV9PUEVCX0NJX1BSSU9SX1NFUlZJQ0VfRE9NLjE5OTQuMDYvMDMvMjAyNi4uLlVTRC5IAQAAAN62AQADAAAAAABcm0blzXveCFRlHjnOe94IO0NJUS5OWVNFOklCTS5JUV9PUEVCX0VYUF9SRVRVUk5fRE9NLjE5OTQuMDYvMDMvMjAyNi4uLlVTRC5IAQAAAN62AQADAAAAAABcm0blzXveCFRlHjnOe94IQ0NJUS5OWVNFOklCTS5JUV9QRU5TSU9OX05FVF9BU1NFVF9SRUNPR19ET00u</t>
  </si>
  <si>
    <t>MTk5NC4wNi8wMy8yMDI2Li4uVVNELkgBAAAA3rYBAAMAAAAAAFybRuXNe94IVGUeOc573gg2Q0lRLk5ZU0U6SUJNLklRX1BFTlNJT05fQ0xfRE9NLjE5OTQuMDYvMDMvMjAyNi4uLlVTRC5IAQAAAN62AQADAAAAAABcm0blzXveCFRlHjnOe94IR0NJUS5OWVNFOklCTS5JUV9QRU5TSU9OX0VTVF9CRU5FRklUXzJZUl9GT1JFSUdOLjE5OTQuMDYvMDMvMjAyNi4uLlVTRC5IAQAAAN62AQADAAAAAABcm0blzXveCFRlHjnOe94IOkNJUS5OWVNFOklCTS5JUV9PUEVCX0xUX0FTU0VUU19ET00uMTk5NC4wNi8wMy8yMDI2Li4uVVNELkgBAAAA3rYBAAMAAAAAAFybRuXNe94IVGUeOc573ghDQ0lRLk5ZU0U6SUJNLklRX09QRUJfUEJPX1JBVEVfQ09NUF9JTkNSRUFTRV9NQVhfRE9NLjE5OTQuMDYvMDMvMjAyNgEAAADetgEAAwAAAAAAXJtG5c173ghUZR45znveCDxDSVEuTllTRTpJQk0uSVFfUEVOU0lPTl9CUkVBS0RPV05fUENUX1JFX0RPTS4xOTk0LjA2LzAzLzIwMjYBAAAA3rYBAAMAAAAAAFybRuXNe94IiqAeOc573ghEQ0lRLk5ZU0U6SUJNLklRX1BFTlNJT05fQlJFQUtET1dOX1JFX0ZPUkVJR04uMTk5NC4wNi8wMy8yMDI2Li4uVVNELkgBAAAA3rYBAAMAAAAAAFybRuXNe94IiqAeOc573ghZQ0lRLk5ZU0U6SUJNLklRX1BFTlNJT05fT0JMSUdBVElPTl9FTVBMT1lFRV9DT05UUklCVVRJT05TX0ZPUkVJ</t>
  </si>
  <si>
    <t>R04uMTk5NC4wNi8wMy8yMDI2Li4uVVNELkgBAAAA3rYBAAMAAAAAAFybRuXNe94IiqAeOc573gg/Q0lRLk5ZU0U6SUJNLklRX09QRUJfRVhQX1JFVFVSTl9GT1JFSUdOLjE5OTQuMDYvMDMvMjAyNi4uLlVTRC5IAQAAAN62AQADAAAAAABcm0blzXveCIqgHjnOe94IQENJUS5OWVNFOklCTS5JUV9QRU5TSU9OX0JSRUFLRE9XTl9QQ1RfRklfRk9SRUlHTi4xOTk0LjA2LzAzLzIwMjYBAAAA3rYBAAMAAAAAAFybRuXNe94IiqAeOc573ghGQ0lRLk5ZU0U6SUJNLklRX1BFTlNJT05fUkFURV9DT01QX0lOQ1JFQVNFX01JTl9GT1JFSUdOLjE5OTQuMDYvMDMvMjAyNgEAAADetgEAAwAAAAAAXJtG5c173giytB45znveCDxDSVEuTllTRTpJQk0uSVFfT1BFQl9FWFBfUkFURV9SRVRVUk5fTUlOX0RPTS4xOTk0LjA2LzAzLzIwMjYBAAAA3rYBAAMAAAAAAFybRuXNe94IsrQeOc573ghDQ0lRLk5ZU0U6SUJNLklRX1BFTlNJT05fRVNUX0JFTkVGSVRfMllSX0RPTS4xOTk0LjA2LzAzLzIwMjYuLi5VU0QuSAEAAADetgEAAwAAAAAAXJtG5c173giytB45znveCEFDSVEuTllTRTpJQk0uSVFfUEVOU0lPTl9DSV9UUkFOU0lUSU9OX0RPTS4xOTk0LjA2LzAzLzIwMjYuLi5VU0QuSAEAAADetgEAAwAAAAAAXJtG5c173giytB45znveCDxDSVEuTllTRTpJQk0uSVFfUEVOU0lPTl9CUkVBS0RPV05fUENUX0VRX0RPTS4xOTk0</t>
  </si>
  <si>
    <t>LjA2LzAzLzIwMjYBAAAA3rYBAAMAAAAAAFybRuXNe94IiqAeOc573ghDQ0lRLk5ZU0U6SUJNLklRX1BFTlNJT05fRVhQX1JFVFVSTl9ET01FU1RJQy4xOTk0LjA2LzAzLzIwMjYuLi5VU0QuSAEAAADetgEAAwAAAAAAXJtG5c173giRyh45znveCEBDSVEuTllTRTpJQk0uSVFfUEVOU0lPTl9CUkVBS0RPV05fUENUX0VRX0ZPUkVJR04uMTk5NC4wNi8wMy8yMDI2AQAAAN62AQADAAAAAABcm0blzXveCLK0HjnOe94IUUNJUS5OWVNFOklCTS5JUV9PUEVCX0lOQ1JFQVNFX0VGRkVDVF9TRVJWSUNFX0lOVF9DT1NUX0RPTS4xOTk0LjA2LzAzLzIwMjYuLi5VU0QuSAEAAADetgEAAwAAAAAAXJtG5c173giytB45znveCD1DSVEuTllTRTpJQk0uSVFfT1BFQl9QUkVQQUlEX0NPU1RfRE9NLjE5OTQuMDYvMDMvMjAyNi4uLlVTRC5IAQAAAN62AQADAAAAAABcm0blzXveCLK0HjnOe94IO0NJUS5OWVNFOklCTS5JUV9PUEVCX1RPVEFMX0NPU1RfRE9NLjE5OTQuMDYvMDMvMjAyNi4uLlVTRC5IAQAAAN62AQADAAAAAABcm0blzXveCLK0HjnOe94IRkNJUS5OWVNFOklCTS5JUV9QRU5TSU9OX1BCT19SQVRFX0NPTVBfSU5DUkVBU0VfTUFYX0RPTS4xOTk0LjA2LzAzLzIwMjYBAAAA3rYBAAMAAAAAAFybRuXNe94IkcoeOc573gg9Q0lRLk5ZU0U6SUJNLklRX1BFTlNJT05fT1RIRVJfRk9SRUlHTi4xOTk0LjA2LzAzLzIw</t>
  </si>
  <si>
    <t>MjYuLi5VU0QuSAEAAADetgEAAwAAAAAAXJtG5c173giRyh45znveCEBDSVEuTllTRTpJQk0uSVFfT1BFQl9PQkxJR0FUSU9OX1BBSURfRE9NLjE5OTQuMDYvMDMvMjAyNi4uLlVTRC5IAQAAAN62AQADAAAAAABcm0blzXveCJHKHjnOe94ISUNJUS5OWVNFOklCTS5JUV9PUEVCX09CTElHQVRJT05fSU5URVJFU1RfQ09TVF9ET00uMTk5NC4wNi8wMy8yMDI2Li4uVVNELkgBAAAA3rYBAAMAAAAAAFybRuXNe94IkcoeOc573ghEQ0lRLk5ZU0U6SUJNLklRX1BFTlNJT05fUEJPX0FTU1VNRURfUkFURV9SRVRfTUFYX0RPTS4xOTk0LjA2LzAzLzIwMjYBAAAA3rYBAAMAAAAAAFybRuXNe94IkcoeOc573gg9Q0lRLk5ZU0U6SUJNLklRX1BFTlNJT05fRElTQ09VTlRfUkFURV9GT1JFSUdOLjE5OTQuMDYvMDMvMjAyNgEAAADetgEAAwAAAAAAXJtG5c173gj98R45znveCD5DSVEuTllTRTpJQk0uSVFfUEVOU0lPTl9BU1NFVFNfRk9SRUlHTi4xOTk0LjA2LzAzLzIwMjYuLi5VU0QuSAEAAADetgEAAwAAAAAAXJtG5c173gj98R45znveCDZDSVEuTllTRTpJQk0uSVFfT1BFQl9PVEhFUl9ET00uMTk5NC4wNi8wMy8yMDI2Li4uVVNELkgBAAAA3rYBAAMAAAAAAFybRuXNe94I/fEeOc573gg+Q0lRLk5ZU0U6SUJNLklRX09QRUJfSU5URVJFU1RfQ09TVF9ET00uMTk5NC4wNi8wMy8yMDI2Li4uVVNELkgBAAAA3rYBAAMA</t>
  </si>
  <si>
    <t>AAAAAFybRuXNe94IkcoeOc573ghCQ0lRLk5ZU0U6SUJNLklRX1BFTlNJT05fQU1UX1JFQ09HX05FWFRfRE9NLjE5OTQuMDYvMDMvMjAyNi4uLlVTRC5IAQAAAN62AQADAAAAAABcm0blzXveCJHKHjnOe94IQENJUS5OWVNFOklCTS5JUV9QRU5TSU9OX0JSRUFLRE9XTl9SRV9ET00uMTk5NC4wNi8wMy8yMDI2Li4uVVNELkgBAAAA3rYBAAMAAAAAAFybRuXNe94I/fEeOc573ghBQ0lRLk5ZU0U6SUJNLklRX1BFTlNJT05fUkFURV9DT01QX0dST1dUSF9ET01FU1RJQy4xOTk0LjA2LzAzLzIwMjYBAAAA3rYBAAMAAAAAAFybRuXNe94I/fEeOc573ghJQ0lRLk5ZU0U6SUJNLklRX1BFTlNJT05fQVNTRVRTX09USEVSX1BMQU5fQURKX0RPTS4xOTk0LjA2LzAzLzIwMjYuLi5VU0QuSAEAAADetgEAAwAAAAAAXJtG5c173gj98R45znveCENDSVEuTllTRTpJQk0uSVFfT1BFQl9FU1RfQkVORUZJVF9BRlRFUjVfRE9NLjE5OTQuMDYvMDMvMjAyNi4uLlVTRC5IAQAAAN62AQADAAAAAABcm0blzXveCP3xHjnOe94IQkNJUS5OWVNFOklCTS5JUV9PUEVCX0NJX09USEVSX01JU0NfQURKX0RPTS4xOTk0LjA2LzAzLzIwMjYuLi5VU0QuSAEAAADetgEAAwAAAAAAXJtG5c173gj98R45znveCE1DSVEuTllTRTpJQk0uSVFfT1BFQl9UT1RBTF9DT1NUX0lOQ0xfU1VQUExFX1BMQU5TX0RPTS4xOTk0LjA2LzAzLzIwMjYuLi5V</t>
  </si>
  <si>
    <t>U0QuSAEAAADetgEAAwAAAAAAXJtG5c173gg0GR85znveCEBDSVEuTllTRTpJQk0uSVFfUEVOU0lPTl9CUkVBS0RPV05fRVFfRE9NLjE5OTQuMDYvMDMvMjAyNi4uLlVTRC5IAQAAAN62AQADAAAAAABcm0blzXveCP3xHjnOe94IQENJUS5OWVNFOklCTS5JUV9PUEVCX1RSQU5TSVRJT05fTkVYVF9ET00uMTk5NC4wNi8wMy8yMDI2Li4uVVNELkgBAAAA3rYBAAMAAAAAAFybRuXNe94I/fEeOc573gg8Q0lRLk5ZU0U6SUJNLklRX1BFTlNJT05fQUNUX05FWFRfRE9NLjE5OTQuMDYvMDMvMjAyNi4uLlVTRC5IAQAAAN62AQADAAAAAABcm0blzXveCP3xHjnOe94IQkNJUS5OWVNFOklCTS5JUV9QRU5TSU9OX1JBVEVfQ09NUF9JTkNSRUFTRV9NSU5fRE9NLjE5OTQuMDYvMDMvMjAyNgEAAADetgEAAwAAAAAAXJtG5c173gj98R45znveCFFDSVEuTllTRTpJQk0uSVFfUEVOU0lPTl9BU1NFVFNfRU1QTE9ZRVJfQ09OVFJJQlVUSU9OU19ET00uMTk5NC4wNi8wMy8yMDI2Li4uVVNELkgBAAAA3rYBAAMAAAAAAFybRuXNe94INBkfOc573ghLQ0lRLk5ZU0U6SUJNLklRX1BFTlNJT05fT0JMSUdBVElPTl9TRVJWSUNFX0NPU1RfRE9NLjE5OTQuMDYvMDMvMjAyNi4uLlVTRC5IAQAAAN62AQADAAAAAABcm0blzXveCDQZHznOe94IOkNJUS5OWVNFOklCTS5JUV9PUEVCX1VOUkVDT0dfUFJJT1IuMTk5NC4wNi8wMy8yMDI2</t>
  </si>
  <si>
    <t>Li4uVVNELkgBAAAA3rYBAAMAAAAAAFybRuXNe94INBkfOc573ghKQ0lRLk5ZU0U6SUJNLklRX1BFTlNJT05fRVNUX0JFTkVGSVRfQUZURVI1X0ZPUkVJR04uMTk5NC4wNi8wMy8yMDI2Li4uVVNELkgBAAAA3rYBAAMAAAAAAFybRuXNe94INBkfOc573ghKQ0lRLk5ZU0U6SUJNLklRX1BFTlNJT05fUEJPX1JBVEVfQ09NUF9JTkNSRUFTRV9NQVhfRk9SRUlHTi4xOTk0LjA2LzAzLzIwMjYBAAAA3rYBAAMAAAAAAFybRuXNe94INBkfOc573ghGQ0lRLk5ZU0U6SUJNLklRX1BFTlNJT05fT0JMSUdBVElPTl9BQ1FfRk9SRUlHTi4xOTk0LjA2LzAzLzIwMjYuLi5VU0QuSAEAAADetgEAAwAAAAAAXJtG5c173gg0GR85znveCFBDSVEuTllTRTpJQk0uSVFfUEVOU0lPTl9PQkxJR0FUSU9OX0lOVEVSRVNUX0NPU1RfRk9SRUlHTi4xOTk0LjA2LzAzLzIwMjYuLi5VU0QuSAEAAADetgEAAwAAAAAAXMJG5c173gg0GR85znveCEpDSVEuTllTRTpJQk0uSVFfUEVOU0lPTl9QQk9fUkFURV9DT01QX0lOQ1JFQVNFX01JTl9GT1JFSUdOLjE5OTQuMDYvMDMvMjAyNgEAAADetgEAAwAAAAAAXMJG5c173gg0GR85znveCElDSVEuTllTRTpJQk0uSVFfUEVOU0lPTl9PQkxJR0FUSU9OX0ZYX0FESl9GT1JFSUdOLjE5OTQuMDYvMDMvMjAyNi4uLlVTRC5IAQAAAN62AQADAAAAAABcwkblzXveCDQZHznOe94IQENJUS5OWVNFOklC</t>
  </si>
  <si>
    <t>TS5JUV9PUEVCX05FVF9BU1NFVF9SRUNPR19ET00uMTk5NC4wNi8wMy8yMDI2Li4uVVNELkgBAAAA3rYBAAMAAAAAAFzCRuXNe94INBkfOc573gg5Q0lRLk5ZU0U6SUJNLklRX09QRUJfQUNUX05FWFRfRE9NLjE5OTQuMDYvMDMvMjAyNi4uLlVTRC5IAQAAAN62AQADAAAAAABcwkblzXveCC1AHznOe94IT0NJUS5OWVNFOklCTS5JUV9QRU5TSU9OX09CTElHQVRJT05fU0VSVklDRV9DT1NUX0ZPUkVJR04uMTk5NC4wNi8wMy8yMDI2Li4uVVNELkgBAAAA3rYBAAMAAAAAAFzCRuXNe94ILUAfOc573ghAQ0lRLk5ZU0U6SUJNLklRX09QRUJfRVNUX0JFTkVGSVRfMVlSX0RPTS4xOTk0LjA2LzAzLzIwMjYuLi5VU0QuSAEAAADetgEAAwAAAAAAXMJG5c173ggtQB85znveCEdDSVEuTllTRTpJQk0uSVFfUEVOU0lPTl9FU1RfQkVORUZJVF80WVJfRk9SRUlHTi4xOTk0LjA2LzAzLzIwMjYuLi5VU0QuSAEAAADetgEAAwAAAAAAXMJG5c173ggtQB85znveCEZDSVEuTllTRTpJQk0uSVFfUEVOU0lPTl9PQkxJR0FUSU9OX0JFR19GT1JFSUdOLjE5OTQuMDYvMDMvMjAyNi4uLlVTRC5IAQAAAN62AQADAAAAAABcwkblzXveCDQZHznOe94ITUNJUS5OWVNFOklCTS5JUV9QRU5TSU9OX09CTElHQVRJT05fT1RIRVJfQ09TVF9GT1JFSUdOLjE5OTQuMDYvMDMvMjAyNi4uLlVTRC5IAQAAAN62AQADAAAAAABcwkblzXveCIRU</t>
  </si>
  <si>
    <t>HznOe94IOkNJUS5OWVNFOklCTS5JUV9PUEVCX09USEVSX0FESl9ET00uMTk5NC4wNi8wMy8yMDI2Li4uVVNELkgBAAAA3rYBAAMAAAAAAFzCRuXNe94IhFQfOc573gg5Q0lRLk5ZU0U6SUJNLklRX09QRUJfQlJFQUtET1dOX1BDVF9FUV9ET00uMTk5NC4wNi8wMy8yMDI2AQAAAN62AQADAAAAAABcwkblzXveCIRUHznOe94IQENJUS5OWVNFOklCTS5JUV9QRU5TSU9OX0FDQ1JVRURfTElBQl9ET00uMTk5NC4wNi8wMy8yMDI2Li4uVVNELkgBAAAA3rYBAAMAAAAAAFzCRuXNe94IhFQfOc573ghGQ0lRLk5ZU0U6SUJNLklRX1BFTlNJT05fUkFURV9DT01QX0lOQ1JFQVNFX01BWF9GT1JFSUdOLjE5OTQuMDYvMDMvMjAyNgEAAADetgEAAwAAAAAAXMJG5c173ggtQB85znveCENDSVEuTllTRTpJQk0uSVFfT1BFQl9QUklPUl9TRVJWSUNFX05FWFRfRE9NLjE5OTQuMDYvMDMvMjAyNi4uLlVTRC5IAQAAAN62AQADAAAAAABcwkblzXveCFRoHznOe94ITkNJUS5OWVNFOklCTS5JUV9PUEVCX0FTU0VUU19QQVJUSUNJUF9DT05UUklCVVRJT05TX0RPTS4xOTk0LjA2LzAzLzIwMjYuLi5VU0QuSAEAAADetgEAAwAAAAAAXMJG5c173ghUaB85znveCEpDSVEuTllTRTpJQk0uSVFfT1BFQl9PQkxJR0FUSU9OX09USEVSX1BMQU5fQURKX0RPTS4xOTk0LjA2LzAzLzIwMjYuLi5VU0QuSAEAAADetgEAAwAAAAAAXMJG5c17</t>
  </si>
  <si>
    <t>3giEVB85znveCENDSVEuTllTRTpJQk0uSVFfUEVOU0lPTl9FU1RfQkVORUZJVF8zWVJfRE9NLjE5OTQuMDYvMDMvMjAyNi4uLlVTRC5IAQAAAN62AQADAAAAAABcwkblzXveCIRUHznOe94IR0NJUS5OWVNFOklCTS5JUV9QRU5TSU9OX0JSRUFLRE9XTl9PVEhFUl9GT1JFSUdOLjE5OTQuMDYvMDMvMjAyNi4uLlVTRC5IAQAAAN62AQADAAAAAABcwkblzXveCIRUHznOe94IPUNJUS5OWVNFOklCTS5JUV9PUEVCX0JSRUFLRE9XTl9SRV9ET00uMTk5NC4wNi8wMy8yMDI2Li4uVVNELkgBAAAA3rYBAAMAAAAAAFzCRuXNe94IVGgfOc573gg7Q0lRLk5ZU0U6SUJNLklRX09QRUJfQVNTRVRTX0FDUV9ET00uMTk5NC4wNi8wMy8yMDI2Li4uVVNELkgBAAAA3rYBAAMAAAAAAFzCRuXNe94IVGgfOc573ghCQ0lRLk5ZU0U6SUJNLklRX1BFTlNJT05fQUNDVU1fT1RIRVJfQ0lfRE9NLjE5OTQuMDYvMDMvMjAyNi4uLlVTRC5IAQAAAN62AQADAAAAAABcwkblzXveCFRoHznOe94IRUNJUS5OWVNFOklCTS5JUV9QRU5TSU9OX0NJX09USEVSX01JU0NfQURKX0RPTS4xOTk0LjA2LzAzLzIwMjYuLi5VU0QuSAEAAADetgEAAwAAAAAAXMJG5c173ghUaB85znveCFFDSVEuTllTRTpJQk0uSVFfT1BFQl9ERUNSRUFTRV9FRkZFQ1RfU0VSVklDRV9JTlRfQ09TVF9ET00uMTk5NC4wNi8wMy8yMDI2Li4uVVNELkgBAAAA3rYBAAMA</t>
  </si>
  <si>
    <t>AAAAAFzCRuXNe94IVGgfOc573ghQQ0lRLk5ZU0U6SUJNLklRX1BFTlNJT05fUVVBUlRfQURETF9DT05UUklCVVRJT05TX0VYUF9ET00uMTk5NC4wNi8wMy8yMDI2Li4uVVNELkgBAAAA3rYBAAMAAAAAAFzCRuXNe94IVGgfOc573ghDQ0lRLk5ZU0U6SUJNLklRX1BFTlNJT05fRVNUX0JFTkVGSVRfMVlSX0RPTS4xOTk0LjA2LzAzLzIwMjYuLi5VU0QuSAEAAADetgEAAwAAAAAAXMJG5c173ghUaB85znveCD9DSVEuTllTRTpJQk0uSVFfUEVOU0lPTl9FWFBfUkFURV9SRVRVUk5fTUFYX0RPTS4xOTk0LjA2LzAzLzIwMjYBAAAA3rYBAAMAAAAAAFzCRuXNe94IVGgfOc573ghBQ0lRLk5ZU0U6SUJNLklRX1BFTlNJT05fQVNTRVRTX0ZYX0FESl9ET00uMTk5NC4wNi8wMy8yMDI2Li4uVVNELkgBAAAA3rYBAAMAAAAAAFzCRuXNe94IVGgfOc573ghIQ0lRLk5ZU0U6SUJNLklRX1BFTlNJT05fQ0lfTkVUX0FNVF9SRUNPR19GT1JFSUdOLjE5OTQuMDYvMDMvMjAyNi4uLlVTRC5IAQAAAN62AQADAAAAAABcwkblzXveCFRoHznOe94IUUNJUS5OWVNFOklCTS5JUV9QRU5TSU9OX09CTElHQVRJT05fT1RIRVJfUExBTl9BREpfRk9SRUlHTi4xOTk0LjA2LzAzLzIwMjYuLi5VU0QuSAEAAADetgEAAwAAAAAAXMJG5c173ghUaB85znveCDNDSVEuTllTRTpJQk0uSVFfT1BFQl9DTF9ET00uMTk5NC4wNi8wMy8yMDI2Li4u</t>
  </si>
  <si>
    <t>VVNELkgBAAAA3rYBAAMAAAAAAFzCRuXNe94IVGgfOc573gg9Q0lRLk5ZU0U6SUJNLklRX09QRUJfU0VSVklDRV9DT1NUX0RPTS4xOTk0LjA2LzAzLzIwMjYuLi5VU0QuSAEAAADetgEAAwAAAAAAXMJG5c173ghUaB85znveCDhDSVEuTllTRTpJQk0uSVFfQVVNX0VRVUlUWV9GVU5EUy4xOTk0LjA2LzAzLzIwMjYuLi5VU0QuSAEAAADetgEAAwAAAAAAXMJG5c173ghUaB85znveCEZDSVEuTllTRTpJQk0uSVFfUEVOU0lPTl9PQkxJR0FUSU9OX1JPQV9GT1JFSUdOLjE5OTQuMDYvMDMvMjAyNi4uLlVTRC5IAQAAAN62AQADAAAAAABcwkblzXveCFRoHznOe94IQ0NJUS5OWVNFOklCTS5JUV9PUEVCX0hFQUxUSF9DT1NUX1RSRU5EX1VMVElNQVRFX0RPTS4xOTk0LjA2LzAzLzIwMjYBAAAA3rYBAAMAAAAAAFzCRuXNe94IC6UfOc573ghHQ0lRLk5ZU0U6SUJNLklRX09QRUJfT0JMSUdBVElPTl9BQ0NVTVVMQVRFRF9ET00uMTk5NC4wNi8wMy8yMDI2Li4uVVNELkgBAAAA3rYBAAMAAAAAAFzCRuXNe94IC6UfOc573gg7Q0lRLk5ZU0U6SUJNLklRX09QRUJfT1RIRVJfQ09TVF9ET00uMTk5NC4wNi8wMy8yMDI2Li4uVVNELkgBAAAA3rYBAAMAAAAAAFzCRuXNe94IC6UfOc573ghDQ0lRLk5ZU0U6SUJNLklRX1BFTlNJT05fVFJBTlNJVElPTl9ORVhUX0RPTS4xOTk0LjA2LzAzLzIwMjYuLi5VU0QuSAEAAADetgEA</t>
  </si>
  <si>
    <t>AwAAAAAAXMJG5c173ghUaB85znveCEBDSVEuTllTRTpJQk0uSVFfUEVOU0lPTl9CUkVBS0RPV05fRklfRE9NLjE5OTQuMDYvMDMvMjAyNi4uLlVTRC5IAQAAAN62AQADAAAAAABcwkblzXveCFRoHznOe94IMkNJUS5OWVNFOklCTS5JUV9PUEVCX09USEVSLjE5OTQuMDYvMDMvMjAyNi4uLlVTRC5IAQAAAN62AQADAAAAAABcwkblzXveCAulHznOe94IL0NJUS5OWVNFOklCTS5JUV9PUEVCX0NMLjE5OTQuMDYvMDMvMjAyNi4uLlVTRC5IAQAAAN62AQADAAAAAABcwkblzXveCAulHznOe94IMkNJUS5OWVNFOklCTS5JUV9PUEVCX0RJU0NfUkFURV9NSU4uMTk5NC4wNi8wMy8yMDI2AQAAAN62AQADAAAAAABcwkblzXveCAulHznOe94IQ0NJUS5OWVNFOklCTS5JUV9PUEVCX09CTElHQVRJT05fQUNDVU1VTEFURUQuMTk5NC4wNi8wMy8yMDI2Li4uVVNELkgBAAAA3rYBAAMAAAAAAFzCRuXNe94IC6UfOc573gg3Q0lRLk5ZU0U6SUJNLklRX09QRUJfVE9UQUxfQ09TVC4xOTk0LjA2LzAzLzIwMjYuLi5VU0QuSAEAAADetgEAAwAAAAAAXMJG5c173ggLpR85znveCFBDSVEuTllTRTpJQk0uSVFfUEVOU0lPTl9RVUFSVF9FTVBMT1lFUl9DT05UUklCVVRJT05TX0RPTS4xOTk0LjA2LzAzLzIwMjYuLi5VU0QuSAEAAADetgEAAwAAAAAAXMJG5c173ggLpR85znveCEBDSVEuTllTRTpJQk0uSVFfUEVOU0lPTl9TRVJW</t>
  </si>
  <si>
    <t>SUNFX0NPU1RfRE9NLjE5OTQuMDYvMDMvMjAyNi4uLlVTRC5IAQAAAN62AQADAAAAAABcwkblzXveCAulHznOe94INkNJUS5OWVNFOklCTS5JUV9PUEVCX09USEVSX0FESi4xOTk0LjA2LzAzLzIwMjYuLi5VU0QuSAEAAADetgEAAwAAAAAAXMJG5c173ggLpR85znveCDtDSVEuTllTRTpJQk0uSVFfT1BFQl9BQ0NVTV9PVEhFUl9DSS4xOTk0LjA2LzAzLzIwMjYuLi5VU0QuSAEAAADetgEAAwAAAAAAXMJG5c173ggLpR85znveCDlDSVEuTllTRTpJQk0uSVFfT1BFQl9BQ0NSVUVEX0xJQUIuMTk5NC4wNi8wMy8yMDI2Li4uVVNELkgBAAAA3rYBAAMAAAAAAFzCRuXNe94IC6UfOc573gg+Q0lRLk5ZU0U6SUJNLklRX09QRUJfQ0lfT1RIRVJfTUlTQ19BREouMTk5NC4wNi8wMy8yMDI2Li4uVVNELkgBAAAA3rYBAAMAAAAAAFzCRuXNe94Ia8wfOc573gg1Q0lRLk5ZU0U6SUJNLklRX09QRUJfQlJFQUtET1dOX1BDVF9FUS4xOTk0LjA2LzAzLzIwMjYBAAAA3rYBAAMAAAAAAFzCRuXNe94Ia8wfOc573gg5Q0lRLk5ZU0U6SUJNLklRX1BFTlNJT05fTFRfQVNTRVRTLjE5OTQuMDYvMDMvMjAyNi4uLlVTRC5IAQAAAN62AQADAAAAAABcwkblzXveCGvMHznOe94IPENJUS5OWVNFOklCTS5JUV9QRU5TSU9OX0FDQ1JVRURfTElBQi4xOTk0LjA2LzAzLzIwMjYuLi5VU0QuSAEAAADetgEAAwAAAAAAXMJG5c173ghrzB85</t>
  </si>
  <si>
    <t>znveCD9DSVEuTllTRTpJQk0uSVFfUEVOU0lPTl9UUkFOU0lUSU9OX05FWFQuMTk5NC4wNi8wMy8yMDI2Li4uVVNELkgBAAAA3rYBAAMAAAAAAFzCRuXNe94IC6UfOc573gg4Q0lRLk5ZU0U6SUJNLklRX1BFTlNJT05fQlJFQUtET1dOX1BDVF9SRS4xOTk0LjA2LzAzLzIwMjYBAAAA3rYBAAMAAAAAAFzCRuXNe94Ia8wfOc573gg9Q0lRLk5ZU0U6SUJNLklRX1BFTlNJT05fQVNTRVRTX0ZYX0FESi4xOTk0LjA2LzAzLzIwMjYuLi5VU0QuSAEAAADetgEAAwAAAAAAXMJG5c173ghrzB85znveCE5DSVEuTllTRTpJQk0uSVFfUEVOU0lPTl9PQkxJR0FUSU9OX0FDVFVBUklBTF9HQUlOX0xPU1MuMTk5NC4wNi8wMy8yMDI2Li4uVVNELkgBAAAA3rYBAAMAAAAAAFzCRuXNe94Ia8wfOc573ghHQ0lRLk5ZU0U6SUJNLklRX1BFTlNJT05fT0JMSUdBVElPTl9TRVJWSUNFX0NPU1QuMTk5NC4wNi8wMy8yMDI2Li4uVVNELkgBAAAA3rYBAAMAAAAAAFzCRuXNe94Ia8wfOc573ggnQ0lRLk5ZU0U6SUJNLklRX0dBQVBfQlMuMTk5NC4wNi8wMy8yMDI2AQAAAN62AQADAAAAB1VTIEdBQVAAXMJG5c173ghrzB85znveCDZDSVEuTllTRTpJQk0uSVFfQUNDVU1fQU1PUlRfR1cuMTk5NC4wNi8wMy8yMDI2Li4uVVNELkgBAAAA3rYBAAMAAAAAAFzCRuXNe94IgvMfOc573gg2Q0lRLk5ZU0U6SUJNLklRX09QRUJfRElTQ19SQVRF</t>
  </si>
  <si>
    <t>X01BWF9ET00uMTk5NC4wNi8wMy8yMDI2AQAAAN62AQADAAAAAABcwkblzXveCGvMHznOe94IPENJUS5OWVNFOklCTS5JUV9PUEVCX0VTVF9CRU5FRklUXzFZUi4xOTk0LjA2LzAzLzIwMjYuLi5VU0QuSAEAAADetgEAAwAAAAAAXMJG5c173ghrzB85znveCEpDSVEuTllTRTpJQk0uSVFfT1BFQl9BU1NFVFNfRU1QTE9ZRVJfQ09OVFJJQlVUSU9OUy4xOTk0LjA2LzAzLzIwMjYuLi5VU0QuSAEAAADetgEAAwAAAAAAXMJG5c173ghrzB85znveCE5DSVEuTllTRTpJQk0uSVFfT1BFQl9PQkxJR0FUSU9OX0VNUExPWUVFX0NPTlRSSUJVVElPTlMuMTk5NC4wNi8wMy8yMDI2Li4uVVNELkgBAAAA3rYBAAMAAAAAAFzCRuXNe94Ia8wfOc573gg2Q0lRLk5ZU0U6SUJNLklRX09QRUJfRElTQ19SQVRFX01JTl9ET00uMTk5NC4wNi8wMy8yMDI2AQAAAN62AQADAAAAAABcwkblzXveCILzHznOe94IQkNJUS5OWVNFOklCTS5JUV9QRU5TSU9OX0FTU0VUU19DVVJUQUlMX0RPTS4xOTk0LjA2LzAzLzIwMjYuLi5VU0QuSAEAAADetgEAAwAAAAAAXMJG5c173giC8x85znveCENDSVEuTllTRTpJQk0uSVFfUEVOU0lPTl9PQkxJR0FUSU9OX1BBSURfRE9NLjE5OTQuMDYvMDMvMjAyNi4uLlVTRC5IAQAAAN62AQADAAAAAABcwkblzXveCILzHznOe94IQkNJUS5OWVNFOklCTS5JUV9PUEVCX0FTU0VUU19PVEhFUl9QTEFOX0FE</t>
  </si>
  <si>
    <t>Si4xOTk0LjA2LzAzLzIwMjYuLi5VU0QuSAEAAADetgEAAwAAAAAAXMJG5c173giC8x85znveCDdDSVEuTllTRTpJQk0uSVFfT1BFQl9FWFBfUkVUVVJOLjE5OTQuMDYvMDMvMjAyNi4uLlVTRC5IAQAAAN62AQADAAAAAABcwkblzXveCILzHznOe94IPkNJUS5OWVNFOklCTS5JUV9QRU5TSU9OX0RJU0NPVU5UX1JBVEVfRE9NRVNUSUMuMTk5NC4wNi8wMy8yMDI2AQAAAN62AQADAAAAAABcwkblzXveCILzHznOe94IP0NJUS5OWVNFOklCTS5JUV9PUEVCX1BCT19SQVRFX0NPTVBfSU5DUkVBU0VfTUlOLjE5OTQuMDYvMDMvMjAyNgEAAADetgEAAwAAAAAAXMJG5c173giC8x85znveCD1DSVEuTllTRTpJQk0uSVFfT1BFQl9DSV9QUklPUl9TRVJWSUNFLjE5OTQuMDYvMDMvMjAyNi4uLlVTRC5IAQAAAN62AQADAAAAAABcwkblzXveCILzHznOe94IOENJUS5OWVNFOklCTS5JUV9PUEVCX0VYUF9SQVRFX1JFVFVSTl9NSU4uMTk5NC4wNi8wMy8yMDI2AQAAAN62AQADAAAAAABcwkblzXveCILzHznOe94IPUNJUS5OWVNFOklCTS5JUV9QRU5TSU9OX0xUX0FTU0VUU19ET00uMTk5NC4wNi8wMy8yMDI2Li4uVVNELkgBAAAA3rYBAAMAAAAAAFzCRuXNe94IgvMfOc573ghDQ0lRLk5ZU0U6SUJNLklRX1BFTlNJT05fRVNUX0JFTkVGSVRfNFlSX0RPTS4xOTk0LjA2LzAzLzIwMjYuLi5VU0QuSAEAAADetgEAAwAAAAAA</t>
  </si>
  <si>
    <t>XMJG5c173giC8x85znveCEhDSVEuTllTRTpJQk0uSVFfUEVOU0lPTl9PQkxJR0FUSU9OX1BST0pFQ1RFRF9ET00uMTk5NC4wNi8wMy8yMDI2Li4uVVNELkgBAAAA3rYBAAMAAAAAAFzCRuXNe94IgvMfOc573ghCQ0lRLk5ZU0U6SUJNLklRX1BFTlNJT05fT0JMSUdBVElPTl9CRUdfRE9NLjE5OTQuMDYvMDMvMjAyNi4uLlVTRC5IAQAAAN62AQADAAAAAABcwkblzXveCILzHznOe94IP0NJUS5OWVNFOklCTS5JUV9PUEVCX0hFQUxUSF9DT1NUX1RSRU5EX1VMVElNQVRFLjE5OTQuMDYvMDMvMjAyNgEAAADetgEAAwAAAAAAXMJG5c173giC8x85znveCDdDSVEuTllTRTpJQk0uSVFfT1BFQl9BU1NFVFNfQkVHLjE5OTQuMDYvMDMvMjAyNi4uLlVTRC5IAQAAAN62AQADAAAAAABcwkblzXveCILzHznOe94IRkNJUS5OWVNFOklCTS5JUV9QRU5TSU9OX1VORlVOREVEX0FERExfTUlOX0xJQUIuMTk5NC4wNi8wMy8yMDI2Li4uVVNELkgBAAAA3rYBAAMAAAAAAFzCRuXNe94IRjAgOc573gg8Q0lRLk5ZU0U6SUJNLklRX1BFTlNJT05fSU5UQU5fQVNTRVRTLjE5OTQuMDYvMDMvMjAyNi4uLlVTRC5IAQAAAN62AQADAAAAAABcwkblzXveCILzHznOe94IQENJUS5OWVNFOklCTS5JUV9QRU5TSU9OX0FNVF9SRUNPR19QRVJJT0QuMTk5NC4wNi8wMy8yMDI2Li4uVVNELkgBAAAA3rYBAAMAAAAAAFzCRuXNe94IgvMfOc57</t>
  </si>
  <si>
    <t>3ghCQ0lRLk5ZU0U6SUJNLklRX1BFTlNJT05fUFJJT1JfU0VSVklDRV9ORVhULjE5OTQuMDYvMDMvMjAyNi4uLlVTRC5IAQAAAN62AQADAAAAAABcwkblzXveCILzHznOe94IOENJUS5OWVNFOklCTS5JUV9QRU5TSU9OX0JSRUFLRE9XTl9QQ1RfRVEuMTk5NC4wNi8wMy8yMDI2AQAAAN62AQADAAAAAABcwkblzXveCILzHznOe94IQENJUS5OWVNFOklCTS5JUV9PUEVCX0JSRUFLRE9XTl9PVEhFUl9ET00uMTk5NC4wNi8wMy8yMDI2Li4uVVNELkgBAAAA3rYBAAMAAAAAAFzCRuXNe94IRjAgOc573ghGQ0lRLk5ZU0U6SUJNLklRX1BFTlNJT05fUEJPX1JBVEVfQ09NUF9JTkNSRUFTRV9NSU5fRE9NLjE5OTQuMDYvMDMvMjAyNgEAAADetgEAAwAAAAAAXMJG5c173ghGMCA5znveCD1DSVEuTllTRTpJQk0uSVFfT1BFQl9QQk9fQVNTVU1FRF9SQVRFX1JFVF9NSU4uMTk5NC4wNi8wMy8yMDI2AQAAAN62AQADAAAAAABcwkblzXveCEYwIDnOe94INUNJUS5OWVNFOklCTS5JUV9PUEVCX0JSRUFLRE9XTl9QQ1RfRkkuMTk5NC4wNi8wMy8yMDI2AQAAAN62AQADAAAAAABcwkblzXveCEYwIDnOe94IN0NJUS5OWVNFOklCTS5JUV9PUEVCX0FTU0VUU19BQ1EuMTk5NC4wNi8wMy8yMDI2Li4uVVNELkgBAAAA3rYBAAMAAAAAAFzCRuXNe94IRjAgOc573ghLQ0lRLk5ZU0U6SUJNLklRX09QRUJfT0JMSUdBVElPTl9BQ1RV</t>
  </si>
  <si>
    <t>QVJJQUxfR0FJTl9MT1NTLjE5OTQuMDYvMDMvMjAyNi4uLlVTRC5IAQAAAN62AQADAAAAAABcwkblzXveCCJFIDnOe94IOUNJUS5OWVNFOklCTS5JUV9PUEVCX1NFUlZJQ0VfQ09TVC4xOTk0LjA2LzAzLzIwMjYuLi5VU0QuSAEAAADetgEAAwAAAAAAXMJG5c173ggiRSA5znveCDdDSVEuTllTRTpJQk0uSVFfT1BFQl9BU1NFVFNfRE9NLjE5OTQuMDYvMDMvMjAyNi4uLlVTRC5IAQAAAN62AQADAAAAAABcwkblzXveCCJFIDnOe94IPkNJUS5OWVNFOklCTS5JUV9QRU5TSU9OX0FTU0VUU19BQ1FfRE9NLjE5OTQuMDYvMDMvMjAyNi4uLlVTRC5IAQAAAN62AQADAAAAAABcwkblzXveCCJFIDnOe94IQkNJUS5OWVNFOklCTS5JUV9QRU5TSU9OX09CTElHQVRJT05fQUNRX0RPTS4xOTk0LjA2LzAzLzIwMjYuLi5VU0QuSAEAAADetgEAAwAAAAAAXMJG5c173ghGMCA5znveCExDSVEuTllTRTpJQk0uSVFfUEVOU0lPTl9PQkxJR0FUSU9OX0lOVEVSRVNUX0NPU1RfRE9NLjE5OTQuMDYvMDMvMjAyNi4uLlVTRC5IAQAAAN62AQADAAAAAABcwkblzXveCCJFIDnOe94INkNJUS5OWVNFOklCTS5JUV9PUEVCX0xUX0FTU0VUUy4xOTk0LjA2LzAzLzIwMjYuLi5VU0QuSAEAAADetgEAAwAAAAAAXMJG5c173ggiRSA5znveCDlDSVEuTllTRTpJQk0uSVFfT1BFQl9JTlRBTl9BU1NFVFMuMTk5NC4wNi8wMy8yMDI2Li4uVVNE</t>
  </si>
  <si>
    <t>LkgBAAAA3rYBAAMAAAAAAFzCRuXNe94IIkUgOc573gg8Q0lRLk5ZU0U6SUJNLklRX09QRUJfVFJBTlNJVElPTl9ORVhULjE5OTQuMDYvMDMvMjAyNi4uLlVTRC5IAQAAAN62AQADAAAAAABcwkblzXveCCJFIDnOe94IPENJUS5OWVNFOklCTS5JUV9PUEVCX0JSRUFLRE9XTl9PVEhFUi4xOTk0LjA2LzAzLzIwMjYuLi5VU0QuSAEAAADetgEAAwAAAAAAXMJG5c173ggiRSA5znveCEFDSVEuTllTRTpJQk0uSVFfT1BFQl9PQkxJR0FUSU9OX1BST0pFQ1RFRC4xOTk0LjA2LzAzLzIwMjYuLi5VU0QuSAEAAADetgEAAwAAAAAAXMJG5c173gj5bCA5znveCDlDSVEuTllTRTpJQk0uSVFfUEVOU0lPTl9PVEhFUl9BREouMTk5NC4wNi8wMy8yMDI2Li4uVVNELkgBAAAA3rYBAAMAAAAAAFzCRuXNe94IIkUgOc573gg3Q0lRLk5ZU0U6SUJNLklRX1BFTlNJT05fTFRfTElBQi4xOTk0LjA2LzAzLzIwMjYuLi5VU0QuSAEAAADetgEAAwAAAAAAXMJG5c173ggiRSA5znveCEJDSVEuTllTRTpJQk0uSVFfUEVOU0lPTl9QQk9fUkFURV9DT01QX0lOQ1JFQVNFX01BWC4xOTk0LjA2LzAzLzIwMjYBAAAA3rYBAAMAAAAAAFzCRuXNe94IIkUgOc573gg/Q0lRLk5ZU0U6SUJNLklRX1BFTlNJT05fQlJFQUtET1dOX09USEVSLjE5OTQuMDYvMDMvMjAyNi4uLlVTRC5IAQAAAN62AQADAAAAAABcwkblzXveCCJFIDnOe94INUNJUS5O</t>
  </si>
  <si>
    <t>WVNFOklCTS5JUV9QRU5TSU9OX0RJU0NfUkFURV9NSU4uMTk5NC4wNi8wMy8yMDI2AQAAAN62AQADAAAAAABcwkblzXveCPlsIDnOe94ISUNJUS5OWVNFOklCTS5JUV9QRU5TSU9OX09CTElHQVRJT05fT1RIRVJfUExBTl9BREouMTk5NC4wNi8wMy8yMDI2Li4uVVNELkgBAAAA3rYBAAMAAAAAAFzCRuXNe94I+WwgOc573ghBQ0lRLk5ZU0U6SUJNLklRX1BFTlNJT05fT0JMSUdBVElPTl9GWF9BREouMTk5NC4wNi8wMy8yMDI2Li4uVVNELkgBAAAA3rYBAAMAAAAAAFzCRuXNe94I+WwgOc573gg9Q0lRLk5ZU0U6SUJNLklRX1BFTlNJT05fSU5URVJFU1RfQ09TVC4xOTk0LjA2LzAzLzIwMjYuLi5VU0QuSAEAAADetgEAAwAAAAAAXMJG5c173gj5bCA5znveCDFDSVEuTllTRTpJQk0uSVFfSU5UQU5fTkVULjE5OTQuMDYvMDMvMjAyNi4uLlVTRC5IAQAAAN62AQACAAAABTEwMjUxAQgAAAAFAAAAATEBAAAACy0xOTIwODQ2ODMyAwAAAAMxNjACAAAABTQ4OTYyBAAAAAEwBwAAAAgzLzYvMjAyNggAAAAJNi8zMC8yMDI0CQAAAAEwXMJG5c173gj5bCA5znveCD9DSVEuTllTRTpJQk0uSVFfREVSSVZBVElWRV9MSUFCX0NVUlJFTlQuMTk5NC4wNi8wMy8yMDI2Li4uVVNELkgBAAAA3rYBAAIAAAADMTczAQgAAAAFAAAAATEBAAAACy0xOTIwODQ2ODMyAwAAAAMxNjACAAAABTQwNDE3BAAAAAEwBwAAAAgzLzYvMjAy</t>
  </si>
  <si>
    <t>NggAAAAJNi8zMC8yMDI0CQAAAAEwXMJG5c173gj5bCA5znveCDpDSVEuTllTRTpJQk0uSVFfUEVOU0lPTl9DSV9BQ1RfRE9NLjE5OTQuMDYvMDMvMjAyNi4uLlVTRC5IAQAAAN62AQADAAAAAABcwkblzXveCPlsIDnOe94IOUNJUS5OWVNFOklCTS5JUV9PUEVCX1BSRVBBSURfQ09TVC4xOTk0LjA2LzAzLzIwMjYuLi5VU0QuSAEAAADetgEAAwAAAAAAXMJG5c173gj5bCA5znveCDxDSVEuTllTRTpJQk0uSVFfT1BFQl9FU1RfQkVORUZJVF81WVIuMTk5NC4wNi8wMy8yMDI2Li4uVVNELkgBAAAA3rYBAAMAAAAAAFzCRuXNe94I+WwgOc573gg/Q0lRLk5ZU0U6SUJNLklRX1BFTlNJT05fRVhQX1JBVEVfUkVUVVJOX01JTl9ET00uMTk5NC4wNi8wMy8yMDI2AQAAAN62AQADAAAAAABcwkblzXveCPlsIDnOe94IUkNJUS5OWVNFOklCTS5JUV9QRU5TSU9OX09CTElHQVRJT05fQUNUVUFSSUFMX0dBSU5fTE9TU19ET00uMTk5NC4wNi8wMy8yMDI2Li4uVVNELkgBAAAA3rYBAAMAAAAAAFzCRuXNe94I7ZMgOc573ghCQ0lRLk5ZU0U6SUJNLklRX1BFTlNJT05fT0JMSUdBVElPTl9ST0FfRE9NLjE5OTQuMDYvMDMvMjAyNi4uLlVTRC5IAQAAAN62AQADAAAAAABcwkblzXveCO2TIDnOe94ITUNJUS5OWVNFOklCTS5JUV9PUEVCX0lOQ1JFQVNFX0VGRkVDVF9TRVJWSUNFX0lOVF9DT1NULjE5OTQuMDYvMDMvMjAyNi4u</t>
  </si>
  <si>
    <t>LlVTRC5IAQAAAN62AQADAAAAAABcwkblzXveCO2TIDnOe94IP0NJUS5OWVNFOklCTS5JUV9PUEVCX1BSSU9SX1NFUlZJQ0VfTkVYVC4xOTk0LjA2LzAzLzIwMjYuLi5VU0QuSAEAAADetgEAAwAAAAAAXMJG5c173gj5bCA5znveCDhDSVEuTllTRTpJQk0uSVFfT1BFQl9FWFBfUkFURV9SRVRVUk5fTUFYLjE5OTQuMDYvMDMvMjAyNgEAAADetgEAAwAAAAAAXMJG5c173gj5bCA5znveCEFDSVEuTllTRTpJQk0uSVFfT1BFQl9BU1NFVFNfQkVORUZJVFNfUEFJRC4xOTk0LjA2LzAzLzIwMjYuLi5VU0QuSAEAAADetgEAAwAAAAAAXMJG5c173gjtkyA5znveCEVDSVEuTllTRTpJQk0uSVFfT1BFQl9PQkxJR0FUSU9OX0lOVEVSRVNUX0NPU1QuMTk5NC4wNi8wMy8yMDI2Li4uVVNELkgBAAAA3rYBAAMAAAAAAFzCRuXNe94I7ZMgOc573ghMQ0lRLk5ZU0U6SUJNLklRX1BFTlNJT05fUVVBUlRfRU1QTE9ZRVJfQ09OVFJJQlVUSU9OUy4xOTk0LjA2LzAzLzIwMjYuLi5VU0QuSAEAAADetgEAAwAAAAAAXMJG5c173gjtkyA5znveCDxDSVEuTllTRTpJQk0uSVFfUEVOU0lPTl9QUkVQQUlEX0NPU1QuMTk5NC4wNi8wMy8yMDI2Li4uVVNELkgBAAAA3rYBAAMAAAAAAFzCRuXNe94I7ZMgOc573gg4Q0lRLk5ZU0U6SUJNLklRX1BFTlNJT05fQUNUX05FWFQuMTk5NC4wNi8wMy8yMDI2Li4uVVNELkgBAAAA3rYBAAMAAAAA</t>
  </si>
  <si>
    <t>AFzCRuXNe94I7ZMgOc573gg4Q0lRLk5ZU0U6SUJNLklRX1BFTlNJT05fQlJFQUtET1dOX1BDVF9GSS4xOTk0LjA2LzAzLzIwMjYBAAAA3rYBAAMAAAAAAFzCRuXNe94I7ZMgOc573gg7Q0lRLk5ZU0U6SUJNLklRX1BFTlNJT05fRVhQX1JBVEVfUkVUVVJOX01JTi4xOTk0LjA2LzAzLzIwMjYBAAAA3rYBAAMAAAAAAFzCRuXNe94I7ZMgOc573ghEQ0lRLk5ZU0U6SUJNLklRX1BFTlNJT05fQVNTRVRTX0FDVFVBTF9SRVRVUk4uMTk5NC4wNi8wMy8yMDI2Li4uVVNELkgBAAAA3rYBAAMAAAAAAFzCRuXNe94I7ZMgOc573ghBQ0lRLk5ZU0U6SUJNLklRX09QRUJfUEJPX0FTU1VNRURfUkFURV9SRVRfTUFYX0RPTS4xOTk0LjA2LzAzLzIwMjYBAAAA3rYBAAMAAAAAAFzCRuXNe94I7ZMgOc573gg8Q0lRLk5ZU0U6SUJNLklRX09QRUJfQlJFQUtET1dOX1BDVF9PVEhFUl9ET00uMTk5NC4wNi8wMy8yMDI2AQAAAN62AQADAAAAAABcwkblzXveCO2TIDnOe94IRUNJUS5OWVNFOklCTS5JUV9PUEVCX09CTElHQVRJT05fUFJPSkVDVEVEX0RPTS4xOTk0LjA2LzAzLzIwMjYuLi5VU0QuSAEAAADetgEAAwAAAAAAXMJG5c173gjtkyA5znveCEBDSVEuTllTRTpJQk0uSVFfUEVOU0lPTl9JTlRBTl9BU1NFVFNfRE9NLjE5OTQuMDYvMDMvMjAyNi4uLlVTRC5IAQAAAN62AQADAAAAAABcwkblzXveCO2TIDnOe94IRkNJUS5O</t>
  </si>
  <si>
    <t>WVNFOklCTS5JUV9QRU5TSU9OX1BSSU9SX1NFUlZJQ0VfTkVYVF9ET00uMTk5NC4wNi8wMy8yMDI2Li4uVVNELkgBAAAA3rYBAAMAAAAAAFzCRuXNe94I7ZMgOc573gg/Q0lRLk5ZU0U6SUJNLklRX1BFTlNJT05fQlJFQUtET1dOX1BDVF9PVEhFUl9ET00uMTk5NC4wNi8wMy8yMDI2AQAAAN62AQADAAAAAABcwkblzXveCO2TIDnOe94IOkNJUS5OWVNFOklCTS5JUV9QRU5TSU9OX0FTU0VUU19ET00uMTk5NC4wNi8wMy8yMDI2Li4uVVNELkgBAAAA3rYBAAMAAAAAAFzCRuXNe94I7ZMgOc573gg+Q0lRLk5ZU0U6SUJNLklRX1BFTlNJT05fQVNTRVRTX0JFR19ET00uMTk5NC4wNi8wMy8yMDI2Li4uVVNELkgBAAAA3rYBAAMAAAAAAFzCRuXNe94IHs8gOc573ghJQ0lRLk5ZU0U6SUJNLklRX1BFTlNJT05fT0JMSUdBVElPTl9UT1RBTF9DT1NUX0RPTS4xOTk0LjA2LzAzLzIwMjYuLi5VU0QuSAEAAADetgEAAwAAAAAAXMJG5c173ggezyA5znveCDxDSVEuTllTRTpJQk0uSVFfT1BFQl9FU1RfQkVORUZJVF8zWVIuMTk5NC4wNi8wMy8yMDI2Li4uVVNELkgBAAAA3rYBAAMAAAAAAFzCRuXNe94IHs8gOc573gg5Q0lRLk5ZU0U6SUJNLklRX09QRUJfQlJFQUtET1dOX0ZJLjE5OTQuMDYvMDMvMjAyNi4uLlVTRC5IAQAAAN62AQADAAAAAABcwkblzXveCB7PIDnOe94IP0NJUS5OWVNFOklCTS5JUV9PUEVCX09CTElH</t>
  </si>
  <si>
    <t>QVRJT05fQ1VSVEFJTC4xOTk0LjA2LzAzLzIwMjYuLi5VU0QuSAEAAADetgEAAwAAAAAAXMJG5c173gjtkyA5znveCERDSVEuTllTRTpJQk0uSVFfUEVOU0lPTl9QQk9fQVNTVU1FRF9SQVRFX1JFVF9NSU5fRE9NLjE5OTQuMDYvMDMvMjAyNgEAAADetgEAAwAAAAAAXMJG5c173ggezyA5znveCENDSVEuTllTRTpJQk0uSVFfUEVOU0lPTl9CUkVBS0RPV05fT1RIRVJfRE9NLjE5OTQuMDYvMDMvMjAyNi4uLlVTRC5IAQAAAN62AQADAAAAAABcwkblzXveCB7PIDnOe94IUUNJUS5OWVNFOklCTS5JUV9QRU5TSU9OX0FTU0VUU19QQVJUSUNJUF9DT05UUklCVVRJT05TX0RPTS4xOTk0LjA2LzAzLzIwMjYuLi5VU0QuSAEAAADetgEAAwAAAAAAXMJG5c173ggezyA5znveCE1DSVEuTllTRTpJQk0uSVFfUEVOU0lPTl9PQkxJR0FUSU9OX09USEVSX1BMQU5fQURKX0RPTS4xOTk0LjA2LzAzLzIwMjYuLi5VU0QuSAEAAADetgEAAwAAAAAAXMJG5c173ggezyA5znveCFtDSVEuTllTRTpJQk0uSVFfUEVOU0lPTl9PQkxJR0FUSU9OX1RPVEFMX0NPU1RfSU5DTF9TVVBQTEVfUExBTlNfRE9NLjE5OTQuMDYvMDMvMjAyNi4uLlVTRC5IAQAAAN62AQADAAAAAABcwkblzXveCB7PIDnOe94IPkNJUS5OWVNFOklCTS5JUV9PUEVCX0hFQUxUSF9DT1NUX1RSRU5EX0lOSVRJQUwuMTk5NC4wNi8wMy8yMDI2AQAAAN62AQADAAAA</t>
  </si>
  <si>
    <t>AABcwkblzXveCB7PIDnOe94ITUNJUS5OWVNFOklCTS5JUV9PUEVCX0RFQ1JFQVNFX0VGRkVDVF9TRVJWSUNFX0lOVF9DT1NULjE5OTQuMDYvMDMvMjAyNi4uLlVTRC5IAQAAAN62AQADAAAAAABcwkblzXveCB7PIDnOe94IOUNJUS5OWVNFOklCTS5JUV9QRU5TSU9OX0RJU0NfUkFURV9NQVhfRE9NLjE5OTQuMDYvMDMvMjAyNgEAAADetgEAAwAAAAAAXMJG5c173ggezyA5znveCDtDSVEuTllTRTpJQk0uSVFfT1BFQl9SQVRFX0NPTVBfSU5DUkVBU0VfTUFYLjE5OTQuMDYvMDMvMjAyNgEAAADetgEAAwAAAAAAXMJG5c173ggezyA5znveCEJDSVEuTllTRTpJQk0uSVFfUEVOU0lPTl9SQVRFX0NPTVBfSU5DUkVBU0VfTUFYX0RPTS4xOTk0LjA2LzAzLzIwMjYBAAAA3rYBAAMAAAAAAFzCRuXNe94IHs8gOc573ghFQ0lRLk5ZU0U6SUJNLklRX1BFTlNJT05fT0JMSUdBVElPTl9GWF9BREpfRE9NLjE5OTQuMDYvMDMvMjAyNi4uLlVTRC5IAQAAAN62AQADAAAAAABcwkblzXveCOL2IDnOe94INkNJUS5OWVNFOklCTS5JUV9PUEVCX0JFTkVGSVRfSU5GT19EQVRFLjE5OTQuMDYvMDMvMjAyNgEAAADetgEAAwAAAAAAXMJG5c173gji9iA5znveCDtDSVEuTllTRTpJQk0uSVFfT1BFQl9BTVRfUkVDT0dfTkVYVC4xOTk0LjA2LzAzLzIwMjYuLi5VU0QuSAEAAADetgEAAwAAAAAAXMJG5c173gji9iA5znveCDhDSVEu</t>
  </si>
  <si>
    <t>TllTRTpJQk0uSVFfT1BFQl9CUkVBS0RPV05fUENUX09USEVSLjE5OTQuMDYvMDMvMjAyNgEAAADetgEAAwAAAAAAXMJG5c173gji9iA5znveCDpDSVEuTllTRTpJQk0uSVFfT1BFQl9BU1NFVFNfRlhfQURKLjE5OTQuMDYvMDMvMjAyNi4uLlVTRC5IAQAAAN62AQADAAAAAABcwkblzXveCOL2IDnOe94IPkNJUS5OWVNFOklCTS5JUV9PUEVCX09CTElHQVRJT05fRlhfQURKLjE5OTQuMDYvMDMvMjAyNi4uLlVTRC5IAQAAAN62AQADAAAAAABcwkblzXveCOL2IDnOe94ITENJUS5OWVNFOklCTS5JUV9QRU5TSU9OX1FVQVJUX0FERExfQ09OVFJJQlVUSU9OU19FWFAuMTk5NC4wNi8wMy8yMDI2Li4uVVNELkgBAAAA3rYBAAMAAAAAAFzCRuXNe94I4vYgOc573gg3Q0lRLk5ZU0U6SUJNLklRX1BFTlNJT05fVVZfTElBQi4xOTk0LjA2LzAzLzIwMjYuLi5VU0QuSAEAAADetgEAAwAAAAAAXMJG5c173gji9iA5znveCD9DSVEuTllTRTpJQk0uSVFfUEVOU0lPTl9FU1RfQkVORUZJVF81WVIuMTk5NC4wNi8wMy8yMDI2Li4uVVNELkgBAAAA3rYBAAMAAAAAAFzCRuXNe94I4vYgOc573ggyQ0lRLk5ZU0U6SUJNLklRX09QRUJfRElTQ19SQVRFX01BWC4xOTk0LjA2LzAzLzIwMjYBAAAA3rYBAAMAAAAAAFzCRuXNe94I5R0hOc573gg/Q0lRLk5ZU0U6SUJNLklRX09USEVSX0ZJTkFOQ0VfQUNUX1NVUFBMLjE5OTcuMDYv</t>
  </si>
  <si>
    <t>MDMvMjAyNi4uLlVTRC5IAQAAAN62AQACAAAABC0xMzUBCAAAAAUAAAABMQEAAAALLTE5NDg4Mzc1NDADAAAAAzE2MAIAAAAEMjA1MAQAAAABMAcAAAAIMy82LzIwMjYIAAAACTMvMzEvMjAyNQkAAAABMHvUjOXNe94IjrL4OM573ggyQ0lRLk5ZU0U6SUJNLklRX0NPTU1PTl9SRVAuMTk5Ny4wNi8wMy8yMDI2Li4uVVNELkgBAAAA3rYBAAIAAAAELTczNgEIAAAABQAAAAExAQAAAAstMTk0ODgzNzU0MAMAAAADMTYwAgAAAAQyMTY0BAAAAAEwBwAAAAgzLzYvMjAyNggAAAAJMy8zMS8yMDI1CQAAAAEwUA+N5c173giOsvg4znveCDtDSVEuTllTRTpJQk0uSVFfVEFYX0JFTkVGSVRfT1BUSU9OUy4xOTk3LjA2LzAzLzIwMjYuLi5VU0QuSAEAAADetgEAAwAAAAAAUA+N5c173ggL2vg4znveCDhDSVEuTllTRTpJQk0uSVFfRklOX0RJVl9MT0FOU19MVC4xOTk3LjA2LzAzLzIwMjYuLi5VU0QuSAEAAADetgEAAgAAAAQ0OTIwAQgAAAAFAAAAATEBAAAACy0xOTQ4ODM3NTQwAwAAAAMxNjACAAAABDEwMzMEAAAAATAHAAAACDMvNi8yMDI2CAAAAAkzLzMxLzIwMjUJAAAAATBQD43lzXveCAva+DjOe94IOUNJUS5OWVNFOklCTS5JUV9UT1RBTF9ERUJUX0lTU1VFRC4xOTk3LjA2LzAzLzIwMjYuLi5VU0QuSAEAAADetgEAAgAAAAQ4NjI2AQgAAAAFAAAAATEBAAAACy0xOTQ4ODM3NTQwAwAAAAMxNjACAAAABDIxNjEE</t>
  </si>
  <si>
    <t>AAAAATAHAAAACDMvNi8yMDI2CAAAAAkzLzMxLzIwMjUJAAAAATBQD43lzXveCAva+DjOe94INUNJUS5OWVNFOklCTS5JUV9TQUxFX0lOVEFOX0NGLjE5OTcuMDYvMDMvMjAyNi4uLlVTRC5IAQAAAN62AQACAAAABC02NTQBCAAAAAUAAAABMQEAAAALLTE5NDg4Mzc1NDADAAAAAzE2MAIAAAAEMjAyOQQAAAABMAcAAAAIMy82LzIwMjYIAAAACTMvMzEvMjAyNQkAAAABMFAPjeXNe94IC9r4OM573ggtQ0lRLk5ZU0U6SUJNLklRX0RPX0NGLjE5OTcuMDYvMDMvMjAyNi4uLlVTRC5IAQAAAN62AQADAAAAAABQD43lzXveCAva+DjOe94IOUNJUS5OWVNFOklCTS5JUV9DT05USU5HRU5UX1JFTlRBTC4xOTk3LjA2LzAzLzIwMjYuLi5VU0QuSAEAAADetgEAAwAAAAAAUA+N5c173ggL2vg4znveCCtDSVEuTllTRTpJQk0uSVFfRElDLjE5OTcuMDYvMDMvMjAyNi4uLlVTRC5IAQAAAN62AQADAAAAAABQD43lzXveCAva+DjOe94IMkNJUS5OWVNFOklCTS5JUV9DT01NT05fRElWLjE5OTcuMDYvMDMvMjAyNi4uLlVTRC5IAQAAAN62AQACAAAABDYxNzQAUA+N5c173ggL2vg4znveCDBDSVEuTllTRTpJQk0uSVFfRElMVVRfTkkuMTk5Ny4wNi8wMy8yMDI2Li4uVVNELkgBAAAA3rYBAAIAAAALNTQ5Ny44ODg1NTcBCAAAAAUAAAABMQEAAAALLTE5NDg4Mzc1NDADAAAAAzE2MAIAAAAEMzUyMgQAAAABMAcAAAAIMy82LzIw</t>
  </si>
  <si>
    <t>MjYIAAAACTMvMzEvMjAyNQkAAAABMFAPjeXNe94IC9r4OM573ggqQ0lRLk5ZU0U6SUJNLklRX1BFUklPRERBVEUuMTk5Ny4wNi8wMy8yMDI2AQAAAN62AQAFAAAACjMxLzAzLzIwMjUAUB2j58173gjHQvo4znveCDpDSVEuTllTRTpJQk0uSVFfU1RPQ0tfT1BUSU9OU19DT01QLjE5OTcuMDYvMDMvMjAyNi4uLlVTRC5IAQAAAN62AQADAAAAAABQD43lzXveCAva+DjOe94ILENJUS5OWVNFOklCTS5JUV9QQVlPVVRfUkFUSU8uMTk5Ny4wNi8wMy8yMDI2AQAAAN62AQACAAAACDExMi44MDgzAQgAAAAFAAAAATEBAAAACy0xOTQ4ODM3NTQwAwAAAAMxNjACAAAABDQzNzcEAAAAATAHAAAACDMvNi8yMDI2CAAAAAkzLzMxLzIwMjUJAAAAATBQD43lzXveCAva+DjOe94IL0NJUS5OWVNFOklCTS5JUV9OSV9TRkFTLjE5OTcuMDYvMDMvMjAyNi4uLlVTRC5IAQAAAN62AQADAAAAAABQD43lzXveCAva+DjOe94ISkNJUS5OWVNFOklCTS5JUV9QUk9WX0JBRF9ERUJUU19QQVRJRU5UX1NFUlZJQ0VfUkVWLjE5OTcuMDYvMDMvMjAyNi4uLlVTRC5IAQAAAN62AQADAAAAAABQD43lzXveCAva+DjOe94IL0NJUS5OWVNFOklCTS5JUV9FQklUREFSLjE5OTcuMDYvMDMvMjAyNi4uLlVTRC5IAQAAAN62AQADAAAAAABQD43lzXveCAva+DjOe94IN0NJUS5OWVNFOklCTS5JUV9FWFRSQV9BQ0NfSVRFTVMuMTk5Ny4wNi8wMy8y</t>
  </si>
  <si>
    <t>MDI2Li4uVVNELkgBAAAA3rYBAAMAAAAAAFAPjeXNe94IOxX5OM573ggzQ0lRLk5ZU0U6SUJNLklRX1JFU1RSVUNUVVJFLjE5OTcuMDYvMDMvMjAyNi4uLlVTRC5IAQAAAN62AQACAAAABC02MzcBCAAAAAUAAAABMQEAAAALLTE5NDg4Mzc1NDADAAAAAzE2MAIAAAACOTgEAAAAATAHAAAACDMvNi8yMDI2CAAAAAkzLzMxLzIwMjUJAAAAATBQD43lzXveCDsV+TjOe94IM0NJUS5OWVNFOklCTS5JUV9JTlNfRElWX1JFVi4xOTk3LjA2LzAzLzIwMjYuLi5VU0QuSAEAAADetgEAAwAAAAAAUA+N5c173gg7Ffk4znveCDhDSVEuTllTRTpJQk0uSVFfU1RPQ0tfQkFTRURfQ09HUy4xOTk3LjA2LzAzLzIwMjYuLi5VU0QuSAEAAADetgEAAgAAAAMyMzIBCAAAAAUAAAABMQEAAAALLTE5NDg4Mzc1NDADAAAAAzE2MAIAAAAFMjI2NzQEAAAAATAHAAAACDMvNi8yMDI2CAAAAAkzLzMxLzIwMjUJAAAAATBQD43lzXveCAva+DjOe94IPUNJUS5OWVNFOklCTS5JUV9UT1RBTF9SRVZfQVNfUkVQT1JURUQuMTk5Ny4wNi8wMy8yMDI2Li4uVVNELkgBAAAA3rYBAAIAAAAFNjI4MzIBCAAAAAUAAAABMQEAAAALLTE5NDg4Mzc1NDADAAAAAzE2MAIAAAADMzM5BAAAAAEwBwAAAAgzLzYvMjAyNggAAAAJMy8zMS8yMDI1CQAAAAEwUA+N5c173gg7Ffk4znveCD1DSVEuTllTRTpJQk0uSVFfRUJJVEFfRVFfSU5DX0VYQ0xfU0JDLjE5</t>
  </si>
  <si>
    <t>OTcuMDYvMDMvMjAyNi4uLlVTRC5IAQAAAN62AQACAAAABTEzNDAyAQgAAAAFAAAAATEBAAAACy0xOTQ4ODM3NTQwAwAAAAMxNjACAAAABTI0MTMyBAAAAAEwBwAAAAgzLzYvMjAyNggAAAAJMy8zMS8yMDI1CQAAAAEwUA+N5c173gg7Ffk4znveCC1DSVEuTllTRTpJQk0uSVFfRUJJVEEuMTk5Ny4wNi8wMy8yMDI2Li4uVVNELkgBAAAA3rYBAAIAAAAFMTIwMTABCAAAAAUAAAABMQEAAAALLTE5NDg4Mzc1NDADAAAAAzE2MAIAAAAGMTAwNjg5BAAAAAEwBwAAAAgzLzYvMjAyNggAAAAJMy8zMS8yMDI1CQAAAAEwUA+N5c173gg7Ffk4znveCCxDSVEuTllTRTpJQk0uSVFfRUJJVC4xOTk3LjA2LzAzLzIwMjYuLi5VU0QuSAEAAADetgEAAgAAAAUxMDExMwEIAAAABQAAAAExAQAAAAstMTk0ODgzNzU0MAMAAAADMTYwAgAAAAM0MDAEAAAAATAHAAAACDMvNi8yMDI2CAAAAAkzLzMxLzIwMjUJAAAAATBQD43lzXveCDsV+TjOe94INkNJUS5OWVNFOklCTS5JUV9CQVNJQ19FUFNfRVhDTC4xOTk3LjA2LzAzLzIwMjYuLi5VU0QuSAEAAADetgEAAgAAAAg1Ljk0MjgzMwEIAAAABQAAAAExAQAAAAstMTk0ODgzNzU0MAMAAAADMTYwAgAAAAQzMDY0BAAAAAEwBwAAAAgzLzYvMjAyNggAAAAJMy8zMS8yMDI1CQAAAAEwUA+N5c173gg7Ffk4znveCDRDSVEuTllTRTpJQk0uSVFfRE9fSU5WRVNUX0NGLjE5OTcuMDYvMDMv</t>
  </si>
  <si>
    <t>MjAyNi4uLlVTRC5IAQAAAN62AQADAAAAAABQD43lzXveCIE9+TjOe94IMUNJUS5OWVNFOklCTS5JUV9DSEFOR0VfQVAuMTk5Ny4wNi8wMy8yMDI2Li4uVVNELkgBAAAA3rYBAAIAAAADLTEzAQgAAAAFAAAAATEBAAAACy0xOTQ4ODM3NTQwAwAAAAMxNjACAAAABDIwMTcEAAAAATAHAAAACDMvNi8yMDI2CAAAAAkzLzMxLzIwMjUJAAAAATBQD43lzXveCDsV+TjOe94IM0NJUS5OWVNFOklCTS5JUV9JUFJEX1NVUFBMRS4xOTk3LjA2LzAzLzIwMjYuLi5VU0QuSAEAAADetgEAAwAAAAAAUA+N5c173gg7Ffk4znveCDtDSVEuTllTRTpJQk0uSVFfTk9OQ0FTSF9QRU5TSU9OX0VYUC4xOTk3LjA2LzAzLzIwMjYuLi5VU0QuSAEAAADetgEAAwAAAAAAUA+N5c173gg7Ffk4znveCEFDSVEuTllTRTpJQk0uSVFfTk9OUkVDVVJSSU5HX0lOQ09NRV9UQVhFUy4xOTk3LjA2LzAzLzIwMjYuLi5VU0QuSAEAAADetgEAAgAAAAItOQEIAAAABQAAAAExAQAAAAstMTk0ODgzNzU0MAMAAAADMTYwAgAAAAU0ODgzOQQAAAABMAcAAAAIMy82LzIwMjYIAAAACTMvMzEvMjAyNQkAAAABMFAPjeXNe94IOxX5OM573gg8Q0lRLk5ZU0U6SUJNLklRX0VCSVRfRVFfSU5DX0VYQ0xfU0JDLjE5OTcuMDYvMDMvMjAyNi4uLlVTRC5IAQAAAN62AQACAAAABTExNTA1AQgAAAAFAAAAATEBAAAACy0xOTQ4ODM3NTQwAwAAAAMxNjACAAAABTI0</t>
  </si>
  <si>
    <t>MTMwBAAAAAEwBwAAAAgzLzYvMjAyNggAAAAJMy8zMS8yMDI1CQAAAAEwUA+N5c173ggTUvk4znveCC5DSVEuTllTRTpJQk0uSVFfRUJJVERBLjE5OTcuMDYvMDMvMjAyNi4uLlVTRC5IAQAAAN62AQACAAAABTEzMjgxAQgAAAAFAAAAATEBAAAACy0xOTQ4ODM3NTQwAwAAAAMxNjACAAAABDQwNTEEAAAAATAHAAAACDMvNi8yMDI2CAAAAAkzLzMxLzIwMjUJAAAAATBQD43lzXveCBNS+TjOe94ILUNJUS5OWVNFOklCTS5JUV9GSUxJTkdEQVRFX0lTLjE5OTcuMDYvMDMvMjAyNgEAAADetgEABQAAAAoyNC8wNC8yMDI1AFAPjeXNe94IgT35OM573gg3Q0lRLk5ZU0U6SUJNLklRX1RPVEFMX1JFVl9TSEFSRS4xOTk3LjA2LzAzLzIwMjYuLi5VU0QuSAEAAADetgEAAgAAAAk2Ny45NjUwNzQBCAAAAAUAAAABMQEAAAALLTE5NDg4Mzc1NDADAAAAAzE2MAIAAAAENDM4MgQAAAABMAcAAAAIMy82LzIwMjYIAAAACTMvMzEvMjAyNQkAAAABMFAPjeXNe94IgT35OM573ggyQ0lRLk5ZU0U6SUJNLklRX0VBUk5JTkdfQ08uMTk5Ny4wNi8wMy8yMDI2Li4uVVNELkgBAAAA3rYBAAIAAAAENTQ5NAEIAAAABQAAAAExAQAAAAstMTk0ODgzNzU0MAMAAAADMTYwAgAAAAE3BAAAAAEwBwAAAAgzLzYvMjAyNggAAAAJMy8zMS8yMDI1CQAAAAEwUA+N5c173giBPfk4znveCDdDSVEuTllTRTpJQk0uSVFfT1RIRVJfUkVWX1NVUFBM</t>
  </si>
  <si>
    <t>LjE5OTcuMDYvMDMvMjAyNi4uLlVTRC5IAQAAAN62AQACAAAAAzcwNwEIAAAABQAAAAExAQAAAAstMTk0ODgzNzU0MAMAAAADMTYwAgAAAAI5MAQAAAABMAcAAAAIMy82LzIwMjYIAAAACTMvMzEvMjAyNQkAAAABMFAPjeXNe94IE1L5OM573ggwQ0lRLk5ZU0U6SUJNLklRX0RBX1NVUFBMLjE5OTcuMDYvMDMvMjAyNi4uLlVTRC5IAQAAAN62AQADAAAAAABQD43lzXveCBNS+TjOe94IL0NJUS5OWVNFOklCTS5JUV9GSUxJTkdfQ1VSUkVOQ1kuMTk5Ny4wNi8wMy8yMDI2AQAAAN62AQADAAAAA1VTRABQHaPnzXveCBNS+TjOe94IOUNJUS5OWVNFOklCTS5JUV9ESVNUUklCVVRBQkxFX0NBU0hfUEFZT1VULjE5OTcuMDYvMDMvMjAyNgEAAADetgEAAwAAAAAAUA+N5c173ggTUvk4znveCDlDSVEuTllTRTpJQk0uSVFfU1BFQ0lBTF9ESVZfU0hBUkUuMTk5Ny4wNi8wMy8yMDI2Li4uVVNELkgBAAAA3rYBAAMAAAAAAFAPjeXNe94IE1L5OM573ggxQ0lRLk5ZU0U6SUJNLklRX0RJVl9TSEFSRS4xOTk3LjA2LzAzLzIwMjYuLi5VU0QuSAEAAADetgEAAgAAAAQ2LjY4AQgAAAAFAAAAATEBAAAACy0xOTQ4ODM3NTQwAwAAAAMxNjACAAAABDMwNTgEAAAAATAHAAAACDMvNi8yMDI2CAAAAAkzLzMxLzIwMjUJAAAAATBQD43lzXveCBNS+TjOe94IQENJUS5OWVNFOklCTS5JUV9PVEhFUl9OT05fT1BFUl9FWFBfU1VQUEwu</t>
  </si>
  <si>
    <t>MTk5Ny4wNi8wMy8yMDI2Li4uVVNELkgBAAAA3rYBAAIAAAADMjA0AQgAAAAFAAAAATEBAAAACy0xOTQ4ODM3NTQwAwAAAAMxNjACAAAAAjg1BAAAAAEwBwAAAAgzLzYvMjAyNggAAAAJMy8zMS8yMDI1CQAAAAEwUA+N5c173ggTUvk4znveCDJDSVEuTllTRTpJQk0uSVFfT1RIRVJfT1BFUi4xOTk3LjA2LzAzLzIwMjYuLi5VU0QuSAEAAADetgEAAgAAAAUtMTAzMwEIAAAABQAAAAExAQAAAAstMTk0ODgzNzU0MAMAAAADMTYwAgAAAAMyNjAEAAAAATAHAAAACDMvNi8yMDI2CAAAAAkzLzMxLzIwMjUJAAAAATBQD43lzXveCBNS+TjOe94INkNJUS5OWVNFOklCTS5JUV9ERUZfQ0hBUkdFU19MVC4xOTk3LjA2LzAzLzIwMjYuLi5VU0QuSAEAAADetgEAAgAAAAM3NjkBCAAAAAUAAAABMQEAAAALLTE5NDg4Mzc1NDADAAAAAzE2MAIAAAAEMTAyNQQAAAABMAcAAAAIMy82LzIwMjYIAAAACTMvMzEvMjAyNQkAAAABMFAPjeXNe94IE1L5OM573gg7Q0lRLk5ZU0U6SUJNLklRX1NBTEVfUkVBTF9FU1RBVEVfQ0YuMTk5Ny4wNi8wMy8yMDI2Li4uVVNELkgBAAAA3rYBAAMAAAAAAFAPjeXNe94IE1L5OM573ggyQ0lRLk5ZU0U6SUJNLklRX05JX0NPTVBBTlkuMTk5Ny4wNi8wMy8yMDI2Li4uVVNELkgBAAAA3rYBAAIAAAAENTQ3MwEIAAAABQAAAAExAQAAAAstMTk0ODgzNzU0MAMAAAADMTYwAgAAAAU0MTU3MQQAAAAB</t>
  </si>
  <si>
    <t>MAcAAAAIMy82LzIwMjYIAAAACTMvMzEvMjAyNQkAAAABMFAPjeXNe94IE1L5OM573ggzQ0lRLk5ZU0U6SUJNLklRX0dBSU5fQVNTRVRTLjE5OTcuMDYvMDMvMjAyNi4uLlVTRC5IAQAAAN62AQACAAAAAzM2NAEIAAAABQAAAAExAQAAAAstMTk0ODgzNzU0MAMAAAADMTYwAgAAAAI1NgQAAAABMAcAAAAIMy82LzIwMjYIAAAACTMvMzEvMjAyNQkAAAABMFAPjeXNe94IE1L5OM573ggxQ0lRLk5ZU0U6SUJNLklRX1NHQV9TVVBQTC4xOTk3LjA2LzAzLzIwMjYuLi5VU0QuSAEAAADetgEAAgAAAAUxOTEzMQEIAAAABQAAAAExAQAAAAstMTk0ODgzNzU0MAMAAAADMTYwAgAAAAMxMDIEAAAAATAHAAAACDMvNi8yMDI2CAAAAAkzLzMxLzIwMjUJAAAAATBQD43lzXveCBNS+TjOe94IK0NJUS5OWVNFOklCTS5JUV9SRVYuMTk5Ny4wNi8wMy8yMDI2Li4uVVNELkgBAAAA3rYBAAIAAAAFNjIxMjUBCAAAAAUAAAABMQEAAAALLTE5NDg4Mzc1NDADAAAAAzE2MAIAAAADMTEyBAAAAAEwBwAAAAgzLzYvMjAyNggAAAAJMy8zMS8yMDI1CQAAAAEwUA+N5c173ggTUvk4znveCDZDSVEuTllTRTpJQk0uSVFfRElMVVRfRVBTX0VYQ0wuMTk5Ny4wNi8wMy8yMDI2Li4uVVNELkgBAAAA3rYBAAIAAAAINS44NDc5MTIBCAAAAAUAAAABMQEAAAALLTE5NDg4Mzc1NDADAAAAAzE2MAIAAAADMTQyBAAAAAEwBwAAAAgzLzYvMjAyNggA</t>
  </si>
  <si>
    <t>AAAJMy8zMS8yMDI1CQAAAAEwUA+N5c173ggTUvk4znveCEVDSVEuTllTRTpJQk0uSVFfREVQUkVDSUFUSU9OX1JFTlRBTF9BU1NFVFNfQ0YuMTk5Ny4wNi8wMy8yMDI2Li4uVVNELkgBAAAA3rYBAAMAAAAAAFAPjeXNe94IHI35OM573gg2Q0lRLk5ZU0U6SUJNLklRX1NUT0NLX0JBU0VEX0dBLjE5OTcuMDYvMDMvMjAyNi4uLlVTRC5IAQAAAN62AQADAAAAAABQD43lzXveCByN+TjOe94IOkNJUS5OWVNFOklCTS5JUV9SRVNUUlVDVFVSRV9TVVBQTEUuMTk5Ny4wNi8wMy8yMDI2Li4uVVNELkgBAAAA3rYBAAMAAAAAAFAPjeXNe94IE1L5OM573gg9Q0lRLk5ZU0U6SUJNLklRX05FVF9SRU5UQUxfRVhQX1NVUFBMRS4xOTk3LjA2LzAzLzIwMjYuLi5VU0QuSAEAAADetgEAAwAAAAAAUA+N5c173ggTUvk4znveCC9DSVEuTllTRTpJQk0uSVFfRUZGRUNUX1RBWF9SQVRFLjE5OTcuMDYvMDMvMjAyNgEAAADetgEAAgAAAAY2LjU4MDUBCAAAAAUAAAABMQEAAAALLTE5NDg4Mzc1NDADAAAAAzE2MAIAAAAENDM3NgQAAAABMAcAAAAIMy82LzIwMjYIAAAACTMvMzEvMjAyNQkAAAABMFAPjeXNe94IE1L5OM573gg2Q0lRLk5ZU0U6SUJNLklRX01JU0NfQURKVVNUX0NGLjE5OTcuMDYvMDMvMjAyNi4uLlVTRC5IAQAAAN62AQACAAAAATEBCAAAAAUAAAABMQEAAAALLTE5NDg4Mzc1NDADAAAAAzE2MAIAAAAEMjE0OQQA</t>
  </si>
  <si>
    <t>AAABMAcAAAAIMy82LzIwMjYIAAAACTMvMzEvMjAyNQkAAAABMFAPjeXNe94IHI35OM573ggxQ0lRLk5ZU0U6SUJNLklRX0RJVkVTVF9DRi4xOTk3LjA2LzAzLzIwMjYuLi5VU0QuSAEAAADetgEAAgAAAAItNgEIAAAABQAAAAExAQAAAAstMTk0ODgzNzU0MAMAAAADMTYwAgAAAAQyMDc3BAAAAAEwBwAAAAgzLzYvMjAyNggAAAAJMy8zMS8yMDI1CQAAAAEwUA+N5c173ggcjfk4znveCD9DSVEuTllTRTpJQk0uSVFfRElTVFJJQlVUQUJMRV9DQVNIX1NIQVJFU19CQVNJQy4xOTk3LjA2LzAzLzIwMjYBAAAA3rYBAAMAAAAAAFAPjeXNe94I8Gn6OM573ggzQ0lRLk5ZU0U6SUJNLklRX0lOVF9FWFBfTFRELjE5OTcuMDYvMDMvMjAyNi4uLlVTRC5IAQAAAN62AQADAAAAAABQD43lzXveCByN+TjOe94IOkNJUS5OWVNFOklCTS5JUV9BU19SRVBPUlRFRF9FQklUREEuMTk5Ny4wNi8wMy8yMDI2Li4uVVNELkgBAAAA3rYBAAMAAAAAAFAPjeXNe94IHI35OM573ggyQ0lRLk5ZU0U6SUJNLklRX0lOQ19FUVVJVFkuMTk5Ny4wNi8wMy8yMDI2Li4uVVNELkgBAAAA3rYBAAMAAAAAAFAPjeXNe94IHI35OM573ggxQ0lRLk5ZU0U6SUJNLklRX1RPVEFMX1JFVi4xOTk3LjA2LzAzLzIwMjYuLi5VU0QuSAEAAADetgEAAgAAAAU2MjgzMgEIAAAABQAAAAExAQAAAAstMTk0ODgzNzU0MAMAAAADMTYwAgAAAAIyOAQAAAABMAcA</t>
  </si>
  <si>
    <t>AAAIMy82LzIwMjYIAAAACTMvMzEvMjAyNQkAAAABMFAPjeXNe94IHI35OM573gg3Q0lRLk5ZU0U6SUJNLklRX0dBSU5fSU5WRVNUX1JFVi4xOTk3LjA2LzAzLzIwMjYuLi5VU0QuSAEAAADetgEAAwAAAAAAUA+N5c173ggcjfk4znveCCxDSVEuTllTRTpJQk0uSVFfR1BQRS4xOTk3LjA2LzAzLzIwMjYuLi5VU0QuSAEAAADetgEAAgAAAAUyMTE1MAEIAAAABQAAAAExAQAAAAstMTk0ODgzNzU0MAMAAAADMTYwAgAAAAQxMTY5BAAAAAEwBwAAAAgzLzYvMjAyNggAAAAJMy8zMS8yMDI1CQAAAAEwUA+N5c173ggcjfk4znveCERDSVEuTllTRTpJQk0uSVFfQ0hBTkdFX09USEVSX05FVF9PUEVSX0FTU0VUUy4xOTk3LjA2LzAzLzIwMjYuLi5VU0QuSAEAAADetgEAAgAAAAQyMjYwAQgAAAAFAAAAATEBAAAACy0xOTQ4ODM3NTQwAwAAAAMxNjACAAAABDIwNDUEAAAAATAHAAAACDMvNi8yMDI2CAAAAAkzLzMxLzIwMjUJAAAAATBQD43lzXveCByN+TjOe94IPkNJUS5OWVNFOklCTS5JUV9BU1NFVF9XUklURURPV05fU1VQUExFLjE5OTcuMDYvMDMvMjAyNi4uLlVTRC5IAQAAAN62AQADAAAAAABQD43lzXveCByN+TjOe94IMUNJUS5OWVNFOklCTS5JUV9SRF9FWFBfRk4uMTk5Ny4wNi8wMy8yMDI2Li4uVVNELkgBAAAA3rYBAAIAAAAENzYzMwEIAAAABQAAAAExAQAAAAstMTk0ODgzNzU0MAMAAAADMTYwAgAAAAQz</t>
  </si>
  <si>
    <t>MTY4BAAAAAEwBwAAAAgzLzYvMjAyNggAAAAJMy8zMS8yMDI1CQAAAAEwUA+N5c173ggcjfk4znveCDhDSVEuTllTRTpJQk0uSVFfSU5UX0VYUF9JTkNMX0NBUC4xOTk3LjA2LzAzLzIwMjYuLi5VU0QuSAEAAADetgEAAgAAAAQxNzQ3AQgAAAAFAAAAATEBAAAACy0xOTQ4ODM3NTQwAwAAAAMxNjACAAAABTIxODYxBAAAAAEwBwAAAAgzLzYvMjAyNggAAAAJMy8zMS8yMDI1CQAAAAEwUA+N5c173ggcjfk4znveCDxDSVEuTllTRTpJQk0uSVFfREVGRVJSRURfVEFYRVNfVE9UQUwuMTk5Ny4wNi8wMy8yMDI2Li4uVVNELkgBAAAA3rYBAAIAAAAFLTIzMzYBCAAAAAUAAAABMQEAAAALLTE5NDg4Mzc1NDADAAAAAzE2MAIAAAAFMzUzODUEAAAAATAHAAAACDMvNi8yMDI2CAAAAAkzLzMxLzIwMjUJAAAAATBQD43lzXveCByN+TjOe94IP0NJUS5OWVNFOklCTS5JUV9ERUZFUlJFRF9ET01FU1RJQ19UQVhFUy4xOTk3LjA2LzAzLzIwMjYuLi5VU0QuSAEAAADetgEAAgAAAAUtMjUzOQEIAAAABQAAAAExAQAAAAstMTk0ODgzNzU0MAMAAAADMTYwAgAAAAQzMDU0BAAAAAEwBwAAAAgzLzYvMjAyNggAAAAJMy8zMS8yMDI1CQAAAAEwUA+N5c173ggcjfk4znveCDpDSVEuTllTRTpJQk0uSVFfQ1VSUl9GT1JFSUdOX1RBWEVTLjE5OTcuMDYvMDMvMjAyNi4uLlVTRC5IAQAAAN62AQACAAAABDIzMDEBCAAAAAUAAAABMQEA</t>
  </si>
  <si>
    <t>AAALLTE5NDg4Mzc1NDADAAAAAzE2MAIAAAAEMzAzMAQAAAABMAcAAAAIMy82LzIwMjYIAAAACTMvMzEvMjAyNQkAAAABMFAPjeXNe94ISMv5OM573ghBQ0lRLk5ZU0U6SUJNLklRX0VBUk5JTkdfUEFSRU5UX0VYQ0xfRVhUUkEuMTk5Ny4wNi8wMy8yMDI2Li4uVVNELkgBAAAA3rYBAAIAAAAENTQ5NAEIAAAABQAAAAExAQAAAAstMTk0ODgzNzU0MAMAAAADMTYwAgAAAAU0MTU5NgQAAAABMAcAAAAIMy82LzIwMjYIAAAACTMvMzEvMjAyNQkAAAABMFAPjeXNe94ISMv5OM573ggqQ0lRLk5ZU0U6SUJNLklRX1NBTUVfU1RPUkUuMTk5Ny4wNi8wMy8yMDI2AQAAAN62AQADAAAAAABQD43lzXveCByN+TjOe94INUNJUS5OWVNFOklCTS5JUV9FQklUX0VYQ0xfU0JDLjE5OTcuMDYvMDMvMjAyNi4uLlVTRC5IAQAAAN62AQACAAAABTExNTA1AQgAAAAFAAAAATEBAAAACy0xOTQ4ODM3NTQwAwAAAAMxNjACAAAABTI0MTM0BAAAAAEwBwAAAAgzLzYvMjAyNggAAAAJMy8zMS8yMDI1CQAAAAEwUA+N5c173ggcjfk4znveCCxDSVEuTllTRTpJQk0uSVFfQkFTSUNfV0VJR0hULjE5OTcuMDYvMDMvMjAyNgEAAADetgEAAgAAAAk5MjQuNDc0ODIAUA+N5c173ggcjfk4znveCDZDSVEuTllTRTpJQk0uSVFfQkFTSUNfRVBTX0lOQ0wuMTk5Ny4wNi8wMy8yMDI2Li4uVVNELkgBAAAA3rYBAAIAAAAINS45MjAxMTcBCAAAAAUA</t>
  </si>
  <si>
    <t>AAABMQEAAAALLTE5NDg4Mzc1NDADAAAAAzE2MAIAAAABOQQAAAABMAcAAAAIMy82LzIwMjYIAAAACTMvMzEvMjAyNQkAAAABMFAPjeXNe94ISMv5OM573ggqQ0lRLk5ZU0U6SUJNLklRX0RPLjE5OTcuMDYvMDMvMjAyNi4uLlVTRC5IAQAAAN62AQACAAAAAy0yMQEIAAAABQAAAAExAQAAAAstMTk0ODgzNzU0MAMAAAADMTYwAgAAAAI0MAQAAAABMAcAAAAIMy82LzIwMjYIAAAACTMvMzEvMjAyNQkAAAABMFAPjeXNe94ISMv5OM573gg1Q0lRLk5ZU0U6SUJNLklRX0lNUEFJUk1FTlRfR1cuMTk5Ny4wNi8wMy8yMDI2Li4uVVNELkgBAAAA3rYBAAMAAAAAAFAPjeXNe94ISMv5OM573ggzQ0lRLk5ZU0U6SUJNLklRX09USEVSX0FNT1JULjE5OTcuMDYvMDMvMjAyNi4uLlVTRC5IAQAAAN62AQACAAAAAzY0NQEIAAAABQAAAAExAQAAAAstMTk0ODgzNzU0MAMAAAADMTYwAgAAAAQyMDE0BAAAAAEwBwAAAAgzLzYvMjAyNggAAAAJMy8zMS8yMDI1CQAAAAEwUA+N5c173ghIy/k4znveCDNDSVEuTllTRTpJQk0uSVFfREFfU1VQUExfQ0YuMTk5Ny4wNi8wMy8yMDI2Li4uVVNELkgBAAAA3rYBAAIAAAAEMjE3MQEIAAAABQAAAAExAQAAAAstMTk0ODgzNzU0MAMAAAADMTYwAgAAAAQyMTcxBAAAAAEwBwAAAAgzLzYvMjAyNggAAAAJMy8zMS8yMDI1CQAAAAEwUA+N5c173ghIy/k4znveCD9DSVEuTllTRTpJQk0uSVFf</t>
  </si>
  <si>
    <t>UkVTVFJfU1RPQ0tfQ09NUF9QUkVUQVguMTk5Ny4wNi8wMy8yMDI2Li4uVVNELkgBAAAA3rYBAAMAAAAAAFAPjeXNe94ISMv5OM573gg/Q0lRLk5ZU0U6SUJNLklRX0dBSU5fQkFSR0FJTl9BQ1FfU1VQUExFLjE5OTcuMDYvMDMvMjAyNi4uLlVTRC5IAQAAAN62AQADAAAAAABQD43lzXveCEjL+TjOe94INkNJUS5OWVNFOklCTS5JUV9NSU5JTVVNX1JFTlRBTC4xOTk3LjA2LzAzLzIwMjYuLi5VU0QuSAEAAADetgEAAwAAAAAAUA+N5c173ghIy/k4znveCD5DSVEuTllTRTpJQk0uSVFfQU5OVV9ESVNUUklCVVRJT05fVU5JVC4xOTk3LjA2LzAzLzIwMjYuLi5VU0QuSAEAAADetgEAAwAAAAAAUA+N5c173ghIy/k4znveCDRDSVEuTllTRTpJQk0uSVFfRUJJVERBX0NBUEVYLjE5OTcuMDYvMDMvMjAyNi4uLlVTRC5IAQAAAN62AQACAAAABTEyMjI4AQgAAAAFAAAAATEBAAAACy0xOTQ4ODM3NTQwAwAAAAMxNjACAAAABTM1Mzc5BAAAAAEwBwAAAAgzLzYvMjAyNggAAAAJMy8zMS8yMDI1CQAAAAEwUA+N5c173ghIy/k4znveCDNDSVEuTllTRTpJQk0uSVFfRUJJVF9FUV9JTkMuMTk5Ny4wNi8wMy8yMDI2Li4uVVNELkgBAAAA3rYBAAIAAAAFMTAxMTMBCAAAAAUAAAABMQEAAAALLTE5NDg4Mzc1NDADAAAAAzE2MAIAAAAFMjE2NzUEAAAAATAHAAAACDMvNi8yMDI2CAAAAAkzLzMxLzIwMjUJAAAAATBQD43lzXve</t>
  </si>
  <si>
    <t>CEjL+TjOe94INkNJUS5OWVNFOklCTS5JUV9HV19JTlRBTl9BTU9SVC4xOTk3LjA2LzAzLzIwMjYuLi5VU0QuSAEAAADetgEAAwAAAAAAUA+N5c173ghIy/k4znveCDdDSVEuTllTRTpJQk0uSVFfRklOX0RJVl9JTlRfRVhQLjE5OTcuMDYvMDMvMjAyNi4uLlVTRC5IAQAAAN62AQADAAAAAABQD43lzXveCEjL+TjOe94INkNJUS5OWVNFOklCTS5JUV9TVE9DS19CQVNFRF9TTS4xOTk3LjA2LzAzLzIwMjYuLi5VU0QuSAEAAADetgEAAwAAAAAAUA+N5c173ghIy/k4znveCEJDSVEuTllTRTpJQk0uSVFfREVQUkVDSUFUSU9OX1JFTlRBTF9BU1NFVFMuMTk5Ny4wNi8wMy8yMDI2Li4uVVNELkgBAAAA3rYBAAMAAAAAAFAPjeXNe94ISMv5OM573ghJQ0lRLk5ZU0U6SUJNLklRX0VCSVREQV9FUV9JTkNfRVhDTF9PUEVSX0xFQVNFX0FESi4xOTk3LjA2LzAzLzIwMjYuLi5VU0QuSAEAAADetgEAAgAAAAUxMzI4MQEIAAAABQAAAAExAQAAAAstMTk0ODgzNzU0MAMAAAADMTYwAgAAAAU0ODk4NwQAAAABMAcAAAAIMy82LzIwMjYIAAAACTMvMzEvMjAyNQkAAAABMFAPjeXNe94IIAf6OM573ghAQ0lRLk5ZU0U6SUJNLklRX0RJU1RSSUJVVEFCTEVfQ0FTSF9TSEFSRS4xOTk3LjA2LzAzLzIwMjYuLi5VU0QuSAEAAADetgEAAwAAAAAAUA+N5c173gggB/o4znveCDVDSVEuTllTRTpJQk0uSVFfTklfQVZBSUxfSU5DTC4x</t>
  </si>
  <si>
    <t>OTk3LjA2LzAzLzIwMjYuLi5VU0QuSAEAAADetgEAAgAAAAQ1NDczAQgAAAAFAAAAATEBAAAACy0xOTQ4ODM3NTQwAwAAAAMxNjACAAAAAjE2BAAAAAEwBwAAAAgzLzYvMjAyNggAAAAJMy8zMS8yMDI1CQAAAAEwUA+N5c173ghIy/k4znveCDdDSVEuTllTRTpJQk0uSVFfQVNTRVRfV1JJVEVET1dOLjE5OTcuMDYvMDMvMjAyNi4uLlVTRC5IAQAAAN62AQADAAAAAABQD43lzXveCEjL+TjOe94IO0NJUS5OWVNFOklCTS5JUV9JTlRFUkVTVF9JTlZFU1RfSU5DLjE5OTcuMDYvMDMvMjAyNi4uLlVTRC5IAQAAAN62AQACAAAAAzcyOAEIAAAABQAAAAExAQAAAAstMTk0ODgzNzU0MAMAAAADMTYwAgAAAAI2NQQAAAABMAcAAAAIMy82LzIwMjYIAAAACTMvMzEvMjAyNQkAAAABMFAPjeXNe94ISMv5OM573ggsQ0lRLk5ZU0U6SUJNLklRX0lQUkQuMTk5Ny4wNi8wMy8yMDI2Li4uVVNELkgBAAAA3rYBAAMAAAAAAFAPjeXNe94IIAf6OM573gg2Q0lRLk5ZU0U6SUJNLklRX1BST1ZfQkFEX0RFQlRTLjE5OTcuMDYvMDMvMjAyNi4uLlVTRC5IAQAAAN62AQADAAAAAABQD43lzXveCCAH+jjOe94INkNJUS5OWVNFOklCTS5JUV9ESUxVVF9FUFNfSU5DTC4xOTk3LjA2LzAzLzIwMjYuLi5VU0QuSAEAAADetgEAAgAAAAg1LjgyNTU3NQEIAAAABQAAAAExAQAAAAstMTk0ODgzNzU0MAMAAAADMTYwAgAAAAE4BAAAAAEwBwAA</t>
  </si>
  <si>
    <t>AAgzLzYvMjAyNggAAAAJMy8zMS8yMDI1CQAAAAEwUA+N5c173gggB/o4znveCDlDSVEuTllTRTpJQk0uSVFfSU5WRVNUTUVOVF9JTkNPTUUuMTk5Ny4wNi8wMy8yMDI2Li4uVVNELkgBAAAA3rYBAAMAAAAAAFAPjeXNe94IIAf6OM573gguQ0lRLk5ZU0U6SUJNLklRX1JFU1RBVEVNRU5UX0lTLjE5OTcuMDYvMDMvMjAyNgEAAADetgEAAwAAAAFPAFAPjeXNe94IIAf6OM573gg2Q0lRLk5ZU0U6SUJNLklRX1NUT0NLX0JBU0VEX0FULjE5OTcuMDYvMDMvMjAyNi4uLlVTRC5IAQAAAN62AQADAAAAAABQD43lzXveCH4b+jjOe94INkNJUS5OWVNFOklCTS5JUV9MVF9ERUJUX0lTU1VFRC4xOTk3LjA2LzAzLzIwMjYuLi5VU0QuSAEAAADetgEAAwAAAAAAUA+N5c173gh+G/o4znveCDJDSVEuTllTRTpJQk0uSVFfSU1QQUlSX09JTC4xOTk3LjA2LzAzLzIwMjYuLi5VU0QuSAEAAADetgEAAwAAAAAAUA+N5c173gh+G/o4znveCCxDSVEuTllTRTpJQk0uSVFfQ09HUy4xOTk3LjA2LzAzLzIwMjYuLi5VU0QuSAEAAADetgEAAgAAAAUyNjYxOAEIAAAABQAAAAExAQAAAAstMTk0ODgzNzU0MAMAAAADMTYwAgAAAAIzNAQAAAABMAcAAAAIMy82LzIwMjYIAAAACTMvMzEvMjAyNQkAAAABMFAPjeXNe94Ifhv6OM573gg1Q0lRLk5ZU0U6SUJNLklRX0NVUlJFTkNZX0dBSU4uMTk5Ny4wNi8wMy8yMDI2Li4uVVNELkgBAAAA</t>
  </si>
  <si>
    <t>3rYBAAIAAAADMTAxAQgAAAAFAAAAATEBAAAACy0xOTQ4ODM3NTQwAwAAAAMxNjACAAAAAjM4BAAAAAEwBwAAAAgzLzYvMjAyNggAAAAJMy8zMS8yMDI1CQAAAAEwUA+N5c173gh+G/o4znveCDRDSVEuTllTRTpJQk0uSVFfTEVHQUxfU0VUVExFLjE5OTcuMDYvMDMvMjAyNi4uLlVTRC5IAQAAAN62AQADAAAAAABQD43lzXveCH4b+jjOe94IP0NJUS5OWVNFOklCTS5JUV9FWENJU0VfVEFYRVNfSU5DTF9TQUxFUy4xOTk3LjA2LzAzLzIwMjYuLi5VU0QuSAEAAADetgEAAwAAAAAAUA+N5c173gh+G/o4znveCEFDSVEuTllTRTpJQk0uSVFfRElTVFJJQlVUQUJMRV9DQVNIX1NIQVJFU19ESUxVVEVELjE5OTcuMDYvMDMvMjAyNgEAAADetgEAAwAAAAAAUB2j58173gh+G/o4znveCDRDSVEuTllTRTpJQk0uSVFfT1RIRVJfUkVOVEFMLjE5OTcuMDYvMDMvMjAyNi4uLlVTRC5IAQAAAN62AQADAAAAAABQD43lzXveCH4b+jjOe94IP0NJUS5OWVNFOklCTS5JUV9FWFBMT1JFX0RSSUxMX0VYUF9UT1RBTC4xOTk3LjA2LzAzLzIwMjYuLi5VU0QuSAEAAADetgEAAwAAAAAAUA+N5c173gh+G/o4znveCDxDSVEuTllTRTpJQk0uSVFfVE9UQUxfVU5VU1VBTF9TVVBQTEUuMTk5Ny4wNi8wMy8yMDI2Li4uVVNELkgBAAAA3rYBAAIAAAACLTEBCAAAAAUAAAABMQEAAAALLTE5NDg4Mzc1NDADAAAAAzE2MAIAAAAFMzMzOTAE</t>
  </si>
  <si>
    <t>AAAAATAHAAAACDMvNi8yMDI2CAAAAAkzLzMxLzIwMjUJAAAAATBQD43lzXveCMdC+jjOe94INkNJUS5OWVNFOklCTS5JUV9PVEhFUl9PUEVSX0FDVC4xOTk3LjA2LzAzLzIwMjYuLi5VU0QuSAEAAADetgEAAgAAAAM3ODMBCAAAAAUAAAABMQEAAAALLTE5NDg4Mzc1NDADAAAAAzE2MAIAAAAEMjA0NwQAAAABMAcAAAAIMy82LzIwMjYIAAAACTMvMzEvMjAyNQkAAAABMFAPjeXNe94Ix0L6OM573ggtQ0lRLk5ZU0U6SUJNLklRX0ZJTElOR0RBVEVfQ0YuMTk5Ny4wNi8wMy8yMDI2AQAAAN62AQAFAAAACjI0LzA0LzIwMjUAUA+N5c173gh+G/o4znveCDhDSVEuTllTRTpJQk0uSVFfVE9UQUxfT1RIRVJfT1BFUi4xOTk3LjA2LzAzLzIwMjYuLi5VU0QuSAEAAADetgEAAgAAAAUyNTcyNwEIAAAABQAAAAExAQAAAAstMTk0ODgzNzU0MAMAAAADMTYwAgAAAAMzODAEAAAAATAHAAAACDMvNi8yMDI2CAAAAAkzLzMxLzIwMjUJAAAAATBQD43lzXveCH4b+jjOe94IPENJUS5OWVNFOklCTS5JUV9NSU5PUklUWV9JTlRFUkVTVF9JUy4xOTk3LjA2LzAzLzIwMjYuLi5VU0QuSAEAAADetgEAAwAAAAAAUA+N5c173gh+G/o4znveCCxDSVEuTllTRTpJQk0uSVFfRElMVVRfV0VJR0hULjE5OTcuMDYvMDMvMjAyNgEAAADetgEAAgAAAAo5NDAuMTQ1NDUzAFAPjeXNe94Ix0L6OM573ghHQ0lRLk5ZU0U6SUJNLklRX0RJU1RS</t>
  </si>
  <si>
    <t>SUJVVEFCTEVfQ0FTSF9TVEFOREFSRElaRUQuMTk5Ny4wNi8wMy8yMDI2Li4uVVNELkgBAAAA3rYBAAMAAAAAAFAPjeXNe94Ix0L6OM573gg5Q0lRLk5ZU0U6SUJNLklRX0lOU19TRVRUTEVfU1VQUExFLjE5OTcuMDYvMDMvMjAyNi4uLlVTRC5IAQAAAN62AQADAAAAAABQD43lzXveCMdC+jjOe94IM0NJUS5OWVNFOklCTS5JUV9GSU5fRElWX1JFVi4xOTk3LjA2LzAzLzIwMjYuLi5VU0QuSAEAAADetgEAAwAAAAAAUA+N5c173gjHQvo4znveCDVDSVEuTllTRTpJQk0uSVFfRVhQTE9SRV9EUklMTC4xOTk3LjA2LzAzLzIwMjYuLi5VU0QuSAEAAADetgEAAwAAAAAAUA+N5c173gjHQvo4znveCDVDSVEuTllTRTpJQk0uSVFfUFJFX09QRU5fQ09TVC4xOTk3LjA2LzAzLzIwMjYuLi5VU0QuSAEAAADetgEAAwAAAAAAUA+N5c173gjHQvo4znveCCtDSVEuTllTRTpJQk0uSVFfRUJULjE5OTcuMDYvMDMvMjAyNi4uLlVTRC5IAQAAAN62AQACAAAABDU4ODEBCAAAAAUAAAABMQEAAAALLTE5NDg4Mzc1NDADAAAAAzE2MAIAAAADMTM5BAAAAAEwBwAAAAgzLzYvMjAyNggAAAAJMy8zMS8yMDI1CQAAAAEwUA+N5c173gjHQvo4znveCDJDSVEuTllTRTpJQk0uSVFfT0lMX0lNUEFJUi4xOTk3LjA2LzAzLzIwMjYuLi5VU0QuSAEAAADetgEAAwAAAAAAUA+N5c173gjHQvo4znveCDBDSVEuTllTRTpJQk0uSVFfRUJUX0VY</t>
  </si>
  <si>
    <t>Q0wuMTk5Ny4wNi8wMy8yMDI2Li4uVVNELkgBAAAA3rYBAAIAAAAEOTQxMQEIAAAABQAAAAExAQAAAAstMTk0ODgzNzU0MAMAAAADMTYwAgAAAAE0BAAAAAEwBwAAAAgzLzYvMjAyNggAAAAJMy8zMS8yMDI1CQAAAAEwUA+N5c173gjHQvo4znveCDZDSVEuTllTRTpJQk0uSVFfUFJFRl9ESVZfT1RIRVIuMTk5Ny4wNi8wMy8yMDI2Li4uVVNELkgBAAAA3rYBAAMAAAAAAFAPjeXNe94I8Gn6OM573gg2Q0lRLk5ZU0U6SUJNLklRX0RJTFVUX0VQU19OT1JNLjE5OTcuMDYvMDMvMjAyNi4uLlVTRC5IAQAAAN62AQACAAAACDYuMjU2MzQ1AQgAAAAFAAAAATEBAAAACy0xOTQ4ODM3NTQwAwAAAAMxNjACAAAABDQzODAEAAAAATAHAAAACDMvNi8yMDI2CAAAAAkzLzMxLzIwMjUJAAAAATBQD43lzXveCPBp+jjOe94IL0NJUS5OWVNFOklCTS5JUV9QRVJJT0RMRU5HVEhfSVMuMTk5Ny4wNi8wMy8yMDI2AQAAAN62AQABAAAAAjEyAFAPjeXNe94I8Gn6OM573ggzQ0lRLk5ZU0U6SUJNLklRX1BSRUZfSVNTVUVELjE5OTcuMDYvMDMvMjAyNi4uLlVTRC5IAQAAAN62AQADAAAAAABQD43lzXveCMdC+jjOe94INENJUS5OWVNFOklCTS5JUV9JTlRFUkVTVF9FWFAuMTk5Ny4wNi8wMy8yMDI2Li4uVVNELkgBAAAA3rYBAAIAAAAFLTE3MzUBCAAAAAUAAAABMQEAAAALLTE5NDg4Mzc1NDADAAAAAzE2MAIAAAACODIEAAAAATAH</t>
  </si>
  <si>
    <t>AAAACDMvNi8yMDI2CAAAAAkzLzMxLzIwMjUJAAAAATBQD43lzXveCPBp+jjOe94IMkNJUS5OWVNFOklCTS5JUV9JTlNfU0VUVExFLjE5OTcuMDYvMDMvMjAyNi4uLlVTRC5IAQAAAN62AQADAAAAAABQD43lzXveCPBp+jjOe94INUNJUS5OWVNFOklCTS5JUV9FQklUREFfRVFfSU5DLjE5OTcuMDYvMDMvMjAyNi4uLlVTRC5IAQAAAN62AQACAAAACDE0NTk0LjI1AQgAAAAFAAAAATEBAAAACy0xOTQ4ODM3NTQwAwAAAAMxNjACAAAABTIxNjc3BAAAAAEwBwAAAAgzLzYvMjAyNggAAAAJMy8zMS8yMDI1CQAAAAEwUA+N5c173gjwafo4znveCDdDSVEuTllTRTpJQk0uSVFfRUJJVERBX0VYQ0xfU0JDLjE5OTcuMDYvMDMvMjAyNi4uLlVTRC5IAQAAAN62AQACAAAABTE0NjczAQgAAAAFAAAAATEBAAAACy0xOTQ4ODM3NTQwAwAAAAMxNjACAAAABTI0MTM1BAAAAAEwBwAAAAgzLzYvMjAyNggAAAAJMy8zMS8yMDI1CQAAAAEwUA+N5c173gjwafo4znveCD9DSVEuTllTRTpJQk0uSVFfTEVBU0VfQURKVVNUTUVOVF9FQklUREEuMTk5Ny4wNi8wMy8yMDI2Li4uVVNELkgBAAAA3rYBAAIAAAAHMTMxMy4yNQBQD43lzXveCPBp+jjOe94INENJUS5OWVNFOklCTS5JUV9FQklUQV9FUV9JTkMuMTk5Ny4wNi8wMy8yMDI2Li4uVVNELkgBAAAA3rYBAAIAAAAFMTIwMTABCAAAAAUAAAABMQEAAAALLTE5NDg4Mzc1NDADAAAA</t>
  </si>
  <si>
    <t>AzE2MAIAAAAFMjE2NzYEAAAAATAHAAAACDMvNi8yMDI2CAAAAAkzLzMxLzIwMjUJAAAAATBQD43lzXveCAKR+jjOe94IM0NJUS5OWVNFOklCTS5JUV9JTlNfRElWX0VYUC4xOTk3LjA2LzAzLzIwMjYuLi5VU0QuSAEAAADetgEAAwAAAAAAUA+N5c173gjwafo4znveCC5DSVEuTllTRTpJQk0uSVFfTUVSR0VSLjE5OTcuMDYvMDMvMjAyNi4uLlVTRC5IAQAAAN62AQACAAAABC0xMjUBCAAAAAUAAAABMQEAAAALLTE5NDg4Mzc1NDADAAAAAzE2MAIAAAACODAEAAAAATAHAAAACDMvNi8yMDI2CAAAAAkzLzMxLzIwMjUJAAAAATBQD43lzXveCPBp+jjOe94INUNJUS5OWVNFOklCTS5JUV9OSV9BVkFJTF9FWENMLjE5OTcuMDYvMDMvMjAyNi4uLlVTRC5IAQAAAN62AQACAAAABDU0OTQBCAAAAAUAAAABMQEAAAALLTE5NDg4Mzc1NDADAAAAAzE2MAIAAAADMzc5BAAAAAEwBwAAAAgzLzYvMjAyNggAAAAJMy8zMS8yMDI1CQAAAAEwUA+N5c173gjwafo4znveCDZDSVEuTllTRTpJQk0uSVFfRUJJVEFfRVhDTF9TQkMuMTk5Ny4wNi8wMy8yMDI2Li4uVVNELkgBAAAA3rYBAAIAAAAFMTM0MDIBCAAAAAUAAAABMQEAAAALLTE5NDg4Mzc1NDADAAAAAzE2MAIAAAAFMjQxMzYEAAAAATAHAAAACDMvNi8yMDI2CAAAAAkzLzMxLzIwMjUJAAAAATBQD43lzXveCPBp+jjOe94INkNJUS5OWVNFOklCTS5JUV9FQklUREFSX0VR</t>
  </si>
  <si>
    <t>X0lOQy4xOTk3LjA2LzAzLzIwMjYuLi5VU0QuSAEAAADetgEAAwAAAAAAUA+N5c173ggCkfo4znveCDhDSVEuTllTRTpJQk0uSVFfRUJJVERBUl9FWENMX1NCQy4xOTk3LjA2LzAzLzIwMjYuLi5VU0QuSAEAAADetgEAAwAAAAAAUA+N5c173ggCkfo4znveCD5DSVEuTllTRTpJQk0uSVFfREVGRVJSRURfRk9SRUlHTl9UQVhFUy4xOTk3LjA2LzAzLzIwMjYuLi5VU0QuSAEAAADetgEAAgAAAAMyMDMBCAAAAAUAAAABMQEAAAALLTE5NDg4Mzc1NDADAAAAAzE2MAIAAAAEMzA1NQQAAAABMAcAAAAIMy82LzIwMjYIAAAACTMvMzEvMjAyNQkAAAABMFAPjeXNe94IApH6OM573gg0Q0lRLk5ZU0U6SUJNLklRX01BSU5UX1JFUEFJUi4xOTk3LjA2LzAzLzIwMjYuLi5VU0QuSAEAAADetgEAAwAAAAAAUA+N5c173ggCkfo4znveCDNDSVEuTllTRTpJQk0uSVFfU1RPQ0tfQkFTRUQuMTk5Ny4wNi8wMy8yMDI2Li4uVVNELkgBAAAA3rYBAAMAAAAAAFAPjeXNe94IApH6OM573gg3Q0lRLk5ZU0U6SUJNLklRX0lOVEVSRVNUX0lOQ09NRS4xOTk3LjA2LzAzLzIwMjYuLi5VU0QuSAEAAADetgEAAgAAAAM3MjgBCAAAAAUAAAABMQEAAAALLTE5NDg4Mzc1NDADAAAAAzE2MAIAAAADMjEwBAAAAAEwBwAAAAgzLzYvMjAyNggAAAAJMy8zMS8yMDI1CQAAAAEwUA+N5c173ggCkfo4znveCD9DSVEuTllTRTpJQk0uSVFfRVhDSVNF</t>
  </si>
  <si>
    <t>X1RBWEVTX0VYQ0xfU0FMRVMuMTk5Ny4wNi8wMy8yMDI2Li4uVVNELkgBAAAA3rYBAAMAAAAAAFAPjeXNe94IApH6OM573gg7Q0lRLk5ZU0U6SUJNLklRX0NVUlJfRE9NRVNUSUNfVEFYRVMuMTk5Ny4wNi8wMy8yMDI2Li4uVVNELkgBAAAA3rYBAAIAAAAELTE4MwEIAAAABQAAAAExAQAAAAstMTk0ODgzNzU0MAMAAAADMTYwAgAAAAQzMDI3BAAAAAEwBwAAAAgzLzYvMjAyNggAAAAJMy8zMS8yMDI1CQAAAAEwUA+N5c173ggCkfo4znveCDxDSVEuTllTRTpJQk0uSVFfU1RPQ0tfQkFTRURfQ09NUF9UQVguMTk5Ny4wNi8wMy8yMDI2Li4uVVNELkgBAAAA3rYBAAIAAAAELTU0MwBQD43lzXveCAKR+jjOe94ILUNJUS5OWVNFOklCTS5JUV9OSV9DRi4xOTk3LjA2LzAzLzIwMjYuLi5VU0QuSAEAAADetgEAAgAAAAQ1NDczAQgAAAAFAAAAATEBAAAACy0xOTQ4ODM3NTQwAwAAAAMxNjACAAAABDIxNTAEAAAAATAHAAAACDMvNi8yMDI2CAAAAAkzLzMxLzIwMjUJAAAAATBQD43lzXveCAKR+jjOe94INkNJUS5OWVNFOklCTS5JUV9UUkFESU5HX0FTU0VUUy4xOTk3LjA2LzAzLzIwMjYuLi5VU0QuSAEAAADetgEAAwAAAAAAUA+N5c173ggOuPo4znveCDhDSVEuTllTRTpJQk0uSVFfTkVUX0lOVEVSRVNUX0VYUC4xOTk3LjA2LzAzLzIwMjYuLi5VU0QuSAEAAADetgEAAgAAAAUtMTAwNwEIAAAABQAAAAExAQAAAAst</t>
  </si>
  <si>
    <t>MTk0ODgzNzU0MAMAAAADMTYwAgAAAAMzNjgEAAAAATAHAAAACDMvNi8yMDI2CAAAAAkzLzMxLzIwMjUJAAAAATBQD43lzXveCA64+jjOe94IO0NJUS5OWVNFOklCTS5JUV9PVEhFUl9VTlVTVUFMX1NVUFBMLjE5OTcuMDYvMDMvMjAyNi4uLlVTRC5IAQAAAN62AQACAAAABS0zMTEzAQgAAAAFAAAAATEBAAAACy0xOTQ4ODM3NTQwAwAAAAMxNjACAAAAAjg3BAAAAAEwBwAAAAgzLzYvMjAyNggAAAAJMy8zMS8yMDI1CQAAAAEwUA+N5c173ggCkfo4znveCDNDSVEuTllTRTpJQk0uSVFfQURWRVJUSVNJTkcuMTk5Ny4wNi8wMy8yMDI2Li4uVVNELkgBAAAA3rYBAAMAAAAAAFAPjeXNe94IApH6OM573gg4Q0lRLk5ZU0U6SUJNLklRX0dBSU5fQkFSR0FJTl9BQ1EuMTk5Ny4wNi8wMy8yMDI2Li4uVVNELkgBAAAA3rYBAAMAAAAAAFAPjeXNe94IApH6OM573gg7Q0lRLk5ZU0U6SUJNLklRX0xFR0FMX1NFVFRMRV9TVVBQTEUuMTk5Ny4wNi8wMy8yMDI2Li4uVVNELkgBAAAA3rYBAAMAAAAAAFAPjeXNe94IDrj6OM573ghBQ0lRLk5ZU0U6SUJNLklRX1NUT0NLX0JBU0VEX0VYUExPUkVfRFJJTEwuMTk5Ny4wNi8wMy8yMDI2Li4uVVNELkgBAAAA3rYBAAMAAAAAAFAPjeXNe94IDrj6OM573gg9Q0lRLk5ZU0U6SUJNLklRX0NIQU5HRV9UUkFESU5HX0FTU0VUUy4xOTk3LjA2LzAzLzIwMjYuLi5VU0QuSAEAAADetgEA</t>
  </si>
  <si>
    <t>AwAAAAAAUA+N5c173ggOuPo4znveCDdDSVEuTllTRTpJQk0uSVFfR0FJTl9BU1NFVFNfUkVWLjE5OTcuMDYvMDMvMjAyNi4uLlVTRC5IAQAAAN62AQADAAAAAABQD43lzXveCA64+jjOe94IPENJUS5OWVNFOklCTS5JUV9DQVBJVEFMSVpFRF9JTlRFUkVTVC4xOTk3LjA2LzAzLzIwMjYuLi5VU0QuSAEAAADetgEAAwAAAAAAUA+N5c173ggOuPo4znveCDpDSVEuTllTRTpJQk0uSVFfQVNTRVRfV1JJVEVET1dOX0NGLjE5OTcuMDYvMDMvMjAyNi4uLlVTRC5IAQAAAN62AQADAAAAAABQD43lzXveCA64+jjOe94IM0NJUS5OWVNFOklCTS5JUV9GSU5fRElWX0VYUC4xOTk3LjA2LzAzLzIwMjYuLi5VU0QuSAEAAADetgEAAgAAAAMzNzQBCAAAAAUAAAABMQEAAAALLTE5NDg4Mzc1NDADAAAAAzE2MAIAAAACNTEEAAAAATAHAAAACDMvNi8yMDI2CAAAAAkzLzMxLzIwMjUJAAAAATBQD43lzXveCA64+jjOe94IM0NJUS5OWVNFOklCTS5JUV9HQUlOX0lOVkVTVC4xOTk3LjA2LzAzLzIwMjYuLi5VU0QuSAEAAADetgEAAgAAAAMtMTkBCAAAAAUAAAABMQEAAAALLTE5NDg4Mzc1NDADAAAAAzE2MAIAAAACNjIEAAAAATAHAAAACDMvNi8yMDI2CAAAAAkzLzMxLzIwMjUJAAAAATBQD43lzXveCA64+jjOe94IMENJUS5OWVNFOklCTS5JUV9FUFNfTk9STS4xOTk3LjA2LzAzLzIwMjYuLi5VU0QuSAEAAADetgEAAgAAAAg2</t>
  </si>
  <si>
    <t>LjM2MjM5NgEIAAAABQAAAAExAQAAAAstMTk0ODgzNzU0MAMAAAADMTYwAgAAAAQ0Mzc5BAAAAAEwBwAAAAgzLzYvMjAyNggAAAAJMy8zMS8yMDI1CQAAAAEwUA+N5c173ggOuPo4znveCDBDSVEuTllTRTpJQk0uSVFfT1BFUl9JTkMuMTk5Ny4wNi8wMy8yMDI2Li4uVVNELkgBAAAA3rYBAAIAAAAFMTAxMTMBCAAAAAUAAAABMQEAAAALLTE5NDg4Mzc1NDADAAAAAzE2MAIAAAACMjEEAAAAATAHAAAACDMvNi8yMDI2CAAAAAkzLzMxLzIwMjUJAAAAATBQD43lzXveCA64+jjOe94IKkNJUS5OWVNFOklCTS5JUV9OSS4xOTk3LjA2LzAzLzIwMjYuLi5VU0QuSAEAAADetgEAAgAAAAQ1NDczAQgAAAAFAAAAATEBAAAACy0xOTQ4ODM3NTQwAwAAAAMxNjACAAAAAjE1BAAAAAEwBwAAAAgzLzYvMjAyNggAAAAJMy8zMS8yMDI1CQAAAAEwUA+N5c173ggl3/o4znveCExDSVEuTllTRTpJQk0uSVFfRElTVFJJQlVUQUJMRV9DQVNIX1BFUl9TSEFSRV9ESUxVVEVELjE5OTcuMDYvMDMvMjAyNi4uLlVTRC5IAQAAAN62AQADAAAAAABQD43lzXveCCXf+jjOe94IL0NJUS5OWVNFOklCTS5JUV9OSV9OT1JNLjE5OTcuMDYvMDMvMjAyNi4uLlVTRC5IAQAAAN62AQACAAAACDU4ODEuODc1AQgAAAAFAAAAATEBAAAACy0xOTQ4ODM3NTQwAwAAAAMxNjACAAAABDQzNzgEAAAAATAHAAAACDMvNi8yMDI2CAAAAAkzLzMxLzIwMjUJ</t>
  </si>
  <si>
    <t>AAAAATBQD43lzXveCCXf+jjOe94ILkNJUS5OWVNFOklCTS5JUV9HQV9FWFAuMTk5Ny4wNi8wMy8yMDI2Li4uVVNELkgBAAAA3rYBAAMAAAAAAFAPjeXNe94IJd/6OM573ggqQ0lRLk5ZU0U6SUJNLklRX0dQLjE5OTcuMDYvMDMvMjAyNi4uLlVTRC5IAQAAAN62AQACAAAABTM1ODQwAQgAAAAFAAAAATEBAAAACy0xOTQ4ODM3NTQwAwAAAAMxNjACAAAAAjEwBAAAAAEwBwAAAAgzLzYvMjAyNggAAAAJMy8zMS8yMDI1CQAAAAEwUA+N5c173ggl3/o4znveCDNDSVEuTllTRTpJQk0uSVFfSU5UX0lOVl9JTkMuMTk5Ny4wNi8wMy8yMDI2Li4uVVNELkgBAAAA3rYBAAMAAAAAAFAPjeXNe94IJPP6OM573gguQ0lRLk5ZU0U6SUJNLklRX1JEX0VYUC4xOTk3LjA2LzAzLzIwMjYuLi5VU0QuSAEAAADetgEAAgAAAAQ3NjI5AQgAAAAFAAAAATEBAAAACy0xOTQ4ODM3NTQwAwAAAAMxNjACAAAAAzEwMAQAAAABMAcAAAAIMy82LzIwMjYIAAAACTMvMzEvMjAyNQkAAAABMFAPjeXNe94IJPP6OM573ggvQ0lRLk5ZU0U6SUJNLklRX0lOQ19UQVguMTk5Ny4wNi8wMy8yMDI2Li4uVVNELkgBAAAA3rYBAAIAAAADMzg3AQgAAAAFAAAAATEBAAAACy0xOTQ4ODM3NTQwAwAAAAMxNjACAAAAAjc1BAAAAAEwBwAAAAgzLzYvMjAyNggAAAAJMy8zMS8yMDI1CQAAAAEwUA+N5c173ggk8/o4znveCDBDSVEuTllTRTpJQk0uSVFfRFJf</t>
  </si>
  <si>
    <t>UkFUSU9fUFJJTUFSWS4xOTk3LjA2LzAzLzIwMjYBAAAA3rYBAAIAAAABMQBQD43lzXveCCXf+jjOe94IPkNJUS5OWVNFOklCTS5JUV9FQklUREFfRVFfSU5DX0VYQ0xfU0JDLjE5OTcuMDYvMDMvMjAyNi4uLlVTRC5IAQAAAN62AQACAAAABTE0NjczAQgAAAAFAAAAATEBAAAACy0xOTQ4ODM3NTQwAwAAAAMxNjACAAAABTI0MTMxBAAAAAEwBwAAAAgzLzYvMjAyNggAAAAJMy8zMS8yMDI1CQAAAAEwUA+N5c173ggl3/o4znveCDZDSVEuTllTRTpJQk0uSVFfTkVUX1JFTlRBTF9FWFAuMTk5Ny4wNi8wMy8yMDI2Li4uVVNELkgBAAAA3rYBAAMAAAAAAFAPjeXNe94IJPP6OM573gg8Q0lRLk5ZU0U6SUJNLklRX0lNUEFJUk1FTlRfR1dfU1VQUExFLjE5OTcuMDYvMDMvMjAyNi4uLlVTRC5IAQAAAN62AQADAAAAAABQD43lzXveCCTz+jjOe94IPENJUS5OWVNFOklCTS5JUV9PVEhFUl9VTlVTVUFMX1NVUFBMRS4xOTk3LjA2LzAzLzIwMjYuLi5VU0QuSAEAAADetgEAAwAAAAAAUA+N5c173ggk8/o4znveCDFDSVEuTllTRTpJQk0uSVFfQ0hBTkdFX0FSLjE5OTcuMDYvMDMvMjAyNi4uLlVTRC5IAQAAAN62AQACAAAABC0zNzQBCAAAAAUAAAABMQEAAAALLTE5NDg4Mzc1NDADAAAAAzE2MAIAAAAEMjAxOAQAAAABMAcAAAAIMy82LzIwMjYIAAAACTMvMzEvMjAyNQkAAAABMFAPjeXNe94IJPP6OM573ghBQ0lRLk5Z</t>
  </si>
  <si>
    <t>U0U6SUJNLklRX0dXX0lOVEFOX0FNT1JUX1BBUlRJQUxfQ0YuMTk5Ny4wNi8wMy8yMDI2Li4uVVNELkgBAAAA3rYBAAMAAAAAAFAPjeXNe94IJPP6OM573ggvQ0lRLk5ZU0U6SUJNLklRX05JXzNZUl9BTk5fQ0FHUi4xOTk2LjA2LzAzLzIwMjYBAAAA3rYBAAIAAAAGMS41OTk0AQgAAAAFAAAAATEBAAAACy0xOTA0ODYwNjY0AwAAAAMxNjACAAAABDQyMjUEAAAAATAHAAAACDMvNi8yMDI2CAAAAAoxMi8zMS8yMDI0CQAAAAEwUA+N5c173gib9fs4znveCEZDSVEuTllTRTpJQk0uSVFfTkVUX0RFQlRfRUJJVERBX0VYQ0xfT1BFUl9MRUFTRVNfQ0FQRVguMTk5Ni4wNi8wMy8yMDI2AQAAAN62AQACAAAACDMuNzAwMzcxAQgAAAAFAAAAATEBAAAACy0xOTA0ODYwNjY0AwAAAAMxNjACAAAABTQ5MTgyBAAAAAEwBwAAAAgzLzYvMjAyNggAAAAKMTIvMzEvMjAyNAkAAAABMFAPjeXNe94Im/X7OM573gg3Q0lRLk5ZU0U6SUJNLklRX1RPVEFMX0xJQUJfVE9UQUxfQVNTRVRTLjE5OTYuMDYvMDMvMjAyNgEAAADetgEAAgAAAAc4MC4wMzA2AQgAAAAFAAAAATEBAAAACy0xOTA0ODYwNjY0AwAAAAMxNjACAAAABDQxODgEAAAAATAHAAAACDMvNi8yMDI2CAAAAAoxMi8zMS8yMDI0CQAAAAEwUA+N5c173gib9fs4znveCChDSVEuTllTRTpJQk0uSVFfQVJfVFVSTlMuMTk5Ni4wNi8wMy8yMDI2AQAAAN62AQACAAAABzgu</t>
  </si>
  <si>
    <t>Mjk2ODcBCAAAAAUAAAABMQEAAAALLTE5MDQ4NjA2NjQDAAAAAzE2MAIAAAAENDAwMQQAAAABMAcAAAAIMy82LzIwMjYIAAAACjEyLzMxLzIwMjQJAAAAATBQD43lzXveCJv1+zjOe94ILUNJUS5OWVNFOklCTS5JUV9DQVBFWF9QQ1RfUkVWLjE5OTYuMDYvMDMvMjAyNgEAAADetgEAAgAAAAQxLjY3AQgAAAAFAAAAATEBAAAACy0xOTA0ODYwNjY0AwAAAAMxNjACAAAABTM1MzgwBAAAAAEwBwAAAAgzLzYvMjAyNggAAAAKMTIvMzEvMjAyNAkAAAABMFAPjeXNe94IvuD7OM573ghLQ0lRLk5ZU0U6SUJNLklRX0NIQU5HRV9VTlJFQ09HX1RBWF9CRU5FRklUXzFfWVJfTUlOLjE5OTYuMDYvMDMvMjAyNi4uLlVTRC5IAQAAAN62AQADAAAAAABQD43lzXveCAML/DjOe94IMENJUS5OWVNFOklCTS5JUV9FUFNfNVlSX0FOTl9DQUdSLjE5OTYuMDYvMDMvMjAyNgEAAADetgEAAgAAAActNC4zMDUxAQgAAAAFAAAAATEBAAAACy0xOTA0ODYwNjY0AwAAAAMxNjACAAAABDQyMzkEAAAAATAHAAAACDMvNi8yMDI2CAAAAAoxMi8zMS8yMDI0CQAAAAEwUA+N5c173ggDC/w4znveCDFDSVEuTllTRTpJQk0uSVFfTklfMVlSX0FOTl9HUk9XVEguMTk5Ni4wNi8wMy8yMDI2AQAAAN62AQACAAAACC0xOS43MTQ4AQgAAAAFAAAAATEBAAAACy0xOTA0ODYwNjY0AwAAAAMxNjACAAAABDQxOTkEAAAAATAHAAAACDMvNi8yMDI2CAAA</t>
  </si>
  <si>
    <t>AAoxMi8zMS8yMDI0CQAAAAEwUA+N5c173gib9fs4znveCEJDSVEuTllTRTpJQk0uSVFfVE9UQUxfREVCVF9FQklUREFfRVhDTF9PUEVSX0xFQVNFUy4xOTk2LjA2LzAzLzIwMjYBAAAA3rYBAAIAAAAINC41MzE3MzkBCAAAAAUAAAABMQEAAAALLTE5MDQ4NjA2NjQDAAAAAzE2MAIAAAAFNDg5OTQEAAAAATAHAAAACDMvNi8yMDI2CAAAAAoxMi8zMS8yMDI0CQAAAAEwUA+N5c173gib9fs4znveCDBDSVEuTllTRTpJQk0uSVFfRUJJVERBX0NBUEVYX0lOVC4xOTk2LjA2LzAzLzIwMjYBAAAA3rYBAAIAAAAINy42NzkzMjIBCAAAAAUAAAABMQEAAAALLTE5MDQ4NjA2NjQDAAAAAzE2MAIAAAAENDE5MQQAAAABMAcAAAAIMy82LzIwMjYIAAAACjEyLzMxLzIwMjQJAAAAATBQD43lzXveCJv1+zjOe94IMENJUS5OWVNFOklCTS5JUV9DRk9fQ1VSUkVOVF9MSUFCLjE5OTYuMDYvMDMvMjAyNgEAAADetgEAAgAAAAgwLjQwNTY3OAEIAAAABQAAAAExAQAAAAstMTkwNDg2MDY2NAMAAAADMTYwAgAAAAQ0MTg1BAAAAAEwBwAAAAgzLzYvMjAyNggAAAAKMTIvMzEvMjAyNAkAAAABMFAPjeXNe94IAwv8OM573ggtQ0lRLk5ZU0U6SUJNLklRX1JFVFVSTl9FUVVJVFkuMTk5Ni4wNi8wMy8yMDI2AQAAAN62AQACAAAABzI0LjA1NzEBCAAAAAUAAAABMQEAAAALLTE5MDQ4NjA2NjQDAAAAAzE2MAIAAAAENDEyOAQAAAABMAcA</t>
  </si>
  <si>
    <t>AAAIMy82LzIwMjYIAAAACjEyLzMxLzIwMjQJAAAAATBQD43lzXveCAML/DjOe94IMENJUS5OWVNFOklCTS5JUV9FUFNfM1lSX0FOTl9DQUdSLjE5OTYuMDYvMDMvMjAyNgEAAADetgEAAgAAAAY3LjIwOTMBCAAAAAUAAAABMQEAAAALLTE5MDQ4NjA2NjQDAAAAAzE2MAIAAAAENDIyNgQAAAABMAcAAAAIMy82LzIwMjYIAAAACjEyLzMxLzIwMjQJAAAAATBQD43lzXveCAML/DjOe94IM0NJUS5OWVNFOklCTS5JUV9FQklUREFfM1lSX0FOTl9DQUdSLjE5OTYuMDYvMDMvMjAyNgEAAADetgEAAgAAAAY0LjQ0NzUBCAAAAAUAAAABMQEAAAALLTE5MDQ4NjA2NjQDAAAAAzE2MAIAAAAENDIyMgQAAAABMAcAAAAIMy82LzIwMjYIAAAACjEyLzMxLzIwMjQJAAAAATBQD43lzXveCAML/DjOe94ISENJUS5OWVNFOklCTS5JUV9UT1RBTF9ERUJUX0VCSVREQV9FWENMX09QRVJfTEVBU0VTX0NBUEVYLjE5OTYuMDYvMDMvMjAyNgEAAADetgEAAgAAAAg0LjkzMjkyNwEIAAAABQAAAAExAQAAAAstMTkwNDg2MDY2NAMAAAADMTYwAgAAAAU0OTE4MwQAAAABMAcAAAAIMy82LzIwMjYIAAAACjEyLzMxLzIwMjQJAAAAATBQD43lzXveCAML/DjOe94ILkNJUS5OWVNFOklCTS5JUV9MVF9ERUJUX0VRVUlUWS4xOTk2LjA2LzAzLzIwMjYBAAAA3rYBAAIAAAAIMTkxLjc5NzEBCAAAAAUAAAABMQEAAAALLTE5MDQ4NjA2NjQDAAAA</t>
  </si>
  <si>
    <t>AzE2MAIAAAAENDA4NQQAAAABMAcAAAAIMy82LzIwMjYIAAAACjEyLzMxLzIwMjQJAAAAATBQD43lzXveCP0f/DjOe94IK0NJUS5OWVNFOklCTS5JUV9BU1NFVF9UVVJOUy4xOTk2LjA2LzAzLzIwMjYBAAAA3rYBAAIAAAAIMC40NjA3MTQBCAAAAAUAAAABMQEAAAALLTE5MDQ4NjA2NjQDAAAAAzE2MAIAAAAENDE3NwQAAAABMAcAAAAIMy82LzIwMjYIAAAACjEyLzMxLzIwMjQJAAAAATBQD43lzXveCP0f/DjOe94IS0NJUS5OWVNFOklCTS5JUV9DSEFOR0VfVU5SRUNPR19UQVhfQkVORUZJVF8xX1lSX01BWC4xOTk2LjA2LzAzLzIwMjYuLi5VU0QuSAEAAADetgEAAwAAAAAAUA+N5c173gj9H/w4znveCEtDSVEuTllTRTpJQk0uSVFfSU5URVJFU1RfUEVOQUxUSUVTX1JFQ09HX0JTX1BSRV9UQVguMTk5Ni4wNi8wMy8yMDI2Li4uVVNELkgBAAAA3rYBAAIAAAAEMTU2MABQD43lzXveCP0f/DjOe94ITUNJUS5OWVNFOklCTS5JUV9UUkFOU19JTVBBQ1RfRklOXzQ4X1JFVEFJTkVEX0VBUk5JTkdTLjE5OTYuMDYvMDMvMjAyNi4uLlVTRC5IAQAAAN62AQADAAAAAABQD43lzXveCP0f/DjOe94IOkNJUS5OWVNFOklCTS5JUV9UQVhfQkVORUZJVF9DRl8xWVIuMTk5Ni4wNi8wMy8yMDI2Li4uVVNELkgBAAAA3rYBAAMAAAAAAFAPjeXNe94IBTX8OM573gg5Q0lRLk5ZU0U6SUJNLklRX05PTF9DRl9BRlRFUl9GSVZF</t>
  </si>
  <si>
    <t>LjE5OTYuMDYvMDMvMjAyNi4uLlVTRC5IAQAAAN62AQADAAAAAABQD43lzXveCAU1/DjOe94IPkNJUS5OWVNFOklCTS5JUV9BU1NFVFNfQ0FQX0xFQVNFX0dST1NTLjE5OTYuMDYvMDMvMjAyNi4uLlVTRC5IAQAAAN62AQADAAAAAABQD43lzXveCAU1/DjOe94IPUNJUS5OWVNFOklCTS5JUV9WQUxVRV9DVVNUT01FUl9BU1NFVFMuMTk5Ni4wNi8wMy8yMDI2Li4uVVNELkgBAAAA3rYBAAMAAAAAAFAPjeXNe94IBTX8OM573gg3Q0lRLk5ZU0U6SUJNLklRX01VVFVBTF9GVU5EX0JPUC4xOTk2LjA2LzAzLzIwMjYuLi5VU0QuSAEAAADetgEAAwAAAAAAUA+N5c173gj9H/w4znveCDNDSVEuTllTRTpJQk0uSVFfQVVNX09USEVSX0NVU1RPTUVSUy4xOTk2LjA2LzAzLzIwMjYBAAAA3rYBAAMAAAAAAFAPjeXNe94ICUr8OM573gg6Q0lRLk5ZU0U6SUJNLklRX0FVTV9QUklWQVRFX0VRVUlUWS4xOTk2LjA2LzAzLzIwMjYuLi5VU0QuSAEAAADetgEAAwAAAAAAUA+N5c173ggJSvw4znveCDxDSVEuTllTRTpJQk0uSVFfT1BFQl9MVF9MSUFCX0ZPUkVJR04uMTk5Ni4wNi8wMy8yMDI2Li4uVVNELkgBAAAA3rYBAAIAAAAELTQ3MwBQD43lzXveCAU1/DjOe94IR0NJUS5OWVNFOklCTS5JUV9PUEVCX1BCT19SQVRFX0NPTVBfSU5DUkVBU0VfTUFYX0ZPUkVJR04uMTk5Ni4wNi8wMy8yMDI2AQAAAN62AQADAAAAAABQD43l</t>
  </si>
  <si>
    <t>zXveCAU1/DjOe94IRENJUS5OWVNFOklCTS5JUV9PUEVCX0JSRUFLRE9XTl9PVEhFUl9GT1JFSUdOLjE5OTYuMDYvMDMvMjAyNi4uLlVTRC5IAQAAAN62AQADAAAAAABQD43lzXveCAU1/DjOe94IMUNJUS5OWVNFOklCTS5JUV9FQklUXzVZUl9BTk5fQ0FHUi4xOTk2LjA2LzAzLzIwMjYBAAAA3rYBAAIAAAAGNS4zNjAxAQgAAAAFAAAAATEBAAAACy0xOTA0ODYwNjY0AwAAAAMxNjACAAAABDQyMzYEAAAAATAHAAAACDMvNi8yMDI2CAAAAAoxMi8zMS8yMDI0CQAAAAEwUA+N5c173ggJSvw4znveCDVDSVEuTllTRTpJQk0uSVFfRUJJVERBXzFZUl9BTk5fR1JPV1RILjE5OTYuMDYvMDMvMjAyNgEAAADetgEAAgAAAAY1LjEzMTcBCAAAAAUAAAABMQEAAAALLTE5MDQ4NjA2NjQDAAAAAzE2MAIAAAAENDE5NgQAAAABMAcAAAAIMy82LzIwMjYIAAAACjEyLzMxLzIwMjQJAAAAATBQD43lzXveCAlK/DjOe94IMUNJUS5OWVNFOklCTS5JUV9FQklUXzNZUl9BTk5fQ0FHUi4xOTk2LjA2LzAzLzIwMjYBAAAA3rYBAAIAAAAFMjAuNTgBCAAAAAUAAAABMQEAAAALLTE5MDQ4NjA2NjQDAAAAAzE2MAIAAAAENDIyMwQAAAABMAcAAAAIMy82LzIwMjYIAAAACjEyLzMxLzIwMjQJAAAAATBQD43lzXveCAlK/DjOe94INUNJUS5OWVNFOklCTS5JUV9ORVRfREVCVF9FQklUREFfQ0FQRVguMTk5Ni4wNi8wMy8yMDI2AQAAAN62</t>
  </si>
  <si>
    <t>AQACAAAACDMuMzMxOTM4AQgAAAAFAAAAATEBAAAACy0xOTA0ODYwNjY0AwAAAAMxNjACAAAABTIzMzE0BAAAAAEwBwAAAAgzLzYvMjAyNggAAAAKMTIvMzEvMjAyNAkAAAABMFAPjeXNe94ICUr8OM573ghAQ0lRLk5ZU0U6SUJNLklRX05FVF9ERUJUX0VCSVREQV9FWENMX09QRVJfTEVBU0VTLjE5OTYuMDYvMDMvMjAyNgEAAADetgEAAgAAAAgzLjM5OTQyNQEIAAAABQAAAAExAQAAAAstMTkwNDg2MDY2NAMAAAADMTYwAgAAAAU0OTE3NQQAAAABMAcAAAAIMy82LzIwMjYIAAAACjEyLzMxLzIwMjQJAAAAATBQD43lzXveCAlK/DjOe94IMUNJUS5OWVNFOklCTS5JUV9UT1RBTF9ERUJUX0VRVUlUWS4xOTk2LjA2LzAzLzIwMjYBAAAA3rYBAAIAAAAIMjEzLjE3ODUBCAAAAAUAAAABMQEAAAALLTE5MDQ4NjA2NjQDAAAAAzE2MAIAAAAENDAzNAQAAAABMAcAAAAIMy82LzIwMjYIAAAACjEyLzMxLzIwMjQJAAAAATBQD43lzXveCDdf/DjOe94IKUNJUS5OWVNFOklCTS5JUV9OSV9NQVJHSU4uMTk5Ni4wNi8wMy8yMDI2AQAAAN62AQACAAAABjkuNTk3OQEIAAAABQAAAAExAQAAAAstMTkwNDg2MDY2NAMAAAADMTYwAgAAAAQ0MDk0BAAAAAEwBwAAAAgzLzYvMjAyNggAAAAKMTIvMzEvMjAyNAkAAAABMFAPjeXNe94IN1/8OM573ghNQ0lRLk5ZU0U6SUJNLklRX0lOVEVSRVNUX1BFTkFMVElFU19SRUNPR19CU19B</t>
  </si>
  <si>
    <t>RlRFUl9UQVguMTk5Ni4wNi8wMy8yMDI2Li4uVVNELkgBAAAA3rYBAAMAAAAAAFAPjeXNe94IN1/8OM573ghGQ0lRLk5ZU0U6SUJNLklRX1VOUkVDT0dfVEFYX0JFTkVGSVRfQkVHX1BFUklPRC4xOTk2LjA2LzAzLzIwMjYuLi5VU0QuSAEAAADetgEAAgAAAAQ4NzcyAFAPjeXNe94IN1/8OM573ghPQ0lRLk5ZU0U6SUJNLklRX1RSQU5TX0lNUEFDVF9GSU5fNDhfQ1VSUkVOVF9MSUFCSUxJVElFUy4xOTk2LjA2LzAzLzIwMjYuLi5VU0QuSAEAAADetgEAAwAAAAAAUA+N5c173ggJSvw4znveCDlDSVEuTllTRTpJQk0uSVFfQ0FQX0xPU1NfQ0ZfVE9UQUwuMTk5Ni4wNi8wMy8yMDI2Li4uVVNELkgBAAAA3rYBAAMAAAAAAFAPjeXNe94IbnT8OM573ggyQ0lRLk5ZU0U6SUJNLklRX05PTF9DRl80WVIuMTk5Ni4wNi8wMy8yMDI2Li4uVVNELkgBAAAA3rYBAAMAAAAAAFAPjeXNe94IbnT8OM573gg5Q0lRLk5ZU0U6SUJNLklRX0FTU0VUX01BTkFHRURfR1JPV1RIX1JBVEUuMTk5Ni4wNi8wMy8yMDI2AQAAAN62AQADAAAAAABQD43lzXveCG50/DjOe94IOUNJUS5OWVNFOklCTS5JUV9NVVRVQUxfRlVORF9TQUxFUy4xOTk2LjA2LzAzLzIwMjYuLi5VU0QuSAEAAADetgEAAwAAAAAAUA+N5c173gg3X/w4znveCDNDSVEuTllTRTpJQk0uSVFfQVVNX0FWRVJBR0UuMTk5Ni4wNi8wMy8yMDI2Li4uVVNELkgBAAAA3rYB</t>
  </si>
  <si>
    <t>AAMAAAAAAFAPjeXNe94IN1/8OM573gg7Q0lRLk5ZU0U6SUJNLklRX0FVTV9JTlNUSVRVVElPTkFMX0NVU1RPTUVSUy4xOTk2LjA2LzAzLzIwMjYBAAAA3rYBAAMAAAAAAFAPjeXNe94IbnT8OM573ggxQ0lRLk5ZU0U6SUJNLklRX0FVTV9PVEhFUi4xOTk2LjA2LzAzLzIwMjYuLi5VU0QuSAEAAADetgEAAwAAAAAAUA+N5c173ghudPw4znveCC9DSVEuTllTRTpJQk0uSVFfTklfNVlSX0FOTl9DQUdSLjE5OTYuMDYvMDMvMjAyNgEAAADetgEAAgAAAAYtOC41NzgBCAAAAAUAAAABMQEAAAALLTE5MDQ4NjA2NjQDAAAAAzE2MAIAAAAENDIzOAQAAAABMAcAAAAIMy82LzIwMjYIAAAACjEyLzMxLzIwMjQJAAAAATBQD43lzXveCG50/DjOe94IL0NJUS5OWVNFOklCTS5JUV9HUF81WVJfQU5OX0NBR1IuMTk5Ni4wNi8wMy8yMDI2AQAAAN62AQACAAAABjIuNDI3NgEIAAAABQAAAAExAQAAAAstMTkwNDg2MDY2NAMAAAADMTYwAgAAAAQ0MjM0BAAAAAEwBwAAAAgzLzYvMjAyNggAAAAKMTIvMzEvMjAyNAkAAAABMFAPjeXNe94IbnT8OM573gg4Q0lRLk5ZU0U6SUJNLklRX1RPVEFMX1JFVl8xWVJfQU5OX0dST1dUSC4xOTk2LjA2LzAzLzIwMjYBAAAA3rYBAAIAAAAGMS40NDM1AQgAAAAFAAAAATEBAAAACy0xOTA0ODYwNjY0AwAAAAMxNjACAAAABDQxOTQEAAAAATAHAAAACDMvNi8yMDI2CAAAAAoxMi8zMS8yMDI0</t>
  </si>
  <si>
    <t>CQAAAAEwUA+N5c173ghudPw4znveCDtDSVEuTllTRTpJQk0uSVFfRUJJVERBX0VYQ0xfT1BFUl9MRUFTRVNfSU5ULjE5OTYuMDYvMDMvMjAyNgEAAADetgEAAgAAAAg3LjUyNjg2OQEIAAAABQAAAAExAQAAAAstMTkwNDg2MDY2NAMAAAADMTYwAgAAAAU0OTE3MwQAAAABMAcAAAAIMy82LzIwMjYIAAAACjEyLzMxLzIwMjQJAAAAATBQD43lzXveCGSJ/DjOe94IK0NJUS5OWVNFOklCTS5JUV9RVUlDS19SQVRJTy4xOTk2LjA2LzAzLzIwMjYBAAAA3rYBAAIAAAAIMC44NzYwNDgBCAAAAAUAAAABMQEAAAALLTE5MDQ4NjA2NjQDAAAAAzE2MAIAAAAENDEyMQQAAAABMAcAAAAIMy82LzIwMjYIAAAACjEyLzMxLzIwMjQJAAAAATBQD43lzXveCGSJ/DjOe94ILkNJUS5OWVNFOklCTS5JUV9SRVRVUk5fQ0FQSVRBTC4xOTk2LjA2LzAzLzIwMjYBAAAA3rYBAAIAAAAGNy4yNjgxAQgAAAAFAAAAATEBAAAACy0xOTA0ODYwNjY0AwAAAAMxNjACAAAABDQzNjMEAAAAATAHAAAACDMvNi8yMDI2CAAAAAoxMi8zMS8yMDI0CQAAAAEwUA+N5c173ghkifw4znveCC9DSVEuTllTRTpJQk0uSVFfR1BfM1lSX0FOTl9DQUdSLjE5OTYuMDYvMDMvMjAyNgEAAADetgEAAgAAAAY0LjEzMTUBCAAAAAUAAAABMQEAAAALLTE5MDQ4NjA2NjQDAAAAAzE2MAIAAAAENDIyMQQAAAABMAcAAAAIMy82LzIwMjYIAAAACjEyLzMxLzIwMjQJ</t>
  </si>
  <si>
    <t>AAAAATBQD43lzXveCGSJ/DjOe94IN0NJUS5OWVNFOklCTS5JUV9UT1RBTF9ERUJUX0VCSVREQV9DQVBFWC4xOTk2LjA2LzAzLzIwMjYBAAAA3rYBAAIAAAAINC40NDE3NzMBCAAAAAUAAAABMQEAAAALLTE5MDQ4NjA2NjQDAAAAAzE2MAIAAAAFMjMzMTMEAAAAATAHAAAACDMvNi8yMDI2CAAAAAoxMi8zMS8yMDI0CQAAAAEwUA+N5c173ghkifw4znveCDJDSVEuTllTRTpJQk0uSVFfVE9UQUxfREVCVF9DQVBJVEFMLjE5OTYuMDYvMDMvMjAyNgEAAADetgEAAgAAAAc2OC4wNjkzAQgAAAAFAAAAATEBAAAACy0xOTA0ODYwNjY0AwAAAAMxNjACAAAABDQxODYEAAAAATAHAAAACDMvNi8yMDI2CAAAAAoxMi8zMS8yMDI0CQAAAAEwUA+N5c173ghUnvw4znveCDBDSVEuTllTRTpJQk0uSVFfREFZU19QQVlBQkxFX09VVC4xOTk2LjA2LzAzLzIwMjYBAAAA3rYBAAIAAAAJNTUuNDE1Njk0AQgAAAAFAAAAATEBAAAACy0xOTA0ODYwNjY0AwAAAAMxNjACAAAABDQxODMEAAAAATAHAAAACDMvNi8yMDI2CAAAAAoxMi8zMS8yMDI0CQAAAAEwUA+N5c173ghUnvw4znveCC1DSVEuTllTRTpJQk0uSVFfRUJJVERBX01BUkdJTi4xOTk2LjA2LzAzLzIwMjYBAAAA3rYBAAIAAAAHMjAuNTM0NAEIAAAABQAAAAExAQAAAAstMTkwNDg2MDY2NAMAAAADMTYwAgAAAAQ0MDQ3BAAAAAEwBwAAAAgzLzYvMjAyNggAAAAKMTIvMzEv</t>
  </si>
  <si>
    <t>MjAyNAkAAAABMFAPjeXNe94IVJ78OM573ghNQ0lRLk5ZU0U6SUJNLklRX0lOVEVSRVNUX1BFTkFMVElFU19SRUNPR19JU19BRlRFUl9UQVguMTk5Ni4wNi8wMy8yMDI2Li4uVVNELkgBAAAA3rYBAAMAAAAAAFAPjeXNe94IZIn8OM573ghTQ0lRLk5ZU0U6SUJNLklRX1RSQU5TX0lNUEFDVF9GSU5fNDhfTk9OX0NVUlJFTlRfTElBQklMSVRJRVMuMTk5Ni4wNi8wMy8yMDI2Li4uVVNELkgBAAAA3rYBAAMAAAAAAFAPjeXNe94IZIn8OM573gg0Q0lRLk5ZU0U6SUJNLklRX0NBUF9MT1NTX0NGX01BWF9ZRUFSLjE5OTYuMDYvMDMvMjAyNgEAAADetgEAAwAAAAAAUA+N5c173ggrs/w4znveCD5DSVEuTllTRTpJQk0uSVFfQ0FQX0xPU1NfQ0ZfQUZURVJfRklWRS4xOTk2LjA2LzAzLzIwMjYuLi5VU0QuSAEAAADetgEAAwAAAAAAUA+N5c173ghUnvw4znveCDJDSVEuTllTRTpJQk0uSVFfTk9MX0NGXzJZUi4xOTk2LjA2LzAzLzIwMjYuLi5VU0QuSAEAAADetgEAAwAAAAAAUA+N5c173ghUnvw4znveCDNDSVEuTllTRTpJQk0uSVFfRUJJVERBXzVZUl9BTk5fQ0FHUi4xOTk2LjA2LzAzLzIwMjYBAAAA3rYBAAIAAAAHLTEuMDY5OQEIAAAABQAAAAExAQAAAAstMTkwNDg2MDY2NAMAAAADMTYwAgAAAAQ0MjM1BAAAAAEwBwAAAAgzLzYvMjAyNggAAAAKMTIvMzEvMjAyNAkAAAABMFAPjeXNe94IVJ78OM573ggxQ0lR</t>
  </si>
  <si>
    <t>Lk5ZU0U6SUJNLklRX0dQXzFZUl9BTk5fR1JPV1RILjE5OTYuMDYvMDMvMjAyNgEAAADetgEAAgAAAAYzLjY1MDEBCAAAAAUAAAABMQEAAAALLTE5MDQ4NjA2NjQDAAAAAzE2MAIAAAAENDE5NQQAAAABMAcAAAAIMy82LzIwMjYIAAAACjEyLzMxLzIwMjQJAAAAATBQD43lzXveCFSe/DjOe94IOkNJUS5OWVNFOklCTS5JUV9UT1RBTF9SRVZfRU1QTE9ZRUUuMTk5Ni4wNi8wMy8yMDI2Li4uVVNELkgBAAAA3rYBAAIAAAAGMjMyLjE2AQgAAAAFAAAAATEBAAAACy0xOTA0ODYwNjY0AwAAAAMxNjACAAAABDQxMjMEAAAAATAHAAAACDMvNi8yMDI2CAAAAAoxMi8zMS8yMDI0CQAAAAEwUA+N5c173ggrs/w4znveCChDSVEuTllTRTpJQk0uSVFfRUJJVF9JTlQuMTk5Ni4wNi8wMy8yMDI2AQAAAN62AQACAAAACDUuNzE3Mjg5AQgAAAAFAAAAATEBAAAACy0xOTA0ODYwNjY0AwAAAAMxNjACAAAABDQxODkEAAAAATAHAAAACDMvNi8yMDI2CAAAAAoxMi8zMS8yMDI0CQAAAAEwUA+N5c173ggrs/w4znveCC9DSVEuTllTRTpJQk0uSVFfSU5WRU5UT1JZX1RVUk5TLjE5OTYuMDYvMDMvMjAyNgEAAADetgEAAgAAAAkyMS45MDM2NzMBCAAAAAUAAAABMQEAAAALLTE5MDQ4NjA2NjQDAAAAAzE2MAIAAAAENDA4MgQAAAABMAcAAAAIMy82LzIwMjYIAAAACjEyLzMxLzIwMjQJAAAAATBQD43lzXveCCuz/DjOe94IQ0NJUS5O</t>
  </si>
  <si>
    <t>WVNFOklCTS5JUV9TRVRUTEVNRU5UU19UQVhfQVVUSE9SSVRJRVMuMTk5Ni4wNi8wMy8yMDI2Li4uVVNELkgBAAAA3rYBAAIAAAADLTYxAFAPjeXNe94IK7P8OM573ghJQ0lRLk5ZU0U6SUJNLklRX1JFRFVDVElPTl9UQVhfUE9TSVRJT05fQ1VSUkVOVF9ZUi4xOTk2LjA2LzAzLzIwMjYuLi5VU0QuSAEAAADetgEAAwAAAAAAUA+N5c173ggrs/w4znveCDpDSVEuTllTRTpJQk0uSVFfVEFYX0JFTkVGSVRfQ0ZfNFlSLjE5OTYuMDYvMDMvMjAyNi4uLlVTRC5IAQAAAN62AQADAAAAAABQD43lzXveCAXI/DjOe94IL0NJUS5OWVNFOklCTS5JUV9OT0xfQ0ZfTUFYX1lFQVIuMTk5Ni4wNi8wMy8yMDI2AQAAAN62AQADAAAAAABQD43lzXveCAXI/DjOe94IQENJUS5OWVNFOklCTS5JUV9DQVBJVEFMSVpFRF9JTlRFUkVTVF9CT1AuMTk5Ni4wNi8wMy8yMDI2Li4uVVNELkgBAAAA3rYBAAMAAAAAAFAPjeXNe94IBcj8OM573gg3Q0lRLk5ZU0U6SUJNLklRX01VVFVBTF9GVU5EX0VPUC4xOTk2LjA2LzAzLzIwMjYuLi5VU0QuSAEAAADetgEAAwAAAAAAUA+N5c173ggFyPw4znveCDJDSVEuTllTRTpJQk0uSVFfRVBTXzFZUl9BTk5fR1JPV1RILjE5OTYuMDYvMDMvMjAyNgEAAADetgEAAgAAAActMjEuMjI3AQgAAAAFAAAAATEBAAAACy0xOTA0ODYwNjY0AwAAAAMxNjACAAAABDQyMDAEAAAAATAHAAAACDMvNi8yMDI2</t>
  </si>
  <si>
    <t>CAAAAAoxMi8zMS8yMDI0CQAAAAEwUA+N5c173ggrs/w4znveCC9DSVEuTllTRTpJQk0uSVFfTkVUX0RFQlRfRUJJVERBLjE5OTYuMDYvMDMvMjAyNgEAAADetgEAAgAAAAgzLjA4NTk0NQEIAAAABQAAAAExAQAAAAstMTkwNDg2MDY2NAMAAAADMTYwAgAAAAQ0MTkzBAAAAAEwBwAAAAgzLzYvMjAyNggAAAAKMTIvMzEvMjAyNAkAAAABMFAPjeXNe94I19z8OM573ggvQ0lRLk5ZU0U6SUJNLklRX0NBU0hfQ09OVkVSU0lPTi4xOTk2LjA2LzAzLzIwMjYBAAAA3rYBAAIAAAAINS40MDY1NTIBCAAAAAUAAAABMQEAAAALLTE5MDQ4NjA2NjQDAAAAAzE2MAIAAAAENDE4NAQAAAABMAcAAAAIMy82LzIwMjYIAAAACjEyLzMxLzIwMjQJAAAAATBQD43lzXveCNfc/DjOe94IK0NJUS5OWVNFOklCTS5JUV9FQklUX01BUkdJTi4xOTk2LjA2LzAzLzIwMjYBAAAA3rYBAAIAAAAHMTUuNTk3NgEIAAAABQAAAAExAQAAAAstMTkwNDg2MDY2NAMAAAADMTYwAgAAAAQ0MDUzBAAAAAEwBwAAAAgzLzYvMjAyNggAAAAKMTIvMzEvMjAyNAkAAAABMFAPjeXNe94IBcj8OM573gg0Q0lRLk5ZU0U6SUJNLklRX1JFVFVSTl9DT01NT05fRVFVSVRZLjE5OTYuMDYvMDMvMjAyNgEAAADetgEAAgAAAAcyNC4xMzcyAQgAAAAFAAAAATEBAAAACy0xOTA0ODYwNjY0AwAAAAMxNjACAAAABTMzMzIwBAAAAAEwBwAAAAgzLzYvMjAyNggAAAAK</t>
  </si>
  <si>
    <t>MTIvMzEvMjAyNAkAAAABMFAPjeXNe94IBcj8OM573ghHQ0lRLk5ZU0U6SUJNLklRX0FDQ09VTlRfQ09ERV9JTlRFUkVTVF9QRU5BTFRJRVMuMTk5Ni4wNi8wMy8yMDI2Li4uVVNELkgBAAAA3rYBAAIAAAABMQBQD43lzXveCAXI/DjOe94IRUNJUS5OWVNFOklCTS5JUV9UUkFOU19JTVBBQ1RfRklOXzQ4X0xUX0FTU0VUUy4xOTk2LjA2LzAzLzIwMjYuLi5VU0QuSAEAAADetgEAAwAAAAAAUA+N5c173gjX3Pw4znveCDpDSVEuTllTRTpJQk0uSVFfQ0FQX0xPU1NfQ0ZfTk9fRVhQLjE5OTYuMDYvMDMvMjAyNi4uLlVTRC5IAQAAAN62AQADAAAAAABQD43lzXveCNfc/DjOe94IMkNJUS5OWVNFOklCTS5JUV9OT0xfQ0ZfM1lSLjE5OTYuMDYvMDMvMjAyNi4uLlVTRC5IAQAAAN62AQADAAAAAABQD43lzXveCNfc/DjOe94IQENJUS5OWVNFOklCTS5JUV9DQVBJVEFMSVpFRF9JTlRFUkVTVF9FT1AuMTk5Ni4wNi8wMy8yMDI2Li4uVVNELkgBAAAA3rYBAAMAAAAAAFAPjeXNe94I19z8OM573gg9Q0lRLk5ZU0U6SUJNLklRX05FVF9ORVdfQ0xJRU5UX0FTU0VUUy4xOTk2LjA2LzAzLzIwMjYuLi5VU0QuSAEAAADetgEAAwAAAAAAUA+N5c173gjX3Pw4znveCDZDSVEuTllTRTpJQk0uSVFfVE9UQUxfUkVWXzVZUl9BTk5fQ0FHUi4xOTk2LjA2LzAzLzIwMjYBAAAA3rYBAAIAAAAGMS42ODgyAQgAAAAFAAAAATEBAAAA</t>
  </si>
  <si>
    <t>Cy0xOTA0ODYwNjY0AwAAAAMxNjACAAAABDQyMzMEAAAAATAHAAAACDMvNi8yMDI2CAAAAAoxMi8zMS8yMDI0CQAAAAEwUA+N5c173giz8fw4znveCCdDSVEuTllTRTpJQk0uSVFfWl9TQ09SRS4xOTk2LjA2LzAzLzIwMjYBAAAA3rYBAAIAAAAGMy4yMjIyAQgAAAAFAAAAATEBAAAACy0xOTA0ODYwNjY0AwAAAAMxNjACAAAABjEwMDEyMwQAAAABMAcAAAAIMy82LzIwMjYIAAAACjEyLzMxLzIwMjQJAAAAATBQD43lzXveCLPx/DjOe94IKkNJUS5OWVNFOklCTS5JUV9FQklUREFfSU5ULjE5OTYuMDYvMDMvMjAyNgEAAADetgEAAgAAAAg4LjI5MTQ3MQEIAAAABQAAAAExAQAAAAstMTkwNDg2MDY2NAMAAAADMTYwAgAAAAQ0MTkwBAAAAAEwBwAAAAgzLzYvMjAyNggAAAAKMTIvMzEvMjAyNAkAAAABMFAPjeXNe94Is/H8OM573ggvQ0lRLk5ZU0U6SUJNLklRX0xUX0RFQlRfQ0FQSVRBTC4xOTk2LjA2LzAzLzIwMjYBAAAA3rYBAAIAAAAHNjEuMjQyMQEIAAAABQAAAAExAQAAAAstMTkwNDg2MDY2NAMAAAADMTYwAgAAAAQ0MTg3BAAAAAEwBwAAAAgzLzYvMjAyNggAAAAKMTIvMzEvMjAyNAkAAAABMFAPjeXNe94Is/H8OM573ggxQ0lRLk5ZU0U6SUJNLklRX0ZJWEVEX0FTU0VUX1RVUk5TLjE5OTYuMDYvMDMvMjAyNgEAAADetgEAAgAAAAg3LjExMDgyMQEIAAAABQAAAAExAQAAAAstMTkwNDg2MDY2NAMAAAAD</t>
  </si>
  <si>
    <t>MTYwAgAAAAQ0MDY2BAAAAAEwBwAAAAgzLzYvMjAyNggAAAAKMTIvMzEvMjAyNAkAAAABMFAPjeXNe94Is/H8OM573ghQQ0lRLk5ZU0U6SUJNLklRX0lNUEFDVF9VTlJFQ09HX1RBWF9CRU5FRklUX0VGRkVDVElWRV9UQVguMTk5Ni4wNi8wMy8yMDI2Li4uVVNELkgBAAAA3rYBAAMAAAAAAFAPjeXNe94Ihgb9OM573ghDQ0lRLk5ZU0U6SUJNLklRX0FERF9UQVhfUE9TSVRJT05TX1BSSU9SX1lSUy4xOTk2LjA2LzAzLzIwMjYuLi5VU0QuSAEAAADetgEAAgAAAAM0NTIAUA+N5c173giGBv04znveCDpDSVEuTllTRTpJQk0uSVFfVEFYX0JFTkVGSVRfQ0ZfNVlSLjE5OTYuMDYvMDMvMjAyNi4uLlVTRC5IAQAAAN62AQADAAAAAABQD43lzXveCIYG/TjOe94IOkNJUS5OWVNFOklCTS5JUV9UQVhfQkVORUZJVF9DRl8yWVIuMTk5Ni4wNi8wMy8yMDI2Li4uVVNELkgBAAAA3rYBAAMAAAAAAFAPjeXNe94Is/H8OM573gg1Q0lRLk5ZU0U6SUJNLklRX05PTF9DRl9OT19FWFAuMTk5Ni4wNi8wMy8yMDI2Li4uVVNELkgBAAAA3rYBAAMAAAAAAFAPjeXNe94Is/H8OM573gg+Q0lRLk5ZU0U6SUJNLklRX0FTU0VUU19PUEVSX0xFQVNFX0RFUFIuMTk5Ni4wNi8wMy8yMDI2Li4uVVNELkgBAAAA3rYBAAMAAAAAAFAPjeXNe94Iohr9OM573ghNQ0lRLk5ZU0U6SUJNLklRX01VVFVBTF9GVU5EX0FQUFJFQ0lBVElPTl9ERVBS</t>
  </si>
  <si>
    <t>RUNJQVRJT04uMTk5Ni4wNi8wMy8yMDI2Li4uVVNELkgBAAAA3rYBAAMAAAAAAFAPjeXNe94Ihgb9OM573gg2Q0lRLk5ZU0U6SUJNLklRX1RPVEFMX1JFVl8zWVJfQU5OX0NBR1IuMTk5Ni4wNi8wMy8yMDI2AQAAAN62AQACAAAABTMuMDQ2AQgAAAAFAAAAATEBAAAACy0xOTA0ODYwNjY0AwAAAAMxNjACAAAABDQyMjAEAAAAATAHAAAACDMvNi8yMDI2CAAAAAoxMi8zMS8yMDI0CQAAAAEwUA+N5c173giGBv04znveCDNDSVEuTllTRTpJQk0uSVFfRUJJVF8xWVJfQU5OX0dST1dUSC4xOTk2LjA2LzAzLzIwMjYBAAAA3rYBAAIAAAAGMy44OTU1AQgAAAAFAAAAATEBAAAACy0xOTA0ODYwNjY0AwAAAAMxNjACAAAABDQxOTcEAAAAATAHAAAACDMvNi8yMDI2CAAAAAoxMi8zMS8yMDI0CQAAAAEwUA+N5c173giGBv04znveCDFDSVEuTllTRTpJQk0uSVFfVE9UQUxfREVCVF9FQklUREEuMTk5Ni4wNi8wMy8yMDI2AQAAAN62AQACAAAACDQuMTEzODQyAQgAAAAFAAAAATEBAAAACy0xOTA0ODYwNjY0AwAAAAMxNjACAAAABDQxOTIEAAAAATAHAAAACDMvNi8yMDI2CAAAAAoxMi8zMS8yMDI0CQAAAAEwUA+N5c173giGBv04znveCDJDSVEuTllTRTpJQk0uSVFfREFZU19JTlZFTlRPUllfT1VULjE5OTYuMDYvMDMvMjAyNgEAAADetgEAAgAAAAkxNi43MDkzNjQBCAAAAAUAAAABMQEAAAALLTE5MDQ4NjA2NjQDAAAA</t>
  </si>
  <si>
    <t>AzE2MAIAAAAENDAzNQQAAAABMAcAAAAIMy82LzIwMjYIAAAACjEyLzMxLzIwMjQJAAAAATBQD43lzXveCKIa/TjOe94IM0NJUS5OWVNFOklCTS5JUV9PUkdBTklDX0dST1dUSF9SQVRFLjE5OTYuMDYvMDMvMjAyNgEAAADetgEAAwAAAAAAUA+N5c173giiGv04znveCEZDSVEuTllTRTpJQk0uSVFfTVVUVUFMX0ZVTkRfQUNRVUlTSVRJT05TX09USEVSLjE5OTYuMDYvMDMvMjAyNi4uLlVTRC5IAQAAAN62AQADAAAAAABQD43lzXveCKIa/TjOe94IPkNJUS5OWVNFOklCTS5JUV9BVU1fRklYRURfSU5DT01FX0ZVTkRTLjE5OTYuMDYvMDMvMjAyNi4uLlVTRC5IAQAAAN62AQADAAAAAABQD43lzXveCKIa/TjOe94IQUNJUS5OWVNFOklCTS5JUV9MQVBTRV9TVEFUVVRFX0xJTUlUQVRJT05TLjE5OTYuMDYvMDMvMjAyNi4uLlVTRC5IAQAAAN62AQADAAAAAABQD43lzXveCKIa/TjOe94INENJUS5OWVNFOklCTS5JUV9BVU1fT1VURkxPV1MuMTk5Ni4wNi8wMy8yMDI2Li4uVVNELkgBAAAA3rYBAAMAAAAAAFAPjeXNe94IrC/9OM573gg3Q0lRLk5ZU0U6SUJNLklRX0FVTV9GRUVfRUFSTklORy4xOTk2LjA2LzAzLzIwMjYuLi5VU0QuSAEAAADetgEAAwAAAAAAUA+N5c173gisL/04znveCCtDSVEuTllTRTpJQk0uSVFfQVVNLjE5OTYuMDYvMDMvMjAyNi4uLlVTRC5IAQAAAN62AQADAAAAAABQD43lzXveCKwv/TjO</t>
  </si>
  <si>
    <t>e94IQUNJUS5OWVNFOklCTS5JUV9FQklUREFfRVhDTF9PUEVSX0xFQVNFU19DQVBFWF9JTlQuMTk5Ni4wNi8wMy8yMDI2AQAAAN62AQACAAAACDYuOTE0NzE5AQgAAAAFAAAAATEBAAAACy0xOTA0ODYwNjY0AwAAAAMxNjACAAAABTQ5MTc0BAAAAAEwBwAAAAgzLzYvMjAyNggAAAAKMTIvMzEvMjAyNAkAAAABMFAPjeXNe94IrC/9OM573gg3Q0lRLk5ZU0U6SUJNLklRX0NBUF9MT1NTX0NGXzNZUi4xOTk2LjA2LzAzLzIwMjYuLi5VU0QuSAEAAADetgEAAwAAAAAAUA+N5c173giiGv04znveCExDSVEuTllTRTpJQk0uSVFfQVVNX01BUktFVF9BUFBSRUNJQVRJT05fREVQUkVDSUFUSU9OLjE5OTYuMDYvMDMvMjAyNi4uLlVTRC5IAQAAAN62AQADAAAAAABQD43lzXveCKwv/TjOe94IP0NJUS5OWVNFOklCTS5JUV9BU1NFVFNfT1BFUl9MRUFTRV9HUk9TUy4xOTk2LjA2LzAzLzIwMjYuLi5VU0QuSAEAAADetgEAAwAAAAAAUA+N5c173gisL/04znveCD5DSVEuTllTRTpJQk0uSVFfT1BFQl9CRU5FRklUX0lORk9fREFURV9GT1JFSUdOLjE5OTYuMDYvMDMvMjAyNgEAAADetgEABQAAAAozMS8xMi8yMDI0AFAPjeXNe94IrC/9OM573gg9Q0lRLk5ZU0U6SUJNLklRX09QRUJfQlJFQUtET1dOX1BDVF9FUV9GT1JFSUdOLjE5OTYuMDYvMDMvMjAyNgEAAADetgEAAwAAAAAAUA+N5c173gisL/04znveCEBDSVEuTllT</t>
  </si>
  <si>
    <t>RTpJQk0uSVFfT1BFQl9FWFBfUkFURV9SRVRVUk5fTUlOX0ZPUkVJR04uMTk5Ni4wNi8wMy8yMDI2AQAAAN62AQACAAAABDguMTIAUA+N5c173gj0Vv04znveCExDSVEuTllTRTpJQk0uSVFfT1BFQl9PQkxJR0FUSU9OX1NFUlZJQ0VfQ09TVF9GT1JFSUdOLjE5OTYuMDYvMDMvMjAyNi4uLlVTRC5IAQAAAN62AQACAAAAATIAUA+N5c173gj0Vv04znveCD1DSVEuTllTRTpJQk0uSVFfVEFYX0JFTkVGSVRfQ0ZfTk9fRVhQLjE5OTYuMDYvMDMvMjAyNi4uLlVTRC5IAQAAAN62AQADAAAAAABQD43lzXveCKwv/TjOe94IN0NJUS5OWVNFOklCTS5JUV9DQVBfTE9TU19DRl8yWVIuMTk5Ni4wNi8wMy8yMDI2Li4uVVNELkgBAAAA3rYBAAMAAAAAAFAPjeXNe94IrC/9OM573gg+Q0lRLk5ZU0U6SUJNLklRX09QRUJfTFRfQVNTRVRTX0ZPUkVJR04uMTk5Ni4wNi8wMy8yMDI2Li4uVVNELkgBAAAA3rYBAAMAAAAAAFAPjeXNe94IrC/9OM573ghDQ0lRLk5ZU0U6SUJNLklRX09QRUJfQU1UX1JFQ09HX05FWFRfRk9SRUlHTi4xOTk2LjA2LzAzLzIwMjYuLi5VU0QuSAEAAADetgEAAwAAAAAAUA+N5c173gj0Vv04znveCElDSVEuTllTRTpJQk0uSVFfT1BFQl9PQkxJR0FUSU9OX1BST0pFQ1RFRF9GT1JFSUdOLjE5OTYuMDYvMDMvMjAyNi4uLlVTRC5IAQAAAN62AQACAAAAAzUwNwBQD43lzXveCPRW/TjOe94IM0NJUS5O</t>
  </si>
  <si>
    <t>WVNFOklCTS5JUV9BVU1fVE9UQUxfQ1VTVE9NRVJTLjE5OTYuMDYvMDMvMjAyNgEAAADetgEAAwAAAAAAUA+N5c173gj0Vv04znveCDNDSVEuTllTRTpJQk0uSVFfQVVNX0ZPUkVJR04uMTk5Ni4wNi8wMy8yMDI2Li4uVVNELkgBAAAA3rYBAAMAAAAAAFAPjeXNe94I9Fb9OM573ghEQ0lRLk5ZU0U6SUJNLklRX09QRUJfRVNUX0JFTkVGSVRfMVlSX0ZPUkVJR04uMTk5Ni4wNi8wMy8yMDI2Li4uVVNELkgBAAAA3rYBAAIAAAACNDIAUA+N5c173gj0Vv04znveCENDSVEuTllTRTpJQk0uSVFfT1BFQl9SQVRFX0NPTVBfSU5DUkVBU0VfTUlOX0ZPUkVJR04uMTk5Ni4wNi8wMy8yMDI2AQAAAN62AQADAAAAAABQD43lzXveCPRW/TjOe94ISUNJUS5OWVNFOklCTS5JUV9PUEVCX0FTU0VUU19CRU5FRklUU19QQUlEX0ZPUkVJR04uMTk5Ni4wNi8wMy8yMDI2Li4uVVNELkgBAAAA3rYBAAIAAAACLTQAUA+N5c173gj0Vv04znveCEFDSVEuTllTRTpJQk0uSVFfVEFYX0JFTkVGSVRfQ0ZfQUZURVJfRklWRS4xOTk2LjA2LzAzLzIwMjYuLi5VU0QuSAEAAADetgEAAgAAAAQxNjgxAFAPjeXNe94I9Fb9OM573ggyQ0lRLk5ZU0U6SUJNLklRX05PTF9DRl81WVIuMTk5Ni4wNi8wMy8yMDI2Li4uVVNELkgBAAAA3rYBAAMAAAAAAFAPjeXNe94I9Fb9OM573ggvQ0lRLk5ZU0U6SUJNLklRX0FVTV9FT1AuMTk5Ni4wNi8wMy8y</t>
  </si>
  <si>
    <t>MDI2Li4uVVNELkgBAAAA3rYBAAMAAAAAAFAPjeXNe94I9Fb9OM573gg+Q0lRLk5ZU0U6SUJNLklRX09QRUJfT1RIRVJfQURKX0ZPUkVJR04uMTk5Ni4wNi8wMy8yMDI2Li4uVVNELkgBAAAA3rYBAAMAAAAAAFAPjeXNe94IQX/9OM573ghHQ0lRLk5ZU0U6SUJNLklRX09QRUJfRVNUX0JFTkVGSVRfQUZURVI1X0ZPUkVJR04uMTk5Ni4wNi8wMy8yMDI2Li4uVVNELkgBAAAA3rYBAAIAAAADMjYwAFAPjeXNe94IQX/9OM573ghFQ0lRLk5ZU0U6SUJNLklRX09QRUJfUEJPX0FTU1VNRURfUkFURV9SRVRfTUFYX0ZPUkVJR04uMTk5Ni4wNi8wMy8yMDI2AQAAAN62AQACAAAABDguMjEAUA+N5c173ghBf/04znveCEZDSVEuTllTRTpJQk0uSVFfT1BFQl9DSV9PVEhFUl9NSVNDX0FESl9GT1JFSUdOLjE5OTYuMDYvMDMvMjAyNi4uLlVTRC5IAQAAAN62AQADAAAAAABQD43lzXveCPRW/TjOe94ILENJUS5OWVNFOklCTS5JUV9HUk9TU19NQVJHSU4uMTk5Ni4wNi8wMy8yMDI2AQAAAN62AQACAAAABzU2LjY1MzgBCAAAAAUAAAABMQEAAAALLTE5MDQ4NjA2NjQDAAAAAzE2MAIAAAAENDA3NAQAAAABMAcAAAAIMy82LzIwMjYIAAAACjEyLzMxLzIwMjQJAAAAATBQD43lzXveCPRW/TjOe94IRkNJUS5OWVNFOklCTS5JUV9DQVBJVEFMSVpFRF9JTlRFUkVTVF9PVEhFUl9BREouMTk5Ni4wNi8wMy8yMDI2Li4uVVNELkgB</t>
  </si>
  <si>
    <t>AAAA3rYBAAMAAAAAAFAPjeXNe94IQX/9OM573gg2Q0lRLk5ZU0U6SUJNLklRX05VTUJFUl9UUkFERVNfRVhFQ1VURUQuMTk5Ni4wNi8wMy8yMDI2AQAAAN62AQADAAAAAABQD43lzXveCEF//TjOe94IOENJUS5OWVNFOklCTS5JUV9BVU1fRVFVSVRZX0ZVTkRTLjE5OTYuMDYvMDMvMjAyNi4uLlVTRC5IAQAAAN62AQADAAAAAABQD43lzXveCEF//TjOe94IR0NJUS5OWVNFOklCTS5JUV9PUEVCX09CTElHQVRJT05fQ1VSVEFJTF9GT1JFSUdOLjE5OTYuMDYvMDMvMjAyNi4uLlVTRC5IAQAAAN62AQADAAAAAABQD43lzXveCEF//TjOe94ITUNJUS5OWVNFOklCTS5JUV9PUEVCX09CTElHQVRJT05fSU5URVJFU1RfQ09TVF9GT1JFSUdOLjE5OTYuMDYvMDMvMjAyNi4uLlVTRC5IAQAAAN62AQACAAAAAjQxAFAPjeXNe94IQX/9OM573ghIQ0lRLk5ZU0U6SUJNLklRX1JFRFVDVElPTl9UQVhfUE9TSVRJT05fUFJJT1JfWVJTLjE5OTYuMDYvMDMvMjAyNi4uLlVTRC5IAQAAAN62AQACAAAABC05NTUAUA+N5c173ghBf/04znveCENDSVEuTllTRTpJQk0uSVFfQVNTRVRTX1VOREVSX0FETUlOSVNUUkFUSU9OLjE5OTYuMDYvMDMvMjAyNi4uLlVTRC5IAQAAAN62AQADAAAAAABQD43lzXveCEF//TjOe94INENJUS5OWVNFOklCTS5JUV9BVU1fUkVUQUlMX0NVU1RPTUVSUy4xOTk2LjA2LzAzLzIwMjYBAAAA3rYBAAMA</t>
  </si>
  <si>
    <t>AAAAAFAPjeXNe94IQX/9OM573gg3Q0lRLk5ZU0U6SUJNLklRX0FVTV9SRUFMX0VTVEFURS4xOTk2LjA2LzAzLzIwMjYuLi5VU0QuSAEAAADetgEAAwAAAAAAUA+N5c173ghBf/04znveCEhDSVEuTllTRTpJQk0uSVFfT1BFQl9ERUNSRUFTRV9FRkZFQ1RfUEJPX0ZPUkVJR04uMTk5Ni4wNi8wMy8yMDI2Li4uVVNELkgBAAAA3rYBAAMAAAAAAFAPjeXNe94IQX/9OM573ghVQ0lRLk5ZU0U6SUJNLklRX09QRUJfSU5DUkVBU0VfRUZGRUNUX1NFUlZJQ0VfSU5UX0NPU1RfRk9SRUlHTi4xOTk2LjA2LzAzLzIwMjYuLi5VU0QuSAEAAADetgEAAwAAAAAAUA+N5c173ghcpv04znveCERDSVEuTllTRTpJQk0uSVFfT1BFQl9FU1RfQkVORUZJVF8zWVJfRk9SRUlHTi4xOTk2LjA2LzAzLzIwMjYuLi5VU0QuSAEAAADetgEAAgAAAAI0NQBQD43lzXveCFym/TjOe94IUkNJUS5OWVNFOklCTS5JUV9PUEVCX0FTU0VUU19FTVBMT1lFUl9DT05UUklCVVRJT05TX0ZPUkVJR04uMTk5Ni4wNi8wMy8yMDI2Li4uVVNELkgBAAAA3rYBAAMAAAAAAFAPjeXNe94IXKb9OM573gguQ0lRLk5ZU0U6SUJNLklRX0RBWVNfU0FMRVNfT1VULjE5OTYuMDYvMDMvMjAyNgEAAADetgEAAgAAAAk0NC4xMTI4ODIBCAAAAAUAAAABMQEAAAALLTE5MDQ4NjA2NjQDAAAAAzE2MAIAAAAENDA0MgQAAAABMAcAAAAIMy82LzIwMjYIAAAACjEyLzMx</t>
  </si>
  <si>
    <t>LzIwMjQJAAAAATBQD43lzXveCFym/TjOe94IN0NJUS5OWVNFOklCTS5JUV9DQVBfTE9TU19DRl8xWVIuMTk5Ni4wNi8wMy8yMDI2Li4uVVNELkgBAAAA3rYBAAMAAAAAAFAPjeXNe94IXKb9OM573ghGQ0lRLk5ZU0U6SUJNLklRX0NBUElUQUxJWkVEX0lOVEVSRVNUX1dSSVRFX09GRi4xOTk2LjA2LzAzLzIwMjYuLi5VU0QuSAEAAADetgEAAwAAAAAAUA+N5c173ghcpv04znveCDpDSVEuTllTRTpJQk0uSVFfQVVNX0hJR0hfTkVUX1dPUlRILjE5OTYuMDYvMDMvMjAyNi4uLlVTRC5IAQAAAN62AQADAAAAAABQD43lzXveCFym/TjOe94IQUNJUS5OWVNFOklCTS5JUV9PUEVCX0FDQ1JVRURfTElBQl9GT1JFSUdOLjE5OTYuMDYvMDMvMjAyNi4uLlVTRC5IAQAAAN62AQADAAAAAAD1No3lzXveCFym/TjOe94IQENJUS5OWVNFOklCTS5JUV9PUEVCX0VYUF9SQVRFX1JFVFVSTl9NQVhfRk9SRUlHTi4xOTk2LjA2LzAzLzIwMjYBAAAA3rYBAAIAAAAEOC4xMgD1No3lzXveCFym/TjOe94IRkNJUS5OWVNFOklCTS5JUV9PUEVCX09CTElHQVRJT05fRlhfQURKX0ZPUkVJR04uMTk5Ni4wNi8wMy8yMDI2Li4uVVNELkgBAAAA3rYBAAIAAAADLTg1APU2jeXNe94IXKb9OM573ghBQ0lRLk5ZU0U6SUJNLklRX09QRUJfU0VSVklDRV9DT1NUX0ZPUkVJR04uMTk5Ni4wNi8wMy8yMDI2Li4uVVNELkgBAAAA3rYBAAIAAAAB</t>
  </si>
  <si>
    <t>MgD1No3lzXveCE/N/TjOe94ITkNJUS5OWVNFOklCTS5JUV9QRU5TSU9OX1VORlVOREVEX0FERExfTUlOX0xJQUJfRk9SRUlHTi4xOTk2LjA2LzAzLzIwMjYuLi5VU0QuSAEAAADetgEAAwAAAAAA9TaN5c173ghPzf04znveCERDSVEuTllTRTpJQk0uSVFfUEVOU0lPTl9BQ0NSVUVEX0xJQUJfRk9SRUlHTi4xOTk2LjA2LzAzLzIwMjYuLi5VU0QuSAEAAADetgEAAwAAAAAA9TaN5c173ghPzf04znveCEdDSVEuTllTRTpJQk0uSVFfUEVOU0lPTl9FU1RfQkVORUZJVF81WVJfRk9SRUlHTi4xOTk2LjA2LzAzLzIwMjYuLi5VU0QuSAEAAADetgEAAgAAAAQxOTIzAPU2jeXNe94IXKb9OM573gg5Q0lRLk5ZU0U6SUJNLklRX0FWR19SRVZfUEVSX1RSQURFLjE5OTYuMDYvMDMvMjAyNi4uLlVTRC5IAQAAAN62AQADAAAAAAD1No3lzXveCFym/TjOe94IPUNJUS5OWVNFOklCTS5JUV9BVU1fT1RIRVJfQURKVVNUTUVOVFMuMTk5Ni4wNi8wMy8yMDI2Li4uVVNELkgBAAAA3rYBAAMAAAAAAPU2jeXNe94IT839OM573ghEQ0lRLk5ZU0U6SUJNLklRX09QRUJfRVNUX0JFTkVGSVRfNVlSX0ZPUkVJR04uMTk5Ni4wNi8wMy8yMDI2Li4uVVNELkgBAAAA3rYBAAIAAAACNDcA9TaN5c173ghPzf04znveCEdDSVEuTllTRTpJQk0uSVFfT1BFQl9QUklPUl9TRVJWSUNFX05FWFRfRk9SRUlHTi4xOTk2LjA2LzAzLzIwMjYuLi5V</t>
  </si>
  <si>
    <t>U0QuSAEAAADetgEAAwAAAAAA9TaN5c173ghPzf04znveCEJDSVEuTllTRTpJQk0uSVFfT1BFQl9BU1NFVFNfRlhfQURKX0ZPUkVJR04uMTk5Ni4wNi8wMy8yMDI2Li4uVVNELkgBAAAA3rYBAAIAAAACLTUA9TaN5c173ghPzf04znveCEtDSVEuTllTRTpJQk0uSVFfSU5URVJFU1RfUEVOQUxUSUVTX1JFQ09HX0lTX1BSRV9UQVguMTk5Ni4wNi8wMy8yMDI2Li4uVVNELkgBAAAA3rYBAAIAAAADMjgyAPU2jeXNe94IT839OM573ggkQ0lRLk5ZU0U6SUJNLklRX0RBUlQuMTk5Ni4wNi8wMy8yMDI2AQAAAN62AQADAAAAAAD1No3lzXveCE/N/TjOe94IM0NJUS5OWVNFOklCTS5JUV9BVU1fSU5GTE9XUy4xOTk2LjA2LzAzLzIwMjYuLi5VU0QuSAEAAADetgEAAwAAAAAA9TaN5c173ghPzf04znveCD5DSVEuTllTRTpJQk0uSVFfQVVNX01PTkVZX01BUktFVF9GVU5EUy4xOTk2LjA2LzAzLzIwMjYuLi5VU0QuSAEAAADetgEAAwAAAAAA9TaN5c173ghPzf04znveCEdDSVEuTllTRTpJQk0uSVFfT1BFQl9IRUFMVEhfQ09TVF9UUkVORF9VTFRJTUFURV9GT1JFSUdOLjE5OTYuMDYvMDMvMjAyNgEAAADetgEAAwAAAAAA9TaN5c173ghPzf04znveCFVDSVEuTllTRTpJQk0uSVFfT1BFQl9ERUNSRUFTRV9FRkZFQ1RfU0VSVklDRV9JTlRfQ09TVF9GT1JFSUdOLjE5OTYuMDYvMDMvMjAyNi4uLlVTRC5IAQAAAN62AQAD</t>
  </si>
  <si>
    <t>AAAAAAD1No3lzXveCE/N/TjOe94IQkNJUS5OWVNFOklCTS5JUV9PUEVCX1VOUkVDT0dfUFJJT1JfRk9SRUlHTi4xOTk2LjA2LzAzLzIwMjYuLi5VU0QuSAEAAADetgEAAwAAAAAA9TaN5c173ggrCP44znveCENDSVEuTllTRTpJQk0uSVFfT1BFQl9BQ0NVTV9PVEhFUl9DSV9GT1JFSUdOLjE5OTYuMDYvMDMvMjAyNi4uLlVTRC5IAQAAAN62AQADAAAAAAD1No3lzXveCE/N/TjOe94IRENJUS5OWVNFOklCTS5JUV9PUEVCX1RSQU5TSVRJT05fTkVYVF9GT1JFSUdOLjE5OTYuMDYvMDMvMjAyNi4uLlVTRC5IAQAAAN62AQADAAAAAAD1No3lzXveCE/N/TjOe94IO0NJUS5OWVNFOklCTS5JUV9PUEVCX0NJX0FDVF9GT1JFSUdOLjE5OTYuMDYvMDMvMjAyNi4uLlVTRC5IAQAAAN62AQACAAAAAzEyNQD1No3lzXveCE/N/TjOe94IQUNJUS5OWVNFOklCTS5JUV9PUEVCX0JSRUFLRE9XTl9SRV9GT1JFSUdOLjE5OTYuMDYvMDMvMjAyNi4uLlVTRC5IAQAAAN62AQADAAAAAAD1No3lzXveCE/N/TjOe94ISkNJUS5OWVNFOklCTS5JUV9UUkFOU19JTVBBQ1RfRklOXzQ4X0NVUlJFTlRfQVNTRVRTLjE5OTYuMDYvMDMvMjAyNi4uLlVTRC5IAQAAAN62AQADAAAAAAD1No3lzXveCCsI/jjOe94INENJUS5OWVNFOklCTS5JUV9OT0xfQ0ZfVE9UQUwuMTk5Ni4wNi8wMy8yMDI2Li4uVVNELkgBAAAA3rYBAAMAAAAAAPU2jeXN</t>
  </si>
  <si>
    <t>e94IKwj+OM573gg9Q0lRLk5ZU0U6SUJNLklRX01VVFVBTF9GVU5EX05FVF9TQUxFUy4xOTk2LjA2LzAzLzIwMjYuLi5VU0QuSAEAAADetgEAAwAAAAAA9TaN5c173ggrCP44znveCEBDSVEuTllTRTpJQk0uSVFfQVVNX0NBU0hfRkxPV1NfRElWSURFTkRTLjE5OTYuMDYvMDMvMjAyNi4uLlVTRC5IAQAAAN62AQADAAAAAAD1No3lzXveCCsI/jjOe94IMUNJUS5OWVNFOklCTS5JUV9BVU1fU01FX0NVU1RPTUVSUy4xOTk2LjA2LzAzLzIwMjYBAAAA3rYBAAMAAAAAAPU2jeXNe94IKwj+OM573gg3Q0lRLk5ZU0U6SUJNLklRX09QRUJfQ0xfRk9SRUlHTi4xOTk2LjA2LzAzLzIwMjYuLi5VU0QuSAEAAADetgEAAgAAAAMtMjAA9TaN5c173gizL/44znveCERDSVEuTllTRTpJQk0uSVFfT1BFQl9FU1RfQkVORUZJVF8yWVJfRk9SRUlHTi4xOTk2LjA2LzAzLzIwMjYuLi5VU0QuSAEAAADetgEAAgAAAAI0NAD1No3lzXveCLMv/jjOe94IRUNJUS5OWVNFOklCTS5JUV9PUEVCX1BCT19BU1NVTUVEX1JBVEVfUkVUX01JTl9GT1JFSUdOLjE5OTYuMDYvMDMvMjAyNgEAAADetgEAAgAAAAQ4LjIxAPU2jeXNe94IKwj+OM573ghFQ0lRLk5ZU0U6SUJNLklRX09QRUJfQ0lfTkVUX0FNVF9SRUNPR19GT1JFSUdOLjE5OTYuMDYvMDMvMjAyNi4uLlVTRC5IAQAAAN62AQACAAAAAzEyNAD1No3lzXveCCsI/jjOe94IQ0NJUS5O</t>
  </si>
  <si>
    <t>WVNFOklCTS5JUV9PUEVCX09CTElHQVRJT05fQUNRX0ZPUkVJR04uMTk5Ni4wNi8wMy8yMDI2Li4uVVNELkgBAAAA3rYBAAMAAAAAAPU2jeXNe94IKwj+OM573ggtQ0lRLk5ZU0U6SUJNLklRX0NVUlJFTlRfUkFUSU8uMTk5Ni4wNi8wMy8yMDI2AQAAAN62AQACAAAACDEuMDQwNDMyAQgAAAAFAAAAATEBAAAACy0xOTA0ODYwNjY0AwAAAAMxNjACAAAABDQwMzAEAAAAATAHAAAACDMvNi8yMDI2CAAAAAoxMi8zMS8yMDI0CQAAAAEw9TaN5c173ghxQ/44znveCC1DSVEuTllTRTpJQk0uSVFfUkVUVVJOX0FTU0VUUy4xOTk2LjA2LzAzLzIwMjYBAAAA3rYBAAIAAAAGNC40OTEyAQgAAAAFAAAAATEBAAAACy0xOTA0ODYwNjY0AwAAAAMxNjACAAAABDQxNzgEAAAAATAHAAAACDMvNi8yMDI2CAAAAAoxMi8zMS8yMDI0CQAAAAEw9TaN5c173gizL/44znveCDpDSVEuTllTRTpJQk0uSVFfVEFYX0JFTkVGSVRfQ0ZfM1lSLjE5OTYuMDYvMDMvMjAyNi4uLlVTRC5IAQAAAN62AQADAAAAAAD1No3lzXveCLMv/jjOe94IMkNJUS5OWVNFOklCTS5JUV9BVU1fUkVUQUlMLjE5OTYuMDYvMDMvMjAyNi4uLlVTRC5IAQAAAN62AQADAAAAAAD1No3lzXveCLMv/jjOe94IRENJUS5OWVNFOklCTS5JUV9PUEVCX05FVF9BU1NFVF9SRUNPR19GT1JFSUdOLjE5OTYuMDYvMDMvMjAyNi4uLlVTRC5IAQAAAN62AQACAAAABC00OTMA</t>
  </si>
  <si>
    <t>9TaN5c173gizL/44znveCDtDSVEuTllTRTpJQk0uSVFfT1BFQl9BU1NFVFNfRk9SRUlHTi4xOTk2LjA2LzAzLzIwMjYuLi5VU0QuSAEAAADetgEAAgAAAAIxNAD1No3lzXveCHFD/jjOe94ISUNJUS5OWVNFOklCTS5JUV9PUEVCX0FTU0VUU19BQ1RVQUxfUkVUVVJOX0ZPUkVJR04uMTk5Ni4wNi8wMy8yMDI2Li4uVVNELkgBAAAA3rYBAAIAAAABMQD1No3lzXveCHFD/jjOe94ITENJUS5OWVNFOklCTS5JUV9PUEVCX1NVUFBMRV9QTEFOU19UT1RBTF9DT1NUX0ZPUkVJR04uMTk5Ni4wNi8wMy8yMDI2Li4uVVNELkgBAAAA3rYBAAMAAAAAAPU2jeXNe94IcUP+OM573ghGQ0lRLk5ZU0U6SUJNLklRX1VOUkVDT0dfVEFYX0JFTkVGSVRfRU5EX1BFUklPRC4xOTk2LjA2LzAzLzIwMjYuLi5VU0QuSAEAAADetgEAAgAAAAQ4ODc1APU2jeXNe94IcUP+OM573gg3Q0lRLk5ZU0U6SUJNLklRX0NBUF9MT1NTX0NGXzVZUi4xOTk2LjA2LzAzLzIwMjYuLi5VU0QuSAEAAADetgEAAwAAAAAA9TaN5c173ghxQ/44znveCEBDSVEuTllTRTpJQk0uSVFfQ0FQSVRBTElaRURfSU5URVJFU1RfRVhQLjE5OTYuMDYvMDMvMjAyNi4uLlVTRC5IAQAAAN62AQADAAAAAAD1No3lzXveCHFD/jjOe94IPUNJUS5OWVNFOklCTS5JUV9BU1NFVFNfQ0FQX0xFQVNFX0RFUFIuMTk5Ni4wNi8wMy8yMDI2Li4uVVNELkgBAAAA3rYBAAMAAAAA</t>
  </si>
  <si>
    <t>APU2jeXNe94IcUP+OM573ghEQ0lRLk5ZU0U6SUJNLklRX0FERF9UQVhfUE9TSVRJT05TX0NVUlJFTlRfWVIuMTk5Ni4wNi8wMy8yMDI2Li4uVVNELkgBAAAA3rYBAAIAAAADNjY3APU2jeXNe94IcUP+OM573gg/Q0lRLk5ZU0U6SUJNLklRX01VVFVBTF9GVU5EX1JFREVNUFRJT05TLjE5OTYuMDYvMDMvMjAyNi4uLlVTRC5IAQAAAN62AQADAAAAAAD1No3lzXveCHFD/jjOe94IQENJUS5OWVNFOklCTS5JUV9BVU1fTkVUX0lORkxPV1NfT1VURkxPV1MuMTk5Ni4wNi8wMy8yMDI2Li4uVVNELkgBAAAA3rYBAAMAAAAAAPU2jeXNe94IcUP+OM573gg0Q0lRLk5ZU0U6SUJNLklRX0FVTV9ET01FU1RJQy4xOTk2LjA2LzAzLzIwMjYuLi5VU0QuSAEAAADetgEAAwAAAAAA9TaN5c173ggLa/44znveCERDSVEuTllTRTpJQk0uSVFfT1BFQl9FU1RfQkVORUZJVF80WVJfRk9SRUlHTi4xOTk2LjA2LzAzLzIwMjYuLi5VU0QuSAEAAADetgEAAgAAAAI0NQD1No3lzXveCAtr/jjOe94IPUNJUS5OWVNFOklCTS5JUV9PUEVCX0JSRUFLRE9XTl9QQ1RfRklfRk9SRUlHTi4xOTk2LjA2LzAzLzIwMjYBAAAA3rYBAAMAAAAAAPU2jeXNe94IC2v+OM573ghEQ0lRLk5ZU0U6SUJNLklRX09QRUJfT0JMSUdBVElPTl9QQUlEX0ZPUkVJR04uMTk5Ni4wNi8wMy8yMDI2Li4uVVNELkgBAAAA3rYBAAIAAAADLTM2APU2jeXNe94IcUP+</t>
  </si>
  <si>
    <t>OM573ghHQ0lRLk5ZU0U6SUJNLklRX1BFTlNJT05fTkVUX0FTU0VUX1JFQ09HX0ZPUkVJR04uMTk5Ni4wNi8wMy8yMDI2Li4uVVNELkgBAAAA3rYBAAIAAAAFLTMyODYA9TaN5c173ghxQ/44znveCEdDSVEuTllTRTpJQk0uSVFfUEVOU0lPTl9FU1RfQkVORUZJVF80WVJfRk9SRUlHTi4xOTk2LjA2LzAzLzIwMjYuLi5VU0QuSAEAAADetgEAAgAAAAQxOTI3APU2jeXNe94IC2v+OM573ghJQ0lRLk5ZU0U6SUJNLklRX1BFTlNJT05fQ0lfT1RIRVJfTUlTQ19BREpfRk9SRUlHTi4xOTk2LjA2LzAzLzIwMjYuLi5VU0QuSAEAAADetgEAAwAAAAAA9TaN5c173ggLa/44znveCENDSVEuTllTRTpJQk0uSVFfUEVOU0lPTl9FWFBfUkFURV9SRVRVUk5fTUlOX0ZPUkVJR04uMTk5Ni4wNi8wMy8yMDI2AQAAAN62AQACAAAABDQuODkA9TaN5c173ggLa/44znveCD1DSVEuTllTRTpJQk0uSVFfUEVOU0lPTl9ESVNDT1VOVF9SQVRFX0ZPUkVJR04uMTk5Ni4wNi8wMy8yMDI2AQAAAN62AQACAAAABDMuNjEA9TaN5c173ggLa/44znveCExDSVEuTllTRTpJQk0uSVFfUEVOU0lPTl9BU1NFVFNfQUNUVUFMX1JFVFVSTl9GT1JFSUdOLjE5OTYuMDYvMDMvMjAyNi4uLlVTRC5IAQAAAN62AQACAAAAAzQ5OQD1No3lzXveCAtr/jjOe94IRkNJUS5OWVNFOklCTS5JUV9QRU5TSU9OX09CTElHQVRJT05fQkVHX0ZPUkVJR04uMTk5</t>
  </si>
  <si>
    <t>Ni4wNi8wMy8yMDI2Li4uVVNELkgBAAAA3rYBAAIAAAAFMzM0NzkA9TaN5c173ggLa/44znveCEBDSVEuTllTRTpJQk0uSVFfT1BFQl9ORVRfQVNTRVRfUkVDT0dfRE9NLjE5OTYuMDYvMDMvMjAyNi4uLlVTRC5IAQAAAN62AQACAAAABS0yMjUxAPU2jeXNe94IC2v+OM573gg2Q0lRLk5ZU0U6SUJNLklRX09QRUJfT1RIRVJfRE9NLjE5OTYuMDYvMDMvMjAyNi4uLlVTRC5IAQAAAN62AQADAAAAAAD1No3lzXveCAtr/jjOe94IQENJUS5OWVNFOklCTS5JUV9PUEVCX0VTVF9CRU5FRklUXzFZUl9ET00uMTk5Ni4wNi8wMy8yMDI2Li4uVVNELkgBAAAA3rYBAAIAAAADMjMwAPU2jeXNe94IC2v+OM573gg3Q0lRLk5ZU0U6SUJNLklRX09QRUJfQ0lfQUNUX0RPTS4xOTk2LjA2LzAzLzIwMjYuLi5VU0QuSAEAAADetgEAAgAAAAMxODgA9TaN5c173ggLa/44znveCDdDSVEuTllTRTpJQk0uSVFfVEFYX0JFTkVGSVRfQ0ZfTUFYX1lFQVIuMTk5Ni4wNi8wMy8yMDI2AQAAAN62AQADAAAAAAD1No3lzXveCAtr/jjOe94IRUNJUS5OWVNFOklCTS5JUV9VTlJFQ09HX1RBWF9CRU5FRklUX09USEVSX0FESi4xOTk2LjA2LzAzLzIwMjYuLi5VU0QuSAEAAADetgEAAwAAAAAA9TaN5c173ggLa/44znveCEJDSVEuTllTRTpJQk0uSVFfQVVNX0FDUVVJU0lUSU9OU19UUkFOU0ZFUlMuMTk5Ni4wNi8wMy8yMDI2Li4uVVNELkgB</t>
  </si>
  <si>
    <t>AAAA3rYBAAMAAAAAAPU2jeXNe94IC2v+OM573gg5Q0lRLk5ZU0U6SUJNLklRX0FVTV9PVEhFUl9DTElFTlRTLjE5OTYuMDYvMDMvMjAyNi4uLlVTRC5IAQAAAN62AQADAAAAAAD1No3lzXveCAtr/jjOe94IQUNJUS5OWVNFOklCTS5JUV9PUEVCX1BSRVBBSURfQ09TVF9GT1JFSUdOLjE5OTYuMDYvMDMvMjAyNi4uLlVTRC5IAQAAAN62AQADAAAAAAD1No3lzXveCAtr/jjOe94IR0NJUS5OWVNFOklCTS5JUV9PUEVCX1BCT19SQVRFX0NPTVBfSU5DUkVBU0VfTUlOX0ZPUkVJR04uMTk5Ni4wNi8wMy8yMDI2AQAAAN62AQADAAAAAAD1No3lzXveCAKm/jjOe94IUkNJUS5OWVNFOklCTS5JUV9PUEVCX0FTU0VUU19QQVJUSUNJUF9DT05UUklCVVRJT05TX0ZPUkVJR04uMTk5Ni4wNi8wMy8yMDI2Li4uVVNELkgBAAAA3rYBAAMAAAAAAPU2jeXNe94IAqb+OM573gg/Q0lRLk5ZU0U6SUJNLklRX09QRUJfT1RIRVJfQ09TVF9GT1JFSUdOLjE5OTYuMDYvMDMvMjAyNi4uLlVTRC5IAQAAAN62AQACAAAAAi0xAPU2jeXNe94IAqb+OM573ghKQ0lRLk5ZU0U6SUJNLklRX1BFTlNJT05fRVNUX0JFTkVGSVRfQUZURVI1X0ZPUkVJR04uMTk5Ni4wNi8wMy8yMDI2Li4uVVNELkgBAAAA3rYBAAIAAAAEOTA2NQD1No3lzXveCAtr/jjOe94IR0NJUS5OWVNFOklCTS5JUV9QRU5TSU9OX0VTVF9CRU5FRklUXzJZUl9GT1JFSUdO</t>
  </si>
  <si>
    <t>LjE5OTYuMDYvMDMvMjAyNi4uLlVTRC5IAQAAAN62AQACAAAABDE5ODQA9TaN5c173ggLa/44znveCERDSVEuTllTRTpJQk0uSVFfUEVOU0lPTl9CUkVBS0RPV05fUkVfRk9SRUlHTi4xOTk2LjA2LzAzLzIwMjYuLi5VU0QuSAEAAADetgEAAgAAAAEzAPU2jeXNe94IAqb+OM573ghCQ0lRLk5ZU0U6SUJNLklRX1BFTlNJT05fQVNTRVRTX0JFR19GT1JFSUdOLjE5OTYuMDYvMDMvMjAyNi4uLlVTRC5IAQAAAN62AQACAAAABTI5MDU5APU2jeXNe94IAqb+OM573ghPQ0lRLk5ZU0U6SUJNLklRX1BFTlNJT05fT0JMSUdBVElPTl9TRVJWSUNFX0NPU1RfRk9SRUlHTi4xOTk2LjA2LzAzLzIwMjYuLi5VU0QuSAEAAADetgEAAgAAAAMxNzAA9TaN5c173ggCpv44znveCEFDSVEuTllTRTpJQk0uSVFfT1BFQl9DSV9ORVRfQU1UX1JFQ09HX0RPTS4xOTk2LjA2LzAzLzIwMjYuLi5VU0QuSAEAAADetgEAAgAAAAQtMTMzAPU2jeXNe94IAqb+OM573gg/Q0lRLk5ZU0U6SUJNLklRX09QRUJfUkFURV9DT01QX0lOQ1JFQVNFX01BWF9ET00uMTk5Ni4wNi8wMy8yMDI2AQAAAN62AQADAAAAAAD1No3lzXveCAKm/jjOe94INkNJUS5OWVNFOklCTS5JUV9PUEVCX0RJU0NfUkFURV9NSU5fRE9NLjE5OTYuMDYvMDMvMjAyNgEAAADetgEAAgAAAAE1APU2jeXNe94IAqb+OM573ghKQ0lRLk5ZU0U6SUJNLklRX09QRUJfT0JMSUdB</t>
  </si>
  <si>
    <t>VElPTl9PVEhFUl9QTEFOX0FESl9ET00uMTk5Ni4wNi8wMy8yMDI2Li4uVVNELkgBAAAA3rYBAAMAAAAAAPU2jeXNe94IAqb+OM573gg7Q0lRLk5ZU0U6SUJNLklRX09QRUJfT1RIRVJfQ09TVF9ET00uMTk5Ni4wNi8wMy8yMDI2Li4uVVNELkgBAAAA3rYBAAIAAAADLTI5APU2jeXNe94IAqb+OM573gg9Q0lRLk5ZU0U6SUJNLklRX1BFTlNJT05fTFRfQVNTRVRTX0RPTS4xOTk2LjA2LzAzLzIwMjYuLi5VU0QuSAEAAADetgEAAgAAAAQ0NjUxAPU2jeXNe94IAqb+OM573ghAQ0lRLk5ZU0U6SUJNLklRX1BFTlNJT05fQUNDUlVFRF9MSUFCX0RPTS4xOTk2LjA2LzAzLzIwMjYuLi5VU0QuSAEAAADetgEAAwAAAAAA9TaN5c173ggCpv44znveCENDSVEuTllTRTpJQk0uSVFfT1BFQl9BU1NFVFNfQ1VSVEFJTF9GT1JFSUdOLjE5OTYuMDYvMDMvMjAyNi4uLlVTRC5IAQAAAN62AQADAAAAAAD1No3lzXveCFTN/jjOe94ISkNJUS5OWVNFOklCTS5JUV9QRU5TSU9OX1BCT19SQVRFX0NPTVBfSU5DUkVBU0VfTUFYX0ZPUkVJR04uMTk5Ni4wNi8wMy8yMDI2AQAAAN62AQACAAAABDQuMDQA9TaN5c173ghUzf44znveCEhDSVEuTllTRTpJQk0uSVFfUEVOU0lPTl9DSV9ORVRfQU1UX1JFQ09HX0ZPUkVJR04uMTk5Ni4wNi8wMy8yMDI2Li4uVVNELkgBAAAA3rYBAAIAAAAFMTIyOTMA9TaN5c173ghUzf44znveCEJDSVEu</t>
  </si>
  <si>
    <t>TllTRTpJQk0uSVFfUEVOU0lPTl9BU1NFVFNfQUNRX0ZPUkVJR04uMTk5Ni4wNi8wMy8yMDI2Li4uVVNELkgBAAAA3rYBAAMAAAAAAPU2jeXNe94IVM3+OM573ghDQ0lRLk5ZU0U6SUJNLklRX09QRUJfSEVBTFRIX0NPU1RfVFJFTkRfVUxUSU1BVEVfRE9NLjE5OTYuMDYvMDMvMjAyNgEAAADetgEAAwAAAAAA9TaN5c173ghUzf44znveCEFDSVEuTllTRTpJQk0uSVFfT1BFQl9QQk9fQVNTVU1FRF9SQVRFX1JFVF9NQVhfRE9NLjE5OTYuMDYvMDMvMjAyNgEAAADetgEAAgAAAAM1LjMA9TaN5c173ghUzf44znveCDpDSVEuTllTRTpJQk0uSVFfT1BFQl9PVEhFUl9GT1JFSUdOLjE5OTYuMDYvMDMvMjAyNi4uLlVTRC5IAQAAAN62AQADAAAAAAD1No3lzXveCFTN/jjOe94IOkNJUS5OWVNFOklCTS5JUV9PUEVCX0RJU0NfUkFURV9NQVhfRk9SRUlHTi4xOTk2LjA2LzAzLzIwMjYBAAAA3rYBAAIAAAAENy42NgD1No3lzXveCFTN/jjOe94IUUNJUS5OWVNFOklCTS5JUV9PUEVCX1RPVEFMX0NPU1RfSU5DTF9TVVBQTEVfUExBTlNfRk9SRUlHTi4xOTk2LjA2LzAzLzIwMjYuLi5VU0QuSAEAAADetgEAAwAAAAAA9TaN5c173ghUzf44znveCFZDSVEuTllTRTpJQk0uSVFfUEVOU0lPTl9PQkxJR0FUSU9OX0FDVFVBUklBTF9HQUlOX0xPU1NfRk9SRUlHTi4xOTk2LjA2LzAzLzIwMjYuLi5VU0QuSAEAAADetgEAAgAA</t>
  </si>
  <si>
    <t>AAUtMTA3NgD1No3lzXveCFTN/jjOe94IRENJUS5OWVNFOklCTS5JUV9QRU5TSU9OX1NFUlZJQ0VfQ09TVF9GT1JFSUdOLjE5OTYuMDYvMDMvMjAyNi4uLlVTRC5IAQAAAN62AQACAAAAAzE3MAD1No3lzXveCID0/jjOe94IPkNJUS5OWVNFOklCTS5JUV9PUEVCX1VOUkVDT0dfUFJJT1JfRE9NLjE5OTYuMDYvMDMvMjAyNi4uLlVTRC5IAQAAAN62AQADAAAAAAD1No3lzXveCID0/jjOe94IQENJUS5OWVNFOklCTS5JUV9PUEVCX0VTVF9CRU5FRklUXzRZUl9ET00uMTk5Ni4wNi8wMy8yMDI2Li4uVVNELkgBAAAA3rYBAAIAAAADMjUzAPU2jeXNe94IVM3+OM573gg5Q0lRLk5ZU0U6SUJNLklRX09QRUJfQlJFQUtET1dOX1BDVF9GSV9ET00uMTk5Ni4wNi8wMy8yMDI2AQAAAN62AQADAAAAAAD1No3lzXveCFTN/jjOe94IL0NJUS5OWVNFOklCTS5JUV9BVU1fQk9QLjE5OTYuMDYvMDMvMjAyNi4uLlVTRC5IAQAAAN62AQADAAAAAAD1No3lzXveCFTN/jjOe94IS0NJUS5OWVNFOklCTS5JUV9PUEVCX09CTElHQVRJT05fQUNDVU1VTEFURURfRk9SRUlHTi4xOTk2LjA2LzAzLzIwMjYuLi5VU0QuSAEAAADetgEAAwAAAAAA9TaN5c173giA9P44znveCERDSVEuTllTRTpJQk0uSVFfUEVOU0lPTl9CUkVBS0RPV05fRVFfRk9SRUlHTi4xOTk2LjA2LzAzLzIwMjYuLi5VU0QuSAEAAADetgEAAgAAAAI2OAD1No3lzXve</t>
  </si>
  <si>
    <t>CID0/jjOe94ITENJUS5OWVNFOklCTS5JUV9QRU5TSU9OX09CTElHQVRJT05fUFJPSkVDVEVEX0ZPUkVJR04uMTk5Ni4wNi8wMy8yMDI2Li4uVVNELkgBAAAA3rYBAAIAAAAFMjg0OTAA9TaN5c173giA9P44znveCERDSVEuTllTRTpJQk0uSVFfT1BFQl9ERUNSRUFTRV9FRkZFQ1RfUEJPX0RPTS4xOTk2LjA2LzAzLzIwMjYuLi5VU0QuSAEAAADetgEAAwAAAAAA9TaN5c173giA9P44znveCD5DSVEuTllTRTpJQk0uSVFfT1BFQl9DSV9UUkFOU0lUSU9OX0RPTS4xOTk2LjA2LzAzLzIwMjYuLi5VU0QuSAEAAADetgEAAwAAAAAA9TaN5c173giA9P44znveCEFDSVEuTllTRTpJQk0uSVFfT1BFQl9CUkVBS0RPV05fRVFfRk9SRUlHTi4xOTk2LjA2LzAzLzIwMjYuLi5VU0QuSAEAAADetgEAAwAAAAAA9TaN5c173giA9P44znveCEVDSVEuTllTRTpJQk0uSVFfUEVOU0lPTl9DSV9UUkFOU0lUSU9OX0ZPUkVJR04uMTk5Ni4wNi8wMy8yMDI2Li4uVVNELkgBAAAA3rYBAAMAAAAAAPU2jeXNe94IgPT+OM573ghGQ0lRLk5ZU0U6SUJNLklRX1BFTlNJT05fUkFURV9DT01QX0lOQ1JFQVNFX01JTl9GT1JFSUdOLjE5OTYuMDYvMDMvMjAyNgEAAADetgEAAgAAAAQ0LjE4APU2jeXNe94IgPT+OM573ghMQ0lRLk5ZU0U6SUJNLklRX1BFTlNJT05fQVNTRVRTX0JFTkVGSVRTX1BBSURfRk9SRUlHTi4xOTk2LjA2LzAzLzIw</t>
  </si>
  <si>
    <t>MjYuLi5VU0QuSAEAAADetgEAAgAAAAUtMTYzNQD1No3lzXveCID0/jjOe94IPUNJUS5OWVNFOklCTS5JUV9PUEVCX1BSRVBBSURfQ09TVF9ET00uMTk5Ni4wNi8wMy8yMDI2Li4uVVNELkgBAAAA3rYBAAMAAAAAAPU2jeXNe94IgPT+OM573gg/Q0lRLk5ZU0U6SUJNLklRX09QRUJfQU1UX1JFQ09HX05FWFRfRE9NLjE5OTYuMDYvMDMvMjAyNi4uLlVTRC5IAQAAAN62AQADAAAAAAD1No3lzXveCI0b/zjOe94INkNJUS5OWVNFOklCTS5JUV9PUEVCX0RJU0NfUkFURV9NQVhfRE9NLjE5OTYuMDYvMDMvMjAyNgEAAADetgEAAgAAAAE1APU2jeXNe94IjRv/OM573ghFQ0lRLk5ZU0U6SUJNLklRX09QRUJfT0JMSUdBVElPTl9QUk9KRUNURURfRE9NLjE5OTYuMDYvMDMvMjAyNi4uLlVTRC5IAQAAAN62AQACAAAABDIyNTcA9TaN5c173giNG/84znveCD9DSVEuTllTRTpJQk0uSVFfT1BFQl9PQkxJR0FUSU9OX0FDUV9ET00uMTk5Ni4wNi8wMy8yMDI2Li4uVVNELkgBAAAA3rYBAAMAAAAAAPU2jeXNe94IjRv/OM573gg+Q0lRLk5ZU0U6SUJNLklRX09QRUJfSU5URVJFU1RfQ09TVF9ET00uMTk5Ni4wNi8wMy8yMDI2Li4uVVNELkgBAAAA3rYBAAIAAAADMTA2APU2jeXNe94IgPT+OM573ghAQ0lRLk5ZU0U6SUJNLklRX1BFTlNJT05fSU5UQU5fQVNTRVRTX0RPTS4xOTk2LjA2LzAzLzIwMjYuLi5VU0QuSAEAAADe</t>
  </si>
  <si>
    <t>tgEAAwAAAAAA9TaN5c173giNG/84znveCEJDSVEuTllTRTpJQk0uSVFfT1BFQl9DSV9UUkFOU0lUSU9OX0ZPUkVJR04uMTk5Ni4wNi8wMy8yMDI2Li4uVVNELkgBAAAA3rYBAAMAAAAAAPU2jeXNe94IjRv/OM573ghUQ0lRLk5ZU0U6SUJNLklRX1BFTlNJT05fUVVBUlRfQURETF9DT05UUklCVVRJT05TX0VYUF9GT1JFSUdOLjE5OTYuMDYvMDMvMjAyNi4uLlVTRC5IAQAAAN62AQADAAAAAAD1No3lzXveCI0b/zjOe94IRUNJUS5OWVNFOklCTS5JUV9QRU5TSU9OX1VOUkVDT0dfUFJJT1JfRk9SRUlHTi4xOTk2LjA2LzAzLzIwMjYuLi5VU0QuSAEAAADetgEAAwAAAAAA9TaN5c173giNG/84znveCEBDSVEuTllTRTpJQk0uSVFfUEVOU0lPTl9CUkVBS0RPV05fUENUX1JFX0ZPUkVJR04uMTk5Ni4wNi8wMy8yMDI2AQAAAN62AQACAAAABjAuMDExOQD1No3lzXveCI0b/zjOe94IUENJUS5OWVNFOklCTS5JUV9QRU5TSU9OX09CTElHQVRJT05fSU5URVJFU1RfQ09TVF9GT1JFSUdOLjE5OTYuMDYvMDMvMjAyNi4uLlVTRC5IAQAAAN62AQACAAAABDEwNzcA9TaN5c173gitQv84znveCDxDSVEuTllTRTpJQk0uSVFfVEFYX0JFTkVGSVRfQ0ZfVE9UQUwuMTk5Ni4wNi8wMy8yMDI2Li4uVVNELkgBAAAA3rYBAAIAAAAEMTY4MQD1No3lzXveCI0b/zjOe94IOUNJUS5OWVNFOklCTS5JUV9BVU1fSU5TVElUVVRJT05B</t>
  </si>
  <si>
    <t>TC4xOTk2LjA2LzAzLzIwMjYuLi5VU0QuSAEAAADetgEAAwAAAAAA9TaN5c173giNG/84znveCDpDSVEuTllTRTpJQk0uSVFfT1BFQl9ESVNDX1JBVEVfTUlOX0ZPUkVJR04uMTk5Ni4wNi8wMy8yMDI2AQAAAN62AQACAAAABDcuNjYA9TaN5c173giNG/84znveCEZDSVEuTllTRTpJQk0uSVFfT1BFQl9IRUFMVEhfQ09TVF9UUkVORF9JTklUSUFMX0ZPUkVJR04uMTk5Ni4wNi8wMy8yMDI2AQAAAN62AQADAAAAAAD1No3lzXveCI0b/zjOe94IQENJUS5OWVNFOklCTS5JUV9PUEVCX0JSRUFLRE9XTl9QQ1RfT1RIRVJfRk9SRUlHTi4xOTk2LjA2LzAzLzIwMjYBAAAA3rYBAAMAAAAAAPU2jeXNe94IrUL/OM573ghTQ0lRLk5ZU0U6SUJNLklRX09QRUJfT0JMSUdBVElPTl9BQ1RVQVJJQUxfR0FJTl9MT1NTX0ZPUkVJR04uMTk5Ni4wNi8wMy8yMDI2Li4uVVNELkgBAAAA3rYBAAMAAAAAAPU2jeXNe94IrUL/OM573ghHQ0lRLk5ZU0U6SUJNLklRX1BFTlNJT05fRVNUX0JFTkVGSVRfMVlSX0ZPUkVJR04uMTk5Ni4wNi8wMy8yMDI2Li4uVVNELkgBAAAA3rYBAAIAAAAEMjA4MQD1No3lzXveCK1C/zjOe94ISkNJUS5OWVNFOklCTS5JUV9QRU5TSU9OX1BCT19SQVRFX0NPTVBfSU5DUkVBU0VfTUlOX0ZPUkVJR04uMTk5Ni4wNi8wMy8yMDI2AQAAAN62AQACAAAABDQuMDQA9TaN5c173gitQv84znveCEBDSVEuTllT</t>
  </si>
  <si>
    <t>RTpJQk0uSVFfUEVOU0lPTl9CUkVBS0RPV05fUENUX0VRX0ZPUkVJR04uMTk5Ni4wNi8wMy8yMDI2AQAAAN62AQACAAAABjAuMjY5NwD1No3lzXveCK1C/zjOe94IQkNJUS5OWVNFOklCTS5JUV9PUEVCX0hFQUxUSF9DT1NUX1RSRU5EX0lOSVRJQUxfRE9NLjE5OTYuMDYvMDMvMjAyNgEAAADetgEAAwAAAAAA9TaN5c173gitQv84znveCDpDSVEuTllTRTpJQk0uSVFfT1BFQl9MVF9BU1NFVFNfRE9NLjE5OTYuMDYvMDMvMjAyNi4uLlVTRC5IAQAAAN62AQADAAAAAAD1No3lzXveCK1C/zjOe94IPUNJUS5OWVNFOklCTS5JUV9PUEVCX0JSRUFLRE9XTl9SRV9ET00uMTk5Ni4wNi8wMy8yMDI2Li4uVVNELkgBAAAA3rYBAAMAAAAAAPU2jeXNe94IrUL/OM573gg3Q0lRLk5ZU0U6SUJNLklRX09QRUJfQVNTRVRTX0RPTS4xOTk2LjA2LzAzLzIwMjYuLi5VU0QuSAEAAADetgEAAgAAAAE2APU2jeXNe94IrUL/OM573ghDQ0lRLk5ZU0U6SUJNLklRX09QRUJfT0JMSUdBVElPTl9DVVJUQUlMX0RPTS4xOTk2LjA2LzAzLzIwMjYuLi5VU0QuSAEAAADetgEAAwAAAAAA9TaN5c173gitQv84znveCDdDSVEuTllTRTpJQk0uSVFfQ0FQX0xPU1NfQ0ZfNFlSLjE5OTYuMDYvMDMvMjAyNi4uLlVTRC5IAQAAAN62AQADAAAAAAD1No3lzXveCK1C/zjOe94INkNJUS5OWVNFOklCTS5JUV9BVU1fTkVUX0NIQU5HRS4xOTk2LjA2</t>
  </si>
  <si>
    <t>LzAzLzIwMjYuLi5VU0QuSAEAAADetgEAAwAAAAAA9TaN5c173gitQv84znveCEVDSVEuTllTRTpJQk0uSVFfT1BFQl9DSV9QUklPUl9TRVJWSUNFX0ZPUkVJR04uMTk5Ni4wNi8wMy8yMDI2Li4uVVNELkgBAAAA3rYBAAIAAAACLTEA9TaN5c173gitQv84znveCEVDSVEuTllTRTpJQk0uSVFfUEVOU0lPTl9BU1NFVFNfRlhfQURKX0ZPUkVJR04uMTk5Ni4wNi8wMy8yMDI2Li4uVVNELkgBAAAA3rYBAAIAAAAFLTE1MzAA9TaN5c173gitQv84znveCElDSVEuTllTRTpJQk0uSVFfUEVOU0lPTl9PQkxJR0FUSU9OX0ZYX0FESl9GT1JFSUdOLjE5OTYuMDYvMDMvMjAyNi4uLlVTRC5IAQAAAN62AQACAAAABS0xODUwAPU2jeXNe94IrUL/OM573ghBQ0lRLk5ZU0U6SUJNLklRX09QRUJfUEJPX0FTU1VNRURfUkFURV9SRVRfTUlOX0RPTS4xOTk2LjA2LzAzLzIwMjYBAAAA3rYBAAIAAAADNS4zAPU2jeXNe94Iin3/OM573ghUQ0lRLk5ZU0U6SUJNLklRX1BFTlNJT05fUVVBUlRfRU1QTE9ZRVJfQ09OVFJJQlVUSU9OU19GT1JFSUdOLjE5OTYuMDYvMDMvMjAyNi4uLlVTRC5IAQAAAN62AQADAAAAAAD1No3lzXveCIp9/zjOe94IOkNJUS5OWVNFOklCTS5JUV9QRU5TSU9OX0NMX0ZPUkVJR04uMTk5Ni4wNi8wMy8yMDI2Li4uVVNELkgBAAAA3rYBAAIAAAAELTM2MgD1No3lzXveCK1C/zjOe94IRkNJUS5OWVNFOklC</t>
  </si>
  <si>
    <t>TS5JUV9QRU5TSU9OX0FDQ1VNX09USEVSX0NJX0ZPUkVJR04uMTk5Ni4wNi8wMy8yMDI2Li4uVVNELkgBAAAA3rYBAAMAAAAAAPU2jeXNe94IrUL/OM573ghIQ0lRLk5ZU0U6SUJNLklRX1BFTlNJT05fUEJPX0FTU1VNRURfUkFURV9SRVRfTUlOX0ZPUkVJR04uMTk5Ni4wNi8wMy8yMDI2AQAAAN62AQACAAAABDMuNjEA9TaN5c173gitQv84znveCENDSVEuTllTRTpJQk0uSVFfUEVOU0lPTl9CUkVBS0RPV05fUENUX09USEVSX0ZPUkVJR04uMTk5Ni4wNi8wMy8yMDI2AQAAAN62AQACAAAABzQ3LjEyMTYA9TaN5c173giKff84znveCEBDSVEuTllTRTpJQk0uSVFfUEVOU0lPTl9SQVRFX0NPTVBfR1JPV1RIX0ZPUkVJR04uMTk5Ni4wNi8wMy8yMDI2AQAAAN62AQACAAAABDQuMTgA9TaN5c173giKff84znveCFZDSVEuTllTRTpJQk0uSVFfUEVOU0lPTl9PQkxJR0FUSU9OX1NVUFBMRV9QTEFOU19UT1RBTF9DT1NUX0RPTS4xOTk2LjA2LzAzLzIwMjYuLi5VU0QuSAEAAADetgEAAwAAAAAAHV6N5c173gh93QM5znveCDpDSVEuTllTRTpJQk0uSVFfT1BFQl9CRU5FRklUX0lORk9fREFURV9ET00uMTk5Ni4wNi8wMy8yMDI2AQAAAN62AQAFAAAACjMxLzEyLzIwMjQA9TaN5c173giKff84znveCEBDSVEuTllTRTpJQk0uSVFfT1BFQl9FU1RfQkVORUZJVF8zWVJfRE9NLjE5OTYuMDYvMDMvMjAyNi4uLlVTRC5I</t>
  </si>
  <si>
    <t>AQAAAN62AQACAAAAAzI0OQD1No3lzXveCMCR/zjOe94IOUNJUS5OWVNFOklCTS5JUV9PUEVCX0JSRUFLRE9XTl9QQ1RfRVFfRE9NLjE5OTYuMDYvMDMvMjAyNgEAAADetgEAAwAAAAAA9TaN5c173gjAkf84znveCE5DSVEuTllTRTpJQk0uSVFfT1BFQl9BU1NFVFNfUEFSVElDSVBfQ09OVFJJQlVUSU9OU19ET00uMTk5Ni4wNi8wMy8yMDI2Li4uVVNELkgBAAAA3rYBAAIAAAACMzMA9TaN5c173gjAkf84znveCDtDSVEuTllTRTpJQk0uSVFfT1BFQl9BU1NFVFNfQkVHX0RPTS4xOTk2LjA2LzAzLzIwMjYuLi5VU0QuSAEAAADetgEAAgAAAAIxMAD1No3lzXveCMCR/zjOe94ITUNJUS5OWVNFOklCTS5JUV9PUEVCX1RPVEFMX0NPU1RfSU5DTF9TVVBQTEVfUExBTlNfRE9NLjE5OTYuMDYvMDMvMjAyNi4uLlVTRC5IAQAAAN62AQADAAAAAAD1No3lzXveCMCR/zjOe94IOUNJUS5OWVNFOklCTS5JUV9QRU5TSU9OX09USEVSX0RPTS4xOTk2LjA2LzAzLzIwMjYuLi5VU0QuSAEAAADetgEAAwAAAAAA9TaN5c173gjAkf84znveCENDSVEuTllTRTpJQk0uSVFfUEVOU0lPTl9FU1RfQkVORUZJVF8xWVJfRE9NLjE5OTYuMDYvMDMvMjAyNi4uLlVTRC5IAQAAAN62AQACAAAABDEyNTcA9TaN5c173gjAkf84znveCERDSVEuTllTRTpJQk0uSVFfUEVOU0lPTl9QQk9fQVNTVU1FRF9SQVRFX1JFVF9NQVhfRE9NLjE5OTYu</t>
  </si>
  <si>
    <t>MDYvMDMvMjAyNgEAAADetgEAAgAAAAM1LjUA9TaN5c173gjAkf84znveCEBDSVEuTllTRTpJQk0uSVFfUEVOU0lPTl9CUkVBS0RPV05fRklfRE9NLjE5OTYuMDYvMDMvMjAyNi4uLlVTRC5IAQAAAN62AQACAAAABTExODg2APU2jeXNe94IwJH/OM573ghDQ0lRLk5ZU0U6SUJNLklRX09QRUJfUkFURV9DT01QX0lOQ1JFQVNFX01BWF9GT1JFSUdOLjE5OTYuMDYvMDMvMjAyNgEAAADetgEAAwAAAAAA9TaN5c173gjAkf84znveCEhDSVEuTllTRTpJQk0uSVFfT1BFQl9JTkNSRUFTRV9FRkZFQ1RfUEJPX0ZPUkVJR04uMTk5Ni4wNi8wMy8yMDI2Li4uVVNELkgBAAAA3rYBAAMAAAAAAPU2jeXNe94IJbn/OM573gg9Q0lRLk5ZU0U6SUJNLklRX09QRUJfQlJFQUtET1dOX1BDVF9SRV9GT1JFSUdOLjE5OTYuMDYvMDMvMjAyNgEAAADetgEAAwAAAAAA9TaN5c173ggluf84znveCFZDSVEuTllTRTpJQk0uSVFfT1BFQl9PQkxJR0FUSU9OX0VNUExPWUVFX0NPTlRSSUJVVElPTlNfRk9SRUlHTi4xOTk2LjA2LzAzLzIwMjYuLi5VU0QuSAEAAADetgEAAwAAAAAA9TaN5c173ggluf84znveCEFDSVEuTllTRTpJQk0uSVFfUEVOU0lPTl9PVEhFUl9BREpfRk9SRUlHTi4xOTk2LjA2LzAzLzIwMjYuLi5VU0QuSAEAAADetgEAAwAAAAAA9TaN5c173gjAkf84znveCD1DSVEuTllTRTpJQk0uSVFfUEVOU0lPTl9PVEhFUl9G</t>
  </si>
  <si>
    <t>T1JFSUdOLjE5OTYuMDYvMDMvMjAyNi4uLlVTRC5IAQAAAN62AQADAAAAAAD1No3lzXveCMCR/zjOe94IQENJUS5OWVNFOklCTS5JUV9QRU5TSU9OX0JSRUFLRE9XTl9QQ1RfRklfRk9SRUlHTi4xOTk2LjA2LzAzLzIwMjYBAAAA3rYBAAIAAAAHNTIuNTk2NwD1No3lzXveCCW5/zjOe94IPkNJUS5OWVNFOklCTS5JUV9QRU5TSU9OX0FTU0VUU19GT1JFSUdOLjE5OTYuMDYvMDMvMjAyNi4uLlVTRC5IAQAAAN62AQACAAAABTI1MjA1APU2jeXNe94IJbn/OM573ghGQ0lRLk5ZU0U6SUJNLklRX1BFTlNJT05fT0JMSUdBVElPTl9BQ1FfRk9SRUlHTi4xOTk2LjA2LzAzLzIwMjYuLi5VU0QuSAEAAADetgEAAwAAAAAA9TaN5c173ggluf84znveCE1DSVEuTllTRTpJQk0uSVFfUEVOU0lPTl9PQkxJR0FUSU9OX09USEVSX0NPU1RfRk9SRUlHTi4xOTk2LjA2LzAzLzIwMjYuLi5VU0QuSAEAAADetgEAAgAAAAM5NTIA9TaN5c173ggluf84znveCDNDSVEuTllTRTpJQk0uSVFfT1BFQl9DTF9ET00uMTk5Ni4wNi8wMy8yMDI2Li4uVVNELkgBAAAA3rYBAAIAAAAELTIxOAD1No3lzXveCCW5/zjOe94IQENJUS5OWVNFOklCTS5JUV9PUEVCX0JSRUFLRE9XTl9PVEhFUl9ET00uMTk5Ni4wNi8wMy8yMDI2Li4uVVNELkgBAAAA3rYBAAMAAAAAAPU2jeXNe94IJbn/OM573ggyQ0lRLk5ZU0U6SUJNLklRX05PTF9DRl8xWVIu</t>
  </si>
  <si>
    <t>MTk5Ni4wNi8wMy8yMDI2Li4uVVNELkgBAAAA3rYBAAMAAAAAAPU2jeXNe94IJbn/OM573gg9Q0lRLk5ZU0U6SUJNLklRX09QRUJfQUNUX05FWFRfRk9SRUlHTi4xOTk2LjA2LzAzLzIwMjYuLi5VU0QuSAEAAADetgEAAwAAAAAA9TaN5c173ggluf84znveCEdDSVEuTllTRTpJQk0uSVFfUEVOU0lPTl9CUkVBS0RPV05fT1RIRVJfRk9SRUlHTi4xOTk2LjA2LzAzLzIwMjYuLi5VU0QuSAEAAADetgEAAgAAAAUxMTg3NwD1No3lzXveCCW5/zjOe94IUUNJUS5OWVNFOklCTS5JUV9PUEVCX0lOQ1JFQVNFX0VGRkVDVF9TRVJWSUNFX0lOVF9DT1NUX0RPTS4xOTk2LjA2LzAzLzIwMjYuLi5VU0QuSAEAAADetgEAAwAAAAAA9TaN5c173ggluf84znveCENDSVEuTllTRTpJQk0uSVFfT1BFQl9QUklPUl9TRVJWSUNFX05FWFRfRE9NLjE5OTYuMDYvMDMvMjAyNi4uLlVTRC5IAQAAAN62AQADAAAAAAD1No3lzXveCDXg/zjOe94IPENJUS5OWVNFOklCTS5JUV9PUEVCX0VYUF9SQVRFX1JFVFVSTl9NSU5fRE9NLjE5OTYuMDYvMDMvMjAyNgEAAADetgEAAwAAAAAA9TaN5c173gg14P84znveCEVDSVEuTllTRTpJQk0uSVFfT1BFQl9BU1NFVFNfQUNUVUFMX1JFVFVSTl9ET00uMTk5Ni4wNi8wMy8yMDI2Li4uVVNELkgBAAAA3rYBAAMAAAAAAPU2jeXNe94INeD/OM573gg/Q0lRLk5ZU0U6SUJNLklRX09QRUJfT0JMSUdB</t>
  </si>
  <si>
    <t>VElPTl9CRUdfRE9NLjE5OTYuMDYvMDMvMjAyNi4uLlVTRC5IAQAAAN62AQACAAAABDIyMzMA9TaN5c173gg14P84znveCDtDSVEuTllTRTpJQk0uSVFfT1BFQl9UT1RBTF9DT1NUX0RPTS4xOTk2LjA2LzAzLzIwMjYuLi5VU0QuSAEAAADetgEAAgAAAAI3OQD1No3lzXveCDXg/zjOe94INkNJUS5OWVNFOklCTS5JUV9QRU5TSU9OX0NMX0RPTS4xOTk2LjA2LzAzLzIwMjYuLi5VU0QuSAEAAADetgEAAgAAAAQtMTE3APU2jeXNe94INeD/OM573gg7Q0lRLk5ZU0U6SUJNLklRX0FVTV9OT05fRkVFX0VBUk5JTkcuMTk5Ni4wNi8wMy8yMDI2Li4uVVNELkgBAAAA3rYBAAMAAAAAAPU2jeXNe94INeD/OM573ghQQ0lRLk5ZU0U6SUJNLklRX1BFTlNJT05fRVNUX0NPTlRSSUJVVElPTlNfTkVYVFlSX0ZPUkVJR04uMTk5Ni4wNi8wMy8yMDI2Li4uVVNELkgBAAAA3rYBAAIAAAADMTAwAPU2jeXNe94INeD/OM573ghIQ0lRLk5ZU0U6SUJNLklRX1BFTlNJT05fUEJPX0FTU1VNRURfUkFURV9SRVRfTUFYX0ZPUkVJR04uMTk5Ni4wNi8wMy8yMDI2AQAAAN62AQACAAAABDMuNjEA9TaN5c173gg14P84znveCD1DSVEuTllTRTpJQk0uSVFfUEVOU0lPTl9ESVNDX1JBVEVfTUlOX0ZPUkVJR04uMTk5Ni4wNi8wMy8yMDI2AQAAAN62AQACAAAABDMuMzcA9TaN5c173gg14P84znveCENDSVEuTllTRTpJQk0uSVFfUEVOU0lP</t>
  </si>
  <si>
    <t>Tl9FWFBfUkFURV9SRVRVUk5fTUFYX0ZPUkVJR04uMTk5Ni4wNi8wMy8yMDI2AQAAAN62AQACAAAABDQuODkA9TaN5c173gg14P84znveCEdDSVEuTllTRTpJQk0uSVFfUEVOU0lPTl9PQkxJR0FUSU9OX1BBSURfRk9SRUlHTi4xOTk2LjA2LzAzLzIwMjYuLi5VU0QuSAEAAADetgEAAgAAAAUtMjA1NwD1No3lzXveCDXg/zjOe94IP0NJUS5OWVNFOklCTS5JUV9PUEVCX0FDQ1VNX09USEVSX0NJX0RPTS4xOTk2LjA2LzAzLzIwMjYuLi5VU0QuSAEAAADetgEAAwAAAAAA9TaN5c173gg14P84znveCD1DSVEuTllTRTpJQk0uSVFfT1BFQl9CUkVBS0RPV05fRklfRE9NLjE5OTYuMDYvMDMvMjAyNi4uLlVTRC5IAQAAAN62AQADAAAAAAD1No3lzXveCDXg/zjOe94IQUNJUS5OWVNFOklCTS5JUV9PUEVCX0lOVEFOX0FTU0VUU19GT1JFSUdOLjE5OTYuMDYvMDMvMjAyNi4uLlVTRC5IAQAAAN62AQADAAAAAAD1No3lzXveCDXg/zjOe94ISkNJUS5OWVNFOklCTS5JUV9PUEVCX0FTU0VUU19PVEhFUl9QTEFOX0FESl9GT1JFSUdOLjE5OTYuMDYvMDMvMjAyNi4uLlVTRC5IAQAAAN62AQADAAAAAAD1No3lzXveCDXg/zjOe94IP0NJUS5OWVNFOklCTS5JUV9PUEVCX0FTU0VUU19CRUdfRk9SRUlHTi4xOTk2LjA2LzAzLzIwMjYuLi5VU0QuSAEAAADetgEAAgAAAAIyMwD1No3lzXveCDXg/zjOe94IQkNJUS5OWVNFOklC</t>
  </si>
  <si>
    <t>TS5JUV9PUEVCX0lOVEVSRVNUX0NPU1RfRk9SRUlHTi4xOTk2LjA2LzAzLzIwMjYuLi5VU0QuSAEAAADetgEAAgAAAAI0MQD1No3lzXveCDXg/zjOe94IQUNJUS5OWVNFOklCTS5JUV9QRU5TSU9OX0xUX0FTU0VUU19GT1JFSUdOLjE5OTYuMDYvMDMvMjAyNi4uLlVTRC5IAQAAAN62AQACAAAABDI4NDIA9TaN5c173gg14P84znveCE5DSVEuTllTRTpJQk0uSVFfT1BFQl9PQkxJR0FUSU9OX09USEVSX1BMQU5fQURKX0ZPUkVJR04uMTk5Ni4wNi8wMy8yMDI2Li4uVVNELkgBAAAA3rYBAAIAAAACLTEA9TaN5c173gg14P84znveCD9DSVEuTllTRTpJQk0uSVFfUEVOU0lPTl9MVF9MSUFCX0ZPUkVJR04uMTk5Ni4wNi8wMy8yMDI2Li4uVVNELkgBAAAA3rYBAAIAAAAFLTU3NjYA9TaN5c173ggwIAA5znveCDxDSVEuTllTRTpJQk0uSVFfT1BFQl9FWFBfUkFURV9SRVRVUk5fTUFYX0RPTS4xOTk2LjA2LzAzLzIwMjYBAAAA3rYBAAMAAAAAAPU2jeXNe94IMCAAOc573ghCQ0lRLk5ZU0U6SUJNLklRX1BFTlNJT05fQU1UX1JFQ09HX05FWFRfRE9NLjE5OTYuMDYvMDMvMjAyNi4uLlVTRC5IAQAAAN62AQADAAAAAAD1No3lzXveCDAgADnOe94IP0NJUS5OWVNFOklCTS5JUV9PUEVCX0VYUF9SRVRVUk5fRk9SRUlHTi4xOTk2LjA2LzAzLzIwMjYuLi5VU0QuSAEAAADetgEAAgAAAAItMQD1No3lzXveCDAgADnOe94I</t>
  </si>
  <si>
    <t>RkNJUS5OWVNFOklCTS5JUV9QRU5TSU9OX0FNVF9SRUNPR19ORVhUX0ZPUkVJR04uMTk5Ni4wNi8wMy8yMDI2Li4uVVNELkgBAAAA3rYBAAMAAAAAAPU2jeXNe94IMCAAOc573ghCQ0lRLk5ZU0U6SUJNLklRX1BFTlNJT05fRVhQX1JFVFVSTl9GT1JFSUdOLjE5OTYuMDYvMDMvMjAyNi4uLlVTRC5IAQAAAN62AQACAAAABDQuODkA9TaN5c173giONAA5znveCEZDSVEuTllTRTpJQk0uSVFfUEVOU0lPTl9PQkxJR0FUSU9OX1JPQV9GT1JFSUdOLjE5OTYuMDYvMDMvMjAyNi4uLlVTRC5IAQAAAN62AQACAAAABS0xNTQ2APU2jeXNe94IjjQAOc573ghEQ0lRLk5ZU0U6SUJNLklRX09QRUJfSU5DUkVBU0VfRUZGRUNUX1BCT19ET00uMTk5Ni4wNi8wMy8yMDI2Li4uVVNELkgBAAAA3rYBAAMAAAAAAPU2jeXNe94IjjQAOc573gg+Q0lRLk5ZU0U6SUJNLklRX09QRUJfQVNTRVRTX0ZYX0FESl9ET00uMTk5Ni4wNi8wMy8yMDI2Li4uVVNELkgBAAAA3rYBAAMAAAAAAPU2jeXNe94IMCAAOc573ghHQ0lRLk5ZU0U6SUJNLklRX09QRUJfT0JMSUdBVElPTl9BQ0NVTVVMQVRFRF9ET00uMTk5Ni4wNi8wMy8yMDI2Li4uVVNELkgBAAAA3rYBAAMAAAAAAPU2jeXNe94IMCAAOc573ghAQ0lRLk5ZU0U6SUJNLklRX09QRUJfT0JMSUdBVElPTl9QQUlEX0RPTS4xOTk2LjA2LzAzLzIwMjYuLi5VU0QuSAEAAADetgEAAgAAAAQt</t>
  </si>
  <si>
    <t>MjM1APU2jeXNe94IUl4AOc573ghAQ0lRLk5ZU0U6SUJNLklRX1BFTlNJT05fUFJFUEFJRF9DT1NUX0RPTS4xOTk2LjA2LzAzLzIwMjYuLi5VU0QuSAEAAADetgEAAwAAAAAA9TaN5c173gg8UQA5znveCEBDSVEuTllTRTpJQk0uSVFfUEVOU0lPTl9CUkVBS0RPV05fRVFfRE9NLjE5OTYuMDYvMDMvMjAyNi4uLlVTRC5IAQAAAN62AQACAAAAAzg0NAD1No3lzXveCI40ADnOe94IQkNJUS5OWVNFOklCTS5JUV9QRU5TSU9OX1JBVEVfQ09NUF9JTkNSRUFTRV9NSU5fRE9NLjE5OTYuMDYvMDMvMjAyNgEAAADetgEAAgAAAAE1APU2jeXNe94IjjQAOc573gg5Q0lRLk5ZU0U6SUJNLklRX1BFTlNJT05fRElTQ19SQVRFX01JTl9ET00uMTk5Ni4wNi8wMy8yMDI2AQAAAN62AQACAAAAATUA9TaN5c173giONAA5znveCEpDSVEuTllTRTpJQk0uSVFfUEVOU0lPTl9PQkxJR0FUSU9OX0NVUlRBSUxfRk9SRUlHTi4xOTk2LjA2LzAzLzIwMjYuLi5VU0QuSAEAAADetgEAAwAAAAAA9TaN5c173ghSXgA5znveCEVDSVEuTllTRTpJQk0uSVFfUEVOU0lPTl9JTlRFUkVTVF9DT1NUX0ZPUkVJR04uMTk5Ni4wNi8wMy8yMDI2Li4uVVNELkgBAAAA3rYBAAIAAAAEMTA3NwD1No3lzXveCFJeADnOe94IQUNJUS5OWVNFOklCTS5JUV9PUEVCX0NJX1BSSU9SX1NFUlZJQ0VfRE9NLjE5OTYuMDYvMDMvMjAyNi4uLlVTRC5IAQAAAN62</t>
  </si>
  <si>
    <t>AQACAAAABC0zMjEA9TaN5c173ghSXgA5znveCE5DSVEuTllTRTpJQk0uSVFfT1BFQl9BU1NFVFNfRU1QTE9ZRVJfQ09OVFJJQlVUSU9OU19ET00uMTk5Ni4wNi8wMy8yMDI2Li4uVVNELkgBAAAA3rYBAAIAAAADMTk0APU2jeXNe94IUl4AOc573ghDQ0lRLk5ZU0U6SUJNLklRX1BFTlNJT05fTkVUX0FTU0VUX1JFQ09HX0RPTS4xOTk2LjA2LzAzLzIwMjYuLi5VU0QuSAEAAADetgEAAgAAAAQzMzczAPU2jeXNe94IUl4AOc573gg8Q0lRLk5ZU0U6SUJNLklRX1BFTlNJT05fQUNUX05FWFRfRE9NLjE5OTYuMDYvMDMvMjAyNi4uLlVTRC5IAQAAAN62AQADAAAAAAD1No3lzXveCByIADnOe94IPUNJUS5OWVNFOklCTS5JUV9QRU5TSU9OX0JFTkVGSVRfSU5GT19EQVRFX0RPTS4xOTk2LjA2LzAzLzIwMjYBAAAA3rYBAAUAAAAKMzEvMTIvMjAyNAD1No3lzXveCByIADnOe94IRENJUS5OWVNFOklCTS5JUV9QRU5TSU9OX0NJX05FVF9BTVRfUkVDT0dfRE9NLjE5OTYuMDYvMDMvMjAyNi4uLlVTRC5IAQAAAN62AQACAAAABDYxNTMA9TaN5c173ggciAA5znveCDxDSVEuTllTRTpJQk0uSVFfUEVOU0lPTl9CUkVBS0RPV05fUENUX1JFX0RPTS4xOTk2LjA2LzAzLzIwMjYBAAAA3rYBAAMAAAAAAPU2jeXNe94IUl4AOc573gg+Q0lRLk5ZU0U6SUJNLklRX1BFTlNJT05fQVNTRVRTX0FDUV9ET00uMTk5Ni4wNi8wMy8y</t>
  </si>
  <si>
    <t>MDI2Li4uVVNELkgBAAAA3rYBAAMAAAAAAPU2jeXNe94IHIgAOc573ghZQ0lRLk5ZU0U6SUJNLklRX1BFTlNJT05fT0JMSUdBVElPTl9FTVBMT1lFRV9DT05UUklCVVRJT05TX0ZPUkVJR04uMTk5Ni4wNi8wMy8yMDI2Li4uVVNELkgBAAAA3rYBAAIAAAACMTcA9TaN5c173ggciAA5znveCEBDSVEuTllTRTpJQk0uSVFfT1BFQl9UUkFOU0lUSU9OX05FWFRfRE9NLjE5OTYuMDYvMDMvMjAyNi4uLlVTRC5IAQAAAN62AQADAAAAAAD1No3lzXveCByIADnOe94IUENJUS5OWVNFOklCTS5JUV9QRU5TSU9OX1FVQVJUX0VNUExPWUVSX0NPTlRSSUJVVElPTlNfRE9NLjE5OTYuMDYvMDMvMjAyNi4uLlVTRC5IAQAAAN62AQADAAAAAAD1No3lzXveCByIADnOe94IPENJUS5OWVNFOklCTS5JUV9QRU5TSU9OX0JSRUFLRE9XTl9QQ1RfRVFfRE9NLjE5OTYuMDYvMDMvMjAyNgEAAADetgEAAgAAAAY0Ljc5NzkA9TaN5c173ggciAA5znveCERDSVEuTllTRTpJQk0uSVFfUEVOU0lPTl9QUkVQQUlEX0NPU1RfRk9SRUlHTi4xOTk2LjA2LzAzLzIwMjYuLi5VU0QuSAEAAADetgEAAwAAAAAA9TaN5c173gjlwgA5znveCERDSVEuTllTRTpJQk0uSVFfUEVOU0lPTl9CUkVBS0RPV05fRklfRk9SRUlHTi4xOTk2LjA2LzAzLzIwMjYuLi5VU0QuSAEAAADetgEAAgAAAAUxMzI1NwD1No3lzXveCByIADnOe94IQ0NJUS5OWVNFOklC</t>
  </si>
  <si>
    <t>TS5JUV9PUEVCX1BCT19SQVRFX0NPTVBfSU5DUkVBU0VfTUlOX0RPTS4xOTk2LjA2LzAzLzIwMjYBAAAA3rYBAAMAAAAAAPU2jeXNe94IHIgAOc573ghAQ0lRLk5ZU0U6SUJNLklRX09QRUJfRVNUX0JFTkVGSVRfMllSX0RPTS4xOTk2LjA2LzAzLzIwMjYuLi5VU0QuSAEAAADetgEAAgAAAAMyMzcA9TaN5c173ggciAA5znveCEZDSVEuTllTRTpJQk0uSVFfUEVOU0lPTl9FU1RfQkVORUZJVF9BRlRFUjVfRE9NLjE5OTYuMDYvMDMvMjAyNi4uLlVTRC5IAQAAAN62AQACAAAABDYxNzgA9TaN5c173ggciAA5znveCEZDSVEuTllTRTpJQk0uSVFfUEVOU0lPTl9QQk9fUkFURV9DT01QX0lOQ1JFQVNFX01BWF9ET00uMTk5Ni4wNi8wMy8yMDI2AQAAAN62AQACAAAAATQA9TaN5c173ggA2QA5znveCEFDSVEuTllTRTpJQk0uSVFfUEVOU0lPTl9CRU5FRklUX0lORk9fREFURV9GT1JFSUdOLjE5OTYuMDYvMDMvMjAyNgEAAADetgEABQAAAAozMS8xMi8yMDI0APU2jeXNe94IANkAOc573gg9Q0lRLk5ZU0U6SUJNLklRX1BFTlNJT05fT1RIRVJfQURKX0RPTS4xOTk2LjA2LzAzLzIwMjYuLi5VU0QuSAEAAADetgEAAwAAAAAA9TaN5c173gjlwgA5znveCDpDSVEuTllTRTpJQk0uSVFfUEVOU0lPTl9DSV9BQ1RfRE9NLjE5OTYuMDYvMDMvMjAyNi4uLlVTRC5IAQAAAN62AQACAAAABDYxNTMA9TaN5c173gjlwgA5znve</t>
  </si>
  <si>
    <t>CD9DSVEuTllTRTpJQk0uSVFfUEVOU0lPTl9FWFBfUkFURV9SRVRVUk5fTUlOX0RPTS4xOTk2LjA2LzAzLzIwMjYBAAAA3rYBAAIAAAAENS4wOAD1No3lzXveCADZADnOe94ISENJUS5OWVNFOklCTS5JUV9QRU5TSU9OX0FTU0VUU19CRU5FRklUU19QQUlEX0RPTS4xOTk2LjA2LzAzLzIwMjYuLi5VU0QuSAEAAADetgEAAgAAAAUtMTQzMgD1No3lzXveCADZADnOe94IQUNJUS5OWVNFOklCTS5JUV9PUEVCX0JSRUFLRE9XTl9GSV9GT1JFSUdOLjE5OTYuMDYvMDMvMjAyNi4uLlVTRC5IAQAAAN62AQADAAAAAAD1No3lzXveCADZADnOe94IR0NJUS5OWVNFOklCTS5JUV9QRU5TSU9OX1RSQU5TSVRJT05fTkVYVF9GT1JFSUdOLjE5OTYuMDYvMDMvMjAyNi4uLlVTRC5IAQAAAN62AQADAAAAAAD1No3lzXveCADZADnOe94IP0NJUS5OWVNFOklCTS5JUV9PUEVCX0FTU0VUU19DVVJUQUlMX0RPTS4xOTk2LjA2LzAzLzIwMjYuLi5VU0QuSAEAAADetgEAAwAAAAAA9TaN5c173ggA2QA5znveCEVDSVEuTllTRTpJQk0uSVFfT1BFQl9BU1NFVFNfQkVORUZJVFNfUEFJRF9ET00uMTk5Ni4wNi8wMy8yMDI2Li4uVVNELkgBAAAA3rYBAAIAAAAELTIzMwD1No3lzXveCEAAATnOe94ISUNJUS5OWVNFOklCTS5JUV9PUEVCX09CTElHQVRJT05fSU5URVJFU1RfQ09TVF9ET00uMTk5Ni4wNi8wMy8yMDI2Li4uVVNELkgBAAAA</t>
  </si>
  <si>
    <t>3rYBAAIAAAADMTA2APU2jeXNe94IANkAOc573ghKQ0lRLk5ZU0U6SUJNLklRX1BFTlNJT05fVU5GVU5ERURfQURETF9NSU5fTElBQl9ET00uMTk5Ni4wNi8wMy8yMDI2Li4uVVNELkgBAAAA3rYBAAMAAAAAAPU2jeXNe94IANkAOc573ghIQ0lRLk5ZU0U6SUJNLklRX1BFTlNJT05fQ0lfUFJJT1JfU0VSVklDRV9GT1JFSUdOLjE5OTYuMDYvMDMvMjAyNi4uLlVTRC5IAQAAAN62AQACAAAAAzM0MgD1No3lzXveCADZADnOe94IQkNJUS5OWVNFOklCTS5JUV9PUEVCX0NJX09USEVSX01JU0NfQURKX0RPTS4xOTk2LjA2LzAzLzIwMjYuLi5VU0QuSAEAAADetgEAAwAAAAAA9TaN5c173ggA2QA5znveCEFDSVEuTllTRTpJQk0uSVFfUEVOU0lPTl9SQVRFX0NPTVBfR1JPV1RIX0RPTUVTVElDLjE5OTYuMDYvMDMvMjAyNgEAAADetgEAAgAAAAE1APU2jeXNe94IQAABOc573ghIQ0lRLk5ZU0U6SUJNLklRX1BFTlNJT05fT0JMSUdBVElPTl9QUk9KRUNURURfRE9NLjE5OTYuMDYvMDMvMjAyNi4uLlVTRC5IAQAAAN62AQACAAAABTE0MjE5APU2jeXNe94IQAABOc573ghJQ0lRLk5ZU0U6SUJNLklRX1BFTlNJT05fT0JMSUdBVElPTl9UT1RBTF9DT1NUX0RPTS4xOTk2LjA2LzAzLzIwMjYuLi5VU0QuSAEAAADetgEAAgAAAAQzMjY1APU2jeXNe94IQAABOc573ghBQ0lRLk5ZU0U6SUJNLklRX1BFTlNJT05fSU5URVJF</t>
  </si>
  <si>
    <t>U1RfQ09TVF9ET00uMTk5Ni4wNi8wMy8yMDI2Li4uVVNELkgBAAAA3rYBAAIAAAADOTExAPU2jeXNe94IQAABOc573gg2Q0lRLk5ZU0U6SUJNLklRX09QRUJfTFRfQVNTRVRTLjE5OTYuMDYvMDMvMjAyNi4uLlVTRC5IAQAAAN62AQADAAAAAAD1No3lzXveCEAAATnOe94IPUNJUS5OWVNFOklCTS5JUV9QRU5TSU9OX0RJU0NfUkFURV9NQVhfRk9SRUlHTi4xOTk2LjA2LzAzLzIwMjYBAAAA3rYBAAIAAAAEMy4zNwD1No3lzXveCEAAATnOe94ITkNJUS5OWVNFOklCTS5JUV9QRU5TSU9OX0FDQ1VNVUxBVEVEX09CTElHQVRJT05fRk9SRUlHTi4xOTk2LjA2LzAzLzIwMjYuLi5VU0QuSAEAAADetgEAAgAAAAUyODE4NwD1No3lzXveCEAAATnOe94ITUNJUS5OWVNFOklCTS5JUV9QRU5TSU9OX09CTElHQVRJT05fVE9UQUxfQ09TVF9GT1JFSUdOLjE5OTYuMDYvMDMvMjAyNi4uLlVTRC5IAQAAAN62AQACAAAAAzY1MgD1No3lzXveCEAAATnOe94IQ0NJUS5OWVNFOklCTS5JUV9PUEVCX0VTVF9CRU5FRklUX0FGVEVSNV9ET00uMTk5Ni4wNi8wMy8yMDI2Li4uVVNELkgBAAAA3rYBAAIAAAAEMTA5MAD1No3lzXveCEAAATnOe94IQENJUS5OWVNFOklCTS5JUV9QRU5TSU9OX0FDVF9ORVhUX0ZPUkVJR04uMTk5Ni4wNi8wMy8yMDI2Li4uVVNELkgBAAAA3rYBAAMAAAAAAPU2jeXNe94IQAABOc573gg+Q0lRLk5ZU0U6</t>
  </si>
  <si>
    <t>SUJNLklRX1BFTlNJT05fQ0lfQUNUX0ZPUkVJR04uMTk5Ni4wNi8wMy8yMDI2Li4uVVNELkgBAAAA3rYBAAIAAAAFMTE5NTAA9TaN5c173ghXJwE5znveCE1DSVEuTllTRTpJQk0uSVFfUEVOU0lPTl9BU1NFVFNfT1RIRVJfUExBTl9BREpfRk9SRUlHTi4xOTk2LjA2LzAzLzIwMjYuLi5VU0QuSAEAAADetgEAAgAAAAUtMTI3MwD1No3lzXveCFcnATnOe94ISkNJUS5OWVNFOklCTS5JUV9QRU5TSU9OX1BSSU9SX1NFUlZJQ0VfTkVYVF9GT1JFSUdOLjE5OTYuMDYvMDMvMjAyNi4uLlVTRC5IAQAAAN62AQADAAAAAAD1No3lzXveCFcnATnOe94IVUNJUS5OWVNFOklCTS5JUV9QRU5TSU9OX0FTU0VUU19QQVJUSUNJUF9DT05UUklCVVRJT05TX0ZPUkVJR04uMTk5Ni4wNi8wMy8yMDI2Li4uVVNELkgBAAAA3rYBAAIAAAACMTcA9TaN5c173ghXJwE5znveCEBDSVEuTllTRTpJQk0uSVFfT1BFQl9FU1RfQkVORUZJVF81WVJfRE9NLjE5OTYuMDYvMDMvMjAyNi4uLlVTRC5IAQAAAN62AQACAAAAAzI0NgD1No3lzXveCEAAATnOe94IQ0NJUS5OWVNFOklCTS5JUV9PUEVCX09CTElHQVRJT05fQkVHX0ZPUkVJR04uMTk5Ni4wNi8wMy8yMDI2Li4uVVNELkgBAAAA3rYBAAIAAAADNTg2APU2jeXNe94IgGIBOc573ghGQ0lRLk5ZU0U6SUJNLklRX1BFTlNJT05fQVNTRVRTX0NVUlRBSUxfRk9SRUlHTi4xOTk2LjA2LzAz</t>
  </si>
  <si>
    <t>LzIwMjYuLi5VU0QuSAEAAADetgEAAwAAAAAA9TaN5c173gg2OwE5znveCFFDSVEuTllTRTpJQk0uSVFfT1BFQl9ERUNSRUFTRV9FRkZFQ1RfU0VSVklDRV9JTlRfQ09TVF9ET00uMTk5Ni4wNi8wMy8yMDI2Li4uVVNELkgBAAAA3rYBAAMAAAAAAPU2jeXNe94INjsBOc573gg9Q0lRLk5ZU0U6SUJNLklRX09QRUJfSU5UQU5fQVNTRVRTX0RPTS4xOTk2LjA2LzAzLzIwMjYuLi5VU0QuSAEAAADetgEAAwAAAAAA9TaN5c173gg2OwE5znveCFVDSVEuTllTRTpJQk0uSVFfUEVOU0lPTl9BU1NFVFNfRU1QTE9ZRVJfQ09OVFJJQlVUSU9OU19GT1JFSUdOLjE5OTYuMDYvMDMvMjAyNi4uLlVTRC5IAQAAAN62AQACAAAAAjY3APU2jeXNe94INjsBOc573gg8Q0lRLk5ZU0U6SUJNLklRX09QRUJfQlJFQUtET1dOX1BDVF9PVEhFUl9ET00uMTk5Ni4wNi8wMy8yMDI2AQAAAN62AQADAAAAAAD1No3lzXveCIBiATnOe94IUUNJUS5OWVNFOklCTS5JUV9QRU5TSU9OX09CTElHQVRJT05fT1RIRVJfUExBTl9BREpfRk9SRUlHTi4xOTk2LjA2LzAzLzIwMjYuLi5VU0QuSAEAAADetgEAAgAAAAUtMTI3MAD1No3lzXveCIBiATnOe94IOkNJUS5OWVNFOklCTS5JUV9PUEVCX09USEVSX0FESl9ET00uMTk5Ni4wNi8wMy8yMDI2Li4uVVNELkgBAAAA3rYBAAMAAAAAAPU2jeXNe94IgGIBOc573ghCQ0lRLk5ZU0U6SUJNLklRX09Q</t>
  </si>
  <si>
    <t>RUJfT0JMSUdBVElPTl9GWF9BREpfRE9NLjE5OTYuMDYvMDMvMjAyNi4uLlVTRC5IAQAAAN62AQADAAAAAAD1No3lzXveCIBiATnOe94IO0NJUS5OWVNFOklCTS5JUV9PUEVCX0VYUF9SRVRVUk5fRE9NLjE5OTYuMDYvMDMvMjAyNi4uLlVTRC5IAQAAAN62AQADAAAAAAD1No3lzXveCIBiATnOe94IO0NJUS5OWVNFOklCTS5JUV9QRU5TSU9OX0xUX0xJQUJfRE9NLjE5OTYuMDYvMDMvMjAyNi4uLlVTRC5IAQAAAN62AQACAAAABS0xMTYwAPU2jeXNe94IgGIBOc573gg/Q0lRLk5ZU0U6SUJNLklRX09QRUJfQVNTRVRTX0FDUV9GT1JFSUdOLjE5OTYuMDYvMDMvMjAyNi4uLlVTRC5IAQAAAN62AQADAAAAAAD1No3lzXveCIBiATnOe94IR0NJUS5OWVNFOklCTS5JUV9QRU5TSU9OX0VTVF9CRU5FRklUXzNZUl9GT1JFSUdOLjE5OTYuMDYvMDMvMjAyNi4uLlVTRC5IAQAAAN62AQACAAAABDE5NzAA9TaN5c173giAYgE5znveCD1DSVEuTllTRTpJQk0uSVFfT1BFQl9BQ0NSVUVEX0xJQUJfRE9NLjE5OTYuMDYvMDMvMjAyNi4uLlVTRC5IAQAAAN62AQADAAAAAAD1No3lzXveCIBiATnOe94IP0NJUS5OWVNFOklCTS5JUV9PUEVCX1JBVEVfQ09NUF9JTkNSRUFTRV9NSU5fRE9NLjE5OTYuMDYvMDMvMjAyNgEAAADetgEAAwAAAAAA9TaN5c173giAYgE5znveCFJDSVEuTllTRTpJQk0uSVFfT1BFQl9PQkxJR0FUSU9O</t>
  </si>
  <si>
    <t>X0VNUExPWUVFX0NPTlRSSUJVVElPTlNfRE9NLjE5OTYuMDYvMDMvMjAyNi4uLlVTRC5IAQAAAN62AQACAAAAAjMzAPU2jeXNe94IgGIBOc573ghMQ0lRLk5ZU0U6SUJNLklRX1BFTlNJT05fRVNUX0NPTlRSSUJVVElPTlNfTkVYVFlSX0RPTS4xOTk2LjA2LzAzLzIwMjYuLi5VU0QuSAEAAADetgEAAwAAAAAA9TaN5c173giAYgE5znveCEZDSVEuTllTRTpJQk0uSVFfUEVOU0lPTl9QUklPUl9TRVJWSUNFX05FWFRfRE9NLjE5OTYuMDYvMDMvMjAyNi4uLlVTRC5IAQAAAN62AQADAAAAAAD1No3lzXveCIBiATnOe94IP0NJUS5OWVNFOklCTS5JUV9PUEVCX1RPVEFMX0NPU1RfRk9SRUlHTi4xOTk2LjA2LzAzLzIwMjYuLi5VU0QuSAEAAADetgEAAgAAAAI0MQD1No3lzXveCIBiATnOe94IRENJUS5OWVNFOklCTS5JUV9QRU5TSU9OX0lOVEFOX0FTU0VUU19GT1JFSUdOLjE5OTYuMDYvMDMvMjAyNi4uLlVTRC5IAQAAAN62AQADAAAAAAD1No3lzXveCIBiATnOe94IRkNJUS5OWVNFOklCTS5JUV9QRU5TSU9OX1JBVEVfQ09NUF9JTkNSRUFTRV9NQVhfRk9SRUlHTi4xOTk2LjA2LzAzLzIwMjYBAAAA3rYBAAIAAAAENC4xOAD1No3lzXveCGGbATnOe94IRkNJUS5OWVNFOklCTS5JUV9PUEVCX0FTU0VUU19PVEhFUl9QTEFOX0FESl9ET00uMTk5Ni4wNi8wMy8yMDI2Li4uVVNELkgBAAAA3rYBAAIAAAABMgD1No3l</t>
  </si>
  <si>
    <t>zXveCGGbATnOe94IQ0NJUS5OWVNFOklCTS5JUV9QRU5TSU9OX0VTVF9CRU5FRklUXzNZUl9ET00uMTk5Ni4wNi8wMy8yMDI2Li4uVVNELkgBAAAA3rYBAAIAAAAEMTMzMAD1No3lzXveCGGbATnOe94IPkNJUS5OWVNFOklCTS5JUV9QRU5TSU9OX0RJU0NPVU5UX1JBVEVfRE9NRVNUSUMuMTk5Ni4wNi8wMy8yMDI2AQAAAN62AQACAAAAAzUuNQD1No3lzXveCGGbATnOe94ISENJUS5OWVNFOklCTS5JUV9QRU5TSU9OX0FTU0VUU19BQ1RVQUxfUkVUVVJOX0RPTS4xOTk2LjA2LzAzLzIwMjYuLi5VU0QuSAEAAADetgEAAgAAAAM3NjQA9TaN5c173giAYgE5znveCF9DSVEuTllTRTpJQk0uSVFfUEVOU0lPTl9PQkxJR0FUSU9OX1RPVEFMX0NPU1RfSU5DTF9TVVBQTEVfUExBTlNfRk9SRUlHTi4xOTk2LjA2LzAzLzIwMjYuLi5VU0QuSAEAAADetgEAAwAAAAAA9TaN5c173ghJrwE5znveCENDSVEuTllTRTpJQk0uSVFfT1BFQl9QQk9fUkFURV9DT01QX0lOQ1JFQVNFX01BWF9ET00uMTk5Ni4wNi8wMy8yMDI2AQAAAN62AQADAAAAAAD1No3lzXveCEmvATnOe94IOUNJUS5OWVNFOklCTS5JUV9PUEVCX0JSRUFLRE9XTl9QQ1RfUkVfRE9NLjE5OTYuMDYvMDMvMjAyNgEAAADetgEAAwAAAAAA9TaN5c173ghJrwE5znveCEJDSVEuTllTRTpJQk0uSVFfUEVOU0lPTl9BQ0NVTV9PVEhFUl9DSV9ET00uMTk5Ni4wNi8w</t>
  </si>
  <si>
    <t>My8yMDI2Li4uVVNELkgBAAAA3rYBAAMAAAAAAPU2jeXNe94IYZsBOc573ghDQ0lRLk5ZU0U6SUJNLklRX1BFTlNJT05fRVNUX0JFTkVGSVRfNVlSX0RPTS4xOTk2LjA2LzAzLzIwMjYuLi5VU0QuSAEAAADetgEAAgAAAAQxMjk3APU2jeXNe94IYZsBOc573gg8Q0lRLk5ZU0U6SUJNLklRX09QRUJfVFJBTlNJVElPTl9ORVhULjE5OTYuMDYvMDMvMjAyNi4uLlVTRC5IAQAAAN62AQADAAAAAAD1No3lzXveCMvDATnOe94INUNJUS5OWVNFOklCTS5JUV9PUEVCX0JSRUFLRE9XTl9QQ1RfUkUuMTk5Ni4wNi8wMy8yMDI2AQAAAN62AQADAAAAAAD1No3lzXveCEmvATnOe94IN0NJUS5OWVNFOklCTS5JUV9QT1NUX1JFVElSRV9FWFAuMTk5Ni4wNi8wMy8yMDI2Li4uVVNELkgBAAAA3rYBAAIAAAADMTIwAPU2jeXNe94ISa8BOc573ghDQ0lRLk5ZU0U6SUJNLklRX1BFTlNJT05fVFJBTlNJVElPTl9ORVhUX0RPTS4xOTk2LjA2LzAzLzIwMjYuLi5VU0QuSAEAAADetgEAAwAAAAAA9TaN5c173ghJrwE5znveCEJDSVEuTllTRTpJQk0uSVFfUEVOU0lPTl9PQkxJR0FUSU9OX0FDUV9ET00uMTk5Ni4wNi8wMy8yMDI2Li4uVVNELkgBAAAA3rYBAAMAAAAAAPU2jeXNe94ISa8BOc573ghMQ0lRLk5ZU0U6SUJNLklRX1BFTlNJT05fT0JMSUdBVElPTl9JTlRFUkVTVF9DT1NUX0RPTS4xOTk2LjA2LzAzLzIwMjYuLi5VU0Qu</t>
  </si>
  <si>
    <t>SAEAAADetgEAAgAAAAM5MTEA9TaN5c173gjLwwE5znveCDJDSVEuTllTRTpJQk0uSVFfT1BFQl9PVEhFUi4xOTk2LjA2LzAzLzIwMjYuLi5VU0QuSAEAAADetgEAAwAAAAAA9TaN5c173gjLwwE5znveCDxDSVEuTllTRTpJQk0uSVFfT1BFQl9FU1RfQkVORUZJVF81WVIuMTk5Ni4wNi8wMy8yMDI2Li4uVVNELkgBAAAA3rYBAAIAAAADMjkzAPU2jeXNe94Iy8MBOc573ghBQ0lRLk5ZU0U6SUJNLklRX09QRUJfQVNTRVRTX0JFTkVGSVRTX1BBSUQuMTk5Ni4wNi8wMy8yMDI2Li4uVVNELkgBAAAA3rYBAAIAAAAELTIzNwD1No3lzXveCMvDATnOe94IPENJUS5OWVNFOklCTS5JUV9PUEVCX09CTElHQVRJT05fUEFJRC4xOTk2LjA2LzAzLzIwMjYuLi5VU0QuSAEAAADetgEAAgAAAAQtMjcxAPU2jeXNe94Iy8MBOc573ghMQ0lRLk5ZU0U6SUJNLklRX1BFTlNJT05fUVVBUlRfRU1QTE9ZRVJfQ09OVFJJQlVUSU9OUy4xOTk2LjA2LzAzLzIwMjYuLi5VU0QuSAEAAADetgEAAwAAAAAA9TaN5c173gjLwwE5znveCD9DSVEuTllTRTpJQk0uSVFfUEVOU0lPTl9ORVRfQVNTRVRfUkVDT0cuMTk5Ni4wNi8wMy8yMDI2Li4uVVNELkgBAAAA3rYBAAIAAAACODcA9TaN5c173gjLwwE5znveCD9DSVEuTllTRTpJQk0uSVFfUEVOU0lPTl9FU1RfQkVORUZJVF80WVIuMTk5Ni4wNi8wMy8yMDI2Li4uVVNELkgBAAAA3rYBAAIA</t>
  </si>
  <si>
    <t>AAAEMzI0MwD1No3lzXveCMvDATnOe94IQUNJUS5OWVNFOklCTS5JUV9QRU5TSU9OX0NJX09USEVSX01JU0NfQURKLjE5OTYuMDYvMDMvMjAyNi4uLlVTRC5IAQAAAN62AQADAAAAAAD1No3lzXveCMvDATnOe94IO0NJUS5OWVNFOklCTS5JUV9QRU5TSU9OX0VYUF9SQVRFX1JFVFVSTl9NSU4uMTk5Ni4wNi8wMy8yMDI2AQAAAN62AQADAAAAAAD1No3lzXveCMvDATnOe94IRENJUS5OWVNFOklCTS5JUV9QRU5TSU9OX0FTU0VUU19BQ1RVQUxfUkVUVVJOLjE5OTYuMDYvMDMvMjAyNi4uLlVTRC5IAQAAAN62AQACAAAABDEyNjMA9TaN5c173ghq6wE5znveCERDSVEuTllTRTpJQk0uSVFfUEVOU0lPTl9PQkxJR0FUSU9OX1BST0pFQ1RFRC4xOTk2LjA2LzAzLzIwMjYuLi5VU0QuSAEAAADetgEAAgAAAAU0MjcwOQD1No3lzXveCGrrATnOe94IUkNJUS5OWVNFOklCTS5JUV9QRU5TSU9OX09CTElHQVRJT05fU1VQUExFX1BMQU5TX1RPVEFMX0NPU1QuMTk5Ni4wNi8wMy8yMDI2Li4uVVNELkgBAAAA3rYBAAMAAAAAAPU2jeXNe94IausBOc573gg7Q0lRLk5ZU0U6SUJNLklRX0lOVEVSQ09NUEFOWV9OT05fQ0wuMTk5Ni4wNi8wMy8yMDI2Li4uVVNELkgBAAAA3rYBAAMAAAAAAPU2jeXNe94IausBOc573ghPQ0lRLk5ZU0U6SUJNLklRX09QRUJfT0JMSUdBVElPTl9BQ1RVQVJJQUxfR0FJTl9MT1NTX0RPTS4xOTk2</t>
  </si>
  <si>
    <t>LjA2LzAzLzIwMjYuLi5VU0QuSAEAAADetgEAAgAAAAMxMTYA9TaN5c173gjLwwE5znveCEZDSVEuTllTRTpJQk0uSVFfUEVOU0lPTl9QQk9fUkFURV9DT01QX0lOQ1JFQVNFX01JTl9ET00uMTk5Ni4wNi8wMy8yMDI2AQAAAN62AQACAAAAATQA9TaN5c173ghs/wE5znveCD9DSVEuTllTRTpJQk0uSVFfUEVOU0lPTl9FWFBfUkFURV9SRVRVUk5fTUFYX0RPTS4xOTk2LjA2LzAzLzIwMjYBAAAA3rYBAAIAAAAENS4wOAD1No3lzXveCGz/ATnOe94IQENJUS5OWVNFOklCTS5JUV9QRU5TSU9OX1NFUlZJQ0VfQ09TVF9ET00uMTk5Ni4wNi8wMy8yMDI2Li4uVVNELkgBAAAA3rYBAAIAAAADMzk0APU2jeXNe94IbP8BOc573ggvQ0lRLk5ZU0U6SUJNLklRX09QRUJfQ0wuMTk5Ni4wNi8wMy8yMDI2Li4uVVNELkgBAAAA3rYBAAIAAAAELTIzOAD1No3lzXveCGrrATnOe94IP0NJUS5OWVNFOklCTS5JUV9PUEVCX1BSSU9SX1NFUlZJQ0VfTkVYVC4xOTk2LjA2LzAzLzIwMjYuLi5VU0QuSAEAAADetgEAAwAAAAAA9TaN5c173ghq6wE5znveCDlDSVEuTllTRTpJQk0uSVFfT1BFQl9CUkVBS0RPV05fRkkuMTk5Ni4wNi8wMy8yMDI2Li4uVVNELkgBAAAA3rYBAAMAAAAAAPU2jeXNe94IbP8BOc573ggyQ0lRLk5ZU0U6SUJNLklRX09QRUJfRElTQ19SQVRFX01JTi4xOTk2LjA2LzAzLzIwMjYBAAAA3rYBAAMAAAAAAPU2</t>
  </si>
  <si>
    <t>jeXNe94IbP8BOc573ghDQ0lRLk5ZU0U6SUJNLklRX1BFTlNJT05fRVNUX0JFTkVGSVRfNFlSX0RPTS4xOTk2LjA2LzAzLzIwMjYuLi5VU0QuSAEAAADetgEAAgAAAAQxMzE2APU2jeXNe94IbP8BOc573ghEQ0lRLk5ZU0U6SUJNLklRX1BFTlNJT05fQ0lfUFJJT1JfU0VSVklDRV9ET00uMTk5Ni4wNi8wMy8yMDI2Li4uVVNELkgBAAAA3rYBAAMAAAAAAPU2jeXNe94IbP8BOc573ghCQ0lRLk5ZU0U6SUJNLklRX1BFTlNJT05fT0JMSUdBVElPTl9ST0FfRE9NLjE5OTYuMDYvMDMvMjAyNi4uLlVTRC5IAQAAAN62AQACAAAABS0xMjUzAPU2jeXNe94IbP8BOc573ghNQ0lRLk5ZU0U6SUJNLklRX09QRUJfSU5DUkVBU0VfRUZGRUNUX1NFUlZJQ0VfSU5UX0NPU1QuMTk5Ni4wNi8wMy8yMDI2Li4uVVNELkgBAAAA3rYBAAMAAAAAAPU2jeXNe94InyYCOc573gg2Q0lRLk5ZU0U6SUJNLklRX09QRUJfT1RIRVJfQURKLjE5OTYuMDYvMDMvMjAyNi4uLlVTRC5IAQAAAN62AQADAAAAAAD1No3lzXveCGz/ATnOe94IPENJUS5OWVNFOklCTS5JUV9PUEVCX0VTVF9CRU5FRklUXzNZUi4xOTk2LjA2LzAzLzIwMjYuLi5VU0QuSAEAAADetgEAAgAAAAMyOTQA9TaN5c173ghs/wE5znveCD5DSVEuTllTRTpJQk0uSVFfT1BFQl9DSV9PVEhFUl9NSVNDX0FESi4xOTk2LjA2LzAzLzIwMjYuLi5VU0QuSAEAAADetgEAAwAAAAAA</t>
  </si>
  <si>
    <t>9TaN5c173ghs/wE5znveCD9DSVEuTllTRTpJQk0uSVFfT1BFQl9PQkxJR0FUSU9OX0NVUlRBSUwuMTk5Ni4wNi8wMy8yMDI2Li4uVVNELkgBAAAA3rYBAAMAAAAAAPU2jeXNe94IbP8BOc573ghDQ0lRLk5ZU0U6SUJNLklRX1BFTlNJT05fRVhQX1JFVFVSTl9ET01FU1RJQy4xOTk2LjA2LzAzLzIwMjYuLi5VU0QuSAEAAADetgEAAgAAAAQ1LjA4APU2jeXNe94InyYCOc573ghCQ0lRLk5ZU0U6SUJNLklRX1BFTlNJT05fQVNTRVRTX0NVUlRBSUxfRE9NLjE5OTYuMDYvMDMvMjAyNi4uLlVTRC5IAQAAAN62AQADAAAAAAD1No3lzXveCJ8mAjnOe94ITUNJUS5OWVNFOklCTS5JUV9PUEVCX0RFQ1JFQVNFX0VGRkVDVF9TRVJWSUNFX0lOVF9DT1NULjE5OTYuMDYvMDMvMjAyNi4uLlVTRC5IAQAAAN62AQADAAAAAAD1No3lzXveCJ8mAjnOe94IPENJUS5OWVNFOklCTS5JUV9PUEVCX0VTVF9CRU5FRklUXzFZUi4xOTk2LjA2LzAzLzIwMjYuLi5VU0QuSAEAAADetgEAAgAAAAMyNzIA9TaN5c173gifJgI5znveCEpDSVEuTllTRTpJQk0uSVFfT1BFQl9BU1NFVFNfRU1QTE9ZRVJfQ09OVFJJQlVUSU9OUy4xOTk2LjA2LzAzLzIwMjYuLi5VU0QuSAEAAADetgEAAgAAAAMxOTQA9TaN5c173gifJgI5znveCD5DSVEuTllTRTpJQk0uSVFfUEVOU0lPTl9BU1NFVFNfQkVHX0RPTS4xOTk2LjA2LzAzLzIwMjYuLi5VU0Qu</t>
  </si>
  <si>
    <t>SAEAAADetgEAAgAAAAUyNDQzNwD1No3lzXveCJ9NAjnOe94IOENJUS5OWVNFOklCTS5JUV9PUEVCX0JSRUFLRE9XTl9QQ1RfT1RIRVIuMTk5Ni4wNi8wMy8yMDI2AQAAAN62AQADAAAAAAD1No3lzXveCJ9NAjnOe94IQkNJUS5OWVNFOklCTS5JUV9PUEVCX0FTU0VUU19PVEhFUl9QTEFOX0FESi4xOTk2LjA2LzAzLzIwMjYuLi5VU0QuSAEAAADetgEAAgAAAAEyAPU2jeXNe94In00COc573gg+Q0lRLk5ZU0U6SUJNLklRX09QRUJfT0JMSUdBVElPTl9GWF9BREouMTk5Ni4wNi8wMy8yMDI2Li4uVVNELkgBAAAA3rYBAAIAAAADLTg1APU2jeXNe94In00COc573gg3Q0lRLk5ZU0U6SUJNLklRX09QRUJfRVhQX1JFVFVSTi4xOTk2LjA2LzAzLzIwMjYuLi5VU0QuSAEAAADetgEAAgAAAAItMQD1No3lzXveCJ8mAjnOe94IN0NJUS5OWVNFOklCTS5JUV9QRU5TSU9OX1VWX0xJQUIuMTk5Ni4wNi8wMy8yMDI2Li4uVVNELkgBAAAA3rYBAAMAAAAAAPU2jeXNe94Ik3wCOc573gg/Q0lRLk5ZU0U6SUJNLklRX1BFTlNJT05fRVNUX0JFTkVGSVRfNVlSLjE5OTYuMDYvMDMvMjAyNi4uLlVTRC5IAQAAAN62AQACAAAABDMyMjAA9TaN5c173giTfAI5znveCD9DSVEuTllTRTpJQk0uSVFfUEVOU0lPTl9FU1RfQkVORUZJVF8yWVIuMTk5Ni4wNi8wMy8yMDI2Li4uVVNELkgBAAAA3rYBAAIAAAAEMzI4MQD1No3lzXveCJ9N</t>
  </si>
  <si>
    <t>AjnOe94IQENJUS5OWVNFOklCTS5JUV9QRU5TSU9OX0NJX1BSSU9SX1NFUlZJQ0UuMTk5Ni4wNi8wMy8yMDI2Li4uVVNELkgBAAAA3rYBAAIAAAADMzQyAPU2jeXNe94In00COc573gg+Q0lRLk5ZU0U6SUJNLklRX1BFTlNJT05fUkFURV9DT01QX0lOQ1JFQVNFX01JTi4xOTk2LjA2LzAzLzIwMjYBAAAA3rYBAAMAAAAAAPU2jeXNe94In00COc573gg4Q0lRLk5ZU0U6SUJNLklRX09QRUJfTFRfTElBQl9ET00uMTk5Ni4wNi8wMy8yMDI2Li4uVVNELkgBAAAA3rYBAAIAAAAFLTIwMzMAHV6N5c173giTfAI5znveCFFDSVEuTllTRTpJQk0uSVFfUEVOU0lPTl9BU1NFVFNfUEFSVElDSVBfQ09OVFJJQlVUSU9OU19ET00uMTk5Ni4wNi8wMy8yMDI2Li4uVVNELkgBAAAA3rYBAAMAAAAAAB1ejeXNe94Ik3wCOc573gg/Q0lRLk5ZU0U6SUJNLklRX09QRUJfUEJPX1JBVEVfQ09NUF9JTkNSRUFTRV9NSU4uMTk5Ni4wNi8wMy8yMDI2AQAAAN62AQADAAAAAAAdXo3lzXveCJN8AjnOe94IPUNJUS5OWVNFOklCTS5JUV9PUEVCX0NJX1BSSU9SX1NFUlZJQ0UuMTk5Ni4wNi8wMy8yMDI2Li4uVVNELkgBAAAA3rYBAAIAAAAELTMyMgAdXo3lzXveCJN8AjnOe94IOUNJUS5OWVNFOklCTS5JUV9QRU5TSU9OX0RJU0NfUkFURV9NQVhfRE9NLjE5OTYuMDYvMDMvMjAyNgEAAADetgEAAgAAAAE1AB1ejeXNe94Ik3wCOc573gg9</t>
  </si>
  <si>
    <t>Q0lRLk5ZU0U6SUJNLklRX09QRUJfUEJPX0FTU1VNRURfUkFURV9SRVRfTUlOLjE5OTYuMDYvMDMvMjAyNgEAAADetgEAAwAAAAAAHV6N5c173gg3pAI5znveCDJDSVEuTllTRTpJQk0uSVFfT1BFQl9ESVNDX1JBVEVfTUFYLjE5OTYuMDYvMDMvMjAyNgEAAADetgEAAwAAAAAAHV6N5c173gg3pAI5znveCDdDSVEuTllTRTpJQk0uSVFfT1BFQl9BU1NFVFNfQkVHLjE5OTYuMDYvMDMvMjAyNi4uLlVTRC5IAQAAAN62AQACAAAAAjMzAB1ejeXNe94IN6QCOc573ghEQ0lRLk5ZU0U6SUJNLklRX09QRUJfU1VQUExFX1BMQU5TX1RPVEFMX0NPU1QuMTk5Ni4wNi8wMy8yMDI2Li4uVVNELkgBAAAA3rYBAAMAAAAAAB1ejeXNe94IN6QCOc573ghGQ0lRLk5ZU0U6SUJNLklRX1BFTlNJT05fVU5GVU5ERURfQURETF9NSU5fTElBQi4xOTk2LjA2LzAzLzIwMjYuLi5VU0QuSAEAAADetgEAAwAAAAAAHV6N5c173gg3pAI5znveCDxDSVEuTllTRTpJQk0uSVFfUEVOU0lPTl9JTlRBTl9BU1NFVFMuMTk5Ni4wNi8wMy8yMDI2Li4uVVNELkgBAAAA3rYBAAMAAAAAAB1ejeXNe94I/soCOc573ghAQ0lRLk5ZU0U6SUJNLklRX1BFTlNJT05fQU1UX1JFQ09HX1BFUklPRC4xOTk2LjA2LzAzLzIwMjYuLi5VU0QuSAEAAADetgEAAwAAAAAAHV6N5c173gj+ygI5znveCDtDSVEuTllTRTpJQk0uSVFfUEVOU0lPTl9CUkVBS0RPV05f</t>
  </si>
  <si>
    <t>UENUX09USEVSLjE5OTYuMDYvMDMvMjAyNgEAAADetgEAAgAAAAczOS4xMDg3AB1ejeXNe94IN6QCOc573gg6Q0lRLk5ZU0U6SUJNLklRX1BFTlNJT05fQVNTRVRTX0FDUS4xOTk2LjA2LzAzLzIwMjYuLi5VU0QuSAEAAADetgEAAwAAAAAAHV6N5c173gg3pAI5znveCE1DSVEuTllTRTpJQk0uSVFfUEVOU0lPTl9BU1NFVFNfUEFSVElDSVBfQ09OVFJJQlVUSU9OUy4xOTk2LjA2LzAzLzIwMjYuLi5VU0QuSAEAAADetgEAAgAAAAIxNwAdXo3lzXveCDekAjnOe94ISENJUS5OWVNFOklCTS5JUV9QRU5TSU9OX09CTElHQVRJT05fSU5URVJFU1RfQ09TVC4xOTk2LjA2LzAzLzIwMjYuLi5VU0QuSAEAAADetgEAAgAAAAQxOTg4AB1ejeXNe94I/soCOc573ggsQ0lRLk5ZU0U6SUJNLklRX0FVRElUT1JfTkFNRS4xOTk2LjA2LzAzLzIwMjYBAAAA3rYBAAMAAAAAAB1ejeXNe94I/soCOc573gg6Q0lRLk5ZU0U6SUJNLklRX0xUX01BUktfU0VDVVJJVElFUy4xOTk2LjA2LzAzLzIwMjYuLi5VU0QuSAEAAADetgEAAwAAAAAAHV6N5c173gj+ygI5znveCD1DSVEuTllTRTpJQk0uSVFfT1BFQl9CUkVBS0RPV05fRVFfRE9NLjE5OTYuMDYvMDMvMjAyNi4uLlVTRC5IAQAAAN62AQADAAAAAAAdXo3lzXveCP7KAjnOe94INENJUS5OWVNFOklCTS5JUV9PUEVCX0xUX0xJQUIuMTk5Ni4wNi8wMy8yMDI2Li4uVVNELkgBAAAA</t>
  </si>
  <si>
    <t>3rYBAAIAAAAFLTI1MDYAHV6N5c173gj+ygI5znveCDVDSVEuTllTRTpJQk0uSVFfT1BFQl9CUkVBS0RPV05fUENUX0ZJLjE5OTYuMDYvMDMvMjAyNgEAAADetgEAAwAAAAAAHV6N5c173ggW8gI5znveCEtDSVEuTllTRTpJQk0uSVFfT1BFQl9PQkxJR0FUSU9OX0FDVFVBUklBTF9HQUlOX0xPU1MuMTk5Ni4wNi8wMy8yMDI2Li4uVVNELkgBAAAA3rYBAAIAAAADMTE2AB1ejeXNe94IFvICOc573gg6Q0lRLk5ZU0U6SUJNLklRX09QRUJfVU5SRUNPR19QUklPUi4xOTk2LjA2LzAzLzIwMjYuLi5VU0QuSAEAAADetgEAAwAAAAAAHV6N5c173ggW8gI5znveCDlDSVEuTllTRTpJQk0uSVFfT1BFQl9JTlRBTl9BU1NFVFMuMTk5Ni4wNi8wMy8yMDI2Li4uVVNELkgBAAAA3rYBAAMAAAAAAB1ejeXNe94IFvICOc573gg5Q0lRLk5ZU0U6SUJNLklRX09QRUJfUFJFUEFJRF9DT1NULjE5OTYuMDYvMDMvMjAyNi4uLlVTRC5IAQAAAN62AQADAAAAAAAdXo3lzXveCP7KAjnOe94IPENJUS5OWVNFOklCTS5JUV9PUEVCX0JSRUFLRE9XTl9PVEhFUi4xOTk2LjA2LzAzLzIwMjYuLi5VU0QuSAEAAADetgEAAwAAAAAAHV6N5c173ggW8gI5znveCEFDSVEuTllTRTpJQk0uSVFfT1BFQl9PQkxJR0FUSU9OX1BST0pFQ1RFRC4xOTk2LjA2LzAzLzIwMjYuLi5VU0QuSAEAAADetgEAAgAAAAQyNzY0AB1ejeXNe94IFvICOc573gg5</t>
  </si>
  <si>
    <t>Q0lRLk5ZU0U6SUJNLklRX1BFTlNJT05fT1RIRVJfQURKLjE5OTYuMDYvMDMvMjAyNi4uLlVTRC5IAQAAAN62AQADAAAAAAAdXo3lzXveCBbyAjnOe94IP0NJUS5OWVNFOklCTS5JUV9QRU5TSU9OX0VTVF9CRU5FRklUXzNZUi4xOTk2LjA2LzAzLzIwMjYuLi5VU0QuSAEAAADetgEAAgAAAAQzMzAwAB1ejeXNe94IFvICOc573gg9Q0lRLk5ZU0U6SUJNLklRX1BFTlNJT05fQ0lfVFJBTlNJVElPTi4xOTk2LjA2LzAzLzIwMjYuLi5VU0QuSAEAAADetgEAAwAAAAAAHV6N5c173ggW8gI5znveCD9DSVEuTllTRTpJQk0uSVFfUEVOU0lPTl9CUkVBS0RPV05fT1RIRVIuMTk5Ni4wNi8wMy8yMDI2Li4uVVNELkgBAAAA3rYBAAIAAAAFMTY3MzcAHV6N5c173ggW8gI5znveCDVDSVEuTllTRTpJQk0uSVFfUEVOU0lPTl9ESVNDX1JBVEVfTUlOLjE5OTYuMDYvMDMvMjAyNgEAAADetgEAAwAAAAAAHV6N5c173ggW8gI5znveCElDSVEuTllTRTpJQk0uSVFfUEVOU0lPTl9PQkxJR0FUSU9OX09USEVSX1BMQU5fQURKLjE5OTYuMDYvMDMvMjAyNi4uLlVTRC5IAQAAAN62AQACAAAABS03NDQ4AB1ejeXNe94IFvICOc573gg2Q0lRLk5ZU0U6SUJNLklRX09QRUJfQkVORUZJVF9JTkZPX0RBVEUuMTk5Ni4wNi8wMy8yMDI2AQAAAN62AQAFAAAACjMxLzEyLzIwMjQAHV6N5c173ggW8gI5znveCDNDSVEuTllTRTpJQk0uSVFf</t>
  </si>
  <si>
    <t>T1BFQl9BU1NFVFMuMTk5Ni4wNi8wMy8yMDI2Li4uVVNELkgBAAAA3rYBAAIAAAACMjAAHV6N5c173gjXLAM5znveCDdDSVEuTllTRTpJQk0uSVFfT1BFQl9PVEhFUl9DT1NULjE5OTYuMDYvMDMvMjAyNi4uLlVTRC5IAQAAAN62AQACAAAAAy0zMAAdXo3lzXveCBbyAjnOe94ISENJUS5OWVNFOklCTS5JUV9PUEVCX09CTElHQVRJT05fU0VSVklDRV9DT1NUX0RPTS4xOTk2LjA2LzAzLzIwMjYuLi5VU0QuSAEAAADetgEAAgAAAAEyAB1ejeXNe94IFvICOc573gg9Q0lRLk5ZU0U6SUJNLklRX09QRUJfU0VSVklDRV9DT1NUX0RPTS4xOTk2LjA2LzAzLzIwMjYuLi5VU0QuSAEAAADetgEAAgAAAAEyAB1ejeXNe94IFvICOc573ghDQ0lRLk5ZU0U6SUJNLklRX1BFTlNJT05fRVNUX0JFTkVGSVRfMllSX0RPTS4xOTk2LjA2LzAzLzIwMjYuLi5VU0QuSAEAAADetgEAAgAAAAQxMjk3AB1ejeXNe94IFvICOc573gg/Q0lRLk5ZU0U6SUJNLklRX1BFTlNJT05fQlJFQUtET1dOX1BDVF9PVEhFUl9ET00uMTk5Ni4wNi8wMy8yMDI2AQAAAN62AQACAAAABzI3LjYyNzcAHV6N5c173gjXLAM5znveCEFDSVEuTllTRTpJQk0uSVFfUEVOU0lPTl9BU1NFVFNfRlhfQURKX0RPTS4xOTk2LjA2LzAzLzIwMjYuLi5VU0QuSAEAAADetgEAAwAAAAAAHV6N5c173gjXLAM5znveCFJDSVEuTllTRTpJQk0uSVFfUEVOU0lPTl9PQkxJ</t>
  </si>
  <si>
    <t>R0FUSU9OX0FDVFVBUklBTF9HQUlOX0xPU1NfRE9NLjE5OTYuMDYvMDMvMjAyNi4uLlVTRC5IAQAAAN62AQACAAAABC01ODkAHV6N5c173gjXLAM5znveCDpDSVEuTllTRTpJQk0uSVFfUEVOU0lPTl9BU1NFVFNfRE9NLjE5OTYuMDYvMDMvMjAyNi4uLlVTRC5IAQAAAN62AQACAAAABTE3NTkxAB1ejeXNe94I1ywDOc573ghNQ0lRLk5ZU0U6SUJNLklRX1BFTlNJT05fT0JMSUdBVElPTl9PVEhFUl9QTEFOX0FESl9ET00uMTk5Ni4wNi8wMy8yMDI2Li4uVVNELkgBAAAA3rYBAAIAAAAFLTYxNzgAHV6N5c173gjXLAM5znveCERDSVEuTllTRTpJQk0uSVFfUEVOU0lPTl9QQk9fQVNTVU1FRF9SQVRFX1JFVF9NSU5fRE9NLjE5OTYuMDYvMDMvMjAyNgEAAADetgEAAgAAAAM1LjUAHV6N5c173gjXLAM5znveCENDSVEuTllTRTpJQk0uSVFfUEVOU0lPTl9CUkVBS0RPV05fT1RIRVJfRE9NLjE5OTYuMDYvMDMvMjAyNi4uLlVTRC5IAQAAAN62AQACAAAABDQ4NjAAHV6N5c173gjXLAM5znveCFtDSVEuTllTRTpJQk0uSVFfUEVOU0lPTl9PQkxJR0FUSU9OX1RPVEFMX0NPU1RfSU5DTF9TVVBQTEVfUExBTlNfRE9NLjE5OTYuMDYvMDMvMjAyNi4uLlVTRC5IAQAAAN62AQADAAAAAAAdXo3lzXveCNcsAznOe94IPkNJUS5OWVNFOklCTS5JUV9PUEVCX0hFQUxUSF9DT1NUX1RSRU5EX0lOSVRJQUwuMTk5Ni4wNi8wMy8y</t>
  </si>
  <si>
    <t>MDI2AQAAAN62AQADAAAAAAAdXo3lzXveCNcsAznOe94IPUNJUS5OWVNFOklCTS5JUV9PUEVCX1BCT19BU1NVTUVEX1JBVEVfUkVUX01BWC4xOTk2LjA2LzAzLzIwMjYBAAAA3rYBAAMAAAAAAB1ejeXNe94I1ywDOc573gg6Q0lRLk5ZU0U6SUJNLklRX09QRUJfSU5URVJFU1RfQ09TVC4xOTk2LjA2LzAzLzIwMjYuLi5VU0QuSAEAAADetgEAAgAAAAMxNDcAHV6N5c173gglVAM5znveCDVDSVEuTllTRTpJQk0uSVFfUEVOU0lPTl9PVEhFUi4xOTk2LjA2LzAzLzIwMjYuLi5VU0QuSAEAAADetgEAAwAAAAAAHV6N5c173gglVAM5znveCDtDSVEuTllTRTpJQk0uSVFfT1BFQl9BU1NFVFNfQUNRX0RPTS4xOTk2LjA2LzAzLzIwMjYuLi5VU0QuSAEAAADetgEAAwAAAAAAHV6N5c173gglVAM5znveCEFDSVEuTllTRTpJQk0uSVFfUEVOU0lPTl9VTlJFQ09HX1BSSU9SX0RPTS4xOTk2LjA2LzAzLzIwMjYuLi5VU0QuSAEAAADetgEAAwAAAAAAHV6N5c173gglVAM5znveCEVDSVEuTllTRTpJQk0uSVFfUEVOU0lPTl9DSV9PVEhFUl9NSVNDX0FESl9ET00uMTk5Ni4wNi8wMy8yMDI2Li4uVVNELkgBAAAA3rYBAAMAAAAAAB1ejeXNe94IJVQDOc573gg8Q0lRLk5ZU0U6SUJNLklRX1BFTlNJT05fQlJFQUtET1dOX1BDVF9GSV9ET00uMTk5Ni4wNi8wMy8yMDI2AQAAAN62AQACAAAABzY3LjU2ODYAHV6N5c173gg3ewM5</t>
  </si>
  <si>
    <t>znveCEVDSVEuTllTRTpJQk0uSVFfUEVOU0lPTl9PQkxJR0FUSU9OX0ZYX0FESl9ET00uMTk5Ni4wNi8wMy8yMDI2Li4uVVNELkgBAAAA3rYBAAMAAAAAAB1ejeXNe94IN3sDOc573ghLQ0lRLk5ZU0U6SUJNLklRX1BFTlNJT05fT0JMSUdBVElPTl9TRVJWSUNFX0NPU1RfRE9NLjE5OTYuMDYvMDMvMjAyNi4uLlVTRC5IAQAAAN62AQACAAAAAzM5NAAdXo3lzXveCCVUAznOe94IM0NJUS5OWVNFOklCTS5JUV9PUEVCX0NJX0FDVC4xOTk2LjA2LzAzLzIwMjYuLi5VU0QuSAEAAADetgEAAgAAAAMzMTMAHV6N5c173gglVAM5znveCDtDSVEuTllTRTpJQk0uSVFfT1BFQl9SQVRFX0NPTVBfSU5DUkVBU0VfTUFYLjE5OTYuMDYvMDMvMjAyNgEAAADetgEAAwAAAAAAHV6N5c173gglVAM5znveCENDSVEuTllTRTpJQk0uSVFfT1BFQl9PQkxJR0FUSU9OX0FDQ1VNVUxBVEVELjE5OTYuMDYvMDMvMjAyNi4uLlVTRC5IAQAAAN62AQADAAAAAAAdXo3lzXveCPiOAznOe94IO0NJUS5OWVNFOklCTS5JUV9PUEVCX09CTElHQVRJT05fQkVHLjE5OTYuMDYvMDMvMjAyNi4uLlVTRC5IAQAAAN62AQACAAAABDI4MTkAHV6N5c173gj4jgM5znveCEJDSVEuTllTRTpJQk0uSVFfUEVOU0lPTl9SQVRFX0NPTVBfSU5DUkVBU0VfTUFYX0RPTS4xOTk2LjA2LzAzLzIwMjYBAAAA3rYBAAIAAAABNQAdXo3lzXveCDd7AznOe94IO0NJ</t>
  </si>
  <si>
    <t>US5OWVNFOklCTS5JUV9PUEVCX0FDQ1VNX09USEVSX0NJLjE5OTYuMDYvMDMvMjAyNi4uLlVTRC5IAQAAAN62AQADAAAAAAAdXo3lzXveCDd7AznOe94IO0NJUS5OWVNFOklCTS5JUV9PUEVCX0FNVF9SRUNPR19ORVhULjE5OTYuMDYvMDMvMjAyNi4uLlVTRC5IAQAAAN62AQADAAAAAAAdXo3lzXveCDd7AznOe94IOkNJUS5OWVNFOklCTS5JUV9PUEVCX0FTU0VUU19GWF9BREouMTk5Ni4wNi8wMy8yMDI2Li4uVVNELkgBAAAA3rYBAAIAAAACLTUAHV6N5c173gj4jgM5znveCEBDSVEuTllTRTpJQk0uSVFfUEVOU0lPTl9CUkVBS0RPV05fUkVfRE9NLjE5OTYuMDYvMDMvMjAyNi4uLlVTRC5IAQAAAN62AQADAAAAAAAdXo3lzXveCPiOAznOe94ISUNJUS5OWVNFOklCTS5JUV9QRU5TSU9OX0FTU0VUU19PVEhFUl9QTEFOX0FESl9ET00uMTk5Ni4wNi8wMy8yMDI2Li4uVVNELkgBAAAA3rYBAAIAAAAFLTYxNzgAHV6N5c173gj4jgM5znveCFFDSVEuTllTRTpJQk0uSVFfUEVOU0lPTl9BU1NFVFNfRU1QTE9ZRVJfQ09OVFJJQlVUSU9OU19ET00uMTk5Ni4wNi8wMy8yMDI2Li4uVVNELkgBAAAA3rYBAAMAAAAAAB1ejeXNe94I+I4DOc573gg5Q0lRLk5ZU0U6SUJNLklRX09QRUJfQUNDUlVFRF9MSUFCLjE5OTYuMDYvMDMvMjAyNi4uLlVTRC5IAQAAAN62AQADAAAAAAAdXo3lzXveCPiOAznOe94INUNJUS5OWVNF</t>
  </si>
  <si>
    <t>OklCTS5JUV9PUEVCX0FDVF9ORVhULjE5OTYuMDYvMDMvMjAyNi4uLlVTRC5IAQAAAN62AQADAAAAAAAdXo3lzXveCPiOAznOe94INUNJUS5OWVNFOklCTS5JUV9PUEVCX0JSRUFLRE9XTl9QQ1RfRVEuMTk5Ni4wNi8wMy8yMDI2AQAAAN62AQADAAAAAAAdXo3lzXveCPiOAznOe94ITkNJUS5OWVNFOklCTS5JUV9PUEVCX09CTElHQVRJT05fRU1QTE9ZRUVfQ09OVFJJQlVUSU9OUy4xOTk2LjA2LzAzLzIwMjYuLi5VU0QuSAEAAADetgEAAgAAAAIzMwAdXo3lzXveCPiOAznOe94IT0NJUS5OWVNFOklCTS5JUV9QRU5TSU9OX0FDQ1VNVUxBVEVEX09CTElHQVRJT05fRE9NRVNUSUMuMTk5Ni4wNi8wMy8yMDI2Li4uVVNELkgBAAAA3rYBAAIAAAAFMTQyMTkAHV6N5c173gj4jgM5znveCEZDSVEuTllTRTpJQk0uSVFfUEVOU0lPTl9PQkxJR0FUSU9OX0NVUlRBSUxfRE9NLjE5OTYuMDYvMDMvMjAyNi4uLlVTRC5IAQAAAN62AQADAAAAAAAdXo3lzXveCPiOAznOe94IVUNJUS5OWVNFOklCTS5JUV9QRU5TSU9OX09CTElHQVRJT05fRU1QTE9ZRUVfQ09OVFJJQlVUSU9OU19ET00uMTk5Ni4wNi8wMy8yMDI2Li4uVVNELkgBAAAA3rYBAAMAAAAAAB1ejeXNe94IdLYDOc573gg/Q0lRLk5ZU0U6SUJNLklRX09QRUJfRVNUX0JFTkVGSVRfQUZURVI1LjE5OTYuMDYvMDMvMjAyNi4uLlVTRC5IAQAAAN62AQACAAAABDEz</t>
  </si>
  <si>
    <t>NTAAHV6N5c173gh0tgM5znveCDxDSVEuTllTRTpJQk0uSVFfT1BFQl9FU1RfQkVORUZJVF80WVIuMTk5Ni4wNi8wMy8yMDI2Li4uVVNELkgBAAAA3rYBAAIAAAADMjk4AB1ejeXNe94IdLYDOc573gg5Q0lRLk5ZU0U6SUJNLklRX09QRUJfQlJFQUtET1dOX1JFLjE5OTYuMDYvMDMvMjAyNi4uLlVTRC5IAQAAAN62AQADAAAAAAAdXo3lzXveCHS2AznOe94IRkNJUS5OWVNFOklCTS5JUV9PUEVCX09CTElHQVRJT05fT1RIRVJfUExBTl9BREouMTk5Ni4wNi8wMy8yMDI2Li4uVVNELkgBAAAA3rYBAAIAAAACLTEAHV6N5c173gh0tgM5znveCD1DSVEuTllTRTpJQk0uSVFfUEVOU0lPTl9VTlJFQ09HX1BSSU9SLjE5OTYuMDYvMDMvMjAyNi4uLlVTRC5IAQAAAN62AQADAAAAAAAdXo3lzXveCHS2AznOe94IMkNJUS5OWVNFOklCTS5JUV9QRU5TSU9OX0NMLjE5OTYuMDYvMDMvMjAyNi4uLlVTRC5IAQAAAN62AQACAAAABC00NzkAHV6N5c173gh0tgM5znveCEJDSVEuTllTRTpJQk0uSVFfUEVOU0lPTl9QQk9fUkFURV9DT01QX0lOQ1JFQVNFX01JTi4xOTk2LjA2LzAzLzIwMjYBAAAA3rYBAAMAAAAAAB1ejeXNe94IdLYDOc573gg5Q0lRLk5ZU0U6SUJNLklRX09QRUJfQUNUX05FWFRfRE9NLjE5OTYuMDYvMDMvMjAyNi4uLlVTRC5IAQAAAN62AQADAAAAAAAdXo3lzXveCHS2AznOe94ISUNJUS5OWVNFOklCTS5J</t>
  </si>
  <si>
    <t>UV9QRU5TSU9OX09CTElHQVRJT05fT1RIRVJfQ09TVF9ET00uMTk5Ni4wNi8wMy8yMDI2Li4uVVNELkgBAAAA3rYBAAIAAAAEMzIxMwAdXo3lzXveCHS2AznOe94IPENJUS5OWVNFOklCTS5JUV9PUEVCX05FVF9BU1NFVF9SRUNPRy4xOTk2LjA2LzAzLzIwMjYuLi5VU0QuSAEAAADetgEAAgAAAAUtMjc0NAAdXo3lzXveCH3dAznOe94IPUNJUS5OWVNFOklCTS5JUV9PUEVCX0NJX05FVF9BTVRfUkVDT0cuMTk5Ni4wNi8wMy8yMDI2Li4uVVNELkgBAAAA3rYBAAIAAAACLTkAHV6N5c173gh93QM5znveCDhDSVEuTllTRTpJQk0uSVFfT1BFQl9FWFBfUkFURV9SRVRVUk5fTUlOLjE5OTYuMDYvMDMvMjAyNgEAAADetgEAAwAAAAAAHV6N5c173gh93QM5znveCEpDSVEuTllTRTpJQk0uSVFfT1BFQl9BU1NFVFNfUEFSVElDSVBfQ09OVFJJQlVUSU9OUy4xOTk2LjA2LzAzLzIwMjYuLi5VU0QuSAEAAADetgEAAgAAAAIzMwAdXo3lzXveCHS2AznOe94ISENJUS5OWVNFOklCTS5JUV9PUEVCX1NVUFBMRV9QTEFOU19UT1RBTF9DT1NUX0RPTS4xOTk2LjA2LzAzLzIwMjYuLi5VU0QuSAEAAADetgEAAwAAAAAAHV6N5c173gh0tgM5znveCEBDSVEuTllTRTpJQk0uSVFfT1BFQl9ERUNSRUFTRV9FRkZFQ1RfUEJPLjE5OTYuMDYvMDMvMjAyNi4uLlVTRC5IAQAAAN62AQADAAAAAAAdXo3lzXveCH3dAznOe94IQENJUS5O</t>
  </si>
  <si>
    <t>WVNFOklCTS5JUV9PUEVCX0lOQ1JFQVNFX0VGRkVDVF9QQk8uMTk5Ni4wNi8wMy8yMDI2Li4uVVNELkgBAAAA3rYBAAMAAAAAAB1ejeXNe94Ifd0DOc573gg8Q0lRLk5ZU0U6SUJNLklRX09QRUJfRVNUX0JFTkVGSVRfMllSLjE5OTYuMDYvMDMvMjAyNi4uLlVTRC5IAQAAAN62AQACAAAAAzI4MQAdXo3lzXveCH3dAznOe94IOUNJUS5OWVNFOklCTS5JUV9PUEVCX0JSRUFLRE9XTl9FUS4xOTk2LjA2LzAzLzIwMjYuLi5VU0QuSAEAAADetgEAAwAAAAAAHV6N5c173gh93QM5znveCERDSVEuTllTRTpJQk0uSVFfT1BFQl9PQkxJR0FUSU9OX1NFUlZJQ0VfQ09TVC4xOTk2LjA2LzAzLzIwMjYuLi5VU0QuSAEAAADetgEAAgAAAAE0AB1ejeXNe94InQQEOc573ghIQ0lRLk5ZU0U6SUJNLklRX1BFTlNJT05fRVNUX0NPTlRSSUJVVElPTlNfTkVYVFlSLjE5OTYuMDYvMDMvMjAyNi4uLlVTRC5IAQAAAN62AQACAAAAAzEwMAAdXo3lzXveCJ0EBDnOe94IQkNJUS5OWVNFOklCTS5JUV9QRU5TSU9OX0VTVF9CRU5FRklUX0FGVEVSNS4xOTk2LjA2LzAzLzIwMjYuLi5VU0QuSAEAAADetgEAAgAAAAUxNTI0MwAdXo3lzXveCJ0EBDnOe94IQkNJUS5OWVNFOklCTS5JUV9QRU5TSU9OX1BSSU9SX1NFUlZJQ0VfTkVYVC4xOTk2LjA2LzAzLzIwMjYuLi5VU0QuSAEAAADetgEAAwAAAAAAHV6N5c173gidBAQ5znveCFBDSVEu</t>
  </si>
  <si>
    <t>TllTRTpJQk0uSVFfUEVOU0lPTl9RVUFSVF9BRERMX0NPTlRSSUJVVElPTlNfRVhQX0RPTS4xOTk2LjA2LzAzLzIwMjYuLi5VU0QuSAEAAADetgEAAwAAAAAAHV6N5c173gidBAQ5znveCENDSVEuTllTRTpJQk0uSVFfUEVOU0lPTl9PQkxJR0FUSU9OX1BBSURfRE9NLjE5OTYuMDYvMDMvMjAyNi4uLlVTRC5IAQAAAN62AQACAAAABS0xNTU0AB1ejeXNe94IoSsEOc573ghCQ0lRLk5ZU0U6SUJNLklRX1BFTlNJT05fT0JMSUdBVElPTl9CRUdfRE9NLjE5OTYuMDYvMDMvMjAyNi4uLlVTRC5IAQAAAN62AQACAAAABTIxMjM1AB1ejeXNe94IoSsEOc573gg/Q0lRLk5ZU0U6SUJNLklRX09QRUJfSEVBTFRIX0NPU1RfVFJFTkRfVUxUSU1BVEUuMTk5Ni4wNi8wMy8yMDI2AQAAAN62AQADAAAAAAAdXo3lzXveCKErBDnOe94IN0NJUS5OWVNFOklCTS5JUV9PUEVCX0FTU0VUU19BQ1EuMTk5Ni4wNi8wMy8yMDI2Li4uVVNELkgBAAAA3rYBAAMAAAAAAB1ejeXNe94InQQEOc573gg7Q0lRLk5ZU0U6SUJNLklRX09QRUJfT0JMSUdBVElPTl9BQ1EuMTk5Ni4wNi8wMy8yMDI2Li4uVVNELkgBAAAA3rYBAAMAAAAAAB1ejeXNe94InQQEOc573gg5Q0lRLk5ZU0U6SUJNLklRX09QRUJfU0VSVklDRV9DT1NULjE5OTYuMDYvMDMvMjAyNi4uLlVTRC5IAQAAAN62AQACAAAAATQAHV6N5c173gihKwQ5znveCEFDSVEuTllTRTpJ</t>
  </si>
  <si>
    <t>Qk0uSVFfUEVOU0lPTl9DSV9UUkFOU0lUSU9OX0RPTS4xOTk2LjA2LzAzLzIwMjYuLi5VU0QuSAEAAADetgEAAwAAAAAAHV6N5c173gihKwQ5znveCDtDSVEuTllTRTpJQk0uSVFfT1BFQl9SQVRFX0NPTVBfSU5DUkVBU0VfTUlOLjE5OTYuMDYvMDMvMjAyNgEAAADetgEAAwAAAAAAHV6N5c173gihKwQ5znveCDdDSVEuTllTRTpJQk0uSVFfUEVOU0lPTl9MVF9MSUFCLjE5OTYuMDYvMDMvMjAyNi4uLlVTRC5IAQAAAN62AQACAAAABS02OTI2AB1ejeXNe94IoSsEOc573ghCQ0lRLk5ZU0U6SUJNLklRX1BFTlNJT05fUEJPX1JBVEVfQ09NUF9JTkNSRUFTRV9NQVguMTk5Ni4wNi8wMy8yMDI2AQAAAN62AQADAAAAAAAdXo3lzXveCKErBDnOe94IQENJUS5OWVNFOklCTS5JUV9QRU5TSU9OX1BCT19BU1NVTUVEX1JBVEVfUkVUX01JTi4xOTk2LjA2LzAzLzIwMjYBAAAA3rYBAAMAAAAAAB1ejeXNe94ImFIEOc573gg8Q0lRLk5ZU0U6SUJNLklRX1BFTlNJT05fQlJFQUtET1dOX0VRLjE5OTYuMDYvMDMvMjAyNi4uLlVTRC5IAQAAAN62AQACAAAAAzkxMgAdXo3lzXveCJhSBDnOe94IPkNJUS5OWVNFOklCTS5JUV9QRU5TSU9OX0FTU0VUU19DVVJUQUlMLjE5OTYuMDYvMDMvMjAyNi4uLlVTRC5IAQAAAN62AQADAAAAAAAdXo3lzXveCJhSBDnOe94IPENJUS5OWVNFOklCTS5JUV9QRU5TSU9OX0JSRUFLRE9XTl9S</t>
  </si>
  <si>
    <t>RS4xOTk2LjA2LzAzLzIwMjYuLi5VU0QuSAEAAADetgEAAgAAAAEzAB1ejeXNe94ImFIEOc573gg+Q0lRLk5ZU0U6SUJNLklRX1BFTlNJT05fUkFURV9DT01QX0lOQ1JFQVNFX01BWC4xOTk2LjA2LzAzLzIwMjYBAAAA3rYBAAMAAAAAAB1ejeXNe94IoSsEOc573ghRQ0lRLk5ZU0U6SUJNLklRX1BFTlNJT05fT0JMSUdBVElPTl9FTVBMT1lFRV9DT05UUklCVVRJT05TLjE5OTYuMDYvMDMvMjAyNi4uLlVTRC5IAQAAAN62AQACAAAAAjE3AB1ejeXNe94ImFIEOc573ghCQ0lRLk5ZU0U6SUJNLklRX1BFTlNJT05fT0JMSUdBVElPTl9DVVJUQUlMLjE5OTYuMDYvMDMvMjAyNi4uLlVTRC5IAQAAAN62AQADAAAAAAAdXo3lzXveCJhSBDnOe94IMUNJUS5OWVNFOklCTS5JUV9JTlRBTl9ORVQuMTk5Ni4wNi8wMy8yMDI2Li4uVVNELkgBAAAA3rYBAAIAAAAFMTA2NjABCAAAAAUAAAABMQEAAAALLTE5MDQ4NjA2NjQDAAAAAzE2MAIAAAAFNDg5NjIEAAAAATAHAAAACDMvNi8yMDI2CAAAAAoxMi8zMS8yMDI0CQAAAAEwHV6N5c173giYUgQ5znveCEBDSVEuTllTRTpJQk0uSVFfQUNDVU1fQU1PUlRfSU5UQU5fQVNTRVRTLjE5OTYuMDYvMDMvMjAyNi4uLlVTRC5IAQAAAN62AQACAAAABS04MDk0AQgAAAAFAAAAATEBAAAACy0xOTA0ODYwNjY0AwAAAAMxNjACAAAABTI0MzMxBAAAAAEwBwAAAAgzLzYvMjAyNggAAAAK</t>
  </si>
  <si>
    <t>MTIvMzEvMjAyNAkAAAABMB1ejeXNe94ImFIEOc573gg8Q0lRLk5ZU0U6SUJNLklRX1dBUlJBTlRZX0xJQUJJTElUSUVTLjE5OTYuMDYvMDMvMjAyNi4uLlVTRC5IAQAAAN62AQADAAAAAAAdXo3lzXveCJhSBDnOe94IOUNJUS5OWVNFOklCTS5JUV9GSU5fRElWX1NUX0lOVkVTVC4xOTk2LjA2LzAzLzIwMjYuLi5VU0QuSAEAAADetgEAAwAAAAAAHV6N5c173gifeQQ5znveCD5DSVEuTllTRTpJQk0uSVFfTElBQklMSVRJRVNfRkFJUl9WQUxVRS4xOTk2LjA2LzAzLzIwMjYuLi5VU0QuSAEAAADetgEAAgAAAAM3MjYAHV6N5c173gifeQQ5znveCEZDSVEuTllTRTpJQk0uSVFfVE9UQUxfR0VORVJBTF9QQVJUTkVSX0lOVEVSRVNULjE5OTYuMDYvMDMvMjAyNi4uLlVTRC5IAQAAAN62AQADAAAAAAAdXo3lzXveCJhSBDnOe94IRUNJUS5OWVNFOklCTS5JUV9HRU5FUkFMX1BBUlRORVJfQ09NTU9OX0VRVUlUWS4xOTk2LjA2LzAzLzIwMjYuLi5VU0QuSAEAAADetgEAAwAAAAAAHV6N5c173giYUgQ5znveCDFDSVEuTllTRTpJQk0uSVFfT1RIRVJfSU5WLjE5OTYuMDYvMDMvMjAyNi4uLlVTRC5IAQAAAN62AQADAAAAAAAdXo3lzXveCJhSBDnOe94IMENJUS5OWVNFOklCTS5JUV9ORVRfREVCVC4xOTk2LjA2LzAzLzIwMjYuLi5VU0QuSAEAAADetgEAAgAAAAU0MzgwNQEIAAAABQAAAAExAQAAAAstMTkwNDg2MDY2</t>
  </si>
  <si>
    <t>NAMAAAADMTYwAgAAAAQ0MzY0BAAAAAEwBwAAAAgzLzYvMjAyNggAAAAKMTIvMzEvMjAyNAkAAAABMB1ejeXNe94In3kEOc573ghHQ0lRLk5ZU0U6SUJNLklRX1BFTlNJT05fQ09OVFJJQlVUSU9OX1RPVEFMX0NPU1QuMTk5Ni4wNi8wMy8yMDI2Li4uVVNELkgBAAAA3rYBAAIAAAADNDQwAB1ejeXNe94In3kEOc573gg7Q0lRLk5ZU0U6SUJNLklRX0lOVEVSQ09NUEFOWV9OT05fQ0EuMTk5Ni4wNi8wMy8yMDI2Li4uVVNELkgBAAAA3rYBAAMAAAAAAB1ejeXNe94In3kEOc573gg8Q0lRLk5ZU0U6SUJNLklRX0RFUklWQVRJVkVfQVNTRVRTX0xULjE5OTYuMDYvMDMvMjAyNi4uLlVTRC5IAQAAAN62AQACAAAAAjk2AQgAAAAFAAAAATEBAAAACy0xOTA0ODYwNjY0AwAAAAMxNjACAAAABDExMTAEAAAAATAHAAAACDMvNi8yMDI2CAAAAAoxMi8zMS8yMDI0CQAAAAEwHV6N5c173gifeQQ5znveCD9DSVEuTllTRTpJQk0uSVFfT1BFQl9QQk9fUkFURV9DT01QX0lOQ1JFQVNFX01BWC4xOTk2LjA2LzAzLzIwMjYBAAAA3rYBAAMAAAAAAB1ejeXNe94In3kEOc573ghFQ0lRLk5ZU0U6SUJNLklRX09QRUJfT0JMSUdBVElPTl9JTlRFUkVTVF9DT1NULjE5OTYuMDYvMDMvMjAyNi4uLlVTRC5IAQAAAN62AQACAAAAAzE0NwAdXo3lzXveCJ95BDnOe94IP0NJUS5OWVNFOklCTS5JUV9QRU5TSU9OX0VTVF9CRU5FRklUXzFZ</t>
  </si>
  <si>
    <t>Ui4xOTk2LjA2LzAzLzIwMjYuLi5VU0QuSAEAAADetgEAAgAAAAQzMzM4AB1ejeXNe94In3kEOc573ggyQ0lRLk5ZU0U6SUJNLklRX0FWR19URU1QX0VNUExPWUVFUy4xOTk2LjA2LzAzLzIwMjYBAAAA3rYBAAIAAAAFMTQyMDABCAAAAAUAAAABMQEAAAALLTE5MDQ4NjA2NjQDAAAAAzE2MAIAAAAFMjQ2NzUEAAAAATAHAAAACDMvNi8yMDI2CAAAAAoxMi8zMS8yMDI0CQAAAAEwHV6N5c173gifeQQ5znveCC9DSVEuTllTRTpJQk0uSVFfVE9UQUxfRU1QTE9ZRUVTLjE5OTYuMDYvMDMvMjAyNgEAAADetgEAAgAAAAYyNzAzMDAAHV6N5c173gifeQQ5znveCDZDSVEuTllTRTpJQk0uSVFfQVNTRVRTX0xFVkVMXzEuMTk5Ni4wNi8wMy8yMDI2Li4uVVNELkgBAAAA3rYBAAIAAAADMjg0AB1ejeXNe94In3kEOc573gg9Q0lRLk5ZU0U6SUJNLklRX0xFQVNFSE9MRF9JTVBST1ZFTUVOVC4xOTk2LjA2LzAzLzIwMjYuLi5VU0QuSAEAAADetgEAAwAAAAAAHV6N5c173gifeQQ5znveCDNDSVEuTllTRTpJQk0uSVFfQVJfVU5CSUxMRUQuMTk5Ni4wNi8wMy8yMDI2Li4uVVNELkgBAAAA3rYBAAIAAAADNDMzAQgAAAAFAAAAATEBAAAACy0xOTA0ODYwNjY0AwAAAAMxNjACAAAABTQ1NDIwBAAAAAEwBwAAAAgzLzYvMjAyNggAAAAKMTIvMzEvMjAyNAkAAAABMB1ejeXNe94In3kEOc573ggrQ0lRLk5ZU0U6SUJNLklRX1RC</t>
  </si>
  <si>
    <t>Vi4xOTk2LjA2LzAzLzIwMjYuLi5VU0QuSAEAAADetgEAAgAAAAYtNDQwNTkBCAAAAAUAAAABMQEAAAALLTE5MDQ4NjA2NjQDAAAAAzE2MAIAAAAEMTMxMAQAAAABMAcAAAAIMy82LzIwMjYIAAAACjEyLzMxLzIwMjQJAAAAATAdXo3lzXveCJ95BDnOe94IOUNJUS5OWVNFOklCTS5JUV9CVl9TSEFSRV9SRVBPUlRFRC4xOTk2LjA2LzAzLzIwMjYuLi5VU0QuSAEAAADetgEAAwAAAAAAHV6N5c173gifeQQ5znveCE5DSVEuTllTRTpJQk0uSVFfQ1VSUkVOVF9QT1JUSU9OX09QRVJfTEVBU0VfTElBQklMSVRJRVMuMTk5Ni4wNi8wMy8yMDI2Li4uVVNELkgBAAAA3rYBAAIAAAADNzY4AQgAAAAFAAAAATEBAAAACy0xOTA0ODYwNjY0AwAAAAMxNjACAAAABTQ4Mzg1BAAAAAEwBwAAAAgzLzYvMjAyNggAAAAKMTIvMzEvMjAyNAkAAAABMB1ejeXNe94In3kEOc573ggvQ0lRLk5ZU0U6SUJNLklRX1JVQV9ORVQuMTk5Ni4wNi8wMy8yMDI2Li4uVVNELkgBAAAA3rYBAAMAAAAAAB1ejeXNe94I9LQEOc573ggyQ0lRLk5ZU0U6SUJNLklRX1BSRUZfT1RIRVIuMTk5Ni4wNi8wMy8yMDI2Li4uVVNELkgBAAAA3rYBAAMAAAAAAB1ejeXNe94I9LQEOc573ggwQ0lRLk5ZU0U6SUJNLklRX1RPVEFMX0NMLjE5OTYuMDYvMDMvMjAyNi4uLlVTRC5IAQAAAN62AQACAAAABTMzMTQyAQgAAAAFAAAAATEBAAAACy0xOTA0ODYwNjY0</t>
  </si>
  <si>
    <t>AwAAAAMxNjACAAAABDEwMDkEAAAAATAHAAAACDMvNi8yMDI2CAAAAAoxMi8zMS8yMDI0CQAAAAEwHV6N5c173gj0tAQ5znveCDpDSVEuTllTRTpJQk0uSVFfVU5FQVJOX1JFVl9DVVJSRU5ULjE5OTYuMDYvMDMvMjAyNi4uLlVTRC5IAQAAAN62AQACAAAABTEzOTA3AQgAAAAFAAAAATEBAAAACy0xOTA0ODYwNjY0AwAAAAMxNjACAAAABDEwNzQEAAAAATAHAAAACDMvNi8yMDI2CAAAAAoxMi8zMS8yMDI0CQAAAAEwHV6N5c173gj0tAQ5znveCDdDSVEuTllTRTpJQk0uSVFfTE9BTlNfUkVDRUlWX0xULjE5OTYuMDYvMDMvMjAyNi4uLlVTRC5IAQAAAN62AQADAAAAAAAdXo3lzXveCJ95BDnOe94IQUNJUS5OWVNFOklCTS5JUV9PUEVCX0FTU0VUU19BQ1RVQUxfUkVUVVJOLjE5OTYuMDYvMDMvMjAyNi4uLlVTRC5IAQAAAN62AQACAAAAATEAHV6N5c173gj0tAQ5znveCDlDSVEuTllTRTpJQk0uSVFfUEVOU0lPTl9MVF9BU1NFVFMuMTk5Ni4wNi8wMy8yMDI2Li4uVVNELkgBAAAA3rYBAAIAAAAENzQ5MwAdXo3lzXveCPS0BDnOe94INkNJUS5OWVNFOklCTS5JUV9QRU5TSU9OX0FTU0VUUy4xOTk2LjA2LzAzLzIwMjYuLi5VU0QuSAEAAADetgEAAgAAAAU0Mjc5NgAdXo3lzXveCPS0BDnOe94IQUNJUS5OWVNFOklCTS5JUV9ERVJJVkFUSVZFX1RSQURJTkdfQVNTRVRTLjE5OTYuMDYvMDMvMjAyNi4uLlVTRC5I</t>
  </si>
  <si>
    <t>AQAAAN62AQADAAAAAAAdXo3lzXveCPS0BDnOe94INUNJUS5OWVNFOklCTS5JUV9PUkRFUl9CQUNLTE9HLjE5OTYuMDYvMDMvMjAyNi4uLlVTRC5IAQAAAN62AQADAAAAAAAdXo3lzXveCPS0BDnOe94IPENJUS5OWVNFOklCTS5JUV9QRU5TSU9OX0JSRUFLRE9XTl9GSS4xOTk2LjA2LzAzLzIwMjYuLi5VU0QuSAEAAADetgEAAgAAAAUyNTE0MwAdXo3lzXveCPS0BDnOe94IO0NJUS5OWVNFOklCTS5JUV9QRU5TSU9OX0VYUF9SQVRFX1JFVFVSTl9NQVguMTk5Ni4wNi8wMy8yMDI2AQAAAN62AQADAAAAAAAdXo3lzXveCPS0BDnOe94IPUNJUS5OWVNFOklCTS5JUV9QRU5TSU9OX0lOVEVSRVNUX0NPU1QuMTk5Ni4wNi8wMy8yMDI2Li4uVVNELkgBAAAA3rYBAAIAAAAEMTk4OAAdXo3lzXveCPS0BDnOe94ILkNJUS5OWVNFOklCTS5JUV9SRVNUQVRFTUVOVF9CUy4xOTk2LjA2LzAzLzIwMjYBAAAA3rYBAAMAAAACTkMAHV6N5c173gj0tAQ5znveCD9DSVEuTllTRTpJQk0uSVFfREVSSVZBVElWRV9MSUFCX0NVUlJFTlQuMTk5Ni4wNi8wMy8yMDI2Li4uVVNELkgBAAAA3rYBAAIAAAADMjYyAQgAAAAFAAAAATEBAAAACy0xOTA0ODYwNjY0AwAAAAMxNjACAAAABTQwNDE3BAAAAAEwBwAAAAgzLzYvMjAyNggAAAAKMTIvMzEvMjAyNAkAAAABMB1ejeXNe94I9LQEOc573gg6Q0lRLk5ZU0U6SUJNLklRX0ZJTl9ESVZf</t>
  </si>
  <si>
    <t>REVCVF9UT1RBTC4xOTk2LjA2LzAzLzIwMjYuLi5VU0QuSAEAAADetgEAAgAAAAUxMjExNgEIAAAABQAAAAExAQAAAAstMTkwNDg2MDY2NAMAAAADMTYwAgAAAAUyNDUxNgQAAAABMAcAAAAIMy82LzIwMjYIAAAACjEyLzMxLzIwMjQJAAAAATAdXo3lzXveCPS0BDnOe94IO0NJUS5OWVNFOklCTS5JUV9MSUFCSUxJVElFU19MRVZFTF8zLjE5OTYuMDYvMDMvMjAyNi4uLlVTRC5IAQAAAN62AQADAAAAAAAdXo3lzXveCPS0BDnOe94IQ0NJUS5OWVNFOklCTS5JUV9HRU5FUkFMX1BBUlRORVJfUFJFRl9FUVVJVFkuMTk5Ni4wNi8wMy8yMDI2Li4uVVNELkgBAAAA3rYBAAMAAAAAAB1ejeXNe94I9LQEOc573ggsQ0lRLk5ZU0U6SUJNLklRX0xBTkQuMTk5Ni4wNi8wMy8yMDI2Li4uVVNELkgBAAAA3rYBAAIAAAADMTc5AQgAAAAFAAAAATEBAAAACy0xOTA0ODYwNjY0AwAAAAMxNjACAAAABDMwOTgEAAAAATAHAAAACDMvNi8yMDI2CAAAAAoxMi8zMS8yMDI0CQAAAAEwHV6N5c173gj0tAQ5znveCC9DSVEuTllTRTpJQk0uSVFfV0lQX0lOVi4xOTk2LjA2LzAzLzIwMjYuLi5VU0QuSAEAAADetgEAAgAAAAQxMTU1AQgAAAAFAAAAATEBAAAACy0xOTA0ODYwNjY0AwAAAAMxNjACAAAABDMyMTkEAAAAATAHAAAACDMvNi8yMDI2CAAAAAoxMi8zMS8yMDI0CQAAAAEwHV6N5c173gj0tAQ5znveCDpDSVEuTllTRTpJQk0u</t>
  </si>
  <si>
    <t>SVFfVE9UQUxfREVCVF9DVVJSRU5ULjE5OTYuMDYvMDMvMjAyNi4uLlVTRC5IAQAAAN62AQACAAAABDU4NTcBCAAAAAUAAAABMQEAAAALLTE5MDQ4NjA2NjQDAAAAAzE2MAIAAAAFMjUyMjMEAAAAATAHAAAACDMvNi8yMDI2CAAAAAoxMi8zMS8yMDI0CQAAAAEwHV6N5c173gi28QQ5znveCDlDSVEuTllTRTpJQk0uSVFfUEVOU0lPTl9CRU5FRklUX0lORk9fREFURS4xOTk2LjA2LzAzLzIwMjYBAAAA3rYBAAUAAAAKMzEvMTIvMjAyNAAdXo3lzXveCLbxBDnOe94IJ0NJUS5OWVNFOklCTS5JUV9HQUFQX0JTLjE5OTYuMDYvMDMvMjAyNgEAAADetgEAAwAAAAdVUyBHQUFQAB1ejeXNe94ItvEEOc573gg+Q0lRLk5ZU0U6SUJNLklRX1BFTlNJT05fQUNDVU1fT1RIRVJfQ0kuMTk5Ni4wNi8wMy8yMDI2Li4uVVNELkgBAAAA3rYBAAMAAAAAAB1ejeXNe94ItvEEOc573gg4Q0lRLk5ZU0U6SUJNLklRX1BFTlNJT05fQlJFQUtET1dOX1BDVF9SRS4xOTk2LjA2LzAzLzIwMjYBAAAA3rYBAAIAAAAFMC4wMDcAHV6N5c173gi28QQ5znveCD1DSVEuTllTRTpJQk0uSVFfUkVTVFJJQ1RFRF9DQVNIX1RPVEFMLjE5OTYuMDYvMDMvMjAyNi4uLlVTRC5IAQAAAN62AQACAAAAAzIxNAEIAAAABQAAAAExAQAAAAstMTkwNDg2MDY2NAMAAAADMTYwAgAAAAUyNDE5MgQAAAABMAcAAAAIMy82LzIwMjYIAAAACjEyLzMxLzIwMjQJ</t>
  </si>
  <si>
    <t>AAAAATAdXo3lzXveCLbxBDnOe94IP0NJUS5OWVNFOklCTS5JUV9FTVBMT1lFRVNfVU5ERVJfVU5JT05fQ09OVFJBQ1RTLjE5OTYuMDYvMDMvMjAyNgEAAADetgEAAwAAAAAAHV6N5c173gi28QQ5znveCDZDSVEuTllTRTpJQk0uSVFfQVNTRVRTX0xFVkVMXzIuMTk5Ni4wNi8wMy8yMDI2Li4uVVNELkgBAAAA3rYBAAIAAAAENzk3OAAdXo3lzXveCLbxBDnOe94ITkNJUS5OWVNFOklCTS5JUV9MSVFVSURBVElPTl9WQUxVRV9QUkVGRVJSRURfTk9OX1JFREVFTS4xOTk2LjA2LzAzLzIwMjYuLi5VU0QuSAEAAADetgEAAwAAAAAAHV6N5c173gi28QQ5znveCDpDSVEuTllTRTpJQk0uSVFfT1BFQl9DSV9UUkFOU0lUSU9OLjE5OTYuMDYvMDMvMjAyNi4uLlVTRC5IAQAAAN62AQADAAAAAAAdXo3lzXveCHAZBTnOe94INkNJUS5OWVNFOklCTS5JUV9QRU5TSU9OX0NJX0FDVC4xOTk2LjA2LzAzLzIwMjYuLi5VU0QuSAEAAADetgEAAgAAAAUxODEwMwAdXo3lzXveCHAZBTnOe94IN0NJUS5OWVNFOklCTS5JUV9JTlRFUkNPTVBBTllfQ0wuMTk5Ni4wNi8wMy8yMDI2Li4uVVNELkgBAAAA3rYBAAMAAAAAAB1ejeXNe94ItvEEOc573gg3Q0lRLk5ZU0U6SUJNLklRX0lOVEVSQ09NUEFOWV9DQS4xOTk2LjA2LzAzLzIwMjYuLi5VU0QuSAEAAADetgEAAwAAAAAAHV6N5c173gi28QQ5znveCC5DSVEuTllTRTpJQk0uSVFf</t>
  </si>
  <si>
    <t>R1dfTkVULjE5OTYuMDYvMDMvMjAyNi4uLlVTRC5IAQAAAN62AQACAAAABTYwNzA2AQgAAAAFAAAAATEBAAAACy0xOTA0ODYwNjY0AwAAAAMxNjACAAAABTQ4OTYwBAAAAAEwBwAAAAgzLzYvMjAyNggAAAAKMTIvMzEvMjAyNAkAAAABMB1ejeXNe94ItvEEOc573ghFQ0lRLk5ZU0U6SUJNLklRX0NVUlJFTlRfUE9SVF9ERUJUX0RFUklWQVRJVkVTLjE5OTYuMDYvMDMvMjAyNi4uLlVTRC5IAQAAAN62AQADAAAAAAAdXo3lzXveCHAZBTnOe94INUNJUS5OWVNFOklCTS5JUV9QRU5TSU9OX0RJU0NfUkFURV9NQVguMTk5Ni4wNi8wMy8yMDI2AQAAAN62AQADAAAAAAAdXo3lzXveCHAZBTnOe94IPUNJUS5OWVNFOklCTS5JUV9BRFZBTkNFU19GT1JfU1VQUExJRVMuMTk5Ni4wNi8wMy8yMDI2Li4uVVNELkgBAAAA3rYBAAMAAAAAAB1ejeXNe94IcBkFOc573gg2Q0lRLk5ZU0U6SUJNLklRX0FDQ1VNX0FNT1JUX0dXLjE5OTYuMDYvMDMvMjAyNi4uLlVTRC5IAQAAAN62AQADAAAAAAAdXo3lzXveCHAZBTnOe94IOkNJUS5OWVNFOklCTS5JUV9GSU5fRElWX0NBU0hfRVFVSVYuMTk5Ni4wNi8wMy8yMDI2Li4uVVNELkgBAAAA3rYBAAMAAAAAAB1ejeXNe94IcBkFOc573gg9Q0lRLk5ZU0U6SUJNLklRX0ZJTl9ESVZfTFRfREVCVF9UT1RBTC4xOTk2LjA2LzAzLzIwMjYuLi5VU0QuSAEAAADetgEAAgAAAAUxMjExNgEI</t>
  </si>
  <si>
    <t>AAAABQAAAAExAQAAAAstMTkwNDg2MDY2NAMAAAADMTYwAgAAAAUyNDUxNQQAAAABMAcAAAAIMy82LzIwMjYIAAAACjEyLzMxLzIwMjQJAAAAATAdXo3lzXveCHAZBTnOe94IO0NJUS5OWVNFOklCTS5JUV9MSUFCSUxJVElFU19MRVZFTF8xLjE5OTYuMDYvMDMvMjAyNi4uLlVTRC5IAQAAAN62AQADAAAAAAAdXo3lzXveCHAZBTnOe94IQ0NJUS5OWVNFOklCTS5JUV9ERUZfVEFYX1ZBTFVBVElPTl9BTExPV0FOQ0UuMTk5Ni4wNi8wMy8yMDI2Li4uVVNELkgBAAAA3rYBAAIAAAAEMTIyMwEIAAAABQAAAAExAQAAAAstMTkwNDg2MDY2NAMAAAADMTYwAgAAAAU0NjA0NQQAAAABMAcAAAAIMy82LzIwMjYIAAAACjEyLzMxLzIwMjQJAAAAATAdXo3lzXveCHAZBTnOe94INENJUS5OWVNFOklCTS5JUV9GSU5JU0hFRF9JTlYuMTk5Ni4wNi8wMy8yMDI2Li4uVVNELkgBAAAA3rYBAAIAAAADMTM0AQgAAAAFAAAAATEBAAAACy0xOTA0ODYwNjY0AwAAAAMxNjACAAAABDMwNzUEAAAAATAHAAAACDMvNi8yMDI2CAAAAAoxMi8zMS8yMDI0CQAAAAEwHV6N5c173ghwGQU5znveCD5DSVEuTllTRTpJQk0uSVFfVE9UQUxfREVCVF9OT05fQ1VSUkVOVC4xOTk2LjA2LzAzLzIwMjYuLi5VU0QuSAEAAADetgEAAgAAAAU1MjUzOQEIAAAABQAAAAExAQAAAAstMTkwNDg2MDY2NAMAAAADMTYwAgAAAAUyNTIyNAQAAAABMAcAAAAI</t>
  </si>
  <si>
    <t>My82LzIwMjYIAAAACjEyLzMxLzIwMjQJAAAAATAdXo3lzXveCHAZBTnOe94IMkNJUS5OWVNFOklCTS5JUV9DQVNIX1NIQVJFLjE5OTYuMDYvMDMvMjAyNi4uLlVTRC5IAQAAAN62AQACAAAACTE1LjA1NjgzOAEIAAAABQAAAAExAQAAAAstMTkwNDg2MDY2NAMAAAADMTYwAgAAAAQ0MzgxBAAAAAEwBwAAAAgzLzYvMjAyNggAAAAKMTIvMzEvMjAyNAkAAAABMB1ejeXNe94Ih0AFOc573ghUQ0lRLk5ZU0U6SUJNLklRX0ZJTkFOQ0lOR19PQkxJR19OT05fQ1VSUkVOVF9FWENMX09QRVJfTEVBU0VTLjE5OTYuMDYvMDMvMjAyNi4uLlVTRC5IAQAAAN62AQACAAAABTQ5ODg0AQgAAAAFAAAAATEBAAAACy0xOTA0ODYwNjY0AwAAAAMxNjACAAAABTQ4OTgxBAAAAAEwBwAAAAgzLzYvMjAyNggAAAAKMTIvMzEvMjAyNAkAAAABMB1ejeXNe94Ih0AFOc573ghFQ0lRLk5ZU0U6SUJNLklRX1JVQV9PUEVSQVRJTkdfTEVBU0VfQUNDVU1fREVQLjE5OTYuMDYvMDMvMjAyNi4uLlVTRC5IAQAAAN62AQADAAAAAAAdXo3lzXveCIdABTnOe94IMENJUS5OWVNFOklCTS5JUV9UUkVBU1VSWS4xOTk2LjA2LzAzLzIwMjYuLi5VU0QuSAEAAADetgEAAgAAAActMTY5OTY4AQgAAAAFAAAAATEBAAAACy0xOTA0ODYwNjY0AwAAAAMxNjACAAAABDEyNDgEAAAAATAHAAAACDMvNi8yMDI2CAAAAAoxMi8zMS8yMDI0CQAAAAEwHV6N5c17</t>
  </si>
  <si>
    <t>3giHQAU5znveCDVDSVEuTllTRTpJQk0uSVFfVU5FQVJOX1JFVl9MVC4xOTk2LjA2LzAzLzIwMjYuLi5VU0QuSAEAAADetgEAAgAAAAQzNjIyAQgAAAAFAAAAATEBAAAACy0xOTA0ODYwNjY0AwAAAAMxNjACAAAABDEyNTYEAAAAATAHAAAACDMvNi8yMDI2CAAAAAoxMi8zMS8yMDI0CQAAAAEwHV6N5c173giHQAU5znveCDhDSVEuTllTRTpJQk0uSVFfTE9OR19URVJNX0xFQVNFUy4xOTk2LjA2LzAzLzIwMjYuLi5VU0QuSAEAAADetgEAAgAAAAQzNDU4AQgAAAAFAAAAATEBAAAACy0xOTA0ODYwNjY0AwAAAAMxNjACAAAABDExODMEAAAAATAHAAAACDMvNi8yMDI2CAAAAAoxMi8zMS8yMDI0CQAAAAEwHV6N5c173ghQZwU5znveCCpDSVEuTllTRTpJQk0uSVFfQVAuMTk5Ni4wNi8wMy8yMDI2Li4uVVNELkgBAAAA3rYBAAIAAAAENDAzMgEIAAAABQAAAAExAQAAAAstMTkwNDg2MDY2NAMAAAADMTYwAgAAAAQxMDE4BAAAAAEwBwAAAAgzLzYvMjAyNggAAAAKMTIvMzEvMjAyNAkAAAABMB1ejeXNe94Ih0AFOc573ghAQ0lRLk5ZU0U6SUJNLklRX1BFTlNJT05fQ0lfTkVUX0FNVF9SRUNPRy4xOTk2LjA2LzAzLzIwMjYuLi5VU0QuSAEAAADetgEAAgAAAAUxODQ0NgAdXo3lzXveCIdABTnOe94IOENJUS5OWVNFOklCTS5JUV9QRU5TSU9OX0JSRUFLRE9XTl9QQ1RfRkkuMTk5Ni4wNi8wMy8yMDI2AQAAAN62AQAC</t>
  </si>
  <si>
    <t>AAAABzU4Ljc1MDgAHV6N5c173giHQAU5znveCD9DSVEuTllTRTpJQk0uSVFfUEVOU0lPTl9PQkxJR0FUSU9OX1BBSUQuMTk5Ni4wNi8wMy8yMDI2Li4uVVNELkgBAAAA3rYBAAIAAAAFLTM2MTEAHV6N5c173giHQAU5znveCD5DSVEuTllTRTpJQk0uSVFfUEVOU0lPTl9PQkxJR0FUSU9OX0JFRy4xOTk2LjA2LzAzLzIwMjYuLi5VU0QuSAEAAADetgEAAgAAAAU1NDcxNAAdXo3lzXveCFBnBTnOe94ITENJUS5OWVNFOklCTS5JUV9QRU5TSU9OX1FVQVJUX0FERExfQ09OVFJJQlVUSU9OU19FWFAuMTk5Ni4wNi8wMy8yMDI2Li4uVVNELkgBAAAA3rYBAAMAAAAAAB1ejeXNe94IUGcFOc573gg/Q0lRLk5ZU0U6SUJNLklRX1BFTlNJT05fVFJBTlNJVElPTl9ORVhULjE5OTYuMDYvMDMvMjAyNi4uLlVTRC5IAQAAAN62AQADAAAAAAAdXo3lzXveCFBnBTnOe94IO0NJUS5OWVNFOklCTS5JUV9MVF9ERUJUX0RFUklWQVRJVkVTLjE5OTYuMDYvMDMvMjAyNi4uLlVTRC5IAQAAAN62AQADAAAAAAAdXo3lzXveCFBnBTnOe94IPUNJUS5OWVNFOklCTS5JUV9GSU5fRElWX1NUX0RFQlRfVE9UQUwuMTk5Ni4wNi8wMy8yMDI2Li4uVVNELkgBAAAA3rYBAAMAAAAAAB1ejeXNe94IUGcFOc573gg7Q0lRLk5ZU0U6SUJNLklRX0xJQUJJTElUSUVTX0xFVkVMXzIuMTk5Ni4wNi8wMy8yMDI2Li4uVVNELkgBAAAA3rYBAAIAAAAD</t>
  </si>
  <si>
    <t>NzI2AB1ejeXNe94IXY4FOc573gg4Q0lRLk5ZU0U6SUJNLklRX09QRUJfRVhQX1JBVEVfUkVUVVJOX01BWC4xOTk2LjA2LzAzLzIwMjYBAAAA3rYBAAMAAAAAAB1ejeXNe94IXY4FOc573gg3Q0lRLk5ZU0U6SUJNLklRX09QRUJfVE9UQUxfQ09TVC4xOTk2LjA2LzAzLzIwMjYuLi5VU0QuSAEAAADetgEAAgAAAAMxMjAAHV6N5c173ghdjgU5znveCD5DSVEuTllTRTpJQk0uSVFfUEVOU0lPTl9PQkxJR0FUSU9OX0FDUS4xOTk2LjA2LzAzLzIwMjYuLi5VU0QuSAEAAADetgEAAwAAAAAAHV6N5c173ghQZwU5znveCEVDSVEuTllTRTpJQk0uSVFfUEVOU0lPTl9PQkxJR0FUSU9OX09USEVSX0NPU1QuMTk5Ni4wNi8wMy8yMDI2Li4uVVNELkgBAAAA3rYBAAIAAAAENDE2NQAdXo3lzXveCFBnBTnOe94IRUNJUS5OWVNFOklCTS5JUV9QRU5TSU9OX0FTU0VUU19PVEhFUl9QTEFOX0FESi4xOTk2LjA2LzAzLzIwMjYuLi5VU0QuSAEAAADetgEAAgAAAAUtNzQ1MQAdXo3lzXveCF2OBTnOe94IOkNJUS5OWVNFOklCTS5JUV9QRU5TSU9OX0FTU0VUU19CRUcuMTk5Ni4wNi8wMy8yMDI2Li4uVVNELkgBAAAA3rYBAAIAAAAFNTM0OTYAHV6N5c173ghdjgU5znveCDxDSVEuTllTRTpJQk0uSVFfUEVOU0lPTl9BQ0NSVUVEX0xJQUIuMTk5Ni4wNi8wMy8yMDI2Li4uVVNELkgBAAAA3rYBAAMAAAAAAB1ejeXNe94IXY4FOc57</t>
  </si>
  <si>
    <t>3gg9Q0lRLk5ZU0U6SUJNLklRX1BFTlNJT05fQVNTRVRTX0ZYX0FESi4xOTk2LjA2LzAzLzIwMjYuLi5VU0QuSAEAAADetgEAAgAAAAUtMTUzMAAdXo3lzXveCF2OBTnOe94IMENJUS5OWVNFOklCTS5JUV9HUk9TU19HVy4xOTk2LjA2LzAzLzIwMjYuLi5VU0QuSAEAAADetgEAAwAAAAAAHV6N5c173ghdjgU5znveCDpDSVEuTllTRTpJQk0uSVFfR1JPU1NfSU5UQU5fQVNTRVRTLjE5OTYuMDYvMDMvMjAyNi4uLlVTRC5IAQAAAN62AQACAAAABTE3OTY0AQgAAAAFAAAAATEBAAAACy0xOTA0ODYwNjY0AwAAAAMxNjACAAAABTI0MjkzBAAAAAEwBwAAAAgzLzYvMjAyNggAAAAKMTIvMzEvMjAyNAkAAAABMB1ejeXNe94ILckFOc573gg4Q0lRLk5ZU0U6SUJNLklRX1BFTlNJT05fQlJFQUtET1dOX1BDVF9FUS4xOTk2LjA2LzAzLzIwMjYBAAAA3rYBAAIAAAAFMi4xMzEAHV6N5c173ggtyQU5znveCE1DSVEuTllTRTpJQk0uSVFfUEVOU0lPTl9BU1NFVFNfRU1QTE9ZRVJfQ09OVFJJQlVUSU9OUy4xOTk2LjA2LzAzLzIwMjYuLi5VU0QuSAEAAADetgEAAgAAAAI2NwAdXo3lzXveCF2OBTnOe94ITkNJUS5OWVNFOklCTS5JUV9QRU5TSU9OX09CTElHQVRJT05fQUNUVUFSSUFMX0dBSU5fTE9TUy4xOTk2LjA2LzAzLzIwMjYuLi5VU0QuSAEAAADetgEAAgAAAAUtMTY2NQAdXo3lzXveCF2OBTnOe94IL0NJUS5OWVNF</t>
  </si>
  <si>
    <t>OklCTS5JUV9BVURJVE9SX09QSU5JT04uMTk5Ni4wNi8wMy8yMDI2AQAAAN62AQADAAAAAAAdXo3lzXveCF2OBTnOe94IMUNJUS5OWVNFOklCTS5JUV9OVU1CRVJfQURSSE9MREVSUy4xOTk2LjA2LzAzLzIwMjYBAAAA3rYBAAMAAAAAAB1ejeXNe94ILckFOc573gg5Q0lRLk5ZU0U6SUJNLklRX0FTU0VUU19GQUlSX1ZBTFVFLjE5OTYuMDYvMDMvMjAyNi4uLlVTRC5IAQAAAN62AQACAAAABDgyNjIAHV6N5c173ggtyQU5znveCEBDSVEuTllTRTpJQk0uSVFfUEVOU0lPTl9QQk9fQVNTVU1FRF9SQVRFX1JFVF9NQVguMTk5Ni4wNi8wMy8yMDI2AQAAAN62AQADAAAAAAAdXo3lzXveCC3JBTnOe94IOUNJUS5OWVNFOklCTS5JUV9QRU5TSU9OX1RPVEFMX0VYUC4xOTk2LjA2LzAzLzIwMjYuLi5VU0QuSAEAAADetgEAAgAAAAQ0MzU3AB1ejeXNe94ILckFOc573gg8Q0lRLk5ZU0U6SUJNLklRX1BFTlNJT05fU0VSVklDRV9DT1NULjE5OTYuMDYvMDMvMjAyNi4uLlVTRC5IAQAAAN62AQACAAAAAzU2NAAdXo3lzXveCC3JBTnOe94IL0NJUS5OWVNFOklCTS5JUV9GSUxJTkdfQ1VSUkVOQ1kuMTk5Ni4wNi8wMy8yMDI2AQAAAN62AQADAAAAA1VTRAD6janlzXveCHEZCTnOe94IQUNJUS5OWVNFOklCTS5JUV9ERVJJVkFUSVZFX0FTU0VUU19DVVJSRU5ULjE5OTYuMDYvMDMvMjAyNi4uLlVTRC5IAQAAAN62AQACAAAA</t>
  </si>
  <si>
    <t>AzU3NQEIAAAABQAAAAExAQAAAAstMTkwNDg2MDY2NAMAAAADMTYwAgAAAAQxMTA5BAAAAAEwBwAAAAgzLzYvMjAyNggAAAAKMTIvMzEvMjAyNAkAAAABMB1ejeXNe94IfvAFOc573gg+Q0lRLk5ZU0U6SUJNLklRX0NPTlRJTkdFTlRfTElBQklMSVRJRVMuMTk5Ni4wNi8wMy8yMDI2Li4uVVNELkgBAAAA3rYBAAMAAAAAAB1ejeXNe94ILckFOc573gg4Q0lRLk5ZU0U6SUJNLklRX1BFTlNJT05fQUNUX05FWFQuMTk5Ni4wNi8wMy8yMDI2Li4uVVNELkgBAAAA3rYBAAMAAAAAAB1ejeXNe94ILckFOc573ghHQ0lRLk5ZU0U6SUJNLklRX1BFTlNJT05fT0JMSUdBVElPTl9TRVJWSUNFX0NPU1QuMTk5Ni4wNi8wMy8yMDI2Li4uVVNELkgBAAAA3rYBAAIAAAADNTY0AB1ejeXNe94ILckFOc573gg9Q0lRLk5ZU0U6SUJNLklRX0RFQlRfRVFVSVZfT1BFUl9MRUFTRS4xOTk2LjA2LzAzLzIwMjYuLi5VU0QuSAEAAADetgEAAgAAAAUxMDQ3MgEIAAAABQAAAAExAQAAAAstMTkwNDg2MDY2NAMAAAADMTYwAgAAAAUyMTY3MQQAAAABMAcAAAAIMy82LzIwMjYIAAAACjEyLzMxLzIwMjQJAAAAATAdXo3lzXveCH7wBTnOe94IKUNJUS5OWVNFOklCTS5JUV9GVUxMX1RJTUUuMTk5Ni4wNi8wMy8yMDI2AQAAAN62AQACAAAABjI3MDMwMAAdXo3lzXveCH7wBTnOe94ITUNJUS5OWVNFOklCTS5JUV9MSUFCSUxJVElFU19ORVRU</t>
  </si>
  <si>
    <t>SU5HX09USEVSX0FESlVTVE1FTlRTLjE5OTYuMDYvMDMvMjAyNi4uLlVTRC5IAQAAAN62AQADAAAAAAAdXo3lzXveCH7wBTnOe94ISUNJUS5OWVNFOklCTS5JUV9HRU5FUkFMX1BBUlRORVJfTUlOT1JJVFlfSU5URVJFU1QuMTk5Ni4wNi8wMy8yMDI2Li4uVVNELkgBAAAA3rYBAAMAAAAAAB1ejeXNe94IfvAFOc573ggxQ0lRLk5ZU0U6SUJNLklRX0JVSUxESU5HUy4xOTk2LjA2LzAzLzIwMjYuLi5VU0QuSAEAAADetgEAAgAAAAQ0ODI1AQgAAAAFAAAAATEBAAAACy0xOTA0ODYwNjY0AwAAAAMxNjACAAAABDMwMjMEAAAAATAHAAAACDMvNi8yMDI2CAAAAAoxMi8zMS8yMDI0CQAAAAEwHV6N5c173gh+8AU5znveCERDSVEuTllTRTpJQk0uSVFfUEVOU0lPTl9BU1NFVFNfQkVORUZJVFNfUEFJRC4xOTk2LjA2LzAzLzIwMjYuLi5VU0QuSAEAAADetgEAAgAAAAUtMzA2NwAdXo3lzXveCH7wBTnOe94IPkNJUS5OWVNFOklCTS5JUV9QRU5TSU9OX09CTElHQVRJT05fUk9BLjE5OTYuMDYvMDMvMjAyNi4uLlVTRC5IAQAAAN62AQACAAAABS0yNzk5AB1ejeXNe94IfvAFOc573ggsQ0lRLk5ZU0U6SUJNLklRX0NBTENfVFlQRV9CUy4xOTk2LjA2LzAzLzIwMjYBAAAA3rYBAAMAAAADUkVQAB1ejeXNe94IfvAFOc573gg7Q0lRLk5ZU0U6SUJNLklRX09QRUJfQVNTRVRTX0NVUlRBSUwuMTk5Ni4wNi8wMy8yMDI2Li4u</t>
  </si>
  <si>
    <t>VVNELkgBAAAA3rYBAAMAAAAAAB1ejeXNe94IfvAFOc573gg8Q0lRLk5ZU0U6SUJNLklRX1BFTlNJT05fUFJFUEFJRF9DT1NULjE5OTYuMDYvMDMvMjAyNi4uLlVTRC5IAQAAAN62AQADAAAAAAAdXo3lzXveCH7wBTnOe94IRkNJUS5OWVNFOklCTS5JUV9QRU5TSU9OX0FDQ1VNVUxBVEVEX09CTElHQVRJT04uMTk5Ni4wNi8wMy8yMDI2Li4uVVNELkgBAAAA3rYBAAIAAAAFNDI0MDYAHV6N5c173gi8FwY5znveCEFDSVEuTllTRTpJQk0uSVFfUEVOU0lPTl9PQkxJR0FUSU9OX0ZYX0FESi4xOTk2LjA2LzAzLzIwMjYuLi5VU0QuSAEAAADetgEAAgAAAAUtMTg1MAAdXo3lzXveCLwXBjnOe94IRUNJUS5OWVNFOklCTS5JUV9QRU5TSU9OX09CTElHQVRJT05fVE9UQUxfQ09TVC4xOTk2LjA2LzAzLzIwMjYuLi5VU0QuSAEAAADetgEAAgAAAAQzOTE3AB1ejeXNe94IvBcGOc573gg9Q0lRLk5ZU0U6SUJNLklRX1RPVEFMX09VVFNUQU5ESU5HX0ZJTElOR19EQVRFLjE5OTYuMDYvMDMvMjAyNgEAAADetgEAAgAAAAo5MjcuMjY0MzMyAQQAAAAFAAAAATUBAAAACy0xOTA0ODYwNjY0AgAAAAUyNDE1MwYAAAABMB1ejeXNe94IvBcGOc573gg0Q0lRLk5ZU0U6SUJNLklRX1RPVEFMX0xFQVNFUy4xOTk2LjA2LzAzLzIwMjYuLi5VU0QuSAEAAADetgEAAgAAAAQ0NDI0AQgAAAAFAAAAATEBAAAACy0xOTA0ODYwNjY0AwAA</t>
  </si>
  <si>
    <t>AAMxNjACAAAABTQ4OTc5BAAAAAEwBwAAAAgzLzYvMjAyNggAAAAKMTIvMzEvMjAyNAkAAAABMB1ejeXNe94IvBcGOc573ggxQ0lRLk5ZU0U6SUJNLklRX1JVQV9HUk9TUy4xOTk2LjA2LzAzLzIwMjYuLi5VU0QuSAEAAADetgEAAwAAAAAAHV6N5c173gi8FwY5znveCDNDSVEuTllTRTpJQk0uSVFfUFJFRl9SRURFRU0uMTk5Ni4wNi8wMy8yMDI2Li4uVVNELkgBAAAA3rYBAAMAAAAAAB1ejeXNe94IvBcGOc573gg1Q0lRLk5ZU0U6SUJNLklRX09USEVSX0xJQUJfTFQuMTk5Ni4wNi8wMy8yMDI2Li4uVVNELkgBAAAA3rYBAAIAAAAFMTAyMzIBCAAAAAUAAAABMQEAAAALLTE5MDQ4NjA2NjQDAAAAAzE2MAIAAAAEMTA2MgQAAAABMAcAAAAIMy82LzIwMjYIAAAACjEyLzMxLzIwMjQJAAAAATAdXo3lzXveCLwXBjnOe94IL0NJUS5OWVNFOklCTS5JUV9QRU5TSU9OLjE5OTYuMDYvMDMvMjAyNi4uLlVTRC5IAQAAAN62AQACAAAABDk0MzIBCAAAAAUAAAABMQEAAAALLTE5MDQ4NjA2NjQDAAAAAzE2MAIAAAAEMTIxMwQAAAABMAcAAAAIMy82LzIwMjYIAAAACjEyLzMxLzIwMjQJAAAAATAdXo3lzXveCLwXBjnOe94INkNJUS5OWVNFOklCTS5JUV9PVEhFUl9DQV9TVVBQTC4xOTk2LjA2LzAzLzIwMjYuLi5VU0QuSAEAAADetgEAAgAAAAQxNTMzAQgAAAAFAAAAATEBAAAACy0xOTA0ODYwNjY0AwAAAAMxNjACAAAA</t>
  </si>
  <si>
    <t>BDEwNTUEAAAAATAHAAAACDMvNi8yMDI2CAAAAAoxMi8zMS8yMDI0CQAAAAEwHV6N5c173gi8FwY5znveCDJDSVEuTllTRTpJQk0uSVFfQ0FTSF9FUVVJVi4xOTk2LjA2LzAzLzIwMjYuLi5VU0QuSAEAAADetgEAAgAAAAUxMzk0NwEIAAAABQAAAAExAQAAAAstMTkwNDg2MDY2NAMAAAADMTYwAgAAAAQxMDk2BAAAAAEwBwAAAAgzLzYvMjAyNggAAAAKMTIvMzEvMjAyNAkAAAABMB1ejeXNe94I7D4GOc573gg0Q0lRLk5ZU0U6SUJNLklRX0RPX0lOVkVTVF9DRi4xOTk2LjA2LzAzLzIwMjYuLi5VU0QuSAEAAADetgEAAwAAAAAAHV6N5c173gjsPgY5znveCDBDSVEuTllTRTpJQk0uSVFfQ0ZfU0hBUkUuMTk5Ni4wNi8wMy8yMDI2Li4uVVNELkgBAAAA3rYBAAIAAAAJMTIuNzU4MDkzAQgAAAAFAAAAATEBAAAACy0xOTA0ODYwNjY0AwAAAAMxNjACAAAABTQzOTIzBAAAAAEwBwAAAAgzLzYvMjAyNggAAAAKMTIvMzEvMjAyNAkAAAABMB1ejeXNe94I7D4GOc573gg5Q0lRLk5ZU0U6SUJNLklRX0NBU0hfSU5URVJFU1RfTkVULjE5OTYuMDYvMDMvMjAyNi4uLlVTRC5IAQAAAN62AQADAAAAAAAdXo3lzXveCOw+BjnOe94IL0NJUS5OWVNFOklCTS5JUV9QRVJJT0RMRU5HVEhfQ0YuMTk5Ni4wNi8wMy8yMDI2AQAAAN62AQABAAAAAjEyAB1ejeXNe94IvBcGOc573gg6Q0lRLk5ZU0U6SUJNLklRX1RCVl9TSEFSRV9S</t>
  </si>
  <si>
    <t>RVBPUlRFRC4xOTk2LjA2LzAzLzIwMjYuLi5VU0QuSAEAAADetgEAAwAAAAAAHV6N5c173gjiUgY5znveCEFDSVEuTllTRTpJQk0uSVFfUlVBX09QRVJBVElOR19MRUFTRV9HUk9TUy4xOTk2LjA2LzAzLzIwMjYuLi5VU0QuSAEAAADetgEAAgAAAAQzMTk3AQgAAAAFAAAAATEBAAAACy0xOTA0ODYwNjY0AwAAAAMxNjACAAAABTQ4Mzc3BAAAAAEwBwAAAAgzLzYvMjAyNggAAAAKMTIvMzEvMjAyNAkAAAABMB1ejeXNe94I4lIGOc573ghDQ0lRLk5ZU0U6SUJNLklRX1JVQV9DQVBJVEFMX0xFQVNFX0FDQ1VNX0RFUC4xOTk2LjA2LzAzLzIwMjYuLi5VU0QuSAEAAADetgEAAwAAAAAAHV6N5c173gjiUgY5znveCDRDSVEuTllTRTpJQk0uSVFfVE9UQUxfUkVDRUlWLjE5OTYuMDYvMDMvMjAyNi4uLlVTRC5IAQAAAN62AQACAAAABDgxODQBCAAAAAUAAAABMQEAAAALLTE5MDQ4NjA2NjQDAAAAAzE2MAIAAAAEMTAwMQQAAAABMAcAAAAIMy82LzIwMjYIAAAACjEyLzMxLzIwMjQJAAAAATAdXo3lzXveCOw+BjnOe94IKkNJUS5OWVNFOklCTS5JUV9BUi4xOTk2LjA2LzAzLzIwMjYuLi5VU0QuSAEAAADetgEAAgAAAAQ3MjM3AQgAAAAFAAAAATEBAAAACy0xOTA0ODYwNjY0AwAAAAMxNjACAAAABDEwMjEEAAAAATAHAAAACDMvNi8yMDI2CAAAAAoxMi8zMS8yMDI0CQAAAAEwHV6N5c173gjsPgY5znveCEtDSVEuTllT</t>
  </si>
  <si>
    <t>RTpJQk0uSVFfT1BFUkFUSU5HX0xFQVNFX0xJQUJJTElUSUVTX05PTkNBU0guMTk5Ni4wNi8wMy8yMDI2Li4uVVNELkgBAAAA3rYBAAMAAAAAAB1ejeXNe94I4lIGOc573gg5Q0lRLk5ZU0U6SUJNLklRX0NBU0hfVEFYRVNfSU5WRVNULjE5OTYuMDYvMDMvMjAyNi4uLlVTRC5IAQAAAN62AQADAAAAAAAdXo3lzXveCOJSBjnOe94IP0NJUS5OWVNFOklCTS5JUV9NSU5PUklUWV9JTlRFUkVTVF9UT1RBTC4xOTk2LjA2LzAzLzIwMjYuLi5VU0QuSAEAAADetgEAAgAAAAI4NgEIAAAABQAAAAExAQAAAAstMTkwNDg2MDY2NAMAAAADMTYwAgAAAAQxMzEyBAAAAAEwBwAAAAgzLzYvMjAyNggAAAAKMTIvMzEvMjAyNAkAAAABMB1ejeXNe94I4lIGOc573ggwQ0lRLk5ZU0U6SUJNLklRX0JWX1NIQVJFLjE5OTYuMDYvMDMvMjAyNi4uLlVTRC5IAQAAAN62AQACAAAACTI5LjQ3OTk2NgEIAAAABQAAAAExAQAAAAstMTkwNDg2MDY2NAMAAAADMTYwAgAAAAQ0MDIwBAAAAAEwBwAAAAgzLzYvMjAyNggAAAAKMTIvMzEvMjAyNAkAAAABMB1ejeXNe94I4lIGOc573gg+Q0lRLk5ZU0U6SUJNLklRX0RFRl9UQVhfQVNTRVRTX0NVUlJFTlQuMTk5Ni4wNi8wMy8yMDI2Li4uVVNELkgBAAAA3rYBAAMAAAAAAB1ejeXNe94I4lIGOc573gg7Q0lRLk5ZU0U6SUJNLklRX1RPVEFMX0RFQlRfRVhDTF9GSU4uMTk5Ni4wNi8wMy8yMDI2</t>
  </si>
  <si>
    <t>Li4uVVNELkgBAAAA3rYBAAIAAAAFNTgzOTYBCAAAAAUAAAABMQEAAAALLTE5MDQ4NjA2NjQDAAAAAzE2MAIAAAAFMjE4NjAEAAAAATAHAAAACDMvNi8yMDI2CAAAAAoxMi8zMS8yMDI0CQAAAAEwHV6N5c173ggTegY5znveCD9DSVEuTllTRTpJQk0uSVFfTUlOT1JJVFlfSU5UX1JFREVFTV9UT1QuMTk5Ni4wNi8wMy8yMDI2Li4uVVNELkgBAAAA3rYBAAMAAAAAAB1ejeXNe94IE3oGOc573ggwQ0lRLk5ZU0U6SUJNLklRX0dXX0lOVEFOLjE5OTYuMDYvMDMvMjAyNi4uLlVTRC5IAQAAAN62AQACAAAABTcxMzY2AQgAAAAFAAAAATEBAAAACy0xOTA0ODYwNjY0AwAAAAMxNjACAAAABTM1MzgxBAAAAAEwBwAAAAgzLzYvMjAyNggAAAAKMTIvMzEvMjAyNAkAAAABMB1ejeXNe94I4lIGOc573ggqQ0lRLk5ZU0U6SUJNLklRX1JFLjE5OTYuMDYvMDMvMjAyNi4uLlVTRC5IAQAAAN62AQACAAAABjE1MTE2MwEIAAAABQAAAAExAQAAAAstMTkwNDg2MDY2NAMAAAADMTYwAgAAAAQxMjIyBAAAAAEwBwAAAAgzLzYvMjAyNggAAAAKMTIvMzEvMjAyNAkAAAABMB1ejeXNe94I4lIGOc573gg3Q0lRLk5ZU0U6SUJNLklRX0ZJTl9ESVZfREVCVF9MVC4xOTk2LjA2LzAzLzIwMjYuLi5VU0QuSAEAAADetgEAAwAAAAAAHV6N5c173gjiUgY5znveCC9DSVEuTllTRTpJQk0uSVFfTFRfREVCVC4xOTk2LjA2LzAzLzIwMjYuLi5V</t>
  </si>
  <si>
    <t>U0QuSAEAAADetgEAAgAAAAU0OTA4MQEIAAAABQAAAAExAQAAAAstMTkwNDg2MDY2NAMAAAADMTYwAgAAAAQxMDQ5BAAAAAEwBwAAAAgzLzYvMjAyNggAAAAKMTIvMzEvMjAyNAkAAAABMB1ejeXNe94IE3oGOc573gg2Q0lRLk5ZU0U6SUJNLklRX09USEVSX0NMX1NVUFBMLjE5OTYuMDYvMDMvMjAyNi4uLlVTRC5IAQAAAN62AQACAAAAAzI2MQEIAAAABQAAAAExAQAAAAstMTkwNDg2MDY2NAMAAAADMTYwAgAAAAQxMDU3BAAAAAEwBwAAAAgzLzYvMjAyNggAAAAKMTIvMzEvMjAyNAkAAAABMB1ejeXNe94IE3oGOc573gg5Q0lRLk5ZU0U6SUJNLklRX0RFRl9UQVhfQVNTRVRTX0xULjE5OTYuMDYvMDMvMjAyNi4uLlVTRC5IAQAAAN62AQACAAAABDY5NzgBCAAAAAUAAAABMQEAAAALLTE5MDQ4NjA2NjQDAAAAAzE2MAIAAAAEMTAyNgQAAAABMAcAAAAIMy82LzIwMjYIAAAACjEyLzMxLzIwMjQJAAAAATAdXo3lzXveCBN6BjnOe94IJ0NJUS5OWVNFOklCTS5JUV9HQUFQX0NGLjE5OTYuMDYvMDMvMjAyNgEAAADetgEAAwAAAAdVUyBHQUFQAB1ejeXNe94IE3oGOc573gg+Q0lRLk5ZU0U6SUJNLklRX1RPVEFMX0RFQlRfRVhDTF9MRUFTRVMuMTk5Ni4wNi8wMy8yMDI2Li4uVVNELkgBAAAA3rYBAAIAAAAFNTM5NzIBCAAAAAUAAAABMQEAAAALLTE5MDQ4NjA2NjQDAAAAAzE2MAIAAAAFNDg5OTIEAAAAATAHAAAA</t>
  </si>
  <si>
    <t>CDMvNi8yMDI2CAAAAAoxMi8zMS8yMDI0CQAAAAEwHV6N5c173ggTegY5znveCC1DSVEuTllTRTpJQk0uSVFfQVJfTFQuMTk5Ni4wNi8wMy8yMDI2Li4uVVNELkgBAAAA3rYBAAMAAAAAAB1ejeXNe94IE3oGOc573gg4Q0lRLk5ZU0U6SUJNLklRX0ZJTl9ESVZfTE9BTlNfTFQuMTk5Ni4wNi8wMy8yMDI2Li4uVVNELkgBAAAA3rYBAAIAAAAENTM1MwEIAAAABQAAAAExAQAAAAstMTkwNDg2MDY2NAMAAAADMTYwAgAAAAQxMDMzBAAAAAEwBwAAAAgzLzYvMjAyNggAAAAKMTIvMzEvMjAyNAkAAAABMB1ejeXNe94IE3oGOc573ghDQ0lRLk5ZU0U6SUJNLklRX1JFU1RSSUNURURfQ0FTSF9OT05fQ1VSUkVOVC4xOTk2LjA2LzAzLzIwMjYuLi5VU0QuSAEAAADetgEAAwAAAAAAHV6N5c173ggTegY5znveCC1DSVEuTllTRTpJQk0uSVFfQVZHX0VNUExPWUVFUy4xOTk2LjA2LzAzLzIwMjYBAAAA3rYBAAMAAAAAAB1ejeXNe94IE3oGOc573ghKQ0lRLk5ZU0U6SUJNLklRX0xJUVVJREFUSU9OX1ZBTFVFX1BSRUZFUlJFRF9SRURFRU0uMTk5Ni4wNi8wMy8yMDI2Li4uVVNELkgBAAAA3rYBAAMAAAAAAB1ejeXNe94IE3oGOc573ggvQ0lRLk5ZU0U6SUJNLklRX1JBV19JTlYuMTk5Ni4wNi8wMy8yMDI2Li4uVVNELkgBAAAA3rYBAAMAAAAAAB1ejeXNe94IE3oGOc573ghAQ0lRLk5ZU0U6SUJNLklRX0ZJTkFOQ0VfTEVB</t>
  </si>
  <si>
    <t>U0VTX0xPTkdfVEVSTS4xOTk2LjA2LzAzLzIwMjYuLi5VU0QuSAEAAADetgEAAgAAAAM4MDMBCAAAAAUAAAABMQEAAAALLTE5MDQ4NjA2NjQDAAAAAzE2MAIAAAAFNDg5OTEEAAAAATAHAAAACDMvNi8yMDI2CAAAAAoxMi8zMS8yMDI0CQAAAAEwHV6N5c173ggTegY5znveCDlDSVEuTllTRTpJQk0uSVFfVE9UQUxfTElBQl9FUVVJVFkuMTk5Ni4wNi8wMy8yMDI2Li4uVVNELkgBAAAA3rYBAAIAAAAGMTM3MTc1AQgAAAAFAAAAATEBAAAACy0xOTA0ODYwNjY0AwAAAAMxNjACAAAABDEwMTMEAAAAATAHAAAACDMvNi8yMDI2CAAAAAoxMi8zMS8yMDI0CQAAAAEwHV6N5c173ggTegY5znveCDlDSVEuTllTRTpJQk0uSVFfTUlOT1JJVFlfSU5URVJFU1QuMTk5Ni4wNi8wMy8yMDI2Li4uVVNELkgBAAAA3rYBAAIAAAACODYBCAAAAAUAAAABMQEAAAALLTE5MDQ4NjA2NjQDAAAAAzE2MAIAAAAEMTA1MgQAAAABMAcAAAAIMy82LzIwMjYIAAAACjEyLzMxLzIwMjQJAAAAATAdXo3lzXveCBN6BjnOe94INENJUS5OWVNFOklCTS5JUV9PVEhFUl9FUVVJVFkuMTk5Ni4wNi8wMy8yMDI2Li4uVVNELkgBAAAA3rYBAAIAAAAGLTE1MjY4AQgAAAAFAAAAATEBAAAACy0xOTA0ODYwNjY0AwAAAAMxNjACAAAABDEwMjgEAAAAATAHAAAACDMvNi8yMDI2CAAAAAoxMi8zMS8yMDI0CQAAAAEwHV6N5c173ggTegY5znveCD5DSVEu</t>
  </si>
  <si>
    <t>TllTRTpJQk0uSVFfTkFUVVJBTF9SRVNPVVJDRVNfQ09TVC4xOTk2LjA2LzAzLzIwMjYuLi5VU0QuSAEAAADetgEAAwAAAAAAHV6N5c173gjRtAY5znveCDJDSVEuTllTRTpJQk0uSVFfVE9UQUxfREVCVC4xOTk2LjA2LzAzLzIwMjYuLi5VU0QuSAEAAADetgEAAgAAAAU1ODM5NgEIAAAABQAAAAExAQAAAAstMTkwNDg2MDY2NAMAAAADMTYwAgAAAAQ0MTczBAAAAAEwBwAAAAgzLzYvMjAyNggAAAAKMTIvMzEvMjAyNAkAAAABMB1ejeXNe94I0bQGOc573ggxQ0lRLk5ZU0U6SUJNLklRX1RCVl9TSEFSRS4xOTk2LjA2LzAzLzIwMjYuLi5VU0QuSAEAAADetgEAAgAAAAotNDcuNTY1MDEzAQgAAAAFAAAAATEBAAAACy0xOTA0ODYwNjY0AwAAAAMxNjACAAAABDQxNTYEAAAAATAHAAAACDMvNi8yMDI2CAAAAAoxMi8zMS8yMDI0CQAAAAEwHV6N5c173gjRtAY5znveCDVDSVEuTllTRTpJQk0uSVFfUlVBX0FDQ1VNX0RFUC4xOTk2LjA2LzAzLzIwMjYuLi5VU0QuSAEAAADetgEAAwAAAAAAHV6N5c173gjRtAY5znveCCxDSVEuTllTRTpJQk0uSVFfTlBQRS4xOTk2LjA2LzAzLzIwMjYuLi5VU0QuSAEAAADetgEAAgAAAAQ4OTI5AQgAAAAFAAAAATEBAAAACy0xOTA0ODYwNjY0AwAAAAMxNjACAAAABDEwMDQEAAAAATAHAAAACDMvNi8yMDI2CAAAAAoxMi8zMS8yMDI0CQAAAAEwHV6N5c173gjRtAY5znveCC5DSVEu</t>
  </si>
  <si>
    <t>TllTRTpJQk0uSVFfQ09TVF9CT1JST1dJTkcuMTk5Ni4wNi8wMy8yMDI2AQAAAN62AQACAAAABjIuOTEzOAEIAAAABQAAAAExAQAAAAstMTkwNDg2MDY2NAMAAAADMTYwAgAAAAUyMTY4MQQAAAABMAcAAAAIMy82LzIwMjYIAAAACjEyLzMxLzIwMjQJAAAAATAdXo3lzXveCNG0BjnOe94IQ0NJUS5OWVNFOklCTS5JUV9GSU5fRElWX01JTk9SSVRZX0lOVF9SRURFRU0uMTk5Ni4wNi8wMy8yMDI2Li4uVVNELkgBAAAA3rYBAAMAAAAAAB1ejeXNe94I0bQGOc573ggzQ0lRLk5ZU0U6SUJNLklRX1dPUktJTkdfQ0FQLjE5OTYuMDYvMDMvMjAyNi4uLlVTRC5IAQAAAN62AQACAAAABDEzNDABCAAAAAUAAAABMQEAAAALLTE5MDQ4NjA2NjQDAAAAAzE2MAIAAAAENDE2NQQAAAABMAcAAAAIMy82LzIwMjYIAAAACjEyLzMxLzIwMjQJAAAAATAdXo3lzXveCNG0BjnOe94ILUNJUS5OWVNFOklCTS5JUV9GSUxJTkdEQVRFX0JTLjE5OTYuMDYvMDMvMjAyNgEAAADetgEABQAAAAoyNC8wMi8yMDI2AB1ejeXNe94I0bQGOc573gg5Q0lRLk5ZU0U6SUJNLklRX1RPVEFMX09QRVJfTEVBU0VTLjE5OTYuMDYvMDMvMjAyNi4uLlVTRC5IAQAAAN62AQACAAAABDM0MjMBCAAAAAUAAAABMQEAAAALLTE5MDQ4NjA2NjQDAAAAAzE2MAIAAAAFNDg5NzgEAAAAATAHAAAACDMvNi8yMDI2CAAAAAoxMi8zMS8yMDI0CQAAAAEwHV6N5c17</t>
  </si>
  <si>
    <t>3gjRtAY5znveCDxDSVEuTllTRTpJQk0uSVFfRklOX0RJVl9ERUJUX0NVUlJFTlQuMTk5Ni4wNi8wMy8yMDI2Li4uVVNELkgBAAAA3rYBAAMAAAAAAB1ejeXNe94IHtwGOc573gg5Q0lRLk5ZU0U6SUJNLklRX0NVUlJFTlRfUE9SVF9ERUJULjE5OTYuMDYvMDMvMjAyNi4uLlVTRC5IAQAAAN62AQACAAAABDQ4NjEBCAAAAAUAAAABMQEAAAALLTE5MDQ4NjA2NjQDAAAAAzE2MAIAAAAEMTI5NwQAAAABMAcAAAAIMy82LzIwMjYIAAAACjEyLzMxLzIwMjQJAAAAATAdXo3lzXveCB7cBjnOe94ILkNJUS5OWVNFOklCTS5JUV9SRVNUQVRFTUVOVF9DRi4xOTk2LjA2LzAzLzIwMjYBAAAA3rYBAAMAAAACTkMAHV6N5c173gge3AY5znveCDVDSVEuTllTRTpJQk0uSVFfVU5MRVZFUkVEX0ZDRi4xOTk2LjA2LzAzLzIwMjYuLi5VU0QuSAEAAADetgEAAgAAAAcxMDM5NS41AQgAAAAFAAAAATEBAAAACy0xOTA0ODYwNjY0AwAAAAMxNjACAAAABDQ0MjMEAAAAATAHAAAACDMvNi8yMDI2CAAAAAoxMi8zMS8yMDI0CQAAAAEwHV6N5c173gge3AY5znveCDVDSVEuTllTRTpJQk0uSVFfQ0FTSF9JTlRFUkVTVC4xOTk2LjA2LzAzLzIwMjYuLi5VU0QuSAEAAADetgEAAgAAAAQxOTc4AQgAAAAFAAAAATEBAAAACy0xOTA0ODYwNjY0AwAAAAMxNjACAAAABDMwMjgEAAAAATAHAAAACDMvNi8yMDI2CAAAAAoxMi8zMS8yMDI0CQAA</t>
  </si>
  <si>
    <t>AAEwHV6N5c173gjRtAY5znveCC1DSVEuTllTRTpJQk0uSVFfRklMSU5HREFURV9DRi4xOTk2LjA2LzAzLzIwMjYBAAAA3rYBAAUAAAAKMjQvMDIvMjAyNgAdXo3lzXveCB7cBjnOe94INkNJUS5OWVNFOklCTS5JUV9NSVNDX0FESlVTVF9DRi4xOTk2LjA2LzAzLzIwMjYuLi5VU0QuSAEAAADetgEAAgAAAAExAQgAAAAFAAAAATEBAAAACy0xOTA0ODYwNjY0AwAAAAMxNjACAAAABDIxNDkEAAAAATAHAAAACDMvNi8yMDI2CAAAAAoxMi8zMS8yMDI0CQAAAAEwHV6N5c173gge3AY5znveCDlDSVEuTllTRTpJQk0uSVFfVE9UQUxfREVCVF9SRVBBSUQuMTk5Ni4wNi8wMy8yMDI2Li4uVVNELkgBAAAA3rYBAAIAAAAFLTY2MTUBCAAAAAUAAAABMQEAAAALLTE5MDQ4NjA2NjQDAAAAAzE2MAIAAAAEMjE2NgQAAAABMAcAAAAIMy82LzIwMjYIAAAACjEyLzMxLzIwMjQJAAAAATAdXo3lzXveCB7cBjnOe94IN0NJUS5OWVNFOklCTS5JUV9DQVNIX0FDUVVJUkVfQ0YuMTk5Ni4wNi8wMy8yMDI2Li4uVVNELkgBAAAA3rYBAAIAAAAFLTMyODkBCAAAAAUAAAABMQEAAAALLTE5MDQ4NjA2NjQDAAAAAzE2MAIAAAAEMjA1NwQAAAABMAcAAAAIMy82LzIwMjYIAAAACjEyLzMxLzIwMjQJAAAAATAdXo3lzXveCB7cBjnOe94ILUNJUS5OWVNFOklCTS5JUV9ET19DRi4xOTk2LjA2LzAzLzIwMjYuLi5VU0QuSAEAAADetgEAAwAA</t>
  </si>
  <si>
    <t>AAAAHV6N5c173gge3AY5znveCDJDSVEuTllTRTpJQk0uSVFfT0lMX0lNUEFJUi4xOTk2LjA2LzAzLzIwMjYuLi5VU0QuSAEAAADetgEAAwAAAAAAHV6N5c173ghuAwc5znveCC1DSVEuTllTRTpJQk0uSVFfTklfQ0YuMTk5Ni4wNi8wMy8yMDI2Li4uVVNELkgBAAAA3rYBAAIAAAAENjAyMwEIAAAABQAAAAExAQAAAAstMTkwNDg2MDY2NAMAAAADMTYwAgAAAAQyMTUwBAAAAAEwBwAAAAgzLzYvMjAyNggAAAAKMTIvMzEvMjAyNAkAAAABMB1ejeXNe94IHtwGOc573gg5Q0lRLk5ZU0U6SUJNLklRX1NUT0NLX0JBU0VEX09USEVSLjE5OTYuMDYvMDMvMjAyNi4uLlVTRC5IAQAAAN62AQADAAAAAAAdXo3lzXveCB7cBjnOe94IUENJUS5OWVNFOklCTS5JUV9GSU5BTkNJTkdfT0JMSUdfQ1VSUkVOVF9FWENMX09QRVJfTEVBU0VTLjE5OTYuMDYvMDMvMjAyNi4uLlVTRC5IAQAAAN62AQACAAAABDUwODkBCAAAAAUAAAABMQEAAAALLTE5MDQ4NjA2NjQDAAAAAzE2MAIAAAAFNDg5ODAEAAAAATAHAAAACDMvNi8yMDI2CAAAAAoxMi8zMS8yMDI0CQAAAAEwHV6N5c173gge3AY5znveCDtDSVEuTllTRTpJQk0uSVFfSU5DX1RBWF9QQVlfQ1VSUkVOVC4xOTk2LjA2LzAzLzIwMjYuLi5VU0QuSAEAAADetgEAAgAAAAQyMDMzAQgAAAAFAAAAATEBAAAACy0xOTA0ODYwNjY0AwAAAAMxNjACAAAABDEwOTQEAAAAATAHAAAA</t>
  </si>
  <si>
    <t>CDMvNi8yMDI2CAAAAAoxMi8zMS8yMDI0CQAAAAEwHV6N5c173gge3AY5znveCDNDSVEuTllTRTpJQk0uSVFfUFJFUEFJRF9FWFAuMTk5Ni4wNi8wMy8yMDI2Li4uVVNELkgBAAAA3rYBAAIAAAAEMTUxMgEIAAAABQAAAAExAQAAAAstMTkwNDg2MDY2NAMAAAADMTYwAgAAAAQxMjEyBAAAAAEwBwAAAAgzLzYvMjAyNggAAAAKMTIvMzEvMjAyNAkAAAABMB1ejeXNe94IbgMHOc573gg0Q0lRLk5ZU0U6SUJNLklRX0dXX0lOVEFOX05FVC4xOTk2LjA2LzAzLzIwMjYuLi5VU0QuSAEAAADetgEAAwAAAAAAHV6N5c173ghuAwc5znveCDlDSVEuTllTRTpJQk0uSVFfVE9UQUxfT1VUU1RBTkRJTkdfQlNfREFURS4xOTk2LjA2LzAzLzIwMjYBAAAA3rYBAAIAAAAJOTI2LjI5MDA3AQQAAAAFAAAAATUBAAAACy0xOTA0ODYwNjY0AgAAAAUyNDE1MgYAAAABMB1ejeXNe94IbgMHOc573ghDQ0lRLk5ZU0U6SUJNLklRX1RPVEFMX0RFQlRfRVhDTF9PUEVSX0xFQVNFUy4xOTk2LjA2LzAzLzIwMjYuLi5VU0QuSAEAAADetgEAAgAAAAU1NDk3MwEIAAAABQAAAAExAQAAAAstMTkwNDg2MDY2NAMAAAADMTYwAgAAAAU0ODk4MgQAAAABMAcAAAAIMy82LzIwMjYIAAAACjEyLzMxLzIwMjQJAAAAATAdXo3lzXveCG4DBznOe94ILENJUS5OWVNFOklCTS5JUV9BUElDLjE5OTYuMDYvMDMvMjAyNi4uLlVTRC5IAQAAAN62AQADAAAA</t>
  </si>
  <si>
    <t>AAAdXo3lzXveCG4DBznOe94IM0NJUS5OWVNFOklCTS5JUV9QUkVGX0VRVUlUWS4xOTk2LjA2LzAzLzIwMjYuLi5VU0QuSAEAAADetgEAAwAAAAAAHV6N5c173ghuAwc5znveCDRDSVEuTllTRTpJQk0uSVFfUFJFRl9DT05WRVJULjE5OTYuMDYvMDMvMjAyNi4uLlVTRC5IAQAAAN62AQADAAAAAAAdXo3lzXveCG4DBznOe94IPENJUS5OWVNFOklCTS5JUV9ERUZfVEFYX0xJQUJfQ1VSUkVOVC4xOTk2LjA2LzAzLzIwMjYuLi5VU0QuSAEAAADetgEAAwAAAAAAHV6N5c173ghuAwc5znveCDZDSVEuTllTRTpJQk0uSVFfQ0FTSF9TVF9JTlZFU1QuMTk5Ni4wNi8wMy8yMDI2Li4uVVNELkgBAAAA3rYBAAIAAAAFMTQ1OTEBCAAAAAUAAAABMQEAAAALLTE5MDQ4NjA2NjQDAAAAAzE2MAIAAAAEMTAwMgQAAAABMAcAAAAIMy82LzIwMjYIAAAACjEyLzMxLzIwMjQJAAAAATAdXo3lzXveCG4DBznOe94IQ0NJUS5OWVNFOklCTS5JUV9PUEVSQVRJTkdfTEVBU0VfTElBQklMSVRJRVMuMTk5Ni4wNi8wMy8yMDI2Li4uVVNELkgBAAAA3rYBAAMAAAAAAMham+XNe94IbgMHOc573gg3Q0lRLk5ZU0U6SUJNLklRX0NBU0hfVEFYRVNfT1BFUi4xOTk2LjA2LzAzLzIwMjYuLi5VU0QuSAEAAADetgEAAwAAAAAAyFqb5c173gi1Kgc5znveCDBDSVEuTllTRTpJQk0uSVFfU09GVFdBUkUuMTk5Ni4wNi8wMy8yMDI2Li4uVVNELkgB</t>
  </si>
  <si>
    <t>AAAA3rYBAAMAAAAAAMham+XNe94ItSoHOc573ggtQ0lRLk5ZU0U6SUJNLklRX0xJRk9SLjE5OTYuMDYvMDMvMjAyNi4uLlVTRC5IAQAAAN62AQADAAAAAADIWpvlzXveCLUqBznOe94INkNJUS5OWVNFOklCTS5JUV9MT0FOU19GT1JfU0FMRS4xOTk2LjA2LzAzLzIwMjYuLi5VU0QuSAEAAADetgEAAwAAAAAAyFqb5c173gi1Kgc5znveCDpDSVEuTllTRTpJQk0uSVFfREVCVF9FUVVJVl9ORVRfUEJPLjE5OTYuMDYvMDMvMjAyNi4uLlVTRC5IAQAAAN62AQACAAAAAy04NwEIAAAABQAAAAExAQAAAAstMTkwNDg2MDY2NAMAAAADMTYwAgAAAAUyMTY3OQQAAAABMAcAAAAIMy82LzIwMjYIAAAACjEyLzMxLzIwMjQJAAAAATDIWpvlzXveCG4DBznOe94IKUNJUS5OWVNFOklCTS5JUV9QQVJUX1RJTUUuMTk5Ni4wNi8wMy8yMDI2AQAAAN62AQADAAAAAADIWpvlzXveCLUqBznOe94INUNJUS5OWVNFOklCTS5JUV9FUVVJVFlfTUVUSE9ELjE5OTYuMDYvMDMvMjAyNi4uLlVTRC5IAQAAAN62AQACAAAAAzEwOAEIAAAABQAAAAExAQAAAAstMTkwNDg2MDY2NAMAAAADMTYwAgAAAAQzMDYzBAAAAAEwBwAAAAgzLzYvMjAyNggAAAAKMTIvMzEvMjAyNAkAAAABMMham+XNe94ItSoHOc573gg+Q0lRLk5ZU0U6SUJNLklRX0ZJTkFOQ0VfTEVBU0VTX0NVUlJFTlQuMTk5Ni4wNi8wMy8yMDI2Li4uVVNELkgBAAAA3rYBAAIA</t>
  </si>
  <si>
    <t>AAADMTk4AQgAAAAFAAAAATEBAAAACy0xOTA0ODYwNjY0AwAAAAMxNjACAAAABTQ4OTkwBAAAAAEwBwAAAAgzLzYvMjAyNggAAAAKMTIvMzEvMjAyNAkAAAABMMham+XNe94ItSoHOc573gg7Q0lRLk5ZU0U6SUJNLklRX0FEX0VYQ0xfT1BFUl9MRUFTRVMuMTk5Ni4wNi8wMy8yMDI2Li4uVVNELkgBAAAA3rYBAAIAAAAGLTExOTU5AQgAAAAFAAAAATEBAAAACy0xOTA0ODYwNjY0AwAAAAMxNjACAAAABTQ4OTc1BAAAAAEwBwAAAAgzLzYvMjAyNggAAAAKMTIvMzEvMjAyNAkAAAABMMham+XNe94ItSoHOc573gg/Q0lRLk5ZU0U6SUJNLklRX1JVQV9PUEVSQVRJTkdfTEVBU0VfTkVULjE5OTYuMDYvMDMvMjAyNi4uLlVTRC5IAQAAAN62AQADAAAAAADIWpvlzXveCLUqBznOe94IO0NJUS5OWVNFOklCTS5JUV9UT1RBTF9DT01NT05fRVFVSVRZLjE5OTYuMDYvMDMvMjAyNi4uLlVTRC5IAQAAAN62AQACAAAABTI3MzA3AQgAAAAFAAAAATEBAAAACy0xOTA0ODYwNjY0AwAAAAMxNjACAAAABDEwMDYEAAAAATAHAAAACDMvNi8yMDI2CAAAAAoxMi8zMS8yMDI0CQAAAAEwyFqb5c173gguVAc5znveCDdDSVEuTllTRTpJQk0uSVFfT1RIRVJfTFRfQVNTRVRTLjE5OTYuMDYvMDMvMjAyNi4uLlVTRC5IAQAAAN62AQACAAAABDc1ODgBCAAAAAUAAAABMQEAAAALLTE5MDQ4NjA2NjQDAAAAAzE2MAIAAAAEMTA2MAQAAAAB</t>
  </si>
  <si>
    <t>MAcAAAAIMy82LzIwMjYIAAAACjEyLzMxLzIwMjQJAAAAATDIWpvlzXveCLUqBznOe94IMUNJUS5OWVNFOklCTS5JUV9MVF9JTlZFU1QuMTk5Ni4wNi8wMy8yMDI2Li4uVVNELkgBAAAA3rYBAAIAAAAEMTY5MQEIAAAABQAAAAExAQAAAAstMTkwNDg2MDY2NAMAAAADMTYwAgAAAAQxMDU0BAAAAAEwBwAAAAgzLzYvMjAyNggAAAAKMTIvMzEvMjAyNAkAAAABMMham+XNe94ItSoHOc573ggsQ0lRLk5ZU0U6SUJNLklRX0NBTENfVFlQRV9DRi4xOTk2LjA2LzAzLzIwMjYBAAAA3rYBAAMAAAADUkVQAMham+XNe94ItSoHOc573gg7Q0lRLk5ZU0U6SUJNLklRX0dBSU5fQkFSR0FJTl9BQ1FfQ0YuMTk5Ni4wNi8wMy8yMDI2Li4uVVNELkgBAAAA3rYBAAMAAAAAAMham+XNe94ItSoHOc573gg8Q0lRLk5ZU0U6SUJNLklRX1RPVEFMX0ZJTkFOQ0VfTEVBU0VTLjE5OTYuMDYvMDMvMjAyNi4uLlVTRC5IAQAAAN62AQACAAAABDEwMDEBCAAAAAUAAAABMQEAAAALLTE5MDQ4NjA2NjQDAAAAAzE2MAIAAAAFNDkwMzEEAAAAATAHAAAACDMvNi8yMDI2CAAAAAoxMi8zMS8yMDI0CQAAAAEwyFqb5c173gguVAc5znveCDNDSVEuTllTRTpJQk0uSVFfT1RIRVJfSU5UQU4uMTk5Ni4wNi8wMy8yMDI2Li4uVVNELkgBAAAA3rYBAAIAAAAFMTA2NjABCAAAAAUAAAABMQEAAAALLTE5MDQ4NjA2NjQDAAAAAzE2MAIAAAAEMTA0MAQA</t>
  </si>
  <si>
    <t>AAABMAcAAAAIMy82LzIwMjYIAAAACjEyLzMxLzIwMjQJAAAAATDIWpvlzXveCC5UBznOe94IKkNJUS5OWVNFOklCTS5JUV9BRC4xOTk2LjA2LzAzLzIwMjYuLi5VU0QuSAEAAADetgEAAgAAAAYtMTE5NTkBCAAAAAUAAAABMQEAAAALLTE5MDQ4NjA2NjQDAAAAAzE2MAIAAAAEMTA3NQQAAAABMAcAAAAIMy82LzIwMjYIAAAACjEyLzMxLzIwMjQJAAAAATDIWpvlzXveCC5UBznOe94IPUNJUS5OWVNFOklCTS5JUV9GSU5fRElWX0xPQU5TX0NVUlJFTlQuMTk5Ni4wNi8wMy8yMDI2Li4uVVNELkgBAAAA3rYBAAIAAAAENjI1OQEIAAAABQAAAAExAQAAAAstMTkwNDg2MDY2NAMAAAADMTYwAgAAAAQxMDMyBAAAAAEwBwAAAAgzLzYvMjAyNggAAAAKMTIvMzEvMjAyNAkAAAABMMham+XNe94ILlQHOc573ghJQ0lRLk5ZU0U6SUJNLklRX0xUX1BPUlRJT05fT1BFUl9MRUFTRV9MSUFCSUxJVElFUy4xOTk2LjA2LzAzLzIwMjYuLi5VU0QuSAEAAADetgEAAgAAAAQyNjU1AQgAAAAFAAAAATEBAAAACy0xOTA0ODYwNjY0AwAAAAMxNjACAAAABTQ4MzgzBAAAAAEwBwAAAAgzLzYvMjAyNggAAAAKMTIvMzEvMjAyNAkAAAABMMham+XNe94ILlQHOc573gg3Q0lRLk5ZU0U6SUJNLklRX0RFRl9UQVhfTElBQl9MVC4xOTk2LjA2LzAzLzIwMjYuLi5VU0QuSAEAAADetgEAAgAAAAM4MTUBCAAAAAUAAAABMQEAAAALLTE5MDQ4</t>
  </si>
  <si>
    <t>NjA2NjQDAAAAAzE2MAIAAAAEMTAyNwQAAAABMAcAAAAIMy82LzIwMjYIAAAACjEyLzMxLzIwMjQJAAAAATDIWpvlzXveCC5UBznOe94IL0NJUS5OWVNFOklCTS5JUV9TVF9ERUJULjE5OTYuMDYvMDMvMjAyNi4uLlVTRC5IAQAAAN62AQACAAAAAjMwAQgAAAAFAAAAATEBAAAACy0xOTA0ODYwNjY0AwAAAAMxNjACAAAABDEwNDYEAAAAATAHAAAACDMvNi8yMDI2CAAAAAoxMi8zMS8yMDI0CQAAAAEwyFqb5c173gguVAc5znveCDBDSVEuTllTRTpJQk0uSVFfVE9UQUxfQ0EuMTk5Ni4wNi8wMy8yMDI2Li4uVVNELkgBAAAA3rYBAAIAAAAFMzQ0ODIBCAAAAAUAAAABMQEAAAALLTE5MDQ4NjA2NjQDAAAAAzE2MAIAAAAEMTAwOAQAAAABMAcAAAAIMy82LzIwMjYIAAAACjEyLzMxLzIwMjQJAAAAATDIWpvlzXveCC5UBznOe94IMUNJUS5OWVNFOklCTS5JUV9TVF9JTlZFU1QuMTk5Ni4wNi8wMy8yMDI2Li4uVVNELkgBAAAA3rYBAAIAAAADNjQ0AQgAAAAFAAAAATEBAAAACy0xOTA0ODYwNjY0AwAAAAMxNjACAAAABDEwNjkEAAAAATAHAAAACDMvNi8yMDI2CAAAAAoxMi8zMS8yMDI0CQAAAAEwyFqb5c173gguVAc5znveCDVDSVEuTllTRTpJQk0uSVFfRE9fRklOQU5DRV9DRi4xOTk2LjA2LzAzLzIwMjYuLi5VU0QuSAEAAADetgEAAwAAAAAAyFqb5c173gguVAc5znveCENDSVEuTllTRTpJQk0uSVFfREVSSVZB</t>
  </si>
  <si>
    <t>VElWRV9MSUFCX05PTl9DVVJSRU5ULjE5OTYuMDYvMDMvMjAyNi4uLlVTRC5IAQAAAN62AQACAAAAAzQ2MwEIAAAABQAAAAExAQAAAAstMTkwNDg2MDY2NAMAAAADMTYwAgAAAAU0MDQxOQQAAAABMAcAAAAIMy82LzIwMjYIAAAACjEyLzMxLzIwMjQJAAAAATDIWpvlzXveCIB7BznOe94IO0NJUS5OWVNFOklCTS5JUV9NSU5PUklUWV9JTlRfUkVERUVNLjE5OTYuMDYvMDMvMjAyNi4uLlVTRC5IAQAAAN62AQADAAAAAADIWpvlzXveCIB7BznOe94IOENJUS5OWVNFOklCTS5JUV9BTExPV19ET1VCVF9BQ0NULjE5OTYuMDYvMDMvMjAyNi4uLlVTRC5IAQAAAN62AQACAAAAAzExNAEIAAAABQAAAAExAQAAAAstMTkwNDg2MDY2NAMAAAADMTYwAgAAAAQzMDEyBAAAAAEwBwAAAAgzLzYvMjAyNggAAAAKMTIvMzEvMjAyNAkAAAABMMham+XNe94IgHsHOc573ggxQ0lRLk5ZU0U6SUJNLklRX1RPVEFMX0NBUC4xOTk2LjA2LzAzLzIwMjYuLi5VU0QuSAEAAADetgEAAgAAAAU4NTc4OQEIAAAABQAAAAExAQAAAAstMTkwNDg2MDY2NAMAAAADMTYwAgAAAAQ0MTc1BAAAAAEwBwAAAAgzLzYvMjAyNggAAAAKMTIvMzEvMjAyNAkAAAABMMh5qeXNe94ILlQHOc573ggyQ0lRLk5ZU0U6SUJNLklRX1RPVEFMX0xJQUIuMTk5Ni4wNi8wMy8yMDI2Li4uVVNELkgBAAAA3rYBAAIAAAAGMTA5NzgyAQgAAAAFAAAAATEBAAAACy0x</t>
  </si>
  <si>
    <t>OTA0ODYwNjY0AwAAAAMxNjACAAAABDEyNzYEAAAAATAHAAAACDMvNi8yMDI2CAAAAAoxMi8zMS8yMDI0CQAAAAEwyHmp5c173gguVAc5znveCEtDSVEuTllTRTpJQk0uSVFfTElRVUlEQVRJT05fVkFMVUVfUFJFRkVSUkVEX0NPTlZFUlQuMTk5Ni4wNi8wMy8yMDI2Li4uVVNELkgBAAAA3rYBAAMAAAAAAMh5qeXNe94IT6IHOc573gg9Q0lRLk5ZU0U6SUJNLklRX1JVQV9DQVBJVEFMX0xFQVNFX05FVC4xOTk2LjA2LzAzLzIwMjYuLi5VU0QuSAEAAADetgEAAwAAAAAAyHmp5c173giAewc5znveCD9DSVEuTllTRTpJQk0uSVFfUlVBX0NBUElUQUxfTEVBU0VfR1JPU1MuMTk5Ni4wNi8wMy8yMDI2Li4uVVNELkgBAAAA3rYBAAMAAAAAAMh5qeXNe94IgHsHOc573gg3Q0lRLk5ZU0U6SUJNLklRX1BSRUZfTk9OX1JFREVFTS4xOTk2LjA2LzAzLzIwMjYuLi5VU0QuSAEAAADetgEAAwAAAAAAyHmp5c173giAewc5znveCDxDSVEuTllTRTpJQk0uSVFfRklOX0RJVl9MSUFCX0NVUlJFTlQuMTk5Ni4wNi8wMy8yMDI2Li4uVVNELkgBAAAA3rYBAAMAAAAAAMh5qeXNe94IgHsHOc573gg7Q0lRLk5ZU0U6SUJNLklRX0NVUlJFTlRfUE9SVF9MRUFTRVMuMTk5Ni4wNi8wMy8yMDI2Li4uVVNELkgBAAAA3rYBAAIAAAADOTY2AQgAAAAFAAAAATEBAAAACy0xOTA0ODYwNjY0AwAAAAMxNjACAAAABDEwOTAEAAAAATAHAAAA</t>
  </si>
  <si>
    <t>CDMvNi8yMDI2CAAAAAoxMi8zMS8yMDI0CQAAAAEwyHmp5c173ghPogc5znveCDFDSVEuTllTRTpJQk0uSVFfSU5WRU5UT1JZLjE5OTYuMDYvMDMvMjAyNi4uLlVTRC5IAQAAAN62AQACAAAABDEyODkBCAAAAAUAAAABMQEAAAALLTE5MDQ4NjA2NjQDAAAAAzE2MAIAAAAEMTA0MwQAAAABMAcAAAAIMy82LzIwMjYIAAAACjEyLzMxLzIwMjQJAAAAATDIeanlzXveCE+iBznOe94IM0NJUS5OWVNFOklCTS5JUV9MRVZFUkVEX0ZDRi4xOTk2LjA2LzAzLzIwMjYuLi5VU0QuSAEAAADetgEAAgAAAAY5MzI1LjUBCAAAAAUAAAABMQEAAAALLTE5MDQ4NjA2NjQDAAAAAzE2MAIAAAAENDQyMgQAAAABMAcAAAAIMy82LzIwMjYIAAAACjEyLzMxLzIwMjQJAAAAATDIeanlzXveCE+iBznOe94IOENJUS5OWVNFOklCTS5JUV9DQVNIX1RBWEVTX0ZJTkFOLjE5OTYuMDYvMDMvMjAyNi4uLlVTRC5IAQAAAN62AQADAAAAAADIeanlzXveCE+iBznOe94IPENJUS5OWVNFOklCTS5JUV9ORUdBVElWRV9HV19BTU9SVF9DRi4xOTk2LjA2LzAzLzIwMjYuLi5VU0QuSAEAAADetgEAAwAAAAAAyHmp5c173ghPogc5znveCCpDSVEuTllTRTpJQk0uSVFfRlguMTk5Ni4wNi8wMy8yMDI2Li4uVVNELkgBAAAA3rYBAAIAAAAELTM1OQEIAAAABQAAAAExAQAAAAstMTkwNDg2MDY2NAMAAAADMTYwAgAAAAQyMTQ0BAAAAAEwBwAAAAgzLzYv</t>
  </si>
  <si>
    <t>MjAyNggAAAAKMTIvMzEvMjAyNAkAAAABMMh5qeXNe94IT6IHOc573ghIQ0lRLk5ZU0U6SUJNLklRX0FTU0VUU19ORVRUSU5HX09USEVSX0FESlVTVE1FTlRTLjE5OTYuMDYvMDMvMjAyNi4uLlVTRC5IAQAAAN62AQADAAAAAADIeanlzXveCE+iBznOe94IN0NJUS5OWVNFOklCTS5JUV9SRVNUUklDVEVEX0NBU0guMTk5Ni4wNi8wMy8yMDI2Li4uVVNELkgBAAAA3rYBAAIAAAADMjE0AQgAAAAFAAAAATEBAAAACy0xOTA0ODYwNjY0AwAAAAMxNjACAAAABDExMDQEAAAAATAHAAAACDMvNi8yMDI2CAAAAAoxMi8zMS8yMDI0CQAAAAEwyHmp5c173ghPogc5znveCEdDSVEuTllTRTpJQk0uSVFfRkFJUl9WQUxVRV9DSEFOR0VfSU5DTF9FQVJOSU5HUy4xOTk2LjA2LzAzLzIwMjYuLi5VU0QuSAEAAADetgEAAwAAAAAAyHmp5c173ghPogc5znveCDFDSVEuTllTRTpJQk0uSVFfTUFDSElORVJZLjE5OTYuMDYvMDMvMjAyNi4uLlVTRC5IAQAAAN62AQACAAAABTEyNjg3AQgAAAAFAAAAATEBAAAACy0xOTA0ODYwNjY0AwAAAAMxNjACAAAABDMxMTQEAAAAATAHAAAACDMvNi8yMDI2CAAAAAoxMi8zMS8yMDI0CQAAAAEwyHmp5c173ghUyQc5znveCD1DSVEuTllTRTpJQk0uSVFfR1BQRV9FWENMX09QRVJfTEVBU0VTLjE5OTYuMDYvMDMvMjAyNi4uLlVTRC5IAQAAAN62AQACAAAABTE3NjkxAQgAAAAFAAAAATEBAAAA</t>
  </si>
  <si>
    <t>Cy0xOTA0ODYwNjY0AwAAAAMxNjACAAAABTQ4OTc0BAAAAAEwBwAAAAgzLzYvMjAyNggAAAAKMTIvMzEvMjAyNAkAAAABMMh5qeXNe94IVMkHOc573gguQ0lRLk5ZU0U6SUJNLklRX0NPTU1PTi4xOTk2LjA2LzAzLzIwMjYuLi5VU0QuSAEAAADetgEAAgAAAAU2MTM4MAEIAAAABQAAAAExAQAAAAstMTkwNDg2MDY2NAMAAAADMTYwAgAAAAQxMTAzBAAAAAEwBwAAAAgzLzYvMjAyNggAAAAKMTIvMzEvMjAyNAkAAAABMMh5qeXNe94IVMkHOc573gg2Q0lRLk5ZU0U6SUJNLklRX1RSQURJTkdfQVNTRVRTLjE5OTYuMDYvMDMvMjAyNi4uLlVTRC5IAQAAAN62AQADAAAAAADIeanlzXveCFTJBznOe94IM0NJUS5OWVNFOklCTS5JUV9NQUlOVF9DQVBFWC4xOTk2LjA2LzAzLzIwMjYuLi5VU0QuSAEAAADetgEAAwAAAAAAyHmp5c173ghUyQc5znveCDpDSVEuTllTRTpJQk0uSVFfQ0FTSF9JTlRFUkVTVF9PUEVSLjE5OTYuMDYvMDMvMjAyNi4uLlVTRC5IAQAAAN62AQADAAAAAADIeanlzXveCAHdBznOe94IQUNJUS5OWVNFOklCTS5JUV9HV19JTlRBTl9BTU9SVF9QQVJUSUFMX0NGLjE5OTYuMDYvMDMvMjAyNi4uLlVTRC5IAQAAAN62AQADAAAAAADIeanlzXveCAHdBznOe94IQUNJUS5OWVNFOklCTS5JUV9GSU5fRElWX01JTk9SSVRZX0lOVEVSRVNULjE5OTYuMDYvMDMvMjAyNi4uLlVTRC5IAQAAAN62AQADAAAA</t>
  </si>
  <si>
    <t>AADIeanlzXveCAHdBznOe94IO0NJUS5OWVNFOklCTS5JUV9TVF9ERUJUX0RFUklWQVRJVkVTLjE5OTYuMDYvMDMvMjAyNi4uLlVTRC5IAQAAAN62AQADAAAAAADIeanlzXveCAHdBznOe94INkNJUS5OWVNFOklCTS5JUV9BU1NFVFNfTEVWRUxfMy4xOTk2LjA2LzAzLzIwMjYuLi5VU0QuSAEAAADetgEAAwAAAAAAyHmp5c173ghUyQc5znveCCpDSVEuTllTRTpJQk0uSVFfSU5WX01FVEhPRC4xOTk2LjA2LzAzLzIwMjYBAAAA3rYBAAMAAAAIQXZnIENvc3QAyHmp5c173gij8gc5znveCDdDSVEuTllTRTpJQk0uSVFfTkVUX1dPUktJTkdfQ0FQLjE5OTYuMDYvMDMvMjAyNi4uLlVTRC5IAQAAAN62AQACAAAABS03Mzk0AQgAAAAFAAAAATEBAAAACy0xOTA0ODYwNjY0AwAAAAMxNjACAAAABDEzMTEEAAAAATAHAAAACDMvNi8yMDI2CAAAAAoxMi8zMS8yMDI0CQAAAAEwyHmp5c173gij8gc5znveCD1DSVEuTllTRTpJQk0uSVFfTlBQRV9FWENMX09QRVJfTEVBU0VTLjE5OTYuMDYvMDMvMjAyNi4uLlVTRC5IAQAAAN62AQACAAAABDU3MzIBCAAAAAUAAAABMQEAAAALLTE5MDQ4NjA2NjQDAAAAAzE2MAIAAAAFNDg5NzYEAAAAATAHAAAACDMvNi8yMDI2CAAAAAoxMi8zMS8yMDI0CQAAAAEwyHmp5c173gij8gc5znveCDdDSVEuTllTRTpJQk0uSVFfRklOX0RJVl9MSUFCX0xULjE5OTYuMDYvMDMvMjAyNi4uLlVT</t>
  </si>
  <si>
    <t>RC5IAQAAAN62AQADAAAAAADIeanlzXveCKPyBznOe94IKkNJUS5OWVNFOklCTS5JUV9BRS4xOTk2LjA2LzAzLzIwMjYuLi5VU0QuSAEAAADetgEAAgAAAAQ3MDUyAQgAAAAFAAAAATEBAAAACy0xOTA0ODYwNjY0AwAAAAMxNjACAAAABDEwMTYEAAAAATAHAAAACDMvNi8yMDI2CAAAAAoxMi8zMS8yMDI0CQAAAAEwyHmp5c173ggB3Qc5znveCDRDSVEuTllTRTpJQk0uSVFfVE9UQUxfQVNTRVRTLjE5OTYuMDYvMDMvMjAyNi4uLlVTRC5IAQAAAN62AQACAAAABjEzNzE3NQEIAAAABQAAAAExAQAAAAstMTkwNDg2MDY2NAMAAAADMTYwAgAAAAQxMDA3BAAAAAEwBwAAAAgzLzYvMjAyNggAAAAKMTIvMzEvMjAyNAkAAAABMMh5qeXNe94Io/IHOc573gg2Q0lRLk5ZU0U6SUJNLklRX0RFRl9DSEFSR0VTX0xULjE5OTYuMDYvMDMvMjAyNi4uLlVTRC5IAQAAAN62AQACAAAAAzc4OAEIAAAABQAAAAExAQAAAAstMTkwNDg2MDY2NAMAAAADMTYwAgAAAAQxMDI1BAAAAAEwBwAAAAgzLzYvMjAyNggAAAAKMTIvMzEvMjAyNAkAAAABMMh5qeXNe94Io/IHOc573gg5Q0lRLk5ZU0U6SUJNLklRX0ZJTl9ESVZfQVNTRVRTX0xULjE5OTYuMDYvMDMvMjAyNi4uLlVTRC5IAQAAAN62AQADAAAAAADIeanlzXveCKPyBznOe94ILENJUS5OWVNFOklCTS5JUV9HUFBFLjE5OTYuMDYvMDMvMjAyNi4uLlVTRC5IAQAAAN62AQACAAAA</t>
  </si>
  <si>
    <t>BTIwODg4AQgAAAAFAAAAATEBAAAACy0xOTA0ODYwNjY0AwAAAAMxNjACAAAABDExNjkEAAAAATAHAAAACDMvNi8yMDI2CAAAAAoxMi8zMS8yMDI0CQAAAAEwyHmp5c173gij8gc5znveCCtDSVEuTllTRTpJQk0uSVFfQ0lQLjE5OTYuMDYvMDMvMjAyNi4uLlVTRC5IAQAAAN62AQADAAAAAADIeanlzXveCKPyBznOe94IPkNJUS5OWVNFOklCTS5JUV9EQV9DRl9FWENMX09QRVJfTEVBU0VTLjE5OTYuMDYvMDMvMjAyNi4uLlVTRC5IAQAAAN62AQACAAAABDMwOTgBCAAAAAUAAAABMQEAAAALLTE5MDQ4NjA2NjQDAAAAAzE2MAIAAAAFNDg5ODUEAAAAATAHAAAACDMvNi8yMDI2CAAAAAoxMi8zMS8yMDI0CQAAAAEwyHmp5c173gj2GQg5znveCDNDSVEuTllTRTpJQk0uSVFfT1RIRVJfQU1PUlQuMTk5Ni4wNi8wMy8yMDI2Li4uVVNELkgBAAAA3rYBAAIAAAADNjY5AQgAAAAFAAAAATEBAAAACy0xOTA0ODYwNjY0AwAAAAMxNjACAAAABDIwMTQEAAAAATAHAAAACDMvNi8yMDI2CAAAAAoxMi8zMS8yMDI0CQAAAAEwyHmp5c173gj2GQg5znveCD9DSVEuTllTRTpJQk0uSVFfUkVTVFJfU1RPQ0tfQ09NUF9QUkVUQVguMTk5Ni4wNi8wMy8yMDI2Li4uVVNELkgBAAAA3rYBAAMAAAAAAMh5qeXNe94Io/IHOc573gg2Q0lRLk5ZU0U6SUJNLklRX1NUT0NLX0JBU0VEX1NNLjE5OTYuMDYvMDMvMjAyNi4uLlVTRC5IAQAA</t>
  </si>
  <si>
    <t>AN62AQADAAAAAADIeanlzXveCKPyBznOe94IKkNJUS5OWVNFOklCTS5JUV9HVy4xOTk2LjA2LzAzLzIwMjYuLi5VU0QuSAEAAADetgEAAgAAAAU2MDcwNgEIAAAABQAAAAExAQAAAAstMTkwNDg2MDY2NAMAAAADMTYwAgAAAAQxMTcxBAAAAAEwBwAAAAgzLzYvMjAyNggAAAAKMTIvMzEvMjAyNAkAAAABMMh5qeXNe94Io/IHOc573gg2Q0lRLk5ZU0U6SUJNLklRX0dBSU5fQVNTRVRTX0NGLjE5OTYuMDYvMDMvMjAyNi4uLlVTRC5IAQAAAN62AQACAAAABC02NTIBCAAAAAUAAAABMQEAAAALLTE5MDQ4NjA2NjQDAAAAAzE2MAIAAAAEMjAyNgQAAAABMAcAAAAIMy82LzIwMjYIAAAACjEyLzMxLzIwMjQJAAAAATDIeanlzXveCPYZCDnOe94INkNJUS5OWVNFOklCTS5JUV9TUEVDSUFMX0RJVl9DRi4xOTk2LjA2LzAzLzIwMjYuLi5VU0QuSAEAAADetgEAAwAAAAAAyHmp5c173gj2GQg5znveCDNDSVEuTllTRTpJQk0uSVFfUFJFRl9ESVZfQ0YuMTk5Ni4wNi8wMy8yMDI2Li4uVVNELkgBAAAA3rYBAAMAAAAAAMh5qeXNe94I9hkIOc573gg1Q0lRLk5ZU0U6SUJNLklRX0NPTU1PTl9JU1NVRUQuMTk5Ni4wNi8wMy8yMDI2Li4uVVNELkgBAAAA3rYBAAIAAAADNzQ1AQgAAAAFAAAAATEBAAAACy0xOTA0ODYwNjY0AwAAAAMxNjACAAAABDIxNjkEAAAAATAHAAAACDMvNi8yMDI2CAAAAAoxMi8zMS8yMDI0CQAAAAEw</t>
  </si>
  <si>
    <t>yHmp5c173gj2GQg5znveCDNDSVEuTllTRTpJQk0uSVFfQ0FTSF9JTlZFU1QuMTk5Ni4wNi8wMy8yMDI2Li4uVVNELkgBAAAA3rYBAAIAAAAFLTQ5MzcBCAAAAAUAAAABMQEAAAALLTE5MDQ4NjA2NjQDAAAAAzE2MAIAAAAEMjAwNQQAAAABMAcAAAAIMy82LzIwMjYIAAAACjEyLzMxLzIwMjQJAAAAATDIeanlzXveCPYZCDnOe94ILUNJUS5OWVNFOklCTS5JUV9DQVBFWC4xOTk2LjA2LzAzLzIwMjYuLi5VU0QuSAEAAADetgEAAgAAAAUtMTA0OAEIAAAABQAAAAExAQAAAAstMTkwNDg2MDY2NAMAAAADMTYwAgAAAAQyMDIxBAAAAAEwBwAAAAgzLzYvMjAyNggAAAAKMTIvMzEvMjAyNAkAAAABMMh5qeXNe94I9hkIOc573ghEQ0lRLk5ZU0U6SUJNLklRX0NIQU5HRV9PVEhFUl9ORVRfT1BFUl9BU1NFVFMuMTk5Ni4wNi8wMy8yMDI2Li4uVVNELkgBAAAA3rYBAAIAAAAEMTg2NgEIAAAABQAAAAExAQAAAAstMTkwNDg2MDY2NAMAAAADMTYwAgAAAAQyMDQ1BAAAAAEwBwAAAAgzLzYvMjAyNggAAAAKMTIvMzEvMjAyNAkAAAABMMh5qeXNe94I9hkIOc573gg6Q0lRLk5ZU0U6SUJNLklRX0FTU0VUX1dSSVRFRE9XTl9DRi4xOTk2LjA2LzAzLzIwMjYuLi5VU0QuSAEAAADetgEAAwAAAAAAyHmp5c173gj2GQg5znveCDtDSVEuTllTRTpJQk0uSVFfQ0FTSF9JTlRFUkVTVF9GSU5BTi4xOTk2LjA2LzAzLzIwMjYuLi5V</t>
  </si>
  <si>
    <t>U0QuSAEAAADetgEAAwAAAAAAyHmp5c173gj2GQg5znveCEBDSVEuTllTRTpJQk0uSVFfQU1PUlRfU09GVFdBUkVfQVNTRVRTX0NGLjE5OTYuMDYvMDMvMjAyNi4uLlVTRC5IAQAAAN62AQACAAAAAzY2OQEIAAAABQAAAAExAQAAAAstMTkwNDg2MDY2NAMAAAADMTYwAgAAAAU0NjAxMQQAAAABMAcAAAAIMy82LzIwMjYIAAAACjEyLzMxLzIwMjQJAAAAATDIeanlzXveCPYZCDnOe94IO0NJUS5OWVNFOklCTS5JUV9EQV9TVVBQTF9QQVJUSUFMX0NGLjE5OTYuMDYvMDMvMjAyNi4uLlVTRC5IAQAAAN62AQADAAAAAADIeanlzXveCPYZCDnOe94INkNJUS5OWVNFOklCTS5JUV9MVF9ERUJUX0lTU1VFRC4xOTk2LjA2LzAzLzIwMjYuLi5VU0QuSAEAAADetgEAAgAAAAQ1NzA1AQgAAAAFAAAAATEBAAAACy0xOTA0ODYwNjY0AwAAAAMxNjACAAAABDIwMzQEAAAAATAHAAAACDMvNi8yMDI2CAAAAAoxMi8zMS8yMDI0CQAAAAEwyHmp5c173gj2GQg5znveCDtDSVEuTllTRTpJQk0uSVFfU0FMRV9SRUFMX0VTVEFURV9DRi4xOTk2LjA2LzAzLzIwMjYuLi5VU0QuSAEAAADetgEAAwAAAAAAyHmp5c173gj2GQg5znveCD5DSVEuTllTRTpJQk0uSVFfQVNTRVRfV1JJVEVET1dOX1NVUFBMRS4xOTk2LjA2LzAzLzIwMjYuLi5VU0QuSAEAAADetgEAAwAAAAAAyHmp5c173gj2GQg5znveCDRDSVEuTllTRTpJQk0uSVFfQU1P</t>
  </si>
  <si>
    <t>UlRfRElDX0NGLjE5OTYuMDYvMDMvMjAyNi4uLlVTRC5IAQAAAN62AQADAAAAAADIeanlzXveCPYZCDnOe94IMkNJUS5OWVNFOklCTS5JUV9DQVNIX0ZJTkFOLjE5OTYuMDYvMDMvMjAyNi4uLlVTRC5IAQAAAN62AQACAAAABS03MDc5AQgAAAAFAAAAATEBAAAACy0xOTA0ODYwNjY0AwAAAAMxNjACAAAABDIwMDQEAAAAATAHAAAACDMvNi8yMDI2CAAAAAoxMi8zMS8yMDI0CQAAAAEwyHmp5c173gjAVAg5znveCDhDSVEuTllTRTpJQk0uSVFfQ0hBTkdFX0lOVkVOVE9SWS4xOTk2LjA2LzAzLzIwMjYuLi5VU0QuSAEAAADetgEAAgAAAAQtMTY2AQgAAAAFAAAAATEBAAAACy0xOTA0ODYwNjY0AwAAAAMxNjACAAAABDIwOTkEAAAAATAHAAAACDMvNi8yMDI2CAAAAAoxMi8zMS8yMDI0CQAAAAEwyHmp5c173gjAVAg5znveCDxDSVEuTllTRTpJQk0uSVFfTUlOT1JJVFlfSU5URVJFU1RfQ0YuMTk5Ni4wNi8wMy8yMDI2Li4uVVNELkgBAAAA3rYBAAMAAAAAAMh5qeXNe94IwFQIOc573ggtQ0lRLk5ZU0U6SUJNLklRX0RBX0NGLjE5OTYuMDYvMDMvMjAyNi4uLlVTRC5IAQAAAN62AQACAAAABDM5OTgBCAAAAAUAAAABMQEAAAALLTE5MDQ4NjA2NjQDAAAAAzE2MAIAAAAEMjE2MAQAAAABMAcAAAAIMy82LzIwMjYIAAAACjEyLzMxLzIwMjQJAAAAATDIeanlzXveCPYZCDnOe94IPENJUS5OWVNFOklCTS5JUV9SRVNU</t>
  </si>
  <si>
    <t>Ul9TVE9DS19DT01QX1RBWC4xOTk2LjA2LzAzLzIwMjYuLi5VU0QuSAEAAADetgEAAwAAAAAAyHmp5c173gj2GQg5znveCDlDSVEuTllTRTpJQk0uSVFfU1RPQ0tfQkFTRURfVE9UQUwuMTk5Ni4wNi8wMy8yMDI2Li4uVVNELkgBAAAA3rYBAAIAAAAEMTMxMQEIAAAABQAAAAExAQAAAAstMTkwNDg2MDY2NAMAAAADMTYwAgAAAAUyNDAzNAQAAAABMAcAAAAIMy82LzIwMjYIAAAACjEyLzMxLzIwMjQJAAAAATDIeanlzXveCMBUCDnOe94IN0NJUS5OWVNFOklCTS5JUV9TVE9DS19CQVNFRF9TR0EuMTk5Ni4wNi8wMy8yMDI2Li4uVVNELkgBAAAA3rYBAAIAAAADNjkwAQgAAAAFAAAAATEBAAAACy0xOTA0ODYwNjY0AwAAAAMxNjACAAAABTIyNjc5BAAAAAEwBwAAAAgzLzYvMjAyNggAAAAKMTIvMzEvMjAyNAkAAAABMMh5qeXNe94IwFQIOc573gg1Q0lRLk5ZU0U6SUJNLklRX01FUkdFUl9TVVBQTEUuMTk5Ni4wNi8wMy8yMDI2Li4uVVNELkgBAAAA3rYBAAMAAAAAAMh5qeXNe94IwFQIOc573ggsQ0lRLk5ZU0U6SUJNLklRX0NBTENfVFlQRV9JUy4xOTk2LjA2LzAzLzIwMjYBAAAA3rYBAAMAAAADUkVQAMh5qeXNe94IwFQIOc573ggrQ0lRLk5ZU0U6SUJNLklRX0RJQy4xOTk2LjA2LzAzLzIwMjYuLi5VU0QuSAEAAADetgEAAwAAAAAAyHmp5c173gjAVAg5znveCElDSVEuTllTRTpJQk0uSVFfSU5URVJFU1Rf</t>
  </si>
  <si>
    <t>RVhQX0xFQVNFX0xJQUJJTElUWV9ERUJULjE5OTYuMDYvMDMvMjAyNi4uLlVTRC5IAQAAAN62AQADAAAAAADIeanlzXveCAx8CDnOe94IP0NJUS5OWVNFOklCTS5JUV9FWENJU0VfVEFYRVNfRVhDTF9TQUxFUy4xOTk2LjA2LzAzLzIwMjYuLi5VU0QuSAEAAADetgEAAwAAAAAAyHmp5c173gjAVAg5znveCDZDSVEuTllTRTpJQk0uSVFfRUJJVERBUl9FUV9JTkMuMTk5Ni4wNi8wMy8yMDI2Li4uVVNELkgBAAAA3rYBAAIAAAAFMTU1MDQBCAAAAAUAAAABMQEAAAALLTE5MDQ4NjA2NjQDAAAAAzE2MAIAAAAFMjQxMjkEAAAAATAHAAAACDMvNi8yMDI2CAAAAAoxMi8zMS8yMDI0CQAAAAEwyHmp5c173gjAVAg5znveCDdDSVEuTllTRTpJQk0uSVFfRUJJVERBX0VYQ0xfU0JDLjE5OTYuMDYvMDMvMjAyNi4uLlVTRC5IAQAAAN62AQACAAAABTE0MTk3AQgAAAAFAAAAATEBAAAACy0xOTA0ODYwNjY0AwAAAAMxNjACAAAABTI0MTM1BAAAAAEwBwAAAAgzLzYvMjAyNggAAAAKMTIvMzEvMjAyNAkAAAABMMh5qeXNe94IwFQIOc573gguQ0lRLk5ZU0U6SUJNLklRX0VCSVREQS4xOTk2LjA2LzAzLzIwMjYuLi5VU0QuSAEAAADetgEAAgAAAAUxMjg4NgEIAAAABQAAAAExAQAAAAstMTkwNDg2MDY2NAMAAAADMTYwAgAAAAQ0MDUxBAAAAAEwBwAAAAgzLzYvMjAyNggAAAAKMTIvMzEvMjAyNAkAAAABMMh5qeXNe94IwFQI</t>
  </si>
  <si>
    <t>Oc573ggwQ0lRLk5ZU0U6SUJNLklRX0VQU19OT1JNLjE5OTYuMDYvMDMvMjAyNi4uLlVTRC5IAQAAAN62AQACAAAACDYuMTgxNzM1AQgAAAAFAAAAATEBAAAACy0xOTA0ODYwNjY0AwAAAAMxNjACAAAABDQzNzkEAAAAATAHAAAACDMvNi8yMDI2CAAAAAoxMi8zMS8yMDI0CQAAAAEwyHmp5c173ggMfAg5znveCDRDSVEuTllTRTpJQk0uSVFfT1RIRVJfUkVDRUlWLjE5OTYuMDYvMDMvMjAyNi4uLlVTRC5IAQAAAN62AQACAAAAAzk0NwEIAAAABQAAAAExAQAAAAstMTkwNDg2MDY2NAMAAAADMTYwAgAAAAQxMjA2BAAAAAEwBwAAAAgzLzYvMjAyNggAAAAKMTIvMzEvMjAyNAkAAAABMMh5qeXNe94IDHwIOc573ggyQ0lRLk5ZU0U6SUJNLklRX05FVF9DSEFOR0UuMTk5Ni4wNi8wMy8yMDI2Li4uVVNELkgBAAAA3rYBAAIAAAAEMTA3MQEIAAAABQAAAAExAQAAAAstMTkwNDg2MDY2NAMAAAADMTYwAgAAAAQyMDkzBAAAAAEwBwAAAAgzLzYvMjAyNggAAAAKMTIvMzEvMjAyNAkAAAABMMh5qeXNe94IDHwIOc573gg5Q0lRLk5ZU0U6SUJNLklRX0NIQU5HRV9VTkVBUk5fUkVWLjE5OTYuMDYvMDMvMjAyNi4uLlVTRC5IAQAAAN62AQADAAAAAADIeanlzXveCAx8CDnOe94INkNJUS5OWVNFOklCTS5JUV9HQUlOX0lOVkVTVF9DRi4xOTk2LjA2LzAzLzIwMjYuLi5VU0QuSAEAAADetgEAAwAAAAAAyHmp5c173ggMfAg5</t>
  </si>
  <si>
    <t>znveCDlDSVEuTllTRTpJQk0uSVFfSU5TX1NFVFRMRV9TVVBQTEUuMTk5Ni4wNi8wMy8yMDI2Li4uVVNELkgBAAAA3rYBAAMAAAAAAMh5qeXNe94Ito8IOc573gg1Q0lRLk5ZU0U6SUJNLklRX0FJUkNSQUZUX1JFTlQuMTk5Ni4wNi8wMy8yMDI2Li4uVVNELkgBAAAA3rYBAAMAAAAAAMh5qeXNe94Ito8IOc573ggyQ0lRLk5ZU0U6SUJNLklRX0RFUFJFX1NVUFAuMTk5Ni4wNi8wMy8yMDI2Li4uVVNELkgBAAAA3rYBAAMAAAAAAMh5qeXNe94Ito8IOc573ggxQ0lRLk5ZU0U6SUJNLklRX0NBU0hfT1BFUi4xOTk2LjA2LzAzLzIwMjYuLi5VU0QuSAEAAADetgEAAgAAAAUxMzQ0NQEIAAAABQAAAAExAQAAAAstMTkwNDg2MDY2NAMAAAADMTYwAgAAAAQyMDA2BAAAAAEwBwAAAAgzLzYvMjAyNggAAAAKMTIvMzEvMjAyNAkAAAABMMh5qeXNe94Ito8IOc573gg2Q0lRLk5ZU0U6SUJNLklRX0NIQU5HRV9ERUZfVEFYLjE5OTYuMDYvMDMvMjAyNi4uLlVTRC5IAQAAAN62AQADAAAAAADIeanlzXveCAx8CDnOe94IP0NJUS5OWVNFOklCTS5JUV9TQUxBUklFU19PVEhFUl9CRU5FRklUUy4xOTk2LjA2LzAzLzIwMjYuLi5VU0QuSAEAAADetgEAAwAAAAAAyHmp5c173gi2jwg5znveCDdDSVEuTllTRTpJQk0uSVFfU0FMRVNfTUFSS0VUSU5HLjE5OTYuMDYvMDMvMjAyNi4uLlVTRC5IAQAAAN62AQACAAAABDExNzMBCAAA</t>
  </si>
  <si>
    <t>AAUAAAABMQEAAAALLTE5MDQ4NjA2NjQDAAAAAzE2MAIAAAAFMjE1NjEEAAAAATAHAAAACDMvNi8yMDI2CAAAAAoxMi8zMS8yMDI0CQAAAAEwyHmp5c173gi2jwg5znveCEFDSVEuTllTRTpJQk0uSVFfRElTVFJJQlVUQUJMRV9DQVNIX1NIQVJFU19ESUxVVEVELjE5OTYuMDYvMDMvMjAyNgEAAADetgEAAwAAAAAA+o2p5c173gjUFws5znveCDxDSVEuTllTRTpJQk0uSVFfREVGRVJSRURfVEFYRVNfVE9UQUwuMTk5Ni4wNi8wMy8yMDI2Li4uVVNELkgBAAAA3rYBAAIAAAAFLTIzMzYBCAAAAAUAAAABMQEAAAALLTE5MDQ4NjA2NjQDAAAAAzE2MAIAAAAFMzUzODUEAAAAATAHAAAACDMvNi8yMDI2CAAAAAoxMi8zMS8yMDI0CQAAAAEwyHmp5c173gi2jwg5znveCDpDSVEuTllTRTpJQk0uSVFfQVNfUkVQT1JURURfRUJJVERBLjE5OTYuMDYvMDMvMjAyNi4uLlVTRC5IAQAAAN62AQADAAAAAADIeanlzXveCLaPCDnOe94IOUNJUS5OWVNFOklCTS5JUV9GRUVTX09USEVSX0lOQ09NRS4xOTk2LjA2LzAzLzIwMjYuLi5VU0QuSAEAAADetgEAAwAAAAAAyHmp5c173gi2jwg5znveCCxDSVEuTllTRTpJQk0uSVFfRUJJVC4xOTk2LjA2LzAzLzIwMjYuLi5VU0QuSAEAAADetgEAAgAAAAQ5Nzg4AQgAAAAFAAAAATEBAAAACy0xOTA0ODYwNjY0AwAAAAMxNjACAAAAAzQwMAQAAAABMAcAAAAIMy82LzIwMjYIAAAACjEy</t>
  </si>
  <si>
    <t>LzMxLzIwMjQJAAAAATDIeanlzXveCLaPCDnOe94IN0NJUS5OWVNFOklCTS5JUV9UT1RBTF9SRVZfU0hBUkUuMTk5Ni4wNi8wMy8yMDI2Li4uVVNELkgBAAAA3rYBAAIAAAAJNjguMDc4OTY0AQgAAAAFAAAAATEBAAAACy0xOTA0ODYwNjY0AwAAAAMxNjACAAAABDQzODIEAAAAATAHAAAACDMvNi8yMDI2CAAAAAoxMi8zMS8yMDI0CQAAAAEwyHmp5c173gi2jwg5znveCDZDSVEuTllTRTpJQk0uSVFfQkFTSUNfRVBTX0lOQ0wuMTk5Ni4wNi8wMy8yMDI2Li4uVVNELkgBAAAA3rYBAAIAAAAINi41MzQxODMBCAAAAAUAAAABMQEAAAALLTE5MDQ4NjA2NjQDAAAAAzE2MAIAAAABOQQAAAABMAcAAAAIMy82LzIwMjYIAAAACjEyLzMxLzIwMjQJAAAAATDIeanlzXveCLaPCDnOe94INENJUS5OWVNFOklCTS5JUV9MRUdBTF9TRVRUTEUuMTk5Ni4wNi8wMy8yMDI2Li4uVVNELkgBAAAA3rYBAAMAAAAAAMh5qeXNe94Ito8IOc573gg3Q0lRLk5ZU0U6SUJNLklRX0FTU0VUX1dSSVRFRE9XTi4xOTk2LjA2LzAzLzIwMjYuLi5VU0QuSAEAAADetgEAAwAAAAAAyHmp5c173gi2jwg5znveCDBDSVEuTllTRTpJQk0uSVFfT1BFUl9JTkMuMTk5Ni4wNi8wMy8yMDI2Li4uVVNELkgBAAAA3rYBAAIAAAAEOTc4OAEIAAAABQAAAAExAQAAAAstMTkwNDg2MDY2NAMAAAADMTYwAgAAAAIyMQQAAAABMAcAAAAIMy82LzIwMjYIAAAA</t>
  </si>
  <si>
    <t>CjEyLzMxLzIwMjQJAAAAATDIeanlzXveCLaPCDnOe94IRENJUS5OWVNFOklCTS5JUV9EQV9TVVBQTF9DRl9FWENMX09QRVJfTEVBU0VTLjE5OTYuMDYvMDMvMjAyNi4uLlVTRC5IAQAAAN62AQACAAAABDEyNjgBCAAAAAUAAAABMQEAAAALLTE5MDQ4NjA2NjQDAAAAAzE2MAIAAAAFNDg5ODMEAAAAATAHAAAACDMvNi8yMDI2CAAAAAoxMi8zMS8yMDI0CQAAAAEwyHmp5c173gi2jwg5znveCDNDSVEuTllTRTpJQk0uSVFfU0FMRV9QUEVfQ0YuMTk5Ni4wNi8wMy8yMDI2Li4uVVNELkgBAAAA3rYBAAIAAAADNTU3AQgAAAAFAAAAATEBAAAACy0xOTA0ODYwNjY0AwAAAAMxNjACAAAABDIwNDIEAAAAATAHAAAACDMvNi8yMDI2CAAAAAoxMi8zMS8yMDI0CQAAAAEwyHmp5c173gi2jwg5znveCDRDSVEuTllTRTpJQk0uSVFfVE9UQUxfRVFVSVRZLjE5OTYuMDYvMDMvMjAyNi4uLlVTRC5IAQAAAN62AQACAAAABTI3MzkzAQgAAAAFAAAAATEBAAAACy0xOTA0ODYwNjY0AwAAAAMxNjACAAAABDEyNzUEAAAAATAHAAAACDMvNi8yMDI2CAAAAAoxMi8zMS8yMDI0CQAAAAEwyHmp5c173gi2jwg5znveCC9DSVEuTllTRTpJQk0uSVFfREVQX1JVQS4xOTk2LjA2LzAzLzIwMjYuLi5VU0QuSAEAAADetgEAAgAAAAM5MDABCAAAAAUAAAABMQEAAAALLTE5MDQ4NjA2NjQDAAAAAzE2MAIAAAAFNDgzNTcEAAAAATAHAAAACDMv</t>
  </si>
  <si>
    <t>Ni8yMDI2CAAAAAoxMi8zMS8yMDI0CQAAAAEwyHmp5c173gh8ygg5znveCElDSVEuTllTRTpJQk0uSVFfTE9OR19URVJNX0RFQlRfUkVQQUlEX0VYQ0xfTEVBU0VTLjE5OTYuMDYvMDMvMjAyNi4uLlVTRC5IAQAAAN62AQACAAAABS02NjE1AQgAAAAFAAAAATEBAAAACy0xOTA0ODYwNjY0AwAAAAMxNjACAAAABTQ4OTg0BAAAAAEwBwAAAAgzLzYvMjAyNggAAAAKMTIvMzEvMjAyNAkAAAABMMh5qeXNe94IfMoIOc573gg+Q0lRLk5ZU0U6SUJNLklRX09USEVSX0lOVkVTVF9BQ1RfU1VQUEwuMTk5Ni4wNi8wMy8yMDI2Li4uVVNELkgBAAAA3rYBAAMAAAAAAMh5qeXNe94IfMoIOc573gg+Q0lRLk5ZU0U6SUJNLklRX0ZJTl9ESVZfQVNTRVRTX0NVUlJFTlQuMTk5Ni4wNi8wMy8yMDI2Li4uVVNELkgBAAAA3rYBAAIAAAADOTAwAQgAAAAFAAAAATEBAAAACy0xOTA0ODYwNjY0AwAAAAMxNjACAAAABDEwMjkEAAAAATAHAAAACDMvNi8yMDI2CAAAAAoxMi8zMS8yMDI0CQAAAAEwyHmp5c173gh8ygg5znveCEJDSVEuTllTRTpJQk0uSVFfQ0hBTkdFX05FVF9XT1JLSU5HX0NBUElUQUwuMTk5Ni4wNi8wMy8yMDI2Li4uVVNELkgBAAAA3rYBAAIAAAACMTUBCAAAAAUAAAABMQEAAAALLTE5MDQ4NjA2NjQDAAAAAzE2MAIAAAAENDQyMQQAAAABMAcAAAAIMy82LzIwMjYIAAAACjEyLzMxLzIwMjQJAAAAATDIeanlzXve</t>
  </si>
  <si>
    <t>CHzKCDnOe94IP0NJUS5OWVNFOklCTS5JUV9PVEhFUl9GSU5BTkNFX0FDVF9TVVBQTC4xOTk2LjA2LzAzLzIwMjYuLi5VU0QuSAEAAADetgEAAgAAAAQtMTQ2AQgAAAAFAAAAATEBAAAACy0xOTA0ODYwNjY0AwAAAAMxNjACAAAABDIwNTAEAAAAATAHAAAACDMvNi8yMDI2CAAAAAoxMi8zMS8yMDI0CQAAAAEwyHmp5c173gh8ygg5znveCDJDSVEuTllTRTpJQk0uSVFfQ09NTU9OX1JFUC4xOTk2LjA2LzAzLzIwMjYuLi5VU0QuSAEAAADetgEAAgAAAAQtNjUxAQgAAAAFAAAAATEBAAAACy0xOTA0ODYwNjY0AwAAAAMxNjACAAAABDIxNjQEAAAAATAHAAAACDMvNi8yMDI2CAAAAAoxMi8zMS8yMDI0CQAAAAEwyHmp5c173gh8ygg5znveCDZDSVEuTllTRTpJQk0uSVFfU1RfREVCVF9JU1NVRUQuMTk5Ni4wNi8wMy8yMDI2Li4uVVNELkgBAAAA3rYBAAIAAAACMzABCAAAAAUAAAABMQEAAAALLTE5MDQ4NjA2NjQDAAAAAzE2MAIAAAAEMjA0MwQAAAABMAcAAAAIMy82LzIwMjYIAAAACjEyLzMxLzIwMjQJAAAAATDIeanlzXveCHzKCDnOe94IO0NJUS5OWVNFOklCTS5JUV9UQVhfQkVORUZJVF9PUFRJT05TLjE5OTYuMDYvMDMvMjAyNi4uLlVTRC5IAQAAAN62AQADAAAAAADIeanlzXveCHzKCDnOe94INUNJUS5OWVNFOklCTS5JUV9JTkNfRVFVSVRZX0NGLjE5OTYuMDYvMDMvMjAyNi4uLlVTRC5IAQAAAN62AQAD</t>
  </si>
  <si>
    <t>AAAAAADIeanlzXveCHzKCDnOe94IPENJUS5OWVNFOklCTS5JUV9ORUdBVElWRV9HV19BTU9SVF9BVC4xOTk2LjA2LzAzLzIwMjYuLi5VU0QuSAEAAADetgEAAwAAAAAA+o2p5c173gjE8Qg5znveCDNDSVEuTllTRTpJQk0uSVFfSVBSRF9TVVBQTEUuMTk5Ni4wNi8wMy8yMDI2Li4uVVNELkgBAAAA3rYBAAMAAAAAAPqNqeXNe94IxPEIOc573gg5Q0lRLk5ZU0U6SUJNLklRX1RPVEFMX0RFQlRfSVNTVUVELjE5OTYuMDYvMDMvMjAyNi4uLlVTRC5IAQAAAN62AQACAAAABDU3MzUBCAAAAAUAAAABMQEAAAALLTE5MDQ4NjA2NjQDAAAAAzE2MAIAAAAEMjE2MQQAAAABMAcAAAAIMy82LzIwMjYIAAAACjEyLzMxLzIwMjQJAAAAATD6janlzXveCHzKCDnOe94INUNJUS5OWVNFOklCTS5JUV9TQUxFX0lOVEFOX0NGLjE5OTYuMDYvMDMvMjAyNi4uLlVTRC5IAQAAAN62AQACAAAABC02MzcBCAAAAAUAAAABMQEAAAALLTE5MDQ4NjA2NjQDAAAAAzE2MAIAAAAEMjAyOQQAAAABMAcAAAAIMy82LzIwMjYIAAAACjEyLzMxLzIwMjQJAAAAATD6janlzXveCHzKCDnOe94IMUNJUS5OWVNFOklCTS5JUV9ESVZFU1RfQ0YuMTk5Ni4wNi8wMy8yMDI2Li4uVVNELkgBAAAA3rYBAAIAAAADNjk4AQgAAAAFAAAAATEBAAAACy0xOTA0ODYwNjY0AwAAAAMxNjACAAAABDIwNzcEAAAAATAHAAAACDMvNi8yMDI2CAAAAAoxMi8zMS8y</t>
  </si>
  <si>
    <t>MDI0CQAAAAEw+o2p5c173gh8ygg5znveCDdDSVEuTllTRTpJQk0uSVFfTkVUX0RFQlRfSVNTVUVELjE5OTYuMDYvMDMvMjAyNi4uLlVTRC5IAQAAAN62AQACAAAABC04ODABCAAAAAUAAAABMQEAAAALLTE5MDQ4NjA2NjQDAAAAAzE2MAIAAAAEMjAwMwQAAAABMAcAAAAIMy82LzIwMjYIAAAACjEyLzMxLzIwMjQJAAAAATD6janlzXveCG4FCTnOe94IPkNJUS5OWVNFOklCTS5JUV9DQVNIX0lOVEVSRVNUX1JFQ0VJVkVELjE5OTYuMDYvMDMvMjAyNi4uLlVTRC5IAQAAAN62AQADAAAAAAD6janlzXveCMTxCDnOe94IRUNJUS5OWVNFOklCTS5JUV9ERVBSRUNJQVRJT05fUkVOVEFMX0FTU0VUU19DRi4xOTk2LjA2LzAzLzIwMjYuLi5VU0QuSAEAAADetgEAAwAAAAAA+o2p5c173gjE8Qg5znveCDpDSVEuTllTRTpJQk0uSVFfQ09NTU9OX1BSRUZfRElWX0NGLjE5OTYuMDYvMDMvMjAyNi4uLlVTRC5IAQAAAN62AQADAAAAAAD6janlzXveCMTxCDnOe94IPUNJUS5OWVNFOklCTS5JUV9DSEFOR0VfVFJBRElOR19BU1NFVFMuMTk5Ni4wNi8wMy8yMDI2Li4uVVNELkgBAAAA3rYBAAMAAAAAAPqNqeXNe94IxPEIOc573gg0Q0lRLk5ZU0U6SUJNLklRX01BSU5UX1JFUEFJUi4xOTk2LjA2LzAzLzIwMjYuLi5VU0QuSAEAAADetgEAAwAAAAAA+o2p5c173ghuBQk5znveCDhDSVEuTllTRTpJQk0uSVFfUkVTVFJfU1RP</t>
  </si>
  <si>
    <t>Q0tfQ09NUC4xOTk2LjA2LzAzLzIwMjYuLi5VU0QuSAEAAADetgEAAwAAAAAA+o2p5c173ghuBQk5znveCDhDSVEuTllTRTpJQk0uSVFfU1RPQ0tfQkFTRURfQ09HUy4xOTk2LjA2LzAzLzIwMjYuLi5VU0QuSAEAAADetgEAAgAAAAMyMjMBCAAAAAUAAAABMQEAAAALLTE5MDQ4NjA2NjQDAAAAAzE2MAIAAAAFMjI2NzQEAAAAATAHAAAACDMvNi8yMDI2CAAAAAoxMi8zMS8yMDI0CQAAAAEw+o2p5c173ghuBQk5znveCDlDSVEuTllTRTpJQk0uSVFfTkVUX1JFTlRBTF9FWFBfRk4uMTk5Ni4wNi8wMy8yMDI2Li4uVVNELkgBAAAA3rYBAAIAAAAEMTMwOQEIAAAABQAAAAExAQAAAAstMTkwNDg2MDY2NAMAAAADMTYwAgAAAAQzMTcwBAAAAAEwBwAAAAgzLzYvMjAyNggAAAAKMTIvMzEvMjAyNAkAAAABMPqNqeXNe94IbgUJOc573gg+Q0lRLk5ZU0U6SUJNLklRX0RFRkVSUkVEX0ZPUkVJR05fVEFYRVMuMTk5Ni4wNi8wMy8yMDI2Li4uVVNELkgBAAAA3rYBAAIAAAADMjAzAQgAAAAFAAAAATEBAAAACy0xOTA0ODYwNjY0AwAAAAMxNjACAAAABDMwNTUEAAAAATAHAAAACDMvNi8yMDI2CAAAAAoxMi8zMS8yMDI0CQAAAAEw+o2p5c173ghuBQk5znveCD1DSVEuTllTRTpJQk0uSVFfVE9UQUxfUkVWX0FTX1JFUE9SVEVELjE5OTYuMDYvMDMvMjAyNi4uLlVTRC5IAQAAAN62AQACAAAABTYyNzUzAQgAAAAFAAAAATEB</t>
  </si>
  <si>
    <t>AAAACy0xOTA0ODYwNjY0AwAAAAMxNjACAAAAAzMzOQQAAAABMAcAAAAIMy82LzIwMjYIAAAACjEyLzMxLzIwMjQJAAAAATD6janlzXveCHEZCTnOe94IPUNJUS5OWVNFOklCTS5JUV9FQklUQV9FUV9JTkNfRVhDTF9TQkMuMTk5Ni4wNi8wMy8yMDI2Li4uVVNELkgBAAAA3rYBAAIAAAAFMTI5MjkBCAAAAAUAAAABMQEAAAALLTE5MDQ4NjA2NjQDAAAAAzE2MAIAAAAFMjQxMzIEAAAAATAHAAAACDMvNi8yMDI2CAAAAAoxMi8zMS8yMDI0CQAAAAEw+o2p5c173ghxGQk5znveCC1DSVEuTllTRTpJQk0uSVFfRUJJVEEuMTk5Ni4wNi8wMy8yMDI2Li4uVVNELkgBAAAA3rYBAAIAAAAFMTE2MTgBCAAAAAUAAAABMQEAAAALLTE5MDQ4NjA2NjQDAAAAAzE2MAIAAAAGMTAwNjg5BAAAAAEwBwAAAAgzLzYvMjAyNggAAAAKMTIvMzEvMjAyNAkAAAABMPqNqeXNe94IcRkJOc573gg2Q0lRLk5ZU0U6SUJNLklRX0JBU0lDX0VQU19FWENMLjE5OTYuMDYvMDMvMjAyNi4uLlVTRC5IAQAAAN62AQACAAAACDYuNTI1NTA0AQgAAAAFAAAAATEBAAAACy0xOTA0ODYwNjY0AwAAAAMxNjACAAAABDMwNjQEAAAAATAHAAAACDMvNi8yMDI2CAAAAAoxMi8zMS8yMDI0CQAAAAEw+o2p5c173ghxGQk5znveCCxDSVEuTllTRTpJQk0uSVFfSVBSRC4xOTk2LjA2LzAzLzIwMjYuLi5VU0QuSAEAAADetgEAAwAAAAAA+o2p5c173ghuBQk5</t>
  </si>
  <si>
    <t>znveCDhDSVEuTllTRTpJQk0uSVFfTkVUX0lOVEVSRVNUX0VYUC4xOTk2LjA2LzAzLzIwMjYuLi5VU0QuSAEAAADetgEAAgAAAAQtOTY1AQgAAAAFAAAAATEBAAAACy0xOTA0ODYwNjY0AwAAAAMxNjACAAAAAzM2OAQAAAABMAcAAAAIMy82LzIwMjYIAAAACjEyLzMxLzIwMjQJAAAAATD6janlzXveCHEZCTnOe94IQENJUS5OWVNFOklCTS5JUV9PUEVSQVRJTkdfTEVBU0VfUEFZTUVOVFMuMTk5Ni4wNi8wMy8yMDI2Li4uVVNELkgBAAAA3rYBAAMAAAAAAPqNqeXNe94IcRkJOc573gg8Q0lRLk5ZU0U6SUJNLklRX0NBU0hfSU5URVJFU1RfSU5WRVNULjE5OTYuMDYvMDMvMjAyNi4uLlVTRC5IAQAAAN62AQADAAAAAAD6janlzXveCHEZCTnOe94IMUNJUS5OWVNFOklCTS5JUV9DSEFOR0VfQVAuMTk5Ni4wNi8wMy8yMDI2Li4uVVNELkgBAAAA3rYBAAIAAAADLTEzAQgAAAAFAAAAATEBAAAACy0xOTA0ODYwNjY0AwAAAAMxNjACAAAABDIwMTcEAAAAATAHAAAACDMvNi8yMDI2CAAAAAoxMi8zMS8yMDI0CQAAAAEw+o2p5c173ghxGQk5znveCDZDSVEuTllTRTpJQk0uSVFfQ1JFRElUX0xPU1NfQ0YuMTk5Ni4wNi8wMy8yMDI2Li4uVVNELkgBAAAA3rYBAAMAAAAAAPqNqeXNe94IcRkJOc573gg7Q0lRLk5ZU0U6SUJNLklRX05PTkNBU0hfUEVOU0lPTl9FWFAuMTk5Ni4wNi8wMy8yMDI2Li4uVVNELkgBAAAA3rYB</t>
  </si>
  <si>
    <t>AAIAAAAEMzM1MwEIAAAABQAAAAExAQAAAAstMTkwNDg2MDY2NAMAAAADMTYwAgAAAAUyMTY3OAQAAAABMAcAAAAIMy82LzIwMjYIAAAACjEyLzMxLzIwMjQJAAAAATD6janlzXveCHEZCTnOe94IQUNJUS5OWVNFOklCTS5JUV9OT05SRUNVUlJJTkdfSU5DT01FX1RBWEVTLjE5OTYuMDYvMDMvMjAyNi4uLlVTRC5IAQAAAN62AQACAAAABC00NTUBCAAAAAUAAAABMQEAAAALLTE5MDQ4NjA2NjQDAAAAAzE2MAIAAAAFNDg4MzkEAAAAATAHAAAACDMvNi8yMDI2CAAAAAoxMi8zMS8yMDI0CQAAAAEw+o2p5c173ghxGQk5znveCDxDSVEuTllTRTpJQk0uSVFfRUJJVF9FUV9JTkNfRVhDTF9TQkMuMTk5Ni4wNi8wMy8yMDI2Li4uVVNELkgBAAAA3rYBAAIAAAAFMTEwOTkBCAAAAAUAAAABMQEAAAALLTE5MDQ4NjA2NjQDAAAAAzE2MAIAAAAFMjQxMzAEAAAAATAHAAAACDMvNi8yMDI2CAAAAAoxMi8zMS8yMDI0CQAAAAEw+o2p5c173ghxGQk5znveCD9DSVEuTllTRTpJQk0uSVFfTEVBU0VfQURKVVNUTUVOVF9FQklUREEuMTk5Ni4wNi8wMy8yMDI2Li4uVVNELkgBAAAA3rYBAAIAAAAEMTMwOQD6janlzXveCHEZCTnOe94ILUNJUS5OWVNFOklCTS5JUV9GSUxJTkdEQVRFX0lTLjE5OTYuMDYvMDMvMjAyNgEAAADetgEABQAAAAoyNC8wMi8yMDI2APqNqeXNe94IcRkJOc573ggnQ0lRLk5ZU0U6SUJNLklRX0dBQVBf</t>
  </si>
  <si>
    <t>SVMuMTk5Ni4wNi8wMy8yMDI2AQAAAN62AQADAAAAB1VTIEdBQVAA+o2p5c173ghxGQk5znveCDlDSVEuTllTRTpJQk0uSVFfRElTVFJJQlVUQUJMRV9DQVNIX1BBWU9VVC4xOTk2LjA2LzAzLzIwMjYBAAAA3rYBAAMAAAAAAPqNqeXNe94IcRkJOc573gg5Q0lRLk5ZU0U6SUJNLklRX1NQRUNJQUxfRElWX1NIQVJFLjE5OTYuMDYvMDMvMjAyNi4uLlVTRC5IAQAAAN62AQADAAAAAAD6janlzXveCHEZCTnOe94IMUNJUS5OWVNFOklCTS5JUV9ESVZfU0hBUkUuMTk5Ni4wNi8wMy8yMDI2Li4uVVNELkgBAAAA3rYBAAIAAAAENi42NwEIAAAABQAAAAExAQAAAAstMTkwNDg2MDY2NAMAAAADMTYwAgAAAAQzMDU4BAAAAAEwBwAAAAgzLzYvMjAyNggAAAAKMTIvMzEvMjAyNAkAAAABMPqNqeXNe94IcRkJOc573gg1Q0lRLk5ZU0U6SUJNLklRX05JX0FWQUlMX0VYQ0wuMTk5Ni4wNi8wMy8yMDI2Li4uVVNELkgBAAAA3rYBAAIAAAAENjAxNQEIAAAABQAAAAExAQAAAAstMTkwNDg2MDY2NAMAAAADMTYwAgAAAAMzNzkEAAAAATAHAAAACDMvNi8yMDI2CAAAAAoxMi8zMS8yMDI0CQAAAAEw+o2p5c173gh7VAk5znveCEBDSVEuTllTRTpJQk0uSVFfT1RIRVJfTk9OX09QRVJfRVhQX1NVUFBMLjE5OTYuMDYvMDMvMjAyNi4uLlVTRC5IAQAAAN62AQACAAAAAzI3NAEIAAAABQAAAAExAQAAAAstMTkwNDg2MDY2NAMAAAAD</t>
  </si>
  <si>
    <t>MTYwAgAAAAI4NQQAAAABMAcAAAAIMy82LzIwMjYIAAAACjEyLzMxLzIwMjQJAAAAATD6janlzXveCHtUCTnOe94IMENJUS5OWVNFOklCTS5JUV9EQV9TVVBQTC4xOTk2LjA2LzAzLzIwMjYuLi5VU0QuSAEAAADetgEAAwAAAAAA+o2p5c173gh7VAk5znveCCtDSVEuTllTRTpJQk0uSVFfUkVWLjE5OTYuMDYvMDMvMjAyNi4uLlVTRC5IAQAAAN62AQACAAAABTYyMDQ0AQgAAAAFAAAAATEBAAAACy0xOTA0ODYwNjY0AwAAAAMxNjACAAAAAzExMgQAAAABMAcAAAAIMy82LzIwMjYIAAAACjEyLzMxLzIwMjQJAAAAATD6janlzXveCHtUCTnOe94IMkNJUS5OWVNFOklCTS5JUV9JTkNfRVFVSVRZLjE5OTYuMDYvMDMvMjAyNi4uLlVTRC5IAQAAAN62AQADAAAAAAD6janlzXveCHtUCTnOe94INUNJUS5OWVNFOklCTS5JUV9QUkVfT1BFTl9DT1NULjE5OTYuMDYvMDMvMjAyNi4uLlVTRC5IAQAAAN62AQADAAAAAAD6janlzXveCEVpCTnOe94IN0NJUS5OWVNFOklCTS5JUV9HQUlOX0lOVkVTVF9SRVYuMTk5Ni4wNi8wMy8yMDI2Li4uVVNELkgBAAAA3rYBAAMAAAAAAPqNqeXNe94IRWkJOc573gg5Q0lRLk5ZU0U6SUJNLklRX1RPVEFMX0RJVl9QQUlEX0NGLjE5OTYuMDYvMDMvMjAyNi4uLlVTRC5IAQAAAN62AQACAAAABS02MTQ3AQgAAAAFAAAAATEBAAAACy0xOTA0ODYwNjY0AwAAAAMxNjACAAAABDIwMjIEAAAA</t>
  </si>
  <si>
    <t>ATAHAAAACDMvNi8yMDI2CAAAAAoxMi8zMS8yMDI0CQAAAAEw+o2p5c173ghFaQk5znveCDRDSVEuTllTRTpJQk0uSVFfT1RIRVJfUkVOVEFMLjE5OTYuMDYvMDMvMjAyNi4uLlVTRC5IAQAAAN62AQADAAAAAAD6janlzXveCHtUCTnOe94IOkNJUS5OWVNFOklCTS5JUV9ESVNUUklCVVRBQkxFX0NBU0guMTk5Ni4wNi8wMy8yMDI2Li4uVVNELkgBAAAA3rYBAAMAAAAAAPqNqeXNe94Ie1QJOc573gg/Q0lRLk5ZU0U6SUJNLklRX0RJU1RSSUJVVEFCTEVfQ0FTSF9TSEFSRVNfQkFTSUMuMTk5Ni4wNi8wMy8yMDI2AQAAAN62AQADAAAAAAD6janlzXveCEVpCTnOe94IM0NJUS5OWVNFOklCTS5JUV9HQUlOX0FTU0VUUy4xOTk2LjA2LzAzLzIwMjYuLi5VU0QuSAEAAADetgEAAgAAAAM1OTIBCAAAAAUAAAABMQEAAAALLTE5MDQ4NjA2NjQDAAAAAzE2MAIAAAACNTYEAAAAATAHAAAACDMvNi8yMDI2CAAAAAoxMi8zMS8yMDI0CQAAAAEw+o2p5c173ghFaQk5znveCDFDSVEuTllTRTpJQk0uSVFfU0dBX1NVUFBMLjE5OTYuMDYvMDMvMjAyNi4uLlVTRC5IAQAAAN62AQACAAAABTE5MjgxAQgAAAAFAAAAATEBAAAACy0xOTA0ODYwNjY0AwAAAAMxNjACAAAAAzEwMgQAAAABMAcAAAAIMy82LzIwMjYIAAAACjEyLzMxLzIwMjQJAAAAATD6janlzXveCEVpCTnOe94INkNJUS5OWVNFOklCTS5JUV9TVE9DS19CQVNFRF9H</t>
  </si>
  <si>
    <t>QS4xOTk2LjA2LzAzLzIwMjYuLi5VU0QuSAEAAADetgEAAwAAAAAA+o2p5c173ghFaQk5znveCDpDSVEuTllTRTpJQk0uSVFfUkVTVFJVQ1RVUkVfU1VQUExFLjE5OTYuMDYvMDMvMjAyNi4uLlVTRC5IAQAAAN62AQADAAAAAAD6janlzXveCEVpCTnOe94IPUNJUS5OWVNFOklCTS5JUV9ORVRfUkVOVEFMX0VYUF9TVVBQTEUuMTk5Ni4wNi8wMy8yMDI2Li4uVVNELkgBAAAA3rYBAAIAAAAEMTMwOQEIAAAABQAAAAExAQAAAAstMTkwNDg2MDY2NAMAAAADMTYwAgAAAAUyNDI2MwQAAAABMAcAAAAIMy82LzIwMjYIAAAACjEyLzMxLzIwMjQJAAAAATD6janlzXveCEVpCTnOe94IL0NJUS5OWVNFOklCTS5JUV9FRkZFQ1RfVEFYX1JBVEUuMTk5Ni4wNi8wMy8yMDI2AQAAAN62AQADAAAAAk5NAQgAAAAFAAAAATEBAAAACy0xOTA0ODYwNjY0AwAAAAMxNjACAAAABDQzNzYEAAAAATAHAAAACDMvNi8yMDI2CAAAAAoxMi8zMS8yMDI0CQAAAAEw+o2p5c173ghFaQk5znveCDBDSVEuTllTRTpJQk0uSVFfRElMVVRfTkkuMTk5Ni4wNi8wMy8yMDI2Li4uVVNELkgBAAAA3rYBAAIAAAALNjAxNi41NzUwNTgBCAAAAAUAAAABMQEAAAALLTE5MDQ4NjA2NjQDAAAAAzE2MAIAAAAEMzUyMgQAAAABMAcAAAAIMy82LzIwMjYIAAAACjEyLzMxLzIwMjQJAAAAATD6janlzXveCEVpCTnOe94IK0NJUS5OWVNFOklCTS5JUV9FQlQu</t>
  </si>
  <si>
    <t>MTk5Ni4wNi8wMy8yMDI2Li4uVVNELkgBAAAA3rYBAAIAAAAENTc5NwEIAAAABQAAAAExAQAAAAstMTkwNDg2MDY2NAMAAAADMTYwAgAAAAMxMzkEAAAAATAHAAAACDMvNi8yMDI2CAAAAAoxMi8zMS8yMDI0CQAAAAEw+o2p5c173ghFaQk5znveCDNDSVEuTllTRTpJQk0uSVFfSU5UX0VYUF9MVEQuMTk5Ni4wNi8wMy8yMDI2Li4uVVNELkgBAAAA3rYBAAMAAAAAAPqNqeXNe94IGpEJOc573gg5Q0lRLk5ZU0U6SUJNLklRX0dXX0lOVEFOX0FNT1JUX0NGLjE5OTYuMDYvMDMvMjAyNi4uLlVTRC5IAQAAAN62AQACAAAABDE4MzABCAAAAAUAAAABMQEAAAALLTE5MDQ4NjA2NjQDAAAAAzE2MAIAAAAEMjE4MgQAAAABMAcAAAAIMy82LzIwMjYIAAAACjEyLzMxLzIwMjQJAAAAATD6janlzXveCBqRCTnOe94IOENJUS5OWVNFOklCTS5JUV9TVE9DS19CQVNFRF9DT01QLjE5OTYuMDYvMDMvMjAyNi4uLlVTRC5IAQAAAN62AQACAAAAAzg0MgD6janlzXveCBqRCTnOe94IOkNJUS5OWVNFOklCTS5JUV9TVE9DS19PUFRJT05TX0NPTVAuMTk5Ni4wNi8wMy8yMDI2Li4uVVNELkgBAAAA3rYBAAMAAAAAAPqNqeXNe94IGpEJOc573gg5Q0lRLk5ZU0U6SUJNLklRX1BST1ZfQkFEX0RFQlRTX0NGLjE5OTYuMDYvMDMvMjAyNi4uLlVTRC5IAQAAAN62AQADAAAAAAD6janlzXveCBqRCTnOe94IMUNJUS5OWVNFOklCTS5JUV9S</t>
  </si>
  <si>
    <t>RF9FWFBfRk4uMTk5Ni4wNi8wMy8yMDI2Li4uVVNELkgBAAAA3rYBAAIAAAAENzQ3OQEIAAAABQAAAAExAQAAAAstMTkwNDg2MDY2NAMAAAADMTYwAgAAAAQzMTY4BAAAAAEwBwAAAAgzLzYvMjAyNggAAAAKMTIvMzEvMjAyNAkAAAABMPqNqeXNe94IGpEJOc573gg4Q0lRLk5ZU0U6SUJNLklRX0lOVF9FWFBfSU5DTF9DQVAuMTk5Ni4wNi8wMy8yMDI2Li4uVVNELkgBAAAA3rYBAAIAAAAEMTcyNAEIAAAABQAAAAExAQAAAAstMTkwNDg2MDY2NAMAAAADMTYwAgAAAAUyMTg2MQQAAAABMAcAAAAIMy82LzIwMjYIAAAACjEyLzMxLzIwMjQJAAAAATD6janlzXveCBqRCTnOe94IP0NJUS5OWVNFOklCTS5JUV9ERUZFUlJFRF9ET01FU1RJQ19UQVhFUy4xOTk2LjA2LzAzLzIwMjYuLi5VU0QuSAEAAADetgEAAgAAAAUtMjUzOQEIAAAABQAAAAExAQAAAAstMTkwNDg2MDY2NAMAAAADMTYwAgAAAAQzMDU0BAAAAAEwBwAAAAgzLzYvMjAyNggAAAAKMTIvMzEvMjAyNAkAAAABMPqNqeXNe94IGpEJOc573gg6Q0lRLk5ZU0U6SUJNLklRX0NVUlJfRk9SRUlHTl9UQVhFUy4xOTk2LjA2LzAzLzIwMjYuLi5VU0QuSAEAAADetgEAAgAAAAQyMzAxAQgAAAAFAAAAATEBAAAACy0xOTA0ODYwNjY0AwAAAAMxNjACAAAABDMwMzAEAAAAATAHAAAACDMvNi8yMDI2CAAAAAoxMi8zMS8yMDI0CQAAAAEw+o2p5c173ggakQk5znve</t>
  </si>
  <si>
    <t>CCpDSVEuTllTRTpJQk0uSVFfU0FNRV9TVE9SRS4xOTk2LjA2LzAzLzIwMjYBAAAA3rYBAAMAAAAAAPqNqeXNe94IGpEJOc573ggsQ0lRLk5ZU0U6SUJNLklRX0JBU0lDX1dFSUdIVC4xOTk2LjA2LzAzLzIwMjYBAAAA3rYBAAIAAAAKOTIxLjc2NzgzNAD6janlzXveCPO3CTnOe94IKkNJUS5OWVNFOklCTS5JUV9ETy4xOTk2LjA2LzAzLzIwMjYuLi5VU0QuSAEAAADetgEAAgAAAAE4AQgAAAAFAAAAATEBAAAACy0xOTA0ODYwNjY0AwAAAAMxNjACAAAAAjQwBAAAAAEwBwAAAAgzLzYvMjAyNggAAAAKMTIvMzEvMjAyNAkAAAABMPqNqeXNe94I87cJOc573gg1Q0lRLk5ZU0U6SUJNLklRX0lNUEFJUk1FTlRfR1cuMTk5Ni4wNi8wMy8yMDI2Li4uVVNELkgBAAAA3rYBAAMAAAAAAPqNqeXNe94I87cJOc573ggzQ0lRLk5ZU0U6SUJNLklRX0RBX1NVUFBMX0NGLjE5OTYuMDYvMDMvMjAyNi4uLlVTRC5IAQAAAN62AQACAAAABDIxNjgBCAAAAAUAAAABMQEAAAALLTE5MDQ4NjA2NjQDAAAAAzE2MAIAAAAEMjE3MQQAAAABMAcAAAAIMy82LzIwMjYIAAAACjEyLzMxLzIwMjQJAAAAATD6janlzXveCBqRCTnOe94IP0NJUS5OWVNFOklCTS5JUV9HQUlOX0JBUkdBSU5fQUNRX1NVUFBMRS4xOTk2LjA2LzAzLzIwMjYuLi5VU0QuSAEAAADetgEAAwAAAAAA+o2p5c173ggakQk5znveCDZDSVEuTllTRTpJQk0uSVFfTUlO</t>
  </si>
  <si>
    <t>SU1VTV9SRU5UQUwuMTk5Ni4wNi8wMy8yMDI2Li4uVVNELkgBAAAA3rYBAAMAAAAAAPqNqeXNe94I87cJOc573ggxQ0lRLk5ZU0U6SUJNLklRX01BUktFVElORy4xOTk2LjA2LzAzLzIwMjYuLi5VU0QuSAEAAADetgEAAwAAAAAA+o2p5c173gjztwk5znveCD9DSVEuTllTRTpJQk0uSVFfRVhDSVNFX1RBWEVTX0lOQ0xfU0FMRVMuMTk5Ni4wNi8wMy8yMDI2Li4uVVNELkgBAAAA3rYBAAMAAAAAAPqNqeXNe94I87cJOc573gg0Q0lRLk5ZU0U6SUJNLklRX0VCSVREQV9DQVBFWC4xOTk2LjA2LzAzLzIwMjYuLi5VU0QuSAEAAADetgEAAgAAAAUxMTgzOAEIAAAABQAAAAExAQAAAAstMTkwNDg2MDY2NAMAAAADMTYwAgAAAAUzNTM3OQQAAAABMAcAAAAIMy82LzIwMjYIAAAACjEyLzMxLzIwMjQJAAAAATD6janlzXveCPO3CTnOe94IM0NJUS5OWVNFOklCTS5JUV9FQklUX0VRX0lOQy4xOTk2LjA2LzAzLzIwMjYuLi5VU0QuSAEAAADetgEAAgAAAAQ5Nzg4AQgAAAAFAAAAATEBAAAACy0xOTA0ODYwNjY0AwAAAAMxNjACAAAABTIxNjc1BAAAAAEwBwAAAAgzLzYvMjAyNggAAAAKMTIvMzEvMjAyNAkAAAABMPqNqeXNe94I87cJOc573gg2Q0lRLk5ZU0U6SUJNLklRX0dXX0lOVEFOX0FNT1JULjE5OTYuMDYvMDMvMjAyNi4uLlVTRC5IAQAAAN62AQADAAAAAAD6janlzXveCPO3CTnOe94IN0NJUS5OWVNFOklCTS5J</t>
  </si>
  <si>
    <t>UV9GSU5fRElWX0lOVF9FWFAuMTk5Ni4wNi8wMy8yMDI2Li4uVVNELkgBAAAA3rYBAAMAAAAAAPqNqeXNe94I87cJOc573ghAQ0lRLk5ZU0U6SUJNLklRX0lNUFVUX09QRVJfTEVBU0VfSU5UX0VYUC4xOTk2LjA2LzAzLzIwMjYuLi5VU0QuSAEAAADetgEAAgAAAAozMDUuMTMzMTM2AQgAAAAFAAAAATEBAAAACy0xOTA0ODYwNjY0AwAAAAMxNjACAAAABTIxNjcyBAAAAAEwBwAAAAgzLzYvMjAyNggAAAAKMTIvMzEvMjAyNAkAAAABMPqNqeXNe94I87cJOc573ghCQ0lRLk5ZU0U6SUJNLklRX0RFUFJFQ0lBVElPTl9SRU5UQUxfQVNTRVRTLjE5OTYuMDYvMDMvMjAyNi4uLlVTRC5IAQAAAN62AQADAAAAAAD6janlzXveCPO3CTnOe94IP0NJUS5OWVNFOklCTS5JUV9FQklUREFSX0VRX0lOQ19FWENMX1NCQy4xOTk2LjA2LzAzLzIwMjYuLi5VU0QuSAEAAADetgEAAgAAAAUxNTUwNgEIAAAABQAAAAExAQAAAAstMTkwNDg2MDY2NAMAAAADMTYwAgAAAAUyNDEzMwQAAAABMAcAAAAIMy82LzIwMjYIAAAACjEyLzMxLzIwMjQJAAAAATD6janlzXveCPO3CTnOe94IL0NJUS5OWVNFOklCTS5JUV9FQklUREFSLjE5OTYuMDYvMDMvMjAyNi4uLlVTRC5IAQAAAN62AQACAAAABTE0MTk1AQgAAAAFAAAAATEBAAAACy0xOTA0ODYwNjY0AwAAAAMxNjACAAAABTIxNjc0BAAAAAEwBwAAAAgzLzYvMjAyNggAAAAKMTIvMzEv</t>
  </si>
  <si>
    <t>MjAyNAkAAAABMPqNqeXNe94IAd8JOc573ghJQ0lRLk5ZU0U6SUJNLklRX0VCSVREQV9FUV9JTkNfRVhDTF9PUEVSX0xFQVNFX0FESi4xOTk2LjA2LzAzLzIwMjYuLi5VU0QuSAEAAADetgEAAgAAAAUxMjg4NgEIAAAABQAAAAExAQAAAAstMTkwNDg2MDY2NAMAAAADMTYwAgAAAAU0ODk4NwQAAAABMAcAAAAIMy82LzIwMjYIAAAACjEyLzMxLzIwMjQJAAAAATD6janlzXveCAHfCTnOe94INUNJUS5OWVNFOklCTS5JUV9OSV9BVkFJTF9JTkNMLjE5OTYuMDYvMDMvMjAyNi4uLlVTRC5IAQAAAN62AQACAAAABDYwMjMBCAAAAAUAAAABMQEAAAALLTE5MDQ4NjA2NjQDAAAAAzE2MAIAAAACMTYEAAAAATAHAAAACDMvNi8yMDI2CAAAAAoxMi8zMS8yMDI0CQAAAAEw+o2p5c173ggB3wk5znveCDtDSVEuTllTRTpJQk0uSVFfSU5URVJFU1RfSU5WRVNUX0lOQy4xOTk2LjA2LzAzLzIwMjYuLi5VU0QuSAEAAADetgEAAgAAAAM3NDcBCAAAAAUAAAABMQEAAAALLTE5MDQ4NjA2NjQDAAAAAzE2MAIAAAACNjUEAAAAATAHAAAACDMvNi8yMDI2CAAAAAoxMi8zMS8yMDI0CQAAAAEw+o2p5c173ggB3wk5znveCDFDSVEuTllTRTpJQk0uSVFfQ0hBTkdFX0FSLjE5OTYuMDYvMDMvMjAyNi4uLlVTRC5IAQAAAN62AQACAAAABC0zNzQBCAAAAAUAAAABMQEAAAALLTE5MDQ4NjA2NjQDAAAAAzE2MAIAAAAEMjAxOAQAAAABMAcA</t>
  </si>
  <si>
    <t>AAAIMy82LzIwMjYIAAAACjEyLzMxLzIwMjQJAAAAATD6janlzXveCAHfCTnOe94IMENJUS5OWVNFOklCTS5JUV9MT0FOU19DRi4xOTk2LjA2LzAzLzIwMjYuLi5VU0QuSAEAAADetgEAAwAAAAAA+o2p5c173gjfBQo5znveCD5DSVEuTllTRTpJQk0uSVFfU1RPQ0tfT1BUSU9OU19DT01QX1RBWC4xOTk2LjA2LzAzLzIwMjYuLi5VU0QuSAEAAADetgEAAwAAAAAA+o2p5c173ggB3wk5znveCDxDSVEuTllTRTpJQk0uSVFfT1RIRVJfVU5VU1VBTF9TVVBQTEUuMTk5Ni4wNi8wMy8yMDI2Li4uVVNELkgBAAAA3rYBAAMAAAAAAPqNqeXNe94IAd8JOc573gg2Q0lRLk5ZU0U6SUJNLklRX05FVF9SRU5UQUxfRVhQLjE5OTYuMDYvMDMvMjAyNi4uLlVTRC5IAQAAAN62AQADAAAAAAD6janlzXveCAHfCTnOe94IPUNJUS5OWVNFOklCTS5JUV9FQklUREFfTEVBU0VfQURKVVNURUQuMTk5Ni4wNi8wMy8yMDI2Li4uVVNELkgBAAAA3rYBAAIAAAAFMTQxOTUBCAAAAAUAAAABMQEAAAALLTE5MDQ4NjA2NjQDAAAAAzE2MAIAAAAFNDg5OTMEAAAAATAHAAAACDMvNi8yMDI2CAAAAAoxMi8zMS8yMDI0CQAAAAEw+o2p5c173ggB3wk5znveCD5DSVEuTllTRTpJQk0uSVFfRUJJVERBX0VRX0lOQ19FWENMX1NCQy4xOTk2LjA2LzAzLzIwMjYuLi5VU0QuSAEAAADetgEAAgAAAAUxNDE5NwEIAAAABQAAAAExAQAAAAstMTkwNDg2</t>
  </si>
  <si>
    <t>MDY2NAMAAAADMTYwAgAAAAUyNDEzMQQAAAABMAcAAAAIMy82LzIwMjYIAAAACjEyLzMxLzIwMjQJAAAAATD6janlzXveCN8FCjnOe94IMENJUS5OWVNFOklCTS5JUV9EUl9SQVRJT19QUklNQVJZLjE5OTYuMDYvMDMvMjAyNgEAAADetgEAAgAAAAExAPqNqeXNe94I3wUKOc573ggvQ0lRLk5ZU0U6SUJNLklRX0lOQ19UQVguMTk5Ni4wNi8wMy8yMDI2Li4uVVNELkgBAAAA3rYBAAIAAAAELTIxOAEIAAAABQAAAAExAQAAAAstMTkwNDg2MDY2NAMAAAADMTYwAgAAAAI3NQQAAAABMAcAAAAIMy82LzIwMjYIAAAACjEyLzMxLzIwMjQJAAAAATD6janlzXveCN8FCjnOe94IM0NJUS5OWVNFOklCTS5JUV9SRVNUUlVDVFVSRS4xOTk2LjA2LzAzLzIwMjYuLi5VU0QuSAEAAADetgEAAgAAAAQtNjk2AQgAAAAFAAAAATEBAAAACy0xOTA0ODYwNjY0AwAAAAMxNjACAAAAAjk4BAAAAAEwBwAAAAgzLzYvMjAyNggAAAAKMTIvMzEvMjAyNAkAAAABMPqNqeXNe94I3wUKOc573gguQ0lRLk5ZU0U6SUJNLklRX1JEX0VYUC4xOTk2LjA2LzAzLzIwMjYuLi5VU0QuSAEAAADetgEAAgAAAAQ3NDc5AQgAAAAFAAAAATEBAAAACy0xOTA0ODYwNjY0AwAAAAMxNjACAAAAAzEwMAQAAAABMAcAAAAIMy82LzIwMjYIAAAACjEyLzMxLzIwMjQJAAAAATD6janlzXveCN8FCjnOe94IM0NJUS5OWVNFOklCTS5JUV9JTlRfSU5WX0lOQy4x</t>
  </si>
  <si>
    <t>OTk2LjA2LzAzLzIwMjYuLi5VU0QuSAEAAADetgEAAwAAAAAA+o2p5c173gjfBQo5znveCDNDSVEuTllTRTpJQk0uSVFfSU5TX0RJVl9SRVYuMTk5Ni4wNi8wMy8yMDI2Li4uVVNELkgBAAAA3rYBAAMAAAAAAPqNqeXNe94I3wUKOc573gg3Q0lRLk5ZU0U6SUJNLklRX09USEVSX1JFVl9TVVBQTC4xOTk2LjA2LzAzLzIwMjYuLi5VU0QuSAEAAADetgEAAwAAAAAA+o2p5c173gjfBQo5znveCDJDSVEuTllTRTpJQk0uSVFfRUFSTklOR19DTy4xOTk2LjA2LzAzLzIwMjYuLi5VU0QuSAEAAADetgEAAgAAAAQ2MDE1AQgAAAAFAAAAATEBAAAACy0xOTA0ODYwNjY0AwAAAAMxNjACAAAAATcEAAAAATAHAAAACDMvNi8yMDI2CAAAAAoxMi8zMS8yMDI0CQAAAAEw+o2p5c173gjfBQo5znveCCpDSVEuTllTRTpJQk0uSVFfR1AuMTk5Ni4wNi8wMy8yMDI2Li4uVVNELkgBAAAA3rYBAAIAAAAFMzU1NTIBCAAAAAUAAAABMQEAAAALLTE5MDQ4NjA2NjQDAAAAAzE2MAIAAAACMTAEAAAAATAHAAAACDMvNi8yMDI2CAAAAAoxMi8zMS8yMDI0CQAAAAEw+o2p5c173gjfBQo5znveCDZDSVEuTllTRTpJQk0uSVFfUFJPVl9CQURfREVCVFMuMTk5Ni4wNi8wMy8yMDI2Li4uVVNELkgBAAAA3rYBAAMAAAAAAPqNqeXNe94I3wUKOc573ggyQ0lRLk5ZU0U6SUJNLklRX0lNUEFJUl9PSUwuMTk5Ni4wNi8wMy8yMDI2Li4uVVNELkgB</t>
  </si>
  <si>
    <t>AAAA3rYBAAMAAAAAAPqNqeXNe94I3wUKOc573gg3Q0lRLk5ZU0U6SUJNLklRX0VYVFJBX0FDQ19JVEVNUy4xOTk2LjA2LzAzLzIwMjYuLi5VU0QuSAEAAADetgEAAwAAAAAA+o2p5c173gjfBQo5znveCEpDSVEuTllTRTpJQk0uSVFfUFJPVl9CQURfREVCVFNfUEFUSUVOVF9TRVJWSUNFX1JFVi4xOTk2LjA2LzAzLzIwMjYuLi5VU0QuSAEAAADetgEAAwAAAAAA+o2p5c173gjfBQo5znveCC9DSVEuTllTRTpJQk0uSVFfTklfU0ZBUy4xOTk2LjA2LzAzLzIwMjYuLi5VU0QuSAEAAADetgEAAwAAAAAA+o2p5c173gjfBQo5znveCCxDSVEuTllTRTpJQk0uSVFfUEFZT1VUX1JBVElPLjE5OTYuMDYvMDMvMjAyNgEAAADetgEAAgAAAAgxMDIuMDU4NwEIAAAABQAAAAExAQAAAAstMTkwNDg2MDY2NAMAAAADMTYwAgAAAAQ0Mzc3BAAAAAEwBwAAAAgzLzYvMjAyNggAAAAKMTIvMzEvMjAyNAkAAAABMPqNqeXNe94I6z8KOc573gg9Q0lRLk5ZU0U6SUJNLklRX0lNUFVUX09QRVJfTEVBU0VfREVQUi4xOTk2LjA2LzAzLzIwMjYuLi5VU0QuSAEAAADetgEAAgAAAAsxMDAzLjg2Njg2NAEIAAAABQAAAAExAQAAAAstMTkwNDg2MDY2NAMAAAADMTYwAgAAAAUyMTY3MwQAAAABMAcAAAAIMy82LzIwMjYIAAAACjEyLzMxLzIwMjQJAAAAATD6janlzXveCOs/CjnOe94INkNJUS5OWVNFOklCTS5JUV9ESUxVVF9FUFNfSU5D</t>
  </si>
  <si>
    <t>TC4xOTk2LjA2LzAzLzIwMjYuLi5VU0QuSAEAAADetgEAAgAAAAg2LjQyODUzNgEIAAAABQAAAAExAQAAAAstMTkwNDg2MDY2NAMAAAADMTYwAgAAAAE4BAAAAAEwBwAAAAgzLzYvMjAyNggAAAAKMTIvMzEvMjAyNAkAAAABMPqNqeXNe94I6z8KOc573gg5Q0lRLk5ZU0U6SUJNLklRX0lOVkVTVE1FTlRfSU5DT01FLjE5OTYuMDYvMDMvMjAyNi4uLlVTRC5IAQAAAN62AQADAAAAAAD6janlzXveCN8FCjnOe94ILkNJUS5OWVNFOklCTS5JUV9SRVNUQVRFTUVOVF9JUy4xOTk2LjA2LzAzLzIwMjYBAAAA3rYBAAMAAAACTkMA+o2p5c173gjfBQo5znveCDZDSVEuTllTRTpJQk0uSVFfU1RPQ0tfQkFTRURfQVQuMTk5Ni4wNi8wMy8yMDI2Li4uVVNELkgBAAAA3rYBAAMAAAAAAPqNqeXNe94I6z8KOc573ghFQ0lRLk5ZU0U6SUJNLklRX1RPVEFMX0RFQlRfUkVQQUlEX0VYQ0xfTEVBU0VTLjE5OTYuMDYvMDMvMjAyNi4uLlVTRC5IAQAAAN62AQACAAAABS02NjE1AQgAAAAFAAAAATEBAAAACy0xOTA0ODYwNjY0AwAAAAMxNjACAAAABTQ4OTg2BAAAAAEwBwAAAAgzLzYvMjAyNggAAAAKMTIvMzEvMjAyNAkAAAABMPqNqeXNe94I6z8KOc573gg1Q0lRLk5ZU0U6SUJNLklRX0NVUlJFTkNZX0dBSU4uMTk5Ni4wNi8wMy8yMDI2Li4uVVNELkgBAAAA3rYBAAIAAAACMjABCAAAAAUAAAABMQEAAAALLTE5MDQ4NjA2NjQD</t>
  </si>
  <si>
    <t>AAAAAzE2MAIAAAACMzgEAAAAATAHAAAACDMvNi8yMDI2CAAAAAoxMi8zMS8yMDI0CQAAAAEw+o2p5c173gjrPwo5znveCD9DSVEuTllTRTpJQk0uSVFfRVhQTE9SRV9EUklMTF9FWFBfVE9UQUwuMTk5Ni4wNi8wMy8yMDI2Li4uVVNELkgBAAAA3rYBAAMAAAAAAPqNqeXNe94I6z8KOc573gg8Q0lRLk5ZU0U6SUJNLklRX1RPVEFMX1VOVVNVQUxfU1VQUExFLjE5OTYuMDYvMDMvMjAyNi4uLlVTRC5IAQAAAN62AQADAAAAAAD6janlzXveCOs/CjnOe94INkNJUS5OWVNFOklCTS5JUV9TVE9DS19CQVNFRF9SRC4xOTk2LjA2LzAzLzIwMjYuLi5VU0QuSAEAAADetgEAAgAAAAMzOTgBCAAAAAUAAAABMQEAAAALLTE5MDQ4NjA2NjQDAAAAAzE2MAIAAAAFMjI2NzgEAAAAATAHAAAACDMvNi8yMDI2CAAAAAoxMi8zMS8yMDI0CQAAAAEw+o2p5c173ghNZwo5znveCDZDSVEuTllTRTpJQk0uSVFfT1RIRVJfT1BFUl9BQ1QuMTk5Ni4wNi8wMy8yMDI2Li4uVVNELkgBAAAA3rYBAAIAAAADNzgzAQgAAAAFAAAAATEBAAAACy0xOTA0ODYwNjY0AwAAAAMxNjACAAAABDIwNDcEAAAAATAHAAAACDMvNi8yMDI2CAAAAAoxMi8zMS8yMDI0CQAAAAEw+o2p5c173gjrPwo5znveCDJDSVEuTllTRTpJQk0uSVFfQ0FTSF9UQVhFUy4xOTk2LjA2LzAzLzIwMjYuLi5VU0QuSAEAAADetgEAAgAAAAQxNzIzAQgAAAAFAAAAATEBAAAA</t>
  </si>
  <si>
    <t>Cy0xOTA0ODYwNjY0AwAAAAMxNjACAAAABDMwNTMEAAAAATAHAAAACDMvNi8yMDI2CAAAAAoxMi8zMS8yMDI0CQAAAAEw+o2p5c173gjrPwo5znveCCxDSVEuTllTRTpJQk0uSVFfQ09HUy4xOTk2LjA2LzAzLzIwMjYuLi5VU0QuSAEAAADetgEAAgAAAAUyNjgzMgEIAAAABQAAAAExAQAAAAstMTkwNDg2MDY2NAMAAAADMTYwAgAAAAIzNAQAAAABMAcAAAAIMy82LzIwMjYIAAAACjEyLzMxLzIwMjQJAAAAATD6janlzXveCOs/CjnOe94IOENJUS5OWVNFOklCTS5JUV9UT1RBTF9PVEhFUl9PUEVSLjE5OTYuMDYvMDMvMjAyNi4uLlVTRC5IAQAAAN62AQACAAAABTI1NzY0AQgAAAAFAAAAATEBAAAACy0xOTA0ODYwNjY0AwAAAAMxNjACAAAAAzM4MAQAAAABMAcAAAAIMy82LzIwMjYIAAAACjEyLzMxLzIwMjQJAAAAATD6janlzXveCOs/CjnOe94IPENJUS5OWVNFOklCTS5JUV9NSU5PUklUWV9JTlRFUkVTVF9JUy4xOTk2LjA2LzAzLzIwMjYuLi5VU0QuSAEAAADetgEAAwAAAAAA+o2p5c173ghNZwo5znveCCxDSVEuTllTRTpJQk0uSVFfRElMVVRfV0VJR0hULjE5OTYuMDYvMDMvMjAyNgEAAADetgEAAgAAAAo5MzcuMTYxMjI0APqNqeXNe94ITWcKOc573gg8Q0lRLk5ZU0U6SUJNLklRX0NBUElUQUxJWkVEX0lOVEVSRVNULjE5OTYuMDYvMDMvMjAyNi4uLlVTRC5IAQAAAN62AQACAAAAAjEyAQgAAAAFAAAA</t>
  </si>
  <si>
    <t>ATEBAAAACy0xOTA0ODYwNjY0AwAAAAMxNjACAAAABDMwMzIEAAAAATAHAAAACDMvNi8yMDI2CAAAAAoxMi8zMS8yMDI0CQAAAAEw+o2p5c173ghNZwo5znveCEdDSVEuTllTRTpJQk0uSVFfRElTVFJJQlVUQUJMRV9DQVNIX1NUQU5EQVJESVpFRC4xOTk2LjA2LzAzLzIwMjYuLi5VU0QuSAEAAADetgEAAwAAAAAA+o2p5c173ghNZwo5znveCDJDSVEuTllTRTpJQk0uSVFfQ09NTU9OX0RJVi4xOTk2LjA2LzAzLzIwMjYuLi5VU0QuSAEAAADetgEAAgAAAAQ2MTQ3APqNqeXNe94ITWcKOc573ggzQ0lRLk5ZU0U6SUJNLklRX0FEVkVSVElTSU5HLjE5OTYuMDYvMDMvMjAyNi4uLlVTRC5IAQAAAN62AQACAAAABDExNzMBCAAAAAUAAAABMQEAAAALLTE5MDQ4NjA2NjQDAAAAAzE2MAIAAAAEMzAxMwQAAAABMAcAAAAIMy82LzIwMjYIAAAACjEyLzMxLzIwMjQJAAAAATD6janlzXveCE1nCjnOe94IP0NJUS5OWVNFOklCTS5JUV9TVE9DS19CQVNFRF9DT01QX1BSRVRBWC4xOTk2LjA2LzAzLzIwMjYuLi5VU0QuSAEAAADetgEAAgAAAAQxMzExAPqNqeXNe94ITWcKOc573gg6Q0lRLk5ZU0U6SUJNLklRX0lOVkVTVF9TRUNVUklUWV9DRi4xOTk2LjA2LzAzLzIwMjYuLi5VU0QuSAEAAADetgEAAgAAAAUtMTIxOAEIAAAABQAAAAExAQAAAAstMTkwNDg2MDY2NAMAAAADMTYwAgAAAAQyMDI3BAAAAAEwBwAAAAgzLzYv</t>
  </si>
  <si>
    <t>MjAyNggAAAAKMTIvMzEvMjAyNAkAAAABMPqNqeXNe94ITWcKOc573ggzQ0lRLk5ZU0U6SUJNLklRX1BSRUZfSVNTVUVELjE5OTYuMDYvMDMvMjAyNi4uLlVTRC5IAQAAAN62AQADAAAAAAD6janlzXveCE1nCjnOe94IM0NJUS5OWVNFOklCTS5JUV9GSU5fRElWX1JFVi4xOTk2LjA2LzAzLzIwMjYuLi5VU0QuSAEAAADetgEAAgAAAAM3MDkBCAAAAAUAAAABMQEAAAALLTE5MDQ4NjA2NjQDAAAAAzE2MAIAAAACNTIEAAAAATAHAAAACDMvNi8yMDI2CAAAAAoxMi8zMS8yMDI0CQAAAAEw+o2p5c173ghNZwo5znveCDVDSVEuTllTRTpJQk0uSVFfRVhQTE9SRV9EUklMTC4xOTk2LjA2LzAzLzIwMjYuLi5VU0QuSAEAAADetgEAAwAAAAAA+o2p5c173ghqjgo5znveCEBDSVEuTllTRTpJQk0uSVFfRElTVFJJQlVUQUJMRV9DQVNIX1NIQVJFLjE5OTYuMDYvMDMvMjAyNi4uLlVTRC5IAQAAAN62AQADAAAAAAD6janlzXveCGqOCjnOe94IMUNJUS5OWVNFOklCTS5JUV9EQV9FQklUREEuMTk5Ni4wNi8wMy8yMDI2Li4uVVNELkgBAAAA3rYBAAIAAAAEMzA5OAEIAAAABQAAAAExAQAAAAstMTkwNDg2MDY2NAMAAAADMTYwAgAAAAQyMjA2BAAAAAEwBwAAAAgzLzYvMjAyNggAAAAKMTIvMzEvMjAyNAkAAAABMPqNqeXNe94Iao4KOc573gg8Q0lRLk5ZU0U6SUJNLklRX0lNUEFJUk1FTlRfR1dfU1VQUExFLjE5OTYuMDYv</t>
  </si>
  <si>
    <t>MDMvMjAyNi4uLlVTRC5IAQAAAN62AQADAAAAAAD6janlzXveCGqOCjnOe94IMENJUS5OWVNFOklCTS5JUV9FQlRfRVhDTC4xOTk2LjA2LzAzLzIwMjYuLi5VU0QuSAEAAADetgEAAgAAAAQ5MTE3AQgAAAAFAAAAATEBAAAACy0xOTA0ODYwNjY0AwAAAAMxNjACAAAAATQEAAAAATAHAAAACDMvNi8yMDI2CAAAAAoxMi8zMS8yMDI0CQAAAAEw+o2p5c173ghNZwo5znveCDZDSVEuTllTRTpJQk0uSVFfUFJFRl9ESVZfT1RIRVIuMTk5Ni4wNi8wMy8yMDI2Li4uVVNELkgBAAAA3rYBAAMAAAAAAPqNqeXNe94Iao4KOc573gg2Q0lRLk5ZU0U6SUJNLklRX0RJTFVUX0VQU19OT1JNLjE5OTYuMDYvMDMvMjAyNi4uLlVTRC5IAQAAAN62AQACAAAACDYuMDgwMTk3AQgAAAAFAAAAATEBAAAACy0xOTA0ODYwNjY0AwAAAAMxNjACAAAABDQzODAEAAAAATAHAAAACDMvNi8yMDI2CAAAAAoxMi8zMS8yMDI0CQAAAAEw+o2p5c173ghqjgo5znveCC9DSVEuTllTRTpJQk0uSVFfUEVSSU9ETEVOR1RIX0lTLjE5OTYuMDYvMDMvMjAyNgEAAADetgEAAQAAAAIxMgD6janlzXveCGqOCjnOe94INUNJUS5OWVNFOklCTS5JUV9FQklUX0VYQ0xfU0JDLjE5OTYuMDYvMDMvMjAyNi4uLlVTRC5IAQAAAN62AQACAAAABTExMDk5AQgAAAAFAAAAATEBAAAACy0xOTA0ODYwNjY0AwAAAAMxNjACAAAABTI0MTM0BAAAAAEwBwAAAAgzLzYv</t>
  </si>
  <si>
    <t>MjAyNggAAAAKMTIvMzEvMjAyNAkAAAABMPqNqeXNe94Iao4KOc573gg5Q0lRLk5ZU0U6SUJNLklRX05FR0FUSVZFX0dXX0FNT1JULjE5OTYuMDYvMDMvMjAyNi4uLlVTRC5IAQAAAN62AQADAAAAAAD6janlzXveCGqOCjnOe94IN0NJUS5OWVNFOklCTS5JUV9JTlZFU1RfTE9BTlNfQ0YuMTk5Ni4wNi8wMy8yMDI2Li4uVVNELkgBAAAA3rYBAAMAAAAAAPqNqeXNe94Iao4KOc573gg2Q0lRLk5ZU0U6SUJNLklRX1NUX0RFQlRfUkVQQUlELjE5OTYuMDYvMDMvMjAyNi4uLlVTRC5IAQAAAN62AQADAAAAAAD6janlzXveCGqOCjnOe94IMUNJUS5OWVNFOklCTS5JUV9UT1RBTF9SRVYuMTk5Ni4wNi8wMy8yMDI2Li4uVVNELkgBAAAA3rYBAAIAAAAFNjI3NTMBCAAAAAUAAAABMQEAAAALLTE5MDQ4NjA2NjQDAAAAAzE2MAIAAAACMjgEAAAAATAHAAAACDMvNi8yMDI2CAAAAAoxMi8zMS8yMDI0CQAAAAEw+o2p5c173ghqjgo5znveCDNDSVEuTllTRTpJQk0uSVFfSU5TX0RJVl9FWFAuMTk5Ni4wNi8wMy8yMDI2Li4uVVNELkgBAAAA3rYBAAMAAAAAAPqNqeXNe94Iao4KOc573gg0Q0lRLk5ZU0U6SUJNLklRX0lOVEVSRVNUX0VYUC4xOTk2LjA2LzAzLzIwMjYuLi5VU0QuSAEAAADetgEAAgAAAAUtMTcxMgEIAAAABQAAAAExAQAAAAstMTkwNDg2MDY2NAMAAAADMTYwAgAAAAI4MgQAAAABMAcAAAAIMy82LzIwMjYI</t>
  </si>
  <si>
    <t>AAAACjEyLzMxLzIwMjQJAAAAATD6janlzXveCGqOCjnOe94IMkNJUS5OWVNFOklCTS5JUV9JTlNfU0VUVExFLjE5OTYuMDYvMDMvMjAyNi4uLlVTRC5IAQAAAN62AQADAAAAAAD6janlzXveCDnJCjnOe94INUNJUS5OWVNFOklCTS5JUV9FQklUREFfRVFfSU5DLjE5OTYuMDYvMDMvMjAyNi4uLlVTRC5IAQAAAN62AQACAAAABTE0MTk1AQgAAAAFAAAAATEBAAAACy0xOTA0ODYwNjY0AwAAAAMxNjACAAAABTIxNjc3BAAAAAEwBwAAAAgzLzYvMjAyNggAAAAKMTIvMzEvMjAyNAkAAAABMPqNqeXNe94Iao4KOc573gg0Q0lRLk5ZU0U6SUJNLklRX0VCSVRBX0VRX0lOQy4xOTk2LjA2LzAzLzIwMjYuLi5VU0QuSAEAAADetgEAAgAAAAUxMTYxOAEIAAAABQAAAAExAQAAAAstMTkwNDg2MDY2NAMAAAADMTYwAgAAAAUyMTY3NgQAAAABMAcAAAAIMy82LzIwMjYIAAAACjEyLzMxLzIwMjQJAAAAATD6janlzXveCGqOCjnOe94INkNJUS5OWVNFOklCTS5JUV9DSEFOR0VfSU5DX1RBWC4xOTk2LjA2LzAzLzIwMjYuLi5VU0QuSAEAAADetgEAAwAAAAAA+o2p5c173ghqjgo5znveCDBDSVEuTllTRTpJQk0uSVFfUFJFRl9SRVAuMTk5Ni4wNi8wMy8yMDI2Li4uVVNELkgBAAAA3rYBAAMAAAAAAPqNqeXNe94Iao4KOc573gguQ0lRLk5ZU0U6SUJNLklRX01FUkdFUi4xOTk2LjA2LzAzLzIwMjYuLi5VU0QuSAEAAADetgEA</t>
  </si>
  <si>
    <t>AgAAAAQtMTIzAQgAAAAFAAAAATEBAAAACy0xOTA0ODYwNjY0AwAAAAMxNjACAAAAAjgwBAAAAAEwBwAAAAgzLzYvMjAyNggAAAAKMTIvMzEvMjAyNAkAAAABMPqNqeXNe94IOckKOc573gg2Q0lRLk5ZU0U6SUJNLklRX0VCSVRBX0VYQ0xfU0JDLjE5OTYuMDYvMDMvMjAyNi4uLlVTRC5IAQAAAN62AQACAAAABTEyOTI5AQgAAAAFAAAAATEBAAAACy0xOTA0ODYwNjY0AwAAAAMxNjACAAAABTI0MTM2BAAAAAEwBwAAAAgzLzYvMjAyNggAAAAKMTIvMzEvMjAyNAkAAAABMPqNqeXNe94IOckKOc573gg4Q0lRLk5ZU0U6SUJNLklRX0VCSVREQVJfRVhDTF9TQkMuMTk5Ni4wNi8wMy8yMDI2Li4uVVNELkgBAAAA3rYBAAIAAAAFMTU1MDYBCAAAAAUAAAABMQEAAAALLTE5MDQ4NjA2NjQDAAAAAzE2MAIAAAAFMjQxMzcEAAAAATAHAAAACDMvNi8yMDI2CAAAAAoxMi8zMS8yMDI0CQAAAAEw+o2p5c173gg5yQo5znveCEFDSVEuTllTRTpJQk0uSVFfRUFSTklOR19QQVJFTlRfRVhDTF9FWFRSQS4xOTk2LjA2LzAzLzIwMjYuLi5VU0QuSAEAAADetgEAAgAAAAQ2MDE1AQgAAAAFAAAAATEBAAAACy0xOTA0ODYwNjY0AwAAAAMxNjACAAAABTQxNTk2BAAAAAEwBwAAAAgzLzYvMjAyNggAAAAKMTIvMzEvMjAyNAkAAAABMPqNqeXNe94IOckKOc573gg+Q0lRLk5ZU0U6SUJNLklRX0FOTlVfRElTVFJJQlVUSU9OX1VOSVQu</t>
  </si>
  <si>
    <t>MTk5Ni4wNi8wMy8yMDI2Li4uVVNELkgBAAAA3rYBAAMAAAAAAPqNqeXNe94IOckKOc573gg5Q0lRLk5ZU0U6SUJNLklRX0NPTlRJTkdFTlRfUkVOVEFMLjE5OTYuMDYvMDMvMjAyNi4uLlVTRC5IAQAAAN62AQACAAAAAzMyMQD6janlzXveCDnJCjnOe94IM0NJUS5OWVNFOklCTS5JUV9TVE9DS19CQVNFRC4xOTk2LjA2LzAzLzIwMjYuLi5VU0QuSAEAAADetgEAAwAAAAAA+o2p5c173gg5yQo5znveCDJDSVEuTllTRTpJQk0uSVFfT1RIRVJfT1BFUi4xOTk2LjA2LzAzLzIwMjYuLi5VU0QuSAEAAADetgEAAgAAAAQtOTk2AQgAAAAFAAAAATEBAAAACy0xOTA0ODYwNjY0AwAAAAMxNjACAAAAAzI2MAQAAAABMAcAAAAIMy82LzIwMjYIAAAACjEyLzMxLzIwMjQJAAAAATD6janlzXveCDnJCjnOe94IMkNJUS5OWVNFOklCTS5JUV9OSV9DT01QQU5ZLjE5OTYuMDYvMDMvMjAyNi4uLlVTRC5IAQAAAN62AQACAAAABDYwMjMBCAAAAAUAAAABMQEAAAALLTE5MDQ4NjA2NjQDAAAAAzE2MAIAAAAFNDE1NzEEAAAAATAHAAAACDMvNi8yMDI2CAAAAAoxMi8zMS8yMDI0CQAAAAEw+o2p5c173gg5yQo5znveCDdDSVEuTllTRTpJQk0uSVFfSU5URVJFU1RfSU5DT01FLjE5OTYuMDYvMDMvMjAyNi4uLlVTRC5IAQAAAN62AQACAAAAAzc0NwEIAAAABQAAAAExAQAAAAstMTkwNDg2MDY2NAMAAAADMTYwAgAAAAMyMTAEAAAA</t>
  </si>
  <si>
    <t>ATAHAAAACDMvNi8yMDI2CAAAAAoxMi8zMS8yMDI0CQAAAAEw+o2p5c173gg5yQo5znveCDtDSVEuTllTRTpJQk0uSVFfQ1VSUl9ET01FU1RJQ19UQVhFUy4xOTk2LjA2LzAzLzIwMjYuLi5VU0QuSAEAAADetgEAAgAAAAQtMTgzAQgAAAAFAAAAATEBAAAACy0xOTA0ODYwNjY0AwAAAAMxNjACAAAABDMwMjcEAAAAATAHAAAACDMvNi8yMDI2CAAAAAoxMi8zMS8yMDI0CQAAAAEw+o2p5c173gjX8Ao5znveCDJDSVEuTllTRTpJQk0uSVFfQ1VSUl9UQVhFUy4xOTk2LjA2LzAzLzIwMjYuLi5VU0QuSAEAAADetgEAAgAAAAQyMTE4AQgAAAAFAAAAATEBAAAACy0xOTA0ODYwNjY0AwAAAAMxNjACAAAABTM1MzgzBAAAAAEwBwAAAAgzLzYvMjAyNggAAAAKMTIvMzEvMjAyNAkAAAABMPqNqeXNe94I1/AKOc573ghBQ0lRLk5ZU0U6SUJNLklRX1NUT0NLX09QVElPTlNfQ09NUF9QUkVUQVguMTk5Ni4wNi8wMy8yMDI2Li4uVVNELkgBAAAA3rYBAAMAAAAAAPqNqeXNe94I1/AKOc573gg8Q0lRLk5ZU0U6SUJNLklRX1NUT0NLX0JBU0VEX0NPTVBfVEFYLjE5OTYuMDYvMDMvMjAyNi4uLlVTRC5IAQAAAN62AQACAAAABC00NjkA+o2p5c173gjX8Ao5znveCDVDSVEuTllTRTpJQk0uSVFfQ09NTU9OX0RJVl9DRi4xOTk2LjA2LzAzLzIwMjYuLi5VU0QuSAEAAADetgEAAgAAAAUtNjE0NwEIAAAABQAAAAExAQAAAAstMTkw</t>
  </si>
  <si>
    <t>NDg2MDY2NAMAAAADMTYwAgAAAAQyMDc0BAAAAAEwBwAAAAgzLzYvMjAyNggAAAAKMTIvMzEvMjAyNAkAAAABMPqNqeXNe94IOckKOc573gg4Q0lRLk5ZU0U6SUJNLklRX0dBSU5fQkFSR0FJTl9BQ1EuMTk5Ni4wNi8wMy8yMDI2Li4uVVNELkgBAAAA3rYBAAMAAAAAAPqNqeXNe94I1/AKOc573gg7Q0lRLk5ZU0U6SUJNLklRX0xFR0FMX1NFVFRMRV9TVVBQTEUuMTk5Ni4wNi8wMy8yMDI2Li4uVVNELkgBAAAA3rYBAAMAAAAAAPqNqeXNe94I1/AKOc573ghBQ0lRLk5ZU0U6SUJNLklRX1NUT0NLX0JBU0VEX0VYUExPUkVfRFJJTEwuMTk5Ni4wNi8wMy8yMDI2Li4uVVNELkgBAAAA3rYBAAMAAAAAAPqNqeXNe94I1/AKOc573gg2Q0lRLk5ZU0U6SUJNLklRX1NUT0NLX0JBU0VEX0NGLjE5OTYuMDYvMDMvMjAyNi4uLlVTRC5IAQAAAN62AQACAAAABDEzMTEBCAAAAAUAAAABMQEAAAALLTE5MDQ4NjA2NjQDAAAAAzE2MAIAAAAEMjEyNwQAAAABMAcAAAAIMy82LzIwMjYIAAAACjEyLzMxLzIwMjQJAAAAATD6janlzXveCNfwCjnOe94IPENJUS5OWVNFOklCTS5JUV9DSEFOR0VfREVGX1RBWF9UT1RBTC4xOTk2LjA2LzAzLzIwMjYuLi5VU0QuSAEAAADetgEAAgAAAAUtMjMzMAEIAAAABQAAAAExAQAAAAstMTkwNDg2MDY2NAMAAAADMTYwAgAAAAUzMDkyNAQAAAABMAcAAAAIMy82LzIwMjYIAAAACjEyLzMxLzIw</t>
  </si>
  <si>
    <t>MjQJAAAAATD6janlzXveCNfwCjnOe94INkNJUS5OWVNFOklCTS5JUV9TVF9OT1RFX1JFQ0VJVi4xOTk2LjA2LzAzLzIwMjYuLi5VU0QuSAEAAADetgEAAwAAAAAA+o2p5c173gjUFws5znveCDNDSVEuTllTRTpJQk0uSVFfRklOX0RJVl9FWFAuMTk5Ni4wNi8wMy8yMDI2Li4uVVNELkgBAAAA3rYBAAIAAAADMzY5AQgAAAAFAAAAATEBAAAACy0xOTA0ODYwNjY0AwAAAAMxNjACAAAAAjUxBAAAAAEwBwAAAAgzLzYvMjAyNggAAAAKMTIvMzEvMjAyNAkAAAABMPqNqeXNe94I1/AKOc573ggzQ0lRLk5ZU0U6SUJNLklRX0dBSU5fSU5WRVNULjE5OTYuMDYvMDMvMjAyNi4uLlVTRC5IAQAAAN62AQACAAAAAjIwAQgAAAAFAAAAATEBAAAACy0xOTA0ODYwNjY0AwAAAAMxNjACAAAAAjYyBAAAAAEwBwAAAAgzLzYvMjAyNggAAAAKMTIvMzEvMjAyNAkAAAABMPqNqeXNe94I1/AKOc573gg2Q0lRLk5ZU0U6SUJNLklRX0xUX0RFQlRfUkVQQUlELjE5OTYuMDYvMDMvMjAyNi4uLlVTRC5IAQAAAN62AQACAAAABS02NjE1AQgAAAAFAAAAATEBAAAACy0xOTA0ODYwNjY0AwAAAAMxNjACAAAABDIwMzYEAAAAATAHAAAACDMvNi8yMDI2CAAAAAoxMi8zMS8yMDI0CQAAAAEw+o2p5c173gjX8Ao5znveCENDSVEuTllTRTpJQk0uSVFfU0FMRV9QUk9DRUVEU19SRU5UQUxfQVNTRVRTLjE5OTYuMDYvMDMvMjAyNi4uLlVTRC5I</t>
  </si>
  <si>
    <t>AQAAAN62AQADAAAAAAD6janlzXveCNfwCjnOe94INkNJUS5OWVNFOklCTS5JUV9ESUxVVF9FUFNfRVhDTC4xOTk2LjA2LzAzLzIwMjYuLi5VU0QuSAEAAADetgEAAgAAAAg2LjQxOTk5OQEIAAAABQAAAAExAQAAAAstMTkwNDg2MDY2NAMAAAADMTYwAgAAAAMxNDIEAAAAATAHAAAACDMvNi8yMDI2CAAAAAoxMi8zMS8yMDI0CQAAAAEw+o2p5c173gjUFws5znveCCpDSVEuTllTRTpJQk0uSVFfTkkuMTk5Ni4wNi8wMy8yMDI2Li4uVVNELkgBAAAA3rYBAAIAAAAENjAyMwEIAAAABQAAAAExAQAAAAstMTkwNDg2MDY2NAMAAAADMTYwAgAAAAIxNQQAAAABMAcAAAAIMy82LzIwMjYIAAAACjEyLzMxLzIwMjQJAAAAATD6janlzXveCNQXCznOe94ITENJUS5OWVNFOklCTS5JUV9ESVNUUklCVVRBQkxFX0NBU0hfUEVSX1NIQVJFX0RJTFVURUQuMTk5Ni4wNi8wMy8yMDI2Li4uVVNELkgBAAAA3rYBAAMAAAAAAPqNqeXNe94I1BcLOc573ggvQ0lRLk5ZU0U6SUJNLklRX05JX05PUk0uMTk5Ni4wNi8wMy8yMDI2Li4uVVNELkgBAAAA3rYBAAIAAAAINTY5OC4xMjUBCAAAAAUAAAABMQEAAAALLTE5MDQ4NjA2NjQDAAAAAzE2MAIAAAAENDM3OAQAAAABMAcAAAAIMy82LzIwMjYIAAAACjEyLzMxLzIwMjQJAAAAATD6janlzXveCNQXCznOe94ILkNJUS5OWVNFOklCTS5JUV9HQV9FWFAuMTk5Ni4wNi8wMy8yMDI2Li4u</t>
  </si>
  <si>
    <t>VVNELkgBAAAA3rYBAAMAAAAAAPqNqeXNe94IyisLOc573gg3Q0lRLk5ZU0U6SUJNLklRX0dBSU5fQVNTRVRTX1JFVi4xOTk2LjA2LzAzLzIwMjYuLi5VU0QuSAEAAADetgEAAwAAAAAA+o2p5c173gjKKws5znveCDtDSVEuTllTRTpJQk0uSVFfT1RIRVJfVU5VU1VBTF9TVVBQTC4xOTk2LjA2LzAzLzIwMjYuLi5VU0QuSAEAAADetgEAAgAAAAUtMzExMwEIAAAABQAAAAExAQAAAAstMTkwNDg2MDY2NAMAAAADMTYwAgAAAAI4NwQAAAABMAcAAAAIMy82LzIwMjYIAAAACjEyLzMxLzIwMjQJAAAAATD6janlzXveCMorCznOe94IMENJUS5OWVNFOklCTS5JUV9FUFNfNVlSX0FOTl9DQUdSLjE5OTUuMDYvMDMvMjAyNgEAAADetgEAAgAAAActNC41MjU4AQgAAAAFAAAAATEBAAAACy0xOTIwODQ2OTUwAwAAAAMxNjACAAAABDQyMzkEAAAAATAHAAAACDMvNi8yMDI2CAAAAAk5LzMwLzIwMjQJAAAAATD6janlzXveCDR6CznOe94IMUNJUS5OWVNFOklCTS5JUV9OSV8xWVJfQU5OX0dST1dUSC4xOTk1LjA2LzAzLzIwMjYBAAAA3rYBAAIAAAAHLTcuNjExMwEIAAAABQAAAAExAQAAAAstMTkyMDg0Njk1MAMAAAADMTYwAgAAAAQ0MTk5BAAAAAEwBwAAAAgzLzYvMjAyNggAAAAJOS8zMC8yMDI0CQAAAAEw+o2p5c173gg0egs5znveCDFDSVEuTllTRTpJQk0uSVFfR1BfMVlSX0FOTl9HUk9XVEguMTk5NS4wNi8wMy8y</t>
  </si>
  <si>
    <t>MDI2AQAAAN62AQACAAAABjUuMDg4MgEIAAAABQAAAAExAQAAAAstMTkyMDg0Njk1MAMAAAADMTYwAgAAAAQ0MTk1BAAAAAEwBwAAAAgzLzYvMjAyNggAAAAJOS8zMC8yMDI0CQAAAAEw+o2p5c173gg0egs5znveCDBDSVEuTllTRTpJQk0uSVFfRUJJVERBX0NBUEVYX0lOVC4xOTk1LjA2LzAzLzIwMjYBAAAA3rYBAAIAAAAINy44NzA0OTYBCAAAAAUAAAABMQEAAAALLTE5MjA4NDY5NTADAAAAAzE2MAIAAAAENDE5MQQAAAABMAcAAAAIMy82LzIwMjYIAAAACTkvMzAvMjAyNAkAAAABMPqNqeXNe94INHoLOc573ggwQ0lRLk5ZU0U6SUJNLklRX0NGT19DVVJSRU5UX0xJQUIuMTk5NS4wNi8wMy8yMDI2AQAAAN62AQACAAAACDAuNDcwNTkyAQgAAAAFAAAAATEBAAAACy0xOTIwODQ2OTUwAwAAAAMxNjACAAAABDQxODUEAAAAATAHAAAACDMvNi8yMDI2CAAAAAk5LzMwLzIwMjQJAAAAATD6janlzXveCDR6CznOe94ILUNJUS5OWVNFOklCTS5JUV9SRVRVUk5fRVFVSVRZLjE5OTUuMDYvMDMvMjAyNgEAAADetgEAAgAAAAYyNi43MjkBCAAAAAUAAAABMQEAAAALLTE5MjA4NDY5NTADAAAAAzE2MAIAAAAENDEyOAQAAAABMAcAAAAIMy82LzIwMjYIAAAACTkvMzAvMjAyNAkAAAABMPqNqeXNe94INHoLOc573ghGQ0lRLk5ZU0U6SUJNLklRX1VOUkVDT0dfVEFYX0JFTkVGSVRfRU5EX1BFUklPRC4xOTk1LjA2LzAz</t>
  </si>
  <si>
    <t>LzIwMjYuLi5VU0QuSAEAAADetgEAAwAAAAAA+o2p5c173gg0egs5znveCENDSVEuTllTRTpJQk0uSVFfU0VUVExFTUVOVFNfVEFYX0FVVEhPUklUSUVTLjE5OTUuMDYvMDMvMjAyNi4uLlVTRC5IAQAAAN62AQADAAAAAAD6janlzXveCDR6CznOe94IPUNJUS5OWVNFOklCTS5JUV9UQVhfQkVORUZJVF9DRl9OT19FWFAuMTk5NS4wNi8wMy8yMDI2Li4uVVNELkgBAAAA3rYBAAMAAAAAAPqNqeXNe94INHoLOc573gg3Q0lRLk5ZU0U6SUJNLklRX0NBUF9MT1NTX0NGXzNZUi4xOTk1LjA2LzAzLzIwMjYuLi5VU0QuSAEAAADetgEAAwAAAAAA+o2p5c173gg0egs5znveCEZDSVEuTllTRTpJQk0uSVFfQ0FQSVRBTElaRURfSU5URVJFU1RfT1RIRVJfQURKLjE5OTUuMDYvMDMvMjAyNi4uLlVTRC5IAQAAAN62AQADAAAAAAD6janlzXveCKGjCznOe94IM0NJUS5OWVNFOklCTS5JUV9FQklUREFfM1lSX0FOTl9DQUdSLjE5OTUuMDYvMDMvMjAyNgEAAADetgEAAgAAAAY4LjExNzYBCAAAAAUAAAABMQEAAAALLTE5MjA4NDY5NTADAAAAAzE2MAIAAAAENDIyMgQAAAABMAcAAAAIMy82LzIwMjYIAAAACTkvMzAvMjAyNAkAAAABMPqNqeXNe94IoaMLOc573ghIQ0lRLk5ZU0U6SUJNLklRX1RPVEFMX0RFQlRfRUJJVERBX0VYQ0xfT1BFUl9MRUFTRVNfQ0FQRVguMTk5NS4wNi8wMy8yMDI2AQAAAN62AQACAAAACDUuMDEw</t>
  </si>
  <si>
    <t>OTE3AQgAAAAFAAAAATEBAAAACy0xOTIwODQ2OTUwAwAAAAMxNjACAAAABTQ5MTgzBAAAAAEwBwAAAAgzLzYvMjAyNggAAAAJOS8zMC8yMDI0CQAAAAEw+o2p5c173gihows5znveCC5DSVEuTllTRTpJQk0uSVFfTFRfREVCVF9FUVVJVFkuMTk5NS4wNi8wMy8yMDI2AQAAAN62AQACAAAACDIyNy4yMTk3AQgAAAAFAAAAATEBAAAACy0xOTIwODQ2OTUwAwAAAAMxNjACAAAABDQwODUEAAAAATAHAAAACDMvNi8yMDI2CAAAAAk5LzMwLzIwMjQJAAAAATD6janlzXveCKGjCznOe94IK0NJUS5OWVNFOklCTS5JUV9BU1NFVF9UVVJOUy4xOTk1LjA2LzAzLzIwMjYBAAAA3rYBAAIAAAAIMC40NzQ3MDIBCAAAAAUAAAABMQEAAAALLTE5MjA4NDY5NTADAAAAAzE2MAIAAAAENDE3NwQAAAABMAcAAAAIMy82LzIwMjYIAAAACTkvMzAvMjAyNAkAAAABMPqNqeXNe94INHoLOc573ggrQ0lRLk5ZU0U6SUJNLklRX0VCSVRfTUFSR0lOLjE5OTUuMDYvMDMvMjAyNgEAAADetgEAAgAAAAcxNS45NDQzAQgAAAAFAAAAATEBAAAACy0xOTIwODQ2OTUwAwAAAAMxNjACAAAABDQwNTMEAAAAATAHAAAACDMvNi8yMDI2CAAAAAk5LzMwLzIwMjQJAAAAATD6janlzXveCKGjCznOe94IS0NJUS5OWVNFOklCTS5JUV9JTlRFUkVTVF9QRU5BTFRJRVNfUkVDT0dfQlNfUFJFX1RBWC4xOTk1LjA2LzAzLzIwMjYuLi5VU0QuSAEAAADetgEA</t>
  </si>
  <si>
    <t>AwAAAAAA+o2p5c173gihows5znveCE1DSVEuTllTRTpJQk0uSVFfVFJBTlNfSU1QQUNUX0ZJTl80OF9SRVRBSU5FRF9FQVJOSU5HUy4xOTk1LjA2LzAzLzIwMjYuLi5VU0QuSAEAAADetgEAAwAAAAAA+o2p5c173gihows5znveCDpDSVEuTllTRTpJQk0uSVFfVEFYX0JFTkVGSVRfQ0ZfMVlSLjE5OTUuMDYvMDMvMjAyNi4uLlVTRC5IAQAAAN62AQADAAAAAABToqnlzXveCKGjCznOe94IOUNJUS5OWVNFOklCTS5JUV9OT0xfQ0ZfQUZURVJfRklWRS4xOTk1LjA2LzAzLzIwMjYuLi5VU0QuSAEAAADetgEAAwAAAAAAU6Kp5c173gihows5znveCDJDSVEuTllTRTpJQk0uSVFfTk9MX0NGXzNZUi4xOTk1LjA2LzAzLzIwMjYuLi5VU0QuSAEAAADetgEAAwAAAAAAU6Kp5c173gi4ygs5znveCD1DSVEuTllTRTpJQk0uSVFfVkFMVUVfQ1VTVE9NRVJfQVNTRVRTLjE5OTUuMDYvMDMvMjAyNi4uLlVTRC5IAQAAAN62AQADAAAAAABToqnlzXveCKGjCznOe94IN0NJUS5OWVNFOklCTS5JUV9NVVRVQUxfRlVORF9CT1AuMTk5NS4wNi8wMy8yMDI2Li4uVVNELkgBAAAA3rYBAAMAAAAAAFOiqeXNe94IoaMLOc573ggzQ0lRLk5ZU0U6SUJNLklRX0FVTV9PVEhFUl9DVVNUT01FUlMuMTk5NS4wNi8wMy8yMDI2AQAAAN62AQADAAAAAABToqnlzXveCKGjCznOe94IOkNJUS5OWVNFOklCTS5JUV9BVU1fUFJJVkFURV9FUVVJ</t>
  </si>
  <si>
    <t>VFkuMTk5NS4wNi8wMy8yMDI2Li4uVVNELkgBAAAA3rYBAAMAAAAAAFOiqeXNe94IoaMLOc573gg+Q0lRLk5ZU0U6SUJNLklRX0FVTV9NT05FWV9NQVJLRVRfRlVORFMuMTk5NS4wNi8wMy8yMDI2Li4uVVNELkgBAAAA3rYBAAMAAAAAAFOiqeXNe94IuMoLOc573gg8Q0lRLk5ZU0U6SUJNLklRX09QRUJfTFRfTElBQl9GT1JFSUdOLjE5OTUuMDYvMDMvMjAyNi4uLlVTRC5IAQAAAN62AQADAAAAAABToqnlzXveCLjKCznOe94IR0NJUS5OWVNFOklCTS5JUV9PUEVCX1BCT19SQVRFX0NPTVBfSU5DUkVBU0VfTUFYX0ZPUkVJR04uMTk5NS4wNi8wMy8yMDI2AQAAAN62AQADAAAAAABToqnlzXveCLjKCznOe94IRENJUS5OWVNFOklCTS5JUV9PUEVCX0JSRUFLRE9XTl9PVEhFUl9GT1JFSUdOLjE5OTUuMDYvMDMvMjAyNi4uLlVTRC5IAQAAAN62AQADAAAAAABToqnlzXveCLjKCznOe94IQUNJUS5OWVNFOklCTS5JUV9PUEVCX0JSRUFLRE9XTl9FUV9GT1JFSUdOLjE5OTUuMDYvMDMvMjAyNi4uLlVTRC5IAQAAAN62AQADAAAAAABToqnlzXveCLjKCznOe94IQ0NJUS5OWVNFOklCTS5JUV9PUEVCX0FTU0VUU19DVVJUQUlMX0ZPUkVJR04uMTk5NS4wNi8wMy8yMDI2Li4uVVNELkgBAAAA3rYBAAMAAAAAAFOiqeXNe94IuMoLOc573ghGQ0lRLk5ZU0U6SUJNLklRX09QRUJfT0JMSUdBVElPTl9GWF9BREpfRk9SRUlH</t>
  </si>
  <si>
    <t>Ti4xOTk1LjA2LzAzLzIwMjYuLi5VU0QuSAEAAADetgEAAwAAAAAAU6Kp5c173gi4ygs5znveCDFDSVEuTllTRTpJQk0uSVFfRUJJVF81WVJfQU5OX0NBR1IuMTk5NS4wNi8wMy8yMDI2AQAAAN62AQACAAAABy0yLjE4NjEBCAAAAAUAAAABMQEAAAALLTE5MjA4NDY5NTADAAAAAzE2MAIAAAAENDIzNgQAAAABMAcAAAAIMy82LzIwMjYIAAAACTkvMzAvMjAyNAkAAAABMFOiqeXNe94IuMoLOc573gg1Q0lRLk5ZU0U6SUJNLklRX0VCSVREQV8xWVJfQU5OX0dST1dUSC4xOTk1LjA2LzAzLzIwMjYBAAAA3rYBAAIAAAAHMTAuMTk2OAEIAAAABQAAAAExAQAAAAstMTkyMDg0Njk1MAMAAAADMTYwAgAAAAQ0MTk2BAAAAAEwBwAAAAgzLzYvMjAyNggAAAAJOS8zMC8yMDI0CQAAAAEwU6Kp5c173gi4ygs5znveCEFDSVEuTllTRTpJQk0uSVFfRUJJVERBX0VYQ0xfT1BFUl9MRUFTRVNfQ0FQRVhfSU5ULjE5OTUuMDYvMDMvMjAyNgEAAADetgEAAgAAAAg3LjA4NzQxOAEIAAAABQAAAAExAQAAAAstMTkyMDg0Njk1MAMAAAADMTYwAgAAAAU0OTE3NAQAAAABMAcAAAAIMy82LzIwMjYIAAAACTkvMzAvMjAyNAkAAAABMFOiqeXNe94IuMoLOc573ggqQ0lRLk5ZU0U6SUJNLklRX0VCSVREQV9JTlQuMTk5NS4wNi8wMy8yMDI2AQAAAN62AQACAAAACDguNDg3NzQzAQgAAAAFAAAAATEBAAAACy0xOTIwODQ2OTUwAwAAAAMx</t>
  </si>
  <si>
    <t>NjACAAAABDQxOTAEAAAAATAHAAAACDMvNi8yMDI2CAAAAAk5LzMwLzIwMjQJAAAAATBToqnlzXveCM7xCznOe94ILUNJUS5OWVNFOklCTS5JUV9DVVJSRU5UX1JBVElPLjE5OTUuMDYvMDMvMjAyNgEAAADetgEAAgAAAAgxLjA1ODU3MgEIAAAABQAAAAExAQAAAAstMTkyMDg0Njk1MAMAAAADMTYwAgAAAAQ0MDMwBAAAAAEwBwAAAAgzLzYvMjAyNggAAAAJOS8zMC8yMDI0CQAAAAEwU6Kp5c173gjO8Qs5znveCC1DSVEuTllTRTpJQk0uSVFfUkVUVVJOX0FTU0VUUy4xOTk1LjA2LzAzLzIwMjYBAAAA3rYBAAIAAAAGNC43MzA1AQgAAAAFAAAAATEBAAAACy0xOTIwODQ2OTUwAwAAAAMxNjACAAAABDQxNzgEAAAAATAHAAAACDMvNi8yMDI2CAAAAAk5LzMwLzIwMjQJAAAAATBToqnlzXveCM7xCznOe94IQUNJUS5OWVNFOklCTS5JUV9MQVBTRV9TVEFUVVRFX0xJTUlUQVRJT05TLjE5OTUuMDYvMDMvMjAyNi4uLlVTRC5IAQAAAN62AQADAAAAAABToqnlzXveCLjKCznOe94IPENJUS5OWVNFOklCTS5JUV9UQVhfQkVORUZJVF9DRl9UT1RBTC4xOTk1LjA2LzAzLzIwMjYuLi5VU0QuSAEAAADetgEAAwAAAAAAU6Kp5c173gi4ygs5znveCDpDSVEuTllTRTpJQk0uSVFfVEFYX0JFTkVGSVRfQ0ZfNVlSLjE5OTUuMDYvMDMvMjAyNi4uLlVTRC5IAQAAAN62AQADAAAAAABToqnlzXveCM7xCznOe94IN0NJUS5OWVNF</t>
  </si>
  <si>
    <t>OklCTS5JUV9DQVBfTE9TU19DRl8xWVIuMTk5NS4wNi8wMy8yMDI2Li4uVVNELkgBAAAA3rYBAAMAAAAAAFOiqeXNe94IzvELOc573ghAQ0lRLk5ZU0U6SUJNLklRX0NBUElUQUxJWkVEX0lOVEVSRVNUX0VYUC4xOTk1LjA2LzAzLzIwMjYuLi5VU0QuSAEAAADetgEAAwAAAAAAU6Kp5c173gjO8Qs5znveCCRDSVEuTllTRTpJQk0uSVFfREFSVC4xOTk1LjA2LzAzLzIwMjYBAAAA3rYBAAMAAAAAAFOiqeXNe94IzvELOc573ghMQ0lRLk5ZU0U6SUJNLklRX0FVTV9NQVJLRVRfQVBQUkVDSUFUSU9OX0RFUFJFQ0lBVElPTi4xOTk1LjA2LzAzLzIwMjYuLi5VU0QuSAEAAADetgEAAwAAAAAAU6Kp5c173gjO8Qs5znveCDRDSVEuTllTRTpJQk0uSVFfQVVNX09VVEZMT1dTLjE5OTUuMDYvMDMvMjAyNi4uLlVTRC5IAQAAAN62AQADAAAAAABToqnlzXveCM7xCznOe94IOkNJUS5OWVNFOklCTS5JUV9BVU1fSElHSF9ORVRfV09SVEguMTk5NS4wNi8wMy8yMDI2Li4uVVNELkgBAAAA3rYBAAMAAAAAAFOiqeXNe94IzvELOc573ghVQ0lRLk5ZU0U6SUJNLklRX09QRUJfREVDUkVBU0VfRUZGRUNUX1NFUlZJQ0VfSU5UX0NPU1RfRk9SRUlHTi4xOTk1LjA2LzAzLzIwMjYuLi5VU0QuSAEAAADetgEAAwAAAAAAU6Kp5c173gjO8Qs5znveCEFDSVEuTllTRTpJQk0uSVFfT1BFQl9QUkVQQUlEX0NPU1RfRk9SRUlHTi4xOTk1</t>
  </si>
  <si>
    <t>LjA2LzAzLzIwMjYuLi5VU0QuSAEAAADetgEAAwAAAAAAU6Kp5c173gjO8Qs5znveCERDSVEuTllTRTpJQk0uSVFfT1BFQl9FU1RfQkVORUZJVF80WVJfRk9SRUlHTi4xOTk1LjA2LzAzLzIwMjYuLi5VU0QuSAEAAADetgEAAwAAAAAAU6Kp5c173gjO8Qs5znveCEZDSVEuTllTRTpJQk0uSVFfT1BFQl9DSV9PVEhFUl9NSVNDX0FESl9GT1JFSUdOLjE5OTUuMDYvMDMvMjAyNi4uLlVTRC5IAQAAAN62AQADAAAAAABToqnlzXveCPQYDDnOe94IQENJUS5OWVNFOklCTS5JUV9PUEVCX0VYUF9SQVRFX1JFVFVSTl9NSU5fRk9SRUlHTi4xOTk1LjA2LzAzLzIwMjYBAAAA3rYBAAMAAAAAAFOiqeXNe94I9BgMOc573ggxQ0lRLk5ZU0U6SUJNLklRX0VCSVRfM1lSX0FOTl9DQUdSLjE5OTUuMDYvMDMvMjAyNgEAAADetgEAAgAAAAc0MC42NTE1AQgAAAAFAAAAATEBAAAACy0xOTIwODQ2OTUwAwAAAAMxNjACAAAABDQyMjMEAAAAATAHAAAACDMvNi8yMDI2CAAAAAk5LzMwLzIwMjQJAAAAATBToqnlzXveCPQYDDnOe94INkNJUS5OWVNFOklCTS5JUV9UT1RBTF9SRVZfM1lSX0FOTl9DQUdSLjE5OTUuMDYvMDMvMjAyNgEAAADetgEAAgAAAAcxMy42OTM3AQgAAAAFAAAAATEBAAAACy0xOTIwODQ2OTUwAwAAAAMxNjACAAAABDQyMjAEAAAAATAHAAAACDMvNi8yMDI2CAAAAAk5LzMwLzIwMjQJAAAAATBToqnlzXveCPQY</t>
  </si>
  <si>
    <t>DDnOe94IQENJUS5OWVNFOklCTS5JUV9ORVRfREVCVF9FQklUREFfRVhDTF9PUEVSX0xFQVNFUy4xOTk1LjA2LzAzLzIwMjYBAAAA3rYBAAIAAAAHMy41NTkwMwEIAAAABQAAAAExAQAAAAstMTkyMDg0Njk1MAMAAAADMTYwAgAAAAU0OTE3NQQAAAABMAcAAAAIMy82LzIwMjYIAAAACTkvMzAvMjAyNAkAAAABMFOiqeXNe94I9BgMOc573ggxQ0lRLk5ZU0U6SUJNLklRX1RPVEFMX0RFQlRfRVFVSVRZLjE5OTUuMDYvMDMvMjAyNgEAAADetgEAAgAAAAgyNDUuMTEyMQEIAAAABQAAAAExAQAAAAstMTkyMDg0Njk1MAMAAAADMTYwAgAAAAQ0MDM0BAAAAAEwBwAAAAgzLzYvMjAyNggAAAAJOS8zMC8yMDI0CQAAAAEwU6Kp5c173gj0GAw5znveCClDSVEuTllTRTpJQk0uSVFfTklfTUFSR0lOLjE5OTUuMDYvMDMvMjAyNgEAAADetgEAAgAAAAcxMC4yMjIxAQgAAAAFAAAAATEBAAAACy0xOTIwODQ2OTUwAwAAAAMxNjACAAAABDQwOTQEAAAAATAHAAAACDMvNi8yMDI2CAAAAAk5LzMwLzIwMjQJAAAAATBToqnlzXveCPQYDDnOe94ITUNJUS5OWVNFOklCTS5JUV9JTlRFUkVTVF9QRU5BTFRJRVNfUkVDT0dfQlNfQUZURVJfVEFYLjE5OTUuMDYvMDMvMjAyNi4uLlVTRC5IAQAAAN62AQADAAAAAABToqnlzXveCPQYDDnOe94IS0NJUS5OWVNFOklCTS5JUV9JTlRFUkVTVF9QRU5BTFRJRVNfUkVDT0dfSVNfUFJFX1RB</t>
  </si>
  <si>
    <t>WC4xOTk1LjA2LzAzLzIwMjYuLi5VU0QuSAEAAADetgEAAwAAAAAAU6Kp5c173gj0GAw5znveCE9DSVEuTllTRTpJQk0uSVFfVFJBTlNfSU1QQUNUX0ZJTl80OF9DVVJSRU5UX0xJQUJJTElUSUVTLjE5OTUuMDYvMDMvMjAyNi4uLlVTRC5IAQAAAN62AQADAAAAAABToqnlzXveCPQYDDnOe94IOUNJUS5OWVNFOklCTS5JUV9DQVBfTE9TU19DRl9UT1RBTC4xOTk1LjA2LzAzLzIwMjYuLi5VU0QuSAEAAADetgEAAwAAAAAAU6Kp5c173gj0GAw5znveCDJDSVEuTllTRTpJQk0uSVFfTk9MX0NGXzRZUi4xOTk1LjA2LzAzLzIwMjYuLi5VU0QuSAEAAADetgEAAwAAAAAAU6Kp5c173gj0GAw5znveCDlDSVEuTllTRTpJQk0uSVFfQVNTRVRfTUFOQUdFRF9HUk9XVEhfUkFURS4xOTk1LjA2LzAzLzIwMjYBAAAA3rYBAAMAAAAAAFOiqeXNe94I9BgMOc573gg5Q0lRLk5ZU0U6SUJNLklRX0FWR19SRVZfUEVSX1RSQURFLjE5OTUuMDYvMDMvMjAyNi4uLlVTRC5IAQAAAN62AQADAAAAAABToqnlzXveCPQYDDnOe94IM0NJUS5OWVNFOklCTS5JUV9BVU1fQVZFUkFHRS4xOTk1LjA2LzAzLzIwMjYuLi5VU0QuSAEAAADetgEAAwAAAAAAU6Kp5c173gj0GAw5znveCDtDSVEuTllTRTpJQk0uSVFfQVVNX0lOU1RJVFVUSU9OQUxfQ1VTVE9NRVJTLjE5OTUuMDYvMDMvMjAyNgEAAADetgEAAwAAAAAAU6Kp5c173ggiVAw5znve</t>
  </si>
  <si>
    <t>CDFDSVEuTllTRTpJQk0uSVFfQVVNX09USEVSLjE5OTUuMDYvMDMvMjAyNi4uLlVTRC5IAQAAAN62AQADAAAAAABToqnlzXveCPQYDDnOe94IPkNJUS5OWVNFOklCTS5JUV9PUEVCX0xUX0FTU0VUU19GT1JFSUdOLjE5OTUuMDYvMDMvMjAyNi4uLlVTRC5IAQAAAN62AQADAAAAAABToqnlzXveCPQYDDnOe94IRUNJUS5OWVNFOklCTS5JUV9PUEVCX1BCT19BU1NVTUVEX1JBVEVfUkVUX01BWF9GT1JFSUdOLjE5OTUuMDYvMDMvMjAyNgEAAADetgEAAwAAAAAAU6Kp5c173gj0GAw5znveCEFDSVEuTllTRTpJQk0uSVFfT1BFQl9CUkVBS0RPV05fRklfRk9SRUlHTi4xOTk1LjA2LzAzLzIwMjYuLi5VU0QuSAEAAADetgEAAwAAAAAAU6Kp5c173gj0GAw5znveCC9DSVEuTllTRTpJQk0uSVFfR1BfNVlSX0FOTl9DQUdSLjE5OTUuMDYvMDMvMjAyNgEAAADetgEAAgAAAAUtMC4zOQEIAAAABQAAAAExAQAAAAstMTkyMDg0Njk1MAMAAAADMTYwAgAAAAQ0MjM0BAAAAAEwBwAAAAgzLzYvMjAyNggAAAAJOS8zMC8yMDI0CQAAAAEwU6Kp5c173ggiVAw5znveCDhDSVEuTllTRTpJQk0uSVFfVE9UQUxfUkVWXzFZUl9BTk5fR1JPV1RILjE5OTUuMDYvMDMvMjAyNgEAAADetgEAAgAAAAYyLjMwMzMBCAAAAAUAAAABMQEAAAALLTE5MjA4NDY5NTADAAAAAzE2MAIAAAAENDE5NAQAAAABMAcAAAAIMy82LzIwMjYIAAAACTkv</t>
  </si>
  <si>
    <t>MzAvMjAyNAkAAAABMFOiqeXNe94IIlQMOc573gg7Q0lRLk5ZU0U6SUJNLklRX0VCSVREQV9FWENMX09QRVJfTEVBU0VTX0lOVC4xOTk1LjA2LzAzLzIwMjYBAAAA3rYBAAIAAAAINy43MDQ2NjYBCAAAAAUAAAABMQEAAAALLTE5MjA4NDY5NTADAAAAAzE2MAIAAAAFNDkxNzMEAAAAATAHAAAACDMvNi8yMDI2CAAAAAk5LzMwLzIwMjQJAAAAATBToqnlzXveCCJUDDnOe94IK0NJUS5OWVNFOklCTS5JUV9RVUlDS19SQVRJTy4xOTk1LjA2LzAzLzIwMjYBAAAA3rYBAAIAAAAIMC44OTU2NzgBCAAAAAUAAAABMQEAAAALLTE5MjA4NDY5NTADAAAAAzE2MAIAAAAENDEyMQQAAAABMAcAAAAIMy82LzIwMjYIAAAACTkvMzAvMjAyNAkAAAABMFOiqeXNe94IIlQMOc573ggoQ0lRLk5ZU0U6SUJNLklRX0FSX1RVUk5TLjE5OTUuMDYvMDMvMjAyNgEAAADetgEAAgAAAAkxMC41MzQxMzkBCAAAAAUAAAABMQEAAAALLTE5MjA4NDY5NTADAAAAAzE2MAIAAAAENDAwMQQAAAABMAcAAAAIMy82LzIwMjYIAAAACTkvMzAvMjAyNAkAAAABMFOiqeXNe94IIlQMOc573ghIQ0lRLk5ZU0U6SUJNLklRX1JFRFVDVElPTl9UQVhfUE9TSVRJT05fUFJJT1JfWVJTLjE5OTUuMDYvMDMvMjAyNi4uLlVTRC5IAQAAAN62AQADAAAAAABToqnlzXveCCJUDDnOe94IQUNJUS5OWVNFOklCTS5JUV9UQVhfQkVORUZJVF9DRl9BRlRFUl9GSVZF</t>
  </si>
  <si>
    <t>LjE5OTUuMDYvMDMvMjAyNi4uLlVTRC5IAQAAAN62AQADAAAAAABToqnlzXveCCJUDDnOe94IN0NJUS5OWVNFOklCTS5JUV9DQVBfTE9TU19DRl8yWVIuMTk5NS4wNi8wMy8yMDI2Li4uVVNELkgBAAAA3rYBAAMAAAAAAFOiqeXNe94IIlQMOc573gg0Q0lRLk5ZU0U6SUJNLklRX05PTF9DRl9UT1RBTC4xOTk1LjA2LzAzLzIwMjYuLi5VU0QuSAEAAADetgEAAwAAAAAAU6Kp5c173ggiVAw5znveCD9DSVEuTllTRTpJQk0uSVFfQVNTRVRTX09QRVJfTEVBU0VfR1JPU1MuMTk5NS4wNi8wMy8yMDI2Li4uVVNELkgBAAAA3rYBAAMAAAAAAFOiqeXNe94IIlQMOc573ghGQ0lRLk5ZU0U6SUJNLklRX01VVFVBTF9GVU5EX0FDUVVJU0lUSU9OU19PVEhFUi4xOTk1LjA2LzAzLzIwMjYuLi5VU0QuSAEAAADetgEAAwAAAAAAU6Kp5c173gjweww5znveCC9DSVEuTllTRTpJQk0uSVFfR1BfM1lSX0FOTl9DQUdSLjE5OTUuMDYvMDMvMjAyNgEAAADetgEAAgAAAAY4LjM3MDQBCAAAAAUAAAABMQEAAAALLTE5MjA4NDY5NTADAAAAAzE2MAIAAAAENDIyMQQAAAABMAcAAAAIMy82LzIwMjYIAAAACTkvMzAvMjAyNAkAAAABMFOiqeXNe94I8HsMOc573gg3Q0lRLk5ZU0U6SUJNLklRX1RPVEFMX0RFQlRfRUJJVERBX0NBUEVYLjE5OTUuMDYvMDMvMjAyNgEAAADetgEAAgAAAAg0LjUxMjM1NAEIAAAABQAAAAExAQAAAAstMTky</t>
  </si>
  <si>
    <t>MDg0Njk1MAMAAAADMTYwAgAAAAUyMzMxMwQAAAABMAcAAAAIMy82LzIwMjYIAAAACTkvMzAvMjAyNAkAAAABMFOiqeXNe94I8HsMOc573ghCQ0lRLk5ZU0U6SUJNLklRX1RPVEFMX0RFQlRfRUJJVERBX0VYQ0xfT1BFUl9MRUFTRVMuMTk5NS4wNi8wMy8yMDI2AQAAAN62AQACAAAACDQuNjA5NDc1AQgAAAAFAAAAATEBAAAACy0xOTIwODQ2OTUwAwAAAAMxNjACAAAABTQ4OTk0BAAAAAEwBwAAAAgzLzYvMjAyNggAAAAJOS8zMC8yMDI0CQAAAAEwU6Kp5c173gjweww5znveCDBDSVEuTllTRTpJQk0uSVFfREFZU19QQVlBQkxFX09VVC4xOTk1LjA2LzAzLzIwMjYBAAAA3rYBAAIAAAAJNDUuMTY3Njk0AQgAAAAFAAAAATEBAAAACy0xOTIwODQ2OTUwAwAAAAMxNjACAAAABDQxODMEAAAAATAHAAAACDMvNi8yMDI2CAAAAAk5LzMwLzIwMjQJAAAAATBToqnlzXveCCJUDDnOe94ILUNJUS5OWVNFOklCTS5JUV9FQklUREFfTUFSR0lOLjE5OTUuMDYvMDMvMjAyNgEAAADetgEAAgAAAAcyMC44NDM3AQgAAAAFAAAAATEBAAAACy0xOTIwODQ2OTUwAwAAAAMxNjACAAAABDQwNDcEAAAAATAHAAAACDMvNi8yMDI2CAAAAAk5LzMwLzIwMjQJAAAAATBToqnlzXveCPB7DDnOe94ITUNJUS5OWVNFOklCTS5JUV9JTlRFUkVTVF9QRU5BTFRJRVNfUkVDT0dfSVNfQUZURVJfVEFYLjE5OTUuMDYvMDMvMjAyNi4uLlVTRC5I</t>
  </si>
  <si>
    <t>AQAAAN62AQADAAAAAABToqnlzXveCPB7DDnOe94IU0NJUS5OWVNFOklCTS5JUV9UUkFOU19JTVBBQ1RfRklOXzQ4X05PTl9DVVJSRU5UX0xJQUJJTElUSUVTLjE5OTUuMDYvMDMvMjAyNi4uLlVTRC5IAQAAAN62AQADAAAAAABToqnlzXveCPB7DDnOe94ISkNJUS5OWVNFOklCTS5JUV9UUkFOU19JTVBBQ1RfRklOXzQ4X0NVUlJFTlRfQVNTRVRTLjE5OTUuMDYvMDMvMjAyNi4uLlVTRC5IAQAAAN62AQADAAAAAABToqnlzXveCPB7DDnOe94IPkNJUS5OWVNFOklCTS5JUV9DQVBfTE9TU19DRl9BRlRFUl9GSVZFLjE5OTUuMDYvMDMvMjAyNi4uLlVTRC5IAQAAAN62AQADAAAAAABToqnlzXveCPB7DDnOe94IM0NJUS5OWVNFOklCTS5JUV9FQklUREFfNVlSX0FOTl9DQUdSLjE5OTUuMDYvMDMvMjAyNgEAAADetgEAAgAAAActNC43ODE2AQgAAAAFAAAAATEBAAAACy0xOTIwODQ2OTUwAwAAAAMxNjACAAAABDQyMzUEAAAAATAHAAAACDMvNi8yMDI2CAAAAAk5LzMwLzIwMjQJAAAAATBToqnlzXveCL+iDDnOe94IMENJUS5OWVNFOklCTS5JUV9FUFNfM1lSX0FOTl9DQUdSLjE5OTUuMDYvMDMvMjAyNgEAAADetgEAAgAAAAc0Ni43MTg3AQgAAAAFAAAAATEBAAAACy0xOTIwODQ2OTUwAwAAAAMxNjACAAAABDQyMjYEAAAAATAHAAAACDMvNi8yMDI2CAAAAAk5LzMwLzIwMjQJAAAAATBToqnlzXveCPB7DDnOe94I</t>
  </si>
  <si>
    <t>OkNJUS5OWVNFOklCTS5JUV9UT1RBTF9SRVZfRU1QTE9ZRUUuMTk5NS4wNi8wMy8yMDI2Li4uVVNELkgBAAAA3rYBAAMAAAAAAFOiqeXNe94I8HsMOc573ggoQ0lRLk5ZU0U6SUJNLklRX0VCSVRfSU5ULjE5OTUuMDYvMDMvMjAyNgEAAADetgEAAgAAAAg1Ljg5MzY3OQEIAAAABQAAAAExAQAAAAstMTkyMDg0Njk1MAMAAAADMTYwAgAAAAQ0MTg5BAAAAAEwBwAAAAgzLzYvMjAyNggAAAAJOS8zMC8yMDI0CQAAAAEwU6Kp5c173gjweww5znveCDJDSVEuTllTRTpJQk0uSVFfRVBTXzFZUl9BTk5fR1JPV1RILjE5OTUuMDYvMDMvMjAyNgEAAADetgEAAgAAAAgtMTAuNzg2MQEIAAAABQAAAAExAQAAAAstMTkyMDg0Njk1MAMAAAADMTYwAgAAAAQ0MjAwBAAAAAEwBwAAAAgzLzYvMjAyNggAAAAJOS8zMC8yMDI0CQAAAAEwU6Kp5c173gjweww5znveCC9DSVEuTllTRTpJQk0uSVFfTkVUX0RFQlRfRUJJVERBLjE5OTUuMDYvMDMvMjAyNgEAAADetgEAAgAAAAgzLjIzMDY3NQEIAAAABQAAAAExAQAAAAstMTkyMDg0Njk1MAMAAAADMTYwAgAAAAQ0MTkzBAAAAAEwBwAAAAgzLzYvMjAyNggAAAAJOS8zMC8yMDI0CQAAAAEwU6Kp5c173gi/ogw5znveCC9DSVEuTllTRTpJQk0uSVFfQ0FTSF9DT05WRVJTSU9OLjE5OTUuMDYvMDMvMjAyNgEAAADetgEAAgAAAAg4LjQzODg2MgEIAAAABQAAAAExAQAAAAstMTkyMDg0</t>
  </si>
  <si>
    <t>Njk1MAMAAAADMTYwAgAAAAQ0MTg0BAAAAAEwBwAAAAgzLzYvMjAyNggAAAAJOS8zMC8yMDI0CQAAAAEwU6Kp5c173gi/ogw5znveCC5DSVEuTllTRTpJQk0uSVFfREFZU19TQUxFU19PVVQuMTk5NS4wNi8wMy8yMDI2AQAAAN62AQACAAAACTM0Ljc0NDAxNAEIAAAABQAAAAExAQAAAAstMTkyMDg0Njk1MAMAAAADMTYwAgAAAAQ0MDQyBAAAAAEwBwAAAAgzLzYvMjAyNggAAAAJOS8zMC8yMDI0CQAAAAEwU6Kp5c173gi/ogw5znveCDRDSVEuTllTRTpJQk0uSVFfUkVUVVJOX0NPTU1PTl9FUVVJVFkuMTk5NS4wNi8wMy8yMDI2AQAAAN62AQACAAAABzI2LjgxNzMBCAAAAAUAAAABMQEAAAALLTE5MjA4NDY5NTADAAAAAzE2MAIAAAAFMzMzMjAEAAAAATAHAAAACDMvNi8yMDI2CAAAAAk5LzMwLzIwMjQJAAAAATBToqnlzXveCL+iDDnOe94IR0NJUS5OWVNFOklCTS5JUV9BQ0NPVU5UX0NPREVfSU5URVJFU1RfUEVOQUxUSUVTLjE5OTUuMDYvMDMvMjAyNi4uLlVTRC5IAQAAAN62AQADAAAAAABToqnlzXveCL+iDDnOe94IRUNJUS5OWVNFOklCTS5JUV9UUkFOU19JTVBBQ1RfRklOXzQ4X0xUX0FTU0VUUy4xOTk1LjA2LzAzLzIwMjYuLi5VU0QuSAEAAADetgEAAwAAAAAAU6Kp5c173gjJtgw5znveCDpDSVEuTllTRTpJQk0uSVFfQ0FQX0xPU1NfQ0ZfTk9fRVhQLjE5OTUuMDYvMDMvMjAyNi4uLlVTRC5IAQAA</t>
  </si>
  <si>
    <t>AN62AQADAAAAAABToqnlzXveCMm2DDnOe94IN0NJUS5OWVNFOklCTS5JUV9DQVBfTE9TU19DRl80WVIuMTk5NS4wNi8wMy8yMDI2Li4uVVNELkgBAAAA3rYBAAMAAAAAAFOiqeXNe94IybYMOc573ghAQ0lRLk5ZU0U6SUJNLklRX0NBUElUQUxJWkVEX0lOVEVSRVNUX0VPUC4xOTk1LjA2LzAzLzIwMjYuLi5VU0QuSAEAAADetgEAAwAAAAAAU6Kp5c173gjJtgw5znveCD1DSVEuTllTRTpJQk0uSVFfTkVUX05FV19DTElFTlRfQVNTRVRTLjE5OTUuMDYvMDMvMjAyNi4uLlVTRC5IAQAAAN62AQADAAAAAABToqnlzXveCL+iDDnOe94IL0NJUS5OWVNFOklCTS5JUV9BVU1fRU9QLjE5OTUuMDYvMDMvMjAyNi4uLlVTRC5IAQAAAN62AQADAAAAAABToqnlzXveCMm2DDnOe94INENJUS5OWVNFOklCTS5JUV9BVU1fUkVUQUlMX0NVU1RPTUVSUy4xOTk1LjA2LzAzLzIwMjYBAAAA3rYBAAMAAAAAAFOiqeXNe94IybYMOc573ggzQ0lRLk5ZU0U6SUJNLklRX0FVTV9GT1JFSUdOLjE5OTUuMDYvMDMvMjAyNi4uLlVTRC5IAQAAAN62AQADAAAAAABToqnlzXveCMm2DDnOe94INkNJUS5OWVNFOklCTS5JUV9UT1RBTF9SRVZfNVlSX0FOTl9DQUdSLjE5OTUuMDYvMDMvMjAyNgEAAADetgEAAgAAAAYtNC4wOTUBCAAAAAUAAAABMQEAAAALLTE5MjA4NDY5NTADAAAAAzE2MAIAAAAENDIzMwQAAAABMAcAAAAIMy82LzIwMjYI</t>
  </si>
  <si>
    <t>AAAACTkvMzAvMjAyNAkAAAABMFOiqeXNe94IybYMOc573ggnQ0lRLk5ZU0U6SUJNLklRX1pfU0NPUkUuMTk5NS4wNi8wMy8yMDI2AQAAAN62AQACAAAACDMuMTY4MDMyAQgAAAAFAAAAATEBAAAACy0xOTIwODQ2OTUwAwAAAAMxNjACAAAABjEwMDEyMwQAAAABMAcAAAAIMy82LzIwMjYIAAAACTkvMzAvMjAyNAkAAAABMFOiqeXNe94IybYMOc573gg1Q0lRLk5ZU0U6SUJNLklRX05FVF9ERUJUX0VCSVREQV9DQVBFWC4xOTk1LjA2LzAzLzIwMjYBAAAA3rYBAAIAAAAIMy40ODQwNDIBCAAAAAUAAAABMQEAAAALLTE5MjA4NDY5NTADAAAAAzE2MAIAAAAFMjMzMTQEAAAAATAHAAAACDMvNi8yMDI2CAAAAAk5LzMwLzIwMjQJAAAAATBToqnlzXveCATeDDnOe94IL0NJUS5OWVNFOklCTS5JUV9MVF9ERUJUX0NBUElUQUwuMTk5NS4wNi8wMy8yMDI2AQAAAN62AQACAAAABzY1LjgzOTMBCAAAAAUAAAABMQEAAAALLTE5MjA4NDY5NTADAAAAAzE2MAIAAAAENDE4NwQAAAABMAcAAAAIMy82LzIwMjYIAAAACTkvMzAvMjAyNAkAAAABMFOiqeXNe94IybYMOc573ggxQ0lRLk5ZU0U6SUJNLklRX0ZJWEVEX0FTU0VUX1RVUk5TLjE5OTUuMDYvMDMvMjAyNgEAAADetgEAAgAAAAg3LjE3MjQ5MgEIAAAABQAAAAExAQAAAAstMTkyMDg0Njk1MAMAAAADMTYwAgAAAAQ0MDY2BAAAAAEwBwAAAAgzLzYvMjAyNggAAAAJOS8z</t>
  </si>
  <si>
    <t>MC8yMDI0CQAAAAEwU6Kp5c173gjJtgw5znveCFBDSVEuTllTRTpJQk0uSVFfSU1QQUNUX1VOUkVDT0dfVEFYX0JFTkVGSVRfRUZGRUNUSVZFX1RBWC4xOTk1LjA2LzAzLzIwMjYuLi5VU0QuSAEAAADetgEAAwAAAAAAU6Kp5c173gjJtgw5znveCENDSVEuTllTRTpJQk0uSVFfQUREX1RBWF9QT1NJVElPTlNfUFJJT1JfWVJTLjE5OTUuMDYvMDMvMjAyNi4uLlVTRC5IAQAAAN62AQADAAAAAABToqnlzXveCMm2DDnOe94IRkNJUS5OWVNFOklCTS5JUV9VTlJFQ09HX1RBWF9CRU5FRklUX0JFR19QRVJJT0QuMTk5NS4wNi8wMy8yMDI2Li4uVVNELkgBAAAA3rYBAAMAAAAAAFOiqeXNe94IBN4MOc573gg6Q0lRLk5ZU0U6SUJNLklRX1RBWF9CRU5FRklUX0NGXzJZUi4xOTk1LjA2LzAzLzIwMjYuLi5VU0QuSAEAAADetgEAAwAAAAAAU6Kp5c173ggE3gw5znveCDVDSVEuTllTRTpJQk0uSVFfTk9MX0NGX05PX0VYUC4xOTk1LjA2LzAzLzIwMjYuLi5VU0QuSAEAAADetgEAAwAAAAAAU6Kp5c173ggE3gw5znveCD5DSVEuTllTRTpJQk0uSVFfQVNTRVRTX09QRVJfTEVBU0VfREVQUi4xOTk1LjA2LzAzLzIwMjYuLi5VU0QuSAEAAADetgEAAwAAAAAAU6Kp5c173ggE3gw5znveCE1DSVEuTllTRTpJQk0uSVFfTVVUVUFMX0ZVTkRfQVBQUkVDSUFUSU9OX0RFUFJFQ0lBVElPTi4xOTk1LjA2LzAzLzIwMjYuLi5VU0Qu</t>
  </si>
  <si>
    <t>SAEAAADetgEAAwAAAAAAU6Kp5c173ggE3gw5znveCDlDSVEuTllTRTpJQk0uSVFfTVVUVUFMX0ZVTkRfU0FMRVMuMTk5NS4wNi8wMy8yMDI2Li4uVVNELkgBAAAA3rYBAAMAAAAAAFOiqeXNe94I/wQNOc573ggzQ0lRLk5ZU0U6SUJNLklRX0FVTV9UT1RBTF9DVVNUT01FUlMuMTk5NS4wNi8wMy8yMDI2AQAAAN62AQADAAAAAABToqnlzXveCATeDDnOe94IN0NJUS5OWVNFOklCTS5JUV9BVU1fUkVBTF9FU1RBVEUuMTk5NS4wNi8wMy8yMDI2Li4uVVNELkgBAAAA3rYBAAMAAAAAAFOiqeXNe94IBN4MOc573ghEQ0lRLk5ZU0U6SUJNLklRX09QRUJfTkVUX0FTU0VUX1JFQ09HX0ZPUkVJR04uMTk5NS4wNi8wMy8yMDI2Li4uVVNELkgBAAAA3rYBAAMAAAAAAFOiqeXNe94IBN4MOc573gg6Q0lRLk5ZU0U6SUJNLklRX09QRUJfT1RIRVJfRk9SRUlHTi4xOTk1LjA2LzAzLzIwMjYuLi5VU0QuSAEAAADetgEAAwAAAAAAU6Kp5c173ggE3gw5znveCERDSVEuTllTRTpJQk0uSVFfT1BFQl9FU1RfQkVORUZJVF8xWVJfRk9SRUlHTi4xOTk1LjA2LzAzLzIwMjYuLi5VU0QuSAEAAADetgEAAwAAAAAAU6Kp5c173gj/BA05znveCC9DSVEuTllTRTpJQk0uSVFfTklfNVlSX0FOTl9DQUdSLjE5OTUuMDYvMDMvMjAyNgEAAADetgEAAgAAAActMy42Njk5AQgAAAAFAAAAATEBAAAACy0xOTIwODQ2OTUwAwAAAAMxNjACAAAA</t>
  </si>
  <si>
    <t>BDQyMzgEAAAAATAHAAAACDMvNi8yMDI2CAAAAAk5LzMwLzIwMjQJAAAAATBToqnlzXveCP8EDTnOe94IM0NJUS5OWVNFOklCTS5JUV9FQklUXzFZUl9BTk5fR1JPV1RILjE5OTUuMDYvMDMvMjAyNgEAAADetgEAAgAAAAU3LjQ1MgEIAAAABQAAAAExAQAAAAstMTkyMDg0Njk1MAMAAAADMTYwAgAAAAQ0MTk3BAAAAAEwBwAAAAgzLzYvMjAyNggAAAAJOS8zMC8yMDI0CQAAAAEwU6Kp5c173gj/BA05znveCDFDSVEuTllTRTpJQk0uSVFfVE9UQUxfREVCVF9FQklUREEuMTk5NS4wNi8wMy8yMDI2AQAAAN62AQACAAAACDQuMTg0MjA2AQgAAAAFAAAAATEBAAAACy0xOTIwODQ2OTUwAwAAAAMxNjACAAAABDQxOTIEAAAAATAHAAAACDMvNi8yMDI2CAAAAAk5LzMwLzIwMjQJAAAAATBToqnlzXveCP8EDTnOe94IMkNJUS5OWVNFOklCTS5JUV9EQVlTX0lOVkVOVE9SWV9PVVQuMTk5NS4wNi8wMy8yMDI2AQAAAN62AQACAAAACTE4Ljg2MjU0MgEIAAAABQAAAAExAQAAAAstMTkyMDg0Njk1MAMAAAADMTYwAgAAAAQ0MDM1BAAAAAEwBwAAAAgzLzYvMjAyNggAAAAJOS8zMC8yMDI0CQAAAAEwU6Kp5c173gj/BA05znveCCxDSVEuTllTRTpJQk0uSVFfR1JPU1NfTUFSR0lOLjE5OTUuMDYvMDMvMjAyNgEAAADetgEAAgAAAAY1Ni41MzQBCAAAAAUAAAABMQEAAAALLTE5MjA4NDY5NTADAAAAAzE2MAIAAAAENDA3NAQA</t>
  </si>
  <si>
    <t>AAABMAcAAAAIMy82LzIwMjYIAAAACTkvMzAvMjAyNAkAAAABMFOiqeXNe94IBCwNOc573gguQ0lRLk5ZU0U6SUJNLklRX1JFVFVSTl9DQVBJVEFMLjE5OTUuMDYvMDMvMjAyNgEAAADetgEAAgAAAAY3LjQ5ODMBCAAAAAUAAAABMQEAAAALLTE5MjA4NDY5NTADAAAAAzE2MAIAAAAENDM2MwQAAAABMAcAAAAIMy82LzIwMjYIAAAACTkvMzAvMjAyNAkAAAABMFOiqeXNe94IBCwNOc573ghFQ0lRLk5ZU0U6SUJNLklRX1VOUkVDT0dfVEFYX0JFTkVGSVRfT1RIRVJfQURKLjE5OTUuMDYvMDMvMjAyNi4uLlVTRC5IAQAAAN62AQADAAAAAABToqnlzXveCP8EDTnOe94IN0NJUS5OWVNFOklCTS5JUV9UQVhfQkVORUZJVF9DRl9NQVhfWUVBUi4xOTk1LjA2LzAzLzIwMjYBAAAA3rYBAAMAAAAAAFOiqeXNe94I/wQNOc573gg3Q0lRLk5ZU0U6SUJNLklRX0NBUF9MT1NTX0NGXzVZUi4xOTk1LjA2LzAzLzIwMjYuLi5VU0QuSAEAAADetgEAAwAAAAAAU6Kp5c173gj/BA05znveCDJDSVEuTllTRTpJQk0uSVFfTk9MX0NGXzFZUi4xOTk1LjA2LzAzLzIwMjYuLi5VU0QuSAEAAADetgEAAwAAAAAAU6Kp5c173ggELA05znveCEZDSVEuTllTRTpJQk0uSVFfQ0FQSVRBTElaRURfSU5URVJFU1RfV1JJVEVfT0ZGLjE5OTUuMDYvMDMvMjAyNi4uLlVTRC5IAQAAAN62AQADAAAAAABToqnlzXveCAQsDTnOe94INkNJUS5OWVNF</t>
  </si>
  <si>
    <t>OklCTS5JUV9OVU1CRVJfVFJBREVTX0VYRUNVVEVELjE5OTUuMDYvMDMvMjAyNgEAAADetgEAAwAAAAAAU6Kp5c173ggELA05znveCEJDSVEuTllTRTpJQk0uSVFfQVVNX0FDUVVJU0lUSU9OU19UUkFOU0ZFUlMuMTk5NS4wNi8wMy8yMDI2Li4uVVNELkgBAAAA3rYBAAMAAAAAAFOiqeXNe94IBCwNOc573gg3Q0lRLk5ZU0U6SUJNLklRX0FVTV9GRUVfRUFSTklORy4xOTk1LjA2LzAzLzIwMjYuLi5VU0QuSAEAAADetgEAAwAAAAAAU6Kp5c173ggELA05znveCC9DSVEuTllTRTpJQk0uSVFfTklfM1lSX0FOTl9DQUdSLjE5OTUuMDYvMDMvMjAyNgEAAADetgEAAgAAAAcxMC4zMDgxAQgAAAAFAAAAATEBAAAACy0xOTIwODQ2OTUwAwAAAAMxNjACAAAABDQyMjUEAAAAATAHAAAACDMvNi8yMDI2CAAAAAk5LzMwLzIwMjQJAAAAATBToqnlzXveCBpTDTnOe94IRkNJUS5OWVNFOklCTS5JUV9ORVRfREVCVF9FQklUREFfRVhDTF9PUEVSX0xFQVNFU19DQVBFWC4xOTk1LjA2LzAzLzIwMjYBAAAA3rYBAAIAAAAIMy44Njg5ODkBCAAAAAUAAAABMQEAAAALLTE5MjA4NDY5NTADAAAAAzE2MAIAAAAFNDkxODIEAAAAATAHAAAACDMvNi8yMDI2CAAAAAk5LzMwLzIwMjQJAAAAATBToqnlzXveCBpTDTnOe94IN0NJUS5OWVNFOklCTS5JUV9UT1RBTF9MSUFCX1RPVEFMX0FTU0VUUy4xOTk1LjA2LzAzLzIwMjYBAAAA3rYB</t>
  </si>
  <si>
    <t>AAIAAAAHODEuNzQwMgEIAAAABQAAAAExAQAAAAstMTkyMDg0Njk1MAMAAAADMTYwAgAAAAQ0MTg4BAAAAAEwBwAAAAgzLzYvMjAyNggAAAAJOS8zMC8yMDI0CQAAAAEwU6Kp5c173ggaUw05znveCDJDSVEuTllTRTpJQk0uSVFfVE9UQUxfREVCVF9DQVBJVEFMLjE5OTUuMDYvMDMvMjAyNgEAAADetgEAAgAAAAc3MS4wMjM5AQgAAAAFAAAAATEBAAAACy0xOTIwODQ2OTUwAwAAAAMxNjACAAAABDQxODYEAAAAATAHAAAACDMvNi8yMDI2CAAAAAk5LzMwLzIwMjQJAAAAATBToqnlzXveCBpTDTnOe94ILUNJUS5OWVNFOklCTS5JUV9DQVBFWF9QQ1RfUkVWLjE5OTUuMDYvMDMvMjAyNgEAAADetgEAAgAAAAYxLjY2OTgBCAAAAAUAAAABMQEAAAALLTE5MjA4NDY5NTADAAAAAzE2MAIAAAAFMzUzODAEAAAAATAHAAAACDMvNi8yMDI2CAAAAAk5LzMwLzIwMjQJAAAAATBToqnlzXveCAQsDTnOe94IS0NJUS5OWVNFOklCTS5JUV9DSEFOR0VfVU5SRUNPR19UQVhfQkVORUZJVF8xX1lSX01JTi4xOTk1LjA2LzAzLzIwMjYuLi5VU0QuSAEAAADetgEAAwAAAAAAU6Kp5c173gj5Zg05znveCERDSVEuTllTRTpJQk0uSVFfQUREX1RBWF9QT1NJVElPTlNfQ1VSUkVOVF9ZUi4xOTk1LjA2LzAzLzIwMjYuLi5VU0QuSAEAAADetgEAAwAAAAAAU6Kp5c173gj5Zg05znveCDpDSVEuTllTRTpJQk0uSVFfVEFYX0JFTkVGSVRf</t>
  </si>
  <si>
    <t>Q0ZfM1lSLjE5OTUuMDYvMDMvMjAyNi4uLlVTRC5IAQAAAN62AQADAAAAAABToqnlzXveCPlmDTnOe94INENJUS5OWVNFOklCTS5JUV9DQVBfTE9TU19DRl9NQVhfWUVBUi4xOTk1LjA2LzAzLzIwMjYBAAAA3rYBAAMAAAAAAFOiqeXNe94I+WYNOc573ggyQ0lRLk5ZU0U6SUJNLklRX05PTF9DRl81WVIuMTk5NS4wNi8wMy8yMDI2Li4uVVNELkgBAAAA3rYBAAMAAAAAAFOiqeXNe94IGlMNOc573gg9Q0lRLk5ZU0U6SUJNLklRX0FTU0VUU19DQVBfTEVBU0VfREVQUi4xOTk1LjA2LzAzLzIwMjYuLi5VU0QuSAEAAADetgEAAwAAAAAAU6Kp5c173gj5Zg05znveCD9DSVEuTllTRTpJQk0uSVFfTVVUVUFMX0ZVTkRfUkVERU1QVElPTlMuMTk5NS4wNi8wMy8yMDI2Li4uVVNELkgBAAAA3rYBAAMAAAAAAFOiqeXNe94I+WYNOc573ggvQ0lRLk5ZU0U6SUJNLklRX0FVTV9CT1AuMTk5NS4wNi8wMy8yMDI2Li4uVVNELkgBAAAA3rYBAAMAAAAAAFOiqeXNe94I+WYNOc573ggxQ0lRLk5ZU0U6SUJNLklRX0FVTV9TTUVfQ1VTVE9NRVJTLjE5OTUuMDYvMDMvMjAyNgEAAADetgEAAwAAAAAAU6Kp5c173gj5Zg05znveCCtDSVEuTllTRTpJQk0uSVFfQVVNLjE5OTUuMDYvMDMvMjAyNi4uLlVTRC5IAQAAAN62AQADAAAAAABToqnlzXveCPlmDTnOe94IQkNJUS5OWVNFOklCTS5JUV9PUEVCX1VOUkVDT0dfUFJJT1JfRk9S</t>
  </si>
  <si>
    <t>RUlHTi4xOTk1LjA2LzAzLzIwMjYuLi5VU0QuSAEAAADetgEAAwAAAAAAU6Kp5c173gj5Zg05znveCERDSVEuTllTRTpJQk0uSVFfT1BFQl9FU1RfQkVORUZJVF8yWVJfRk9SRUlHTi4xOTk1LjA2LzAzLzIwMjYuLi5VU0QuSAEAAADetgEAAwAAAAAAU6Kp5c173gj5Zg05znveCEdDSVEuTllTRTpJQk0uSVFfT1BFQl9QQk9fUkFURV9DT01QX0lOQ1JFQVNFX01JTl9GT1JFSUdOLjE5OTUuMDYvMDMvMjAyNgEAAADetgEAAwAAAAAAU6Kp5c173gj5Zg05znveCEJDSVEuTllTRTpJQk0uSVFfT1BFQl9JTlRFUkVTVF9DT1NUX0ZPUkVJR04uMTk5NS4wNi8wMy8yMDI2Li4uVVNELkgBAAAA3rYBAAMAAAAAAFOiqeXNe94I+WYNOc573gg5Q0lRLk5ZU0U6SUJNLklRX0FVTV9JTlNUSVRVVElPTkFMLjE5OTUuMDYvMDMvMjAyNi4uLlVTRC5IAQAAAN62AQADAAAAAABToqnlzXveCPlmDTnOe94IQUNJUS5OWVNFOklCTS5JUV9PUEVCX0lOVEFOX0FTU0VUU19GT1JFSUdOLjE5OTUuMDYvMDMvMjAyNi4uLlVTRC5IAQAAAN62AQADAAAAAABToqnlzXveCPlmDTnOe94IPUNJUS5OWVNFOklCTS5JUV9PUEVCX0JSRUFLRE9XTl9QQ1RfUkVfRk9SRUlHTi4xOTk1LjA2LzAzLzIwMjYBAAAA3rYBAAMAAAAAAFOiqeXNe94I+WYNOc573ghLQ0lRLk5ZU0U6SUJNLklRX0NIQU5HRV9VTlJFQ09HX1RBWF9CRU5FRklUXzFfWVJf</t>
  </si>
  <si>
    <t>TUFYLjE5OTUuMDYvMDMvMjAyNi4uLlVTRC5IAQAAAN62AQADAAAAAABToqnlzXveCPlmDTnOe94IPkNJUS5OWVNFOklCTS5JUV9PUEVCX0JFTkVGSVRfSU5GT19EQVRFX0ZPUkVJR04uMTk5NS4wNi8wMy8yMDI2AQAAAN62AQADAAAAAABToqnlzXveCPlmDTnOe94IPUNJUS5OWVNFOklCTS5JUV9PUEVCX0FDVF9ORVhUX0ZPUkVJR04uMTk5NS4wNi8wMy8yMDI2Li4uVVNELkgBAAAA3rYBAAMAAAAAAFOiqeXNe94I1qUNOc573ghIQ0lRLk5ZU0U6SUJNLklRX09QRUJfSU5DUkVBU0VfRUZGRUNUX1BCT19GT1JFSUdOLjE5OTUuMDYvMDMvMjAyNi4uLlVTRC5IAQAAAN62AQADAAAAAABToqnlzXveCNalDTnOe94IQ0NJUS5OWVNFOklCTS5JUV9PUEVCX0FNVF9SRUNPR19ORVhUX0ZPUkVJR04uMTk5NS4wNi8wMy8yMDI2Li4uVVNELkgBAAAA3rYBAAMAAAAAAFOiqeXNe94I1qUNOc573ghFQ0lRLk5ZU0U6SUJNLklRX09QRUJfQ0lfUFJJT1JfU0VSVklDRV9GT1JFSUdOLjE5OTUuMDYvMDMvMjAyNi4uLlVTRC5IAQAAAN62AQADAAAAAABToqnlzXveCPlmDTnOe94ISUNJUS5OWVNFOklCTS5JUV9PUEVCX09CTElHQVRJT05fUFJPSkVDVEVEX0ZPUkVJR04uMTk5NS4wNi8wMy8yMDI2Li4uVVNELkgBAAAA3rYBAAMAAAAAAFOiqeXNe94I+WYNOc573ghDQ0lRLk5ZU0U6SUJNLklRX09QRUJfUkFURV9DT01QX0lO</t>
  </si>
  <si>
    <t>Q1JFQVNFX01JTl9GT1JFSUdOLjE5OTUuMDYvMDMvMjAyNgEAAADetgEAAwAAAAAAU6Kp5c173gjWpQ05znveCElDSVEuTllTRTpJQk0uSVFfT1BFQl9BU1NFVFNfQkVORUZJVFNfUEFJRF9GT1JFSUdOLjE5OTUuMDYvMDMvMjAyNi4uLlVTRC5IAQAAAN62AQADAAAAAABToqnlzXveCNalDTnOe94IPkNJUS5OWVNFOklCTS5JUV9PUEVCX09USEVSX0FESl9GT1JFSUdOLjE5OTUuMDYvMDMvMjAyNi4uLlVTRC5IAQAAAN62AQADAAAAAABToqnlzXveCNalDTnOe94IR0NJUS5OWVNFOklCTS5JUV9PUEVCX0VTVF9CRU5FRklUX0FGVEVSNV9GT1JFSUdOLjE5OTUuMDYvMDMvMjAyNi4uLlVTRC5IAQAAAN62AQADAAAAAABToqnlzXveCNalDTnOe94IOENJUS5OWVNFOklCTS5JUV9BVU1fRVFVSVRZX0ZVTkRTLjE5OTUuMDYvMDMvMjAyNi4uLlVTRC5IAQAAAN62AQADAAAAAABToqnlzXveCNalDTnOe94IQ0NJUS5OWVNFOklCTS5JUV9BU1NFVFNfVU5ERVJfQURNSU5JU1RSQVRJT04uMTk5NS4wNi8wMy8yMDI2Li4uVVNELkgBAAAA3rYBAAMAAAAAAFOiqeXNe94I1qUNOc573ghIQ0lRLk5ZU0U6SUJNLklRX09QRUJfREVDUkVBU0VfRUZGRUNUX1BCT19GT1JFSUdOLjE5OTUuMDYvMDMvMjAyNi4uLlVTRC5IAQAAAN62AQADAAAAAABToqnlzXveCNalDTnOe94IVUNJUS5OWVNFOklCTS5JUV9PUEVCX0lOQ1JFQVNF</t>
  </si>
  <si>
    <t>X0VGRkVDVF9TRVJWSUNFX0lOVF9DT1NUX0ZPUkVJR04uMTk5NS4wNi8wMy8yMDI2Li4uVVNELkgBAAAA3rYBAAMAAAAAAFOiqeXNe94I1qUNOc573ghEQ0lRLk5ZU0U6SUJNLklRX09QRUJfRVNUX0JFTkVGSVRfM1lSX0ZPUkVJR04uMTk5NS4wNi8wMy8yMDI2Li4uVVNELkgBAAAA3rYBAAMAAAAAAFOiqeXNe94I1qUNOc573ghSQ0lRLk5ZU0U6SUJNLklRX09QRUJfQVNTRVRTX0VNUExPWUVSX0NPTlRSSUJVVElPTlNfRk9SRUlHTi4xOTk1LjA2LzAzLzIwMjYuLi5VU0QuSAEAAADetgEAAwAAAAAAU6Kp5c173gjWpQ05znveCEFDSVEuTllTRTpJQk0uSVFfT1BFQl9BQ0NSVUVEX0xJQUJfRk9SRUlHTi4xOTk1LjA2LzAzLzIwMjYuLi5VU0QuSAEAAADetgEAAwAAAAAAU6Kp5c173gjWpQ05znveCEFDSVEuTllTRTpJQk0uSVFfT1BFQl9TRVJWSUNFX0NPU1RfRk9SRUlHTi4xOTk1LjA2LzAzLzIwMjYuLi5VU0QuSAEAAADetgEAAwAAAAAAU6Kp5c173gjWpQ05znveCE5DSVEuTllTRTpJQk0uSVFfUEVOU0lPTl9VTkZVTkRFRF9BRERMX01JTl9MSUFCX0ZPUkVJR04uMTk5NS4wNi8wMy8yMDI2Li4uVVNELkgBAAAA3rYBAAMAAAAAAFOiqeXNe94I1qUNOc573ghQQ0lRLk5ZU0U6SUJNLklRX1BFTlNJT05fRVNUX0NPTlRSSUJVVElPTlNfTkVYVFlSX0ZPUkVJR04uMTk5NS4wNi8wMy8yMDI2Li4uVVNELkgB</t>
  </si>
  <si>
    <t>AAAA3rYBAAMAAAAAAFOiqeXNe94I1qUNOc573ghHQ0lRLk5ZU0U6SUJNLklRX1BFTlNJT05fRVNUX0JFTkVGSVRfNVlSX0ZPUkVJR04uMTk5NS4wNi8wMy8yMDI2Li4uVVNELkgBAAAA3rYBAAMAAAAAAFOiqeXNe94I1qUNOc573ghEQ0lRLk5ZU0U6SUJNLklRX09QRUJfRVNUX0JFTkVGSVRfNVlSX0ZPUkVJR04uMTk5NS4wNi8wMy8yMDI2Li4uVVNELkgBAAAA3rYBAAMAAAAAAFOiqeXNe94IsuENOc573ghHQ0lRLk5ZU0U6SUJNLklRX09QRUJfUFJJT1JfU0VSVklDRV9ORVhUX0ZPUkVJR04uMTk5NS4wNi8wMy8yMDI2Li4uVVNELkgBAAAA3rYBAAMAAAAAAFOiqeXNe94IsuENOc573ghDQ0lRLk5ZU0U6SUJNLklRX09QRUJfUkFURV9DT01QX0lOQ1JFQVNFX01BWF9GT1JFSUdOLjE5OTUuMDYvMDMvMjAyNgEAAADetgEAAwAAAAAAU6Kp5c173giy4Q05znveCD9DSVEuTllTRTpJQk0uSVFfT1BFQl9BU1NFVFNfQkVHX0ZPUkVJR04uMTk5NS4wNi8wMy8yMDI2Li4uVVNELkgBAAAA3rYBAAMAAAAAAFOiqeXNe94I1qUNOc573ghDQ0lRLk5ZU0U6SUJNLklRX09QRUJfT0JMSUdBVElPTl9CRUdfRk9SRUlHTi4xOTk1LjA2LzAzLzIwMjYuLi5VU0QuSAEAAADetgEAAwAAAAAAU6Kp5c173gjWpQ05znveCD9DSVEuTllTRTpJQk0uSVFfT1BFQl9UT1RBTF9DT1NUX0ZPUkVJR04uMTk5NS4wNi8wMy8yMDI2Li4u</t>
  </si>
  <si>
    <t>VVNELkgBAAAA3rYBAAMAAAAAAFOiqeXNe94IsuENOc573gg6Q0lRLk5ZU0U6SUJNLklRX1BFTlNJT05fQ0xfRk9SRUlHTi4xOTk1LjA2LzAzLzIwMjYuLi5VU0QuSAEAAADetgEAAwAAAAAAU6Kp5c173giy4Q05znveCDNDSVEuTllTRTpJQk0uSVFfQVVNX0lORkxPV1MuMTk5NS4wNi8wMy8yMDI2Li4uVVNELkgBAAAA3rYBAAMAAAAAAFOiqeXNe94IsuENOc573ggvQ0lRLk5ZU0U6SUJNLklRX05PTF9DRl9NQVhfWUVBUi4xOTk1LjA2LzAzLzIwMjYBAAAA3rYBAAMAAAAAAFOiqeXNe94IsuENOc573gg2Q0lRLk5ZU0U6SUJNLklRX0FVTV9ORVRfQ0hBTkdFLjE5OTUuMDYvMDMvMjAyNi4uLlVTRC5IAQAAAN62AQADAAAAAABToqnlzXveCLLhDTnOe94IQkNJUS5OWVNFOklCTS5JUV9PUEVCX0NJX1RSQU5TSVRJT05fRk9SRUlHTi4xOTk1LjA2LzAzLzIwMjYuLi5VU0QuSAEAAADetgEAAwAAAAAAU6Kp5c173giy4Q05znveCDpDSVEuTllTRTpJQk0uSVFfVEFYX0JFTkVGSVRfQ0ZfNFlSLjE5OTUuMDYvMDMvMjAyNi4uLlVTRC5IAQAAAN62AQADAAAAAABToqnlzXveCLLhDTnOe94IPkNJUS5OWVNFOklCTS5JUV9BU1NFVFNfQ0FQX0xFQVNFX0dST1NTLjE5OTUuMDYvMDMvMjAyNi4uLlVTRC5IAQAAAN62AQADAAAAAABToqnlzXveCLLhDTnOe94IPUNJUS5OWVNFOklCTS5JUV9BVU1fT1RIRVJfQURKVVNU</t>
  </si>
  <si>
    <t>TUVOVFMuMTk5NS4wNi8wMy8yMDI2Li4uVVNELkgBAAAA3rYBAAMAAAAAAFOiqeXNe94IsuENOc573ggyQ0lRLk5ZU0U6SUJNLklRX0FVTV9SRVRBSUwuMTk5NS4wNi8wMy8yMDI2Li4uVVNELkgBAAAA3rYBAAMAAAAAAFOiqeXNe94IsuENOc573gg7Q0lRLk5ZU0U6SUJNLklRX09QRUJfQVNTRVRTX0ZPUkVJR04uMTk5NS4wNi8wMy8yMDI2Li4uVVNELkgBAAAA3rYBAAMAAAAAAFOiqeXNe94IBgkOOc573ghJQ0lRLk5ZU0U6SUJNLklRX09QRUJfQVNTRVRTX0FDVFVBTF9SRVRVUk5fRk9SRUlHTi4xOTk1LjA2LzAzLzIwMjYuLi5VU0QuSAEAAADetgEAAwAAAAAAU6Kp5c173ggGCQ45znveCExDSVEuTllTRTpJQk0uSVFfT1BFQl9TVVBQTEVfUExBTlNfVE9UQUxfQ09TVF9GT1JFSUdOLjE5OTUuMDYvMDMvMjAyNi4uLlVTRC5IAQAAAN62AQADAAAAAABToqnlzXveCAYJDjnOe94ISUNJUS5OWVNFOklCTS5JUV9SRURVQ1RJT05fVEFYX1BPU0lUSU9OX0NVUlJFTlRfWVIuMTk5NS4wNi8wMy8yMDI2Li4uVVNELkgBAAAA3rYBAAMAAAAAAFOiqeXNe94IBgkOOc573ghAQ0lRLk5ZU0U6SUJNLklRX09QRUJfQlJFQUtET1dOX1BDVF9PVEhFUl9GT1JFSUdOLjE5OTUuMDYvMDMvMjAyNgEAAADetgEAAwAAAAAAU6Kp5c173ggGCQ45znveCC9DSVEuTllTRTpJQk0uSVFfSU5WRU5UT1JZX1RVUk5TLjE5OTUuMDYv</t>
  </si>
  <si>
    <t>MDMvMjAyNgEAAADetgEAAgAAAAgxOS40MDM0NwEIAAAABQAAAAExAQAAAAstMTkyMDg0Njk1MAMAAAADMTYwAgAAAAQ0MDgyBAAAAAEwBwAAAAgzLzYvMjAyNggAAAAJOS8zMC8yMDI0CQAAAAEwU6Kp5c173ggGCQ45znveCDJDSVEuTllTRTpJQk0uSVFfTk9MX0NGXzJZUi4xOTk1LjA2LzAzLzIwMjYuLi5VU0QuSAEAAADetgEAAwAAAAAAU6Kp5c173ggGCQ45znveCDtDSVEuTllTRTpJQk0uSVFfQVVNX05PTl9GRUVfRUFSTklORy4xOTk1LjA2LzAzLzIwMjYuLi5VU0QuSAEAAADetgEAAwAAAAAAU6Kp5c173ggGCQ45znveCEZDSVEuTllTRTpJQk0uSVFfT1BFQl9IRUFMVEhfQ09TVF9UUkVORF9JTklUSUFMX0ZPUkVJR04uMTk5NS4wNi8wMy8yMDI2AQAAAN62AQADAAAAAABToqnlzXveCAYJDjnOe94IS0NJUS5OWVNFOklCTS5JUV9PUEVCX09CTElHQVRJT05fQUNDVU1VTEFURURfRk9SRUlHTi4xOTk1LjA2LzAzLzIwMjYuLi5VU0QuSAEAAADetgEAAwAAAAAAU6Kp5c173ggOMA45znveCEBDSVEuTllTRTpJQk0uSVFfQ0FQSVRBTElaRURfSU5URVJFU1RfQk9QLjE5OTUuMDYvMDMvMjAyNi4uLlVTRC5IAQAAAN62AQADAAAAAABToqnlzXveCA4wDjnOe94IOUNJUS5OWVNFOklCTS5JUV9BVU1fT1RIRVJfQ0xJRU5UUy4xOTk1LjA2LzAzLzIwMjYuLi5VU0QuSAEAAADetgEAAwAAAAAAU6Kp5c173ggO</t>
  </si>
  <si>
    <t>MA45znveCD1DSVEuTllTRTpJQk0uSVFfT1BFQl9CUkVBS0RPV05fUENUX0VRX0ZPUkVJR04uMTk5NS4wNi8wMy8yMDI2AQAAAN62AQADAAAAAABToqnlzXveCAYJDjnOe94ITUNJUS5OWVNFOklCTS5JUV9PUEVCX09CTElHQVRJT05fSU5URVJFU1RfQ09TVF9GT1JFSUdOLjE5OTUuMDYvMDMvMjAyNi4uLlVTRC5IAQAAAN62AQADAAAAAACpt6nlzXveCAYJDjnOe94ISkNJUS5OWVNFOklCTS5JUV9QRU5TSU9OX1BCT19SQVRFX0NPTVBfSU5DUkVBU0VfTUFYX0ZPUkVJR04uMTk5NS4wNi8wMy8yMDI2AQAAAN62AQADAAAAAACpt6nlzXveCA4wDjnOe94ISENJUS5OWVNFOklCTS5JUV9QRU5TSU9OX0NJX05FVF9BTVRfUkVDT0dfRk9SRUlHTi4xOTk1LjA2LzAzLzIwMjYuLi5VU0QuSAEAAADetgEAAwAAAAAAqbep5c173ggOMA45znveCEJDSVEuTllTRTpJQk0uSVFfUEVOU0lPTl9BU1NFVFNfQUNRX0ZPUkVJR04uMTk5NS4wNi8wMy8yMDI2Li4uVVNELkgBAAAA3rYBAAMAAAAAAKm3qeXNe94IDjAOOc573ghDQ0lRLk5ZU0U6SUJNLklRX09QRUJfSEVBTFRIX0NPU1RfVFJFTkRfVUxUSU1BVEVfRE9NLjE5OTUuMDYvMDMvMjAyNgEAAADetgEAAwAAAAAAqbep5c173ggOMA45znveCEFDSVEuTllTRTpJQk0uSVFfT1BFQl9QQk9fQVNTVU1FRF9SQVRFX1JFVF9NQVhfRE9NLjE5OTUuMDYvMDMvMjAyNgEAAADe</t>
  </si>
  <si>
    <t>tgEAAwAAAAAAqbep5c173ggOMA45znveCEBDSVEuTllTRTpJQk0uSVFfT1BFQl9CUkVBS0RPV05fT1RIRVJfRE9NLjE5OTUuMDYvMDMvMjAyNi4uLlVTRC5IAQAAAN62AQADAAAAAACpt6nlzXveCA4wDjnOe94IOkNJUS5OWVNFOklCTS5JUV9PUEVCX0RJU0NfUkFURV9NQVhfRk9SRUlHTi4xOTk1LjA2LzAzLzIwMjYBAAAA3rYBAAMAAAAAAKm3qeXNe94IDjAOOc573ghHQ0lRLk5ZU0U6SUJNLklRX09QRUJfT0JMSUdBVElPTl9DVVJUQUlMX0ZPUkVJR04uMTk5NS4wNi8wMy8yMDI2Li4uVVNELkgBAAAA3rYBAAMAAAAAAKm3qeXNe94IDjAOOc573ghRQ0lRLk5ZU0U6SUJNLklRX09QRUJfVE9UQUxfQ09TVF9JTkNMX1NVUFBMRV9QTEFOU19GT1JFSUdOLjE5OTUuMDYvMDMvMjAyNi4uLlVTRC5IAQAAAN62AQADAAAAAACpt6nlzXveCA4wDjnOe94IPUNJUS5OWVNFOklCTS5JUV9QRU5TSU9OX0RJU0NfUkFURV9NSU5fRk9SRUlHTi4xOTk1LjA2LzAzLzIwMjYBAAAA3rYBAAMAAAAAAKm3qeXNe94IJFcOOc573ghEQ0lRLk5ZU0U6SUJNLklRX1BFTlNJT05fU0VSVklDRV9DT1NUX0ZPUkVJR04uMTk5NS4wNi8wMy8yMDI2Li4uVVNELkgBAAAA3rYBAAMAAAAAAKm3qeXNe94IJFcOOc573gg+Q0lRLk5ZU0U6SUJNLklRX09QRUJfVU5SRUNPR19QUklPUl9ET00uMTk5NS4wNi8wMy8yMDI2Li4uVVNELkgBAAAA</t>
  </si>
  <si>
    <t>3rYBAAMAAAAAAKm3qeXNe94IJFcOOc573ghAQ0lRLk5ZU0U6SUJNLklRX09QRUJfRVNUX0JFTkVGSVRfNFlSX0RPTS4xOTk1LjA2LzAzLzIwMjYuLi5VU0QuSAEAAADetgEAAwAAAAAAqbep5c173ggkVw45znveCDNDSVEuTllTRTpJQk0uSVFfT1JHQU5JQ19HUk9XVEhfUkFURS4xOTk1LjA2LzAzLzIwMjYBAAAA3rYBAAMAAAAAAKm3qeXNe94IJFcOOc573ghIQ0lRLk5ZU0U6SUJNLklRX1BFTlNJT05fUEJPX0FTU1VNRURfUkFURV9SRVRfTUFYX0ZPUkVJR04uMTk5NS4wNi8wMy8yMDI2AQAAAN62AQADAAAAAACpt6nlzXveCCRXDjnOe94IRENJUS5OWVNFOklCTS5JUV9QRU5TSU9OX0JSRUFLRE9XTl9FUV9GT1JFSUdOLjE5OTUuMDYvMDMvMjAyNi4uLlVTRC5IAQAAAN62AQADAAAAAACpt6nlzXveCCRXDjnOe94ITENJUS5OWVNFOklCTS5JUV9QRU5TSU9OX09CTElHQVRJT05fUFJPSkVDVEVEX0ZPUkVJR04uMTk5NS4wNi8wMy8yMDI2Li4uVVNELkgBAAAA3rYBAAMAAAAAAKm3qeXNe94IJFcOOc573ghfQ0lRLk5ZU0U6SUJNLklRX1BFTlNJT05fT0JMSUdBVElPTl9UT1RBTF9DT1NUX0lOQ0xfU1VQUExFX1BMQU5TX0ZPUkVJR04uMTk5NS4wNi8wMy8yMDI2Li4uVVNELkgBAAAA3rYBAAMAAAAAAKm3qeXNe94IJFcOOc573ghEQ0lRLk5ZU0U6SUJNLklRX09QRUJfREVDUkVBU0VfRUZGRUNUX1BCT19E</t>
  </si>
  <si>
    <t>T00uMTk5NS4wNi8wMy8yMDI2Li4uVVNELkgBAAAA3rYBAAMAAAAAAKm3qeXNe94IJFcOOc573gg+Q0lRLk5ZU0U6SUJNLklRX09QRUJfQ0lfVFJBTlNJVElPTl9ET00uMTk5NS4wNi8wMy8yMDI2Li4uVVNELkgBAAAA3rYBAAMAAAAAAKm3qeXNe94INH4OOc573ghFQ0lRLk5ZU0U6SUJNLklRX1BFTlNJT05fQ0lfVFJBTlNJVElPTl9GT1JFSUdOLjE5OTUuMDYvMDMvMjAyNi4uLlVTRC5IAQAAAN62AQADAAAAAACpt6nlzXveCDR+DjnOe94IRkNJUS5OWVNFOklCTS5JUV9QRU5TSU9OX1JBVEVfQ09NUF9JTkNSRUFTRV9NSU5fRk9SRUlHTi4xOTk1LjA2LzAzLzIwMjYBAAAA3rYBAAMAAAAAAKm3qeXNe94IJFcOOc573ghMQ0lRLk5ZU0U6SUJNLklRX1BFTlNJT05fQVNTRVRTX0JFTkVGSVRTX1BBSURfRk9SRUlHTi4xOTk1LjA2LzAzLzIwMjYuLi5VU0QuSAEAAADetgEAAwAAAAAAqbep5c173ggkVw45znveCD9DSVEuTllTRTpJQk0uSVFfT1BFQl9BTVRfUkVDT0dfTkVYVF9ET00uMTk5NS4wNi8wMy8yMDI2Li4uVVNELkgBAAAA3rYBAAMAAAAAAKm3qeXNe94IJFcOOc573gg2Q0lRLk5ZU0U6SUJNLklRX09QRUJfRElTQ19SQVRFX01BWF9ET00uMTk5NS4wNi8wMy8yMDI2AQAAAN62AQADAAAAAACpt6nlzXveCDR+DjnOe94IRkNJUS5OWVNFOklCTS5JUV9PUEVCX0FTU0VUU19PVEhFUl9QTEFOX0FESl9E</t>
  </si>
  <si>
    <t>T00uMTk5NS4wNi8wMy8yMDI2Li4uVVNELkgBAAAA3rYBAAMAAAAAAKm3qeXNe94INH4OOc573gg/Q0lRLk5ZU0U6SUJNLklRX09QRUJfT0JMSUdBVElPTl9BQ1FfRE9NLjE5OTUuMDYvMDMvMjAyNi4uLlVTRC5IAQAAAN62AQADAAAAAACpt6nlzXveCDR+DjnOe94IPkNJUS5OWVNFOklCTS5JUV9PUEVCX0lOVEVSRVNUX0NPU1RfRE9NLjE5OTUuMDYvMDMvMjAyNi4uLlVTRC5IAQAAAN62AQADAAAAAACpt6nlzXveCDR+DjnOe94IQENJUS5OWVNFOklCTS5JUV9QRU5TSU9OX0lOVEFOX0FTU0VUU19ET00uMTk5NS4wNi8wMy8yMDI2Li4uVVNELkgBAAAA3rYBAAMAAAAAAKm3qeXNe94INH4OOc573ghGQ0lRLk5ZU0U6SUJNLklRX1BFTlNJT05fRVNUX0JFTkVGSVRfQUZURVI1X0RPTS4xOTk1LjA2LzAzLzIwMjYuLi5VU0QuSAEAAADetgEAAwAAAAAAqbep5c173gg0fg45znveCEZDSVEuTllTRTpJQk0uSVFfUEVOU0lPTl9QUklPUl9TRVJWSUNFX05FWFRfRE9NLjE5OTUuMDYvMDMvMjAyNi4uLlVTRC5IAQAAAN62AQADAAAAAACpt6nlzXveCDR+DjnOe94IPENJUS5OWVNFOklCTS5JUV9QRU5TSU9OX0JSRUFLRE9XTl9QQ1RfRVFfRE9NLjE5OTUuMDYvMDMvMjAyNgEAAADetgEAAwAAAAAAqbep5c173gg0fg45znveCDdDSVEuTllTRTpJQk0uSVFfTVVUVUFMX0ZVTkRfRU9QLjE5OTUuMDYvMDMvMjAyNi4u</t>
  </si>
  <si>
    <t>LlVTRC5IAQAAAN62AQADAAAAAACpt6nlzXveCDR+DjnOe94IR0NJUS5OWVNFOklCTS5JUV9PUEVCX0hFQUxUSF9DT1NUX1RSRU5EX1VMVElNQVRFX0ZPUkVJR04uMTk5NS4wNi8wMy8yMDI2AQAAAN62AQADAAAAAACpt6nlzXveCDR+DjnOe94IVENJUS5OWVNFOklCTS5JUV9QRU5TSU9OX1FVQVJUX0FERExfQ09OVFJJQlVUSU9OU19FWFBfRk9SRUlHTi4xOTk1LjA2LzAzLzIwMjYuLi5VU0QuSAEAAADetgEAAwAAAAAAqbep5c173gjYpQ45znveCEVDSVEuTllTRTpJQk0uSVFfUEVOU0lPTl9VTlJFQ09HX1BSSU9SX0ZPUkVJR04uMTk5NS4wNi8wMy8yMDI2Li4uVVNELkgBAAAA3rYBAAMAAAAAAKm3qeXNe94I2KUOOc573gg/Q0lRLk5ZU0U6SUJNLklRX1BFTlNJT05fTFRfTElBQl9GT1JFSUdOLjE5OTUuMDYvMDMvMjAyNi4uLlVTRC5IAQAAAN62AQADAAAAAACpt6nlzXveCNilDjnOe94IQENJUS5OWVNFOklCTS5JUV9QRU5TSU9OX0JSRUFLRE9XTl9QQ1RfUkVfRk9SRUlHTi4xOTk1LjA2LzAzLzIwMjYBAAAA3rYBAAMAAAAAAKm3qeXNe94I2KUOOc573ghQQ0lRLk5ZU0U6SUJNLklRX1BFTlNJT05fT0JMSUdBVElPTl9JTlRFUkVTVF9DT1NUX0ZPUkVJR04uMTk5NS4wNi8wMy8yMDI2Li4uVVNELkgBAAAA3rYBAAMAAAAAAKm3qeXNe94INH4OOc573gg4Q0lRLk5ZU0U6SUJNLklRX09QRUJfTFRfTElB</t>
  </si>
  <si>
    <t>Ql9ET00uMTk5NS4wNi8wMy8yMDI2Li4uVVNELkgBAAAA3rYBAAMAAAAAAKm3qeXNe94I2KUOOc573ghAQ0lRLk5ZU0U6SUJNLklRX09QRUJfRVNUX0JFTkVGSVRfMllSX0RPTS4xOTk1LjA2LzAzLzIwMjYuLi5VU0QuSAEAAADetgEAAwAAAAAAqbep5c173gjYpQ45znveCD9DSVEuTllTRTpJQk0uSVFfT1BFQl9FWFBfUkVUVVJOX0ZPUkVJR04uMTk5NS4wNi8wMy8yMDI2Li4uVVNELkgBAAAA3rYBAAMAAAAAAKm3qeXNe94I2KUOOc573ghHQ0lRLk5ZU0U6SUJNLklRX1BFTlNJT05fTkVUX0FTU0VUX1JFQ09HX0ZPUkVJR04uMTk5NS4wNi8wMy8yMDI2Li4uVVNELkgBAAAA3rYBAAMAAAAAAKm3qeXNe94I2KUOOc573ghKQ0lRLk5ZU0U6SUJNLklRX1BFTlNJT05fT0JMSUdBVElPTl9DVVJUQUlMX0ZPUkVJR04uMTk5NS4wNi8wMy8yMDI2Li4uVVNELkgBAAAA3rYBAAMAAAAAAKm3qeXNe94I2KUOOc573gg9Q0lRLk5ZU0U6SUJNLklRX01VVFVBTF9GVU5EX05FVF9TQUxFUy4xOTk1LjA2LzAzLzIwMjYuLi5VU0QuSAEAAADetgEAAwAAAAAAqbep5c173gi0zA45znveCEVDSVEuTllTRTpJQk0uSVFfT1BFQl9QQk9fQVNTVU1FRF9SQVRFX1JFVF9NSU5fRk9SRUlHTi4xOTk1LjA2LzAzLzIwMjYBAAAA3rYBAAMAAAAAAKm3qeXNe94ItMwOOc573ghAQ0lRLk5ZU0U6SUJNLklRX09QRUJfRVhQX1JBVEVfUkVU</t>
  </si>
  <si>
    <t>VVJOX01BWF9GT1JFSUdOLjE5OTUuMDYvMDMvMjAyNgEAAADetgEAAwAAAAAAqbep5c173gjYpQ45znveCD9DSVEuTllTRTpJQk0uSVFfT1BFQl9BU1NFVFNfQUNRX0ZPUkVJR04uMTk5NS4wNi8wMy8yMDI2Li4uVVNELkgBAAAA3rYBAAMAAAAAAKm3qeXNe94I2KUOOc573ghMQ0lRLk5ZU0U6SUJNLklRX09QRUJfT0JMSUdBVElPTl9TRVJWSUNFX0NPU1RfRk9SRUlHTi4xOTk1LjA2LzAzLzIwMjYuLi5VU0QuSAEAAADetgEAAwAAAAAAqbep5c173gjYpQ45znveCDdDSVEuTllTRTpJQk0uSVFfT1BFQl9DTF9GT1JFSUdOLjE5OTUuMDYvMDMvMjAyNi4uLlVTRC5IAQAAAN62AQADAAAAAACpt6nlzXveCM/gDjnOe94IRENJUS5OWVNFOklCTS5JUV9QRU5TSU9OX0FDQ1JVRURfTElBQl9GT1JFSUdOLjE5OTUuMDYvMDMvMjAyNi4uLlVTRC5IAQAAAN62AQADAAAAAACpt6nlzXveCLTMDjnOe94ISUNJUS5OWVNFOklCTS5JUV9QRU5TSU9OX0NJX09USEVSX01JU0NfQURKX0ZPUkVJR04uMTk5NS4wNi8wMy8yMDI2Li4uVVNELkgBAAAA3rYBAAMAAAAAAKm3qeXNe94ItMwOOc573ghFQ0lRLk5ZU0U6SUJNLklRX1BFTlNJT05fQVNTRVRTX0ZYX0FESl9GT1JFSUdOLjE5OTUuMDYvMDMvMjAyNi4uLlVTRC5IAQAAAN62AQADAAAAAACpt6nlzXveCLTMDjnOe94ISUNJUS5OWVNFOklCTS5JUV9QRU5TSU9OX09CTElH</t>
  </si>
  <si>
    <t>QVRJT05fRlhfQURKX0ZPUkVJR04uMTk5NS4wNi8wMy8yMDI2Li4uVVNELkgBAAAA3rYBAAMAAAAAAKm3qeXNe94ItMwOOc573ghAQ0lRLk5ZU0U6SUJNLklRX09QRUJfTkVUX0FTU0VUX1JFQ09HX0RPTS4xOTk1LjA2LzAzLzIwMjYuLi5VU0QuSAEAAADetgEAAwAAAAAAqbep5c173gjP4A45znveCEFDSVEuTllTRTpJQk0uSVFfT1BFQl9DSV9ORVRfQU1UX1JFQ09HX0RPTS4xOTk1LjA2LzAzLzIwMjYuLi5VU0QuSAEAAADetgEAAwAAAAAAqbep5c173gjP4A45znveCDpDSVEuTllTRTpJQk0uSVFfT1BFQl9ESVNDX1JBVEVfTUlOX0ZPUkVJR04uMTk5NS4wNi8wMy8yMDI2AQAAAN62AQADAAAAAACpt6nlzXveCM/gDjnOe94IQUNJUS5OWVNFOklCTS5JUV9QRU5TSU9OX0JFTkVGSVRfSU5GT19EQVRFX0ZPUkVJR04uMTk5NS4wNi8wMy8yMDI2AQAAAN62AQADAAAAAACpt6nlzXveCM/gDjnOe94IVENJUS5OWVNFOklCTS5JUV9QRU5TSU9OX1FVQVJUX0VNUExPWUVSX0NPTlRSSUJVVElPTlNfRk9SRUlHTi4xOTk1LjA2LzAzLzIwMjYuLi5VU0QuSAEAAADetgEAAwAAAAAAqbep5c173gjP4A45znveCEZDSVEuTllTRTpJQk0uSVFfUEVOU0lPTl9BQ0NVTV9PVEhFUl9DSV9GT1JFSUdOLjE5OTUuMDYvMDMvMjAyNi4uLlVTRC5IAQAAAN62AQADAAAAAACpt6nlzXveCM/gDjnOe94ISENJUS5OWVNFOklCTS5J</t>
  </si>
  <si>
    <t>UV9QRU5TSU9OX1BCT19BU1NVTUVEX1JBVEVfUkVUX01JTl9GT1JFSUdOLjE5OTUuMDYvMDMvMjAyNgEAAADetgEAAwAAAAAAqbep5c173gjP4A45znveCEBDSVEuTllTRTpJQk0uSVFfUEVOU0lPTl9SQVRFX0NPTVBfR1JPV1RIX0ZPUkVJR04uMTk5NS4wNi8wMy8yMDI2AQAAAN62AQADAAAAAACpt6nlzXveCM/gDjnOe94IVkNJUS5OWVNFOklCTS5JUV9QRU5TSU9OX09CTElHQVRJT05fU1VQUExFX1BMQU5TX1RPVEFMX0NPU1RfRE9NLjE5OTUuMDYvMDMvMjAyNi4uLlVTRC5IAQAAAN62AQADAAAAAABb46nlzXveCPIlEznOe94IQENJUS5OWVNFOklCTS5JUV9PUEVCX0VTVF9CRU5FRklUXzNZUl9ET00uMTk5NS4wNi8wMy8yMDI2Li4uVVNELkgBAAAA3rYBAAMAAAAAAKm3qeXNe94INQgPOc573gg5Q0lRLk5ZU0U6SUJNLklRX09QRUJfQlJFQUtET1dOX1BDVF9FUV9ET00uMTk5NS4wNi8wMy8yMDI2AQAAAN62AQADAAAAAACpt6nlzXveCDUIDznOe94IP0NJUS5OWVNFOklCTS5JUV9PUEVCX1JBVEVfQ09NUF9JTkNSRUFTRV9NQVhfRE9NLjE5OTUuMDYvMDMvMjAyNgEAAADetgEAAwAAAAAAqbep5c173gjP4A45znveCDtDSVEuTllTRTpJQk0uSVFfT1BFQl9BU1NFVFNfQkVHX0RPTS4xOTk1LjA2LzAzLzIwMjYuLi5VU0QuSAEAAADetgEAAwAAAAAAqbep5c173gjP4A45znveCE1DSVEuTllTRTpJQk0u</t>
  </si>
  <si>
    <t>SVFfT1BFQl9UT1RBTF9DT1NUX0lOQ0xfU1VQUExFX1BMQU5TX0RPTS4xOTk1LjA2LzAzLzIwMjYuLi5VU0QuSAEAAADetgEAAwAAAAAAqbep5c173gjP4A45znveCENDSVEuTllTRTpJQk0uSVFfT1BFQl9PQkxJR0FUSU9OX0FDUV9GT1JFSUdOLjE5OTUuMDYvMDMvMjAyNi4uLlVTRC5IAQAAAN62AQADAAAAAACpt6nlzXveCDUIDznOe94ISENJUS5OWVNFOklCTS5JUV9QRU5TSU9OX0NJX1BSSU9SX1NFUlZJQ0VfRk9SRUlHTi4xOTk1LjA2LzAzLzIwMjYuLi5VU0QuSAEAAADetgEAAwAAAAAAqbep5c173gg1CA85znveCENDSVEuTllTRTpJQk0uSVFfUEVOU0lPTl9FWFBfUkFURV9SRVRVUk5fTUlOX0ZPUkVJR04uMTk5NS4wNi8wMy8yMDI2AQAAAN62AQADAAAAAACpt6nlzXveCDUIDznOe94IVkNJUS5OWVNFOklCTS5JUV9QRU5TSU9OX09CTElHQVRJT05fQUNUVUFSSUFMX0dBSU5fTE9TU19GT1JFSUdOLjE5OTUuMDYvMDMvMjAyNi4uLlVTRC5IAQAAAN62AQADAAAAAACpt6nlzXveCDUIDznOe94IUUNJUS5OWVNFOklCTS5JUV9PUEVCX0RFQ1JFQVNFX0VGRkVDVF9TRVJWSUNFX0lOVF9DT1NUX0RPTS4xOTk1LjA2LzAzLzIwMjYuLi5VU0QuSAEAAADetgEAAwAAAAAAqbep5c173gg1CA85znveCD1DSVEuTllTRTpJQk0uSVFfT1BFQl9JTlRBTl9BU1NFVFNfRE9NLjE5OTUuMDYvMDMvMjAyNi4uLlVT</t>
  </si>
  <si>
    <t>RC5IAQAAAN62AQADAAAAAACpt6nlzXveCDUIDznOe94IQENJUS5OWVNFOklCTS5JUV9PUEVCX1RSQU5TSVRJT05fTkVYVF9ET00uMTk5NS4wNi8wMy8yMDI2Li4uVVNELkgBAAAA3rYBAAMAAAAAAKm3qeXNe94INQgPOc573gg7Q0lRLk5ZU0U6SUJNLklRX09QRUJfQ0lfQUNUX0ZPUkVJR04uMTk5NS4wNi8wMy8yMDI2Li4uVVNELkgBAAAA3rYBAAMAAAAAAKm3qeXNe94INQgPOc573ghEQ0lRLk5ZU0U6SUJNLklRX09QRUJfVFJBTlNJVElPTl9ORVhUX0ZPUkVJR04uMTk5NS4wNi8wMy8yMDI2Li4uVVNELkgBAAAA3rYBAAMAAAAAAKm3qeXNe94INQgPOc573ghWQ0lRLk5ZU0U6SUJNLklRX09QRUJfT0JMSUdBVElPTl9FTVBMT1lFRV9DT05UUklCVVRJT05TX0ZPUkVJR04uMTk5NS4wNi8wMy8yMDI2Li4uVVNELkgBAAAA3rYBAAMAAAAAAKm3qeXNe94INQgPOc573ghBQ0lRLk5ZU0U6SUJNLklRX1BFTlNJT05fT1RIRVJfQURKX0ZPUkVJR04uMTk5NS4wNi8wMy8yMDI2Li4uVVNELkgBAAAA3rYBAAMAAAAAAKm3qeXNe94ILS8POc573gg9Q0lRLk5ZU0U6SUJNLklRX1BFTlNJT05fT1RIRVJfRk9SRUlHTi4xOTk1LjA2LzAzLzIwMjYuLi5VU0QuSAEAAADetgEAAwAAAAAAqbep5c173ggtLw85znveCEJDSVEuTllTRTpJQk0uSVFfT1BFQl9BU1NFVFNfRlhfQURKX0ZPUkVJR04uMTk5NS4wNi8wMy8yMDI2</t>
  </si>
  <si>
    <t>Li4uVVNELkgBAAAA3rYBAAMAAAAAAKm3qeXNe94ILS8POc573ghHQ0lRLk5ZU0U6SUJNLklRX1BFTlNJT05fQlJFQUtET1dOX09USEVSX0ZPUkVJR04uMTk5NS4wNi8wMy8yMDI2Li4uVVNELkgBAAAA3rYBAAMAAAAAAKm3qeXNe94ILS8POc573ghRQ0lRLk5ZU0U6SUJNLklRX09QRUJfSU5DUkVBU0VfRUZGRUNUX1NFUlZJQ0VfSU5UX0NPU1RfRE9NLjE5OTUuMDYvMDMvMjAyNi4uLlVTRC5IAQAAAN62AQADAAAAAACpt6nlzXveCDUIDznOe94IPUNJUS5OWVNFOklCTS5JUV9PUEVCX1BSRVBBSURfQ09TVF9ET00uMTk5NS4wNi8wMy8yMDI2Li4uVVNELkgBAAAA3rYBAAMAAAAAAKm3qeXNe94ILS8POc573ghDQ0lRLk5ZU0U6SUJNLklRX09QRUJfUFJJT1JfU0VSVklDRV9ORVhUX0RPTS4xOTk1LjA2LzAzLzIwMjYuLi5VU0QuSAEAAADetgEAAwAAAAAAqbep5c173ggtLw85znveCDxDSVEuTllTRTpJQk0uSVFfT1BFQl9FWFBfUkFURV9SRVRVUk5fTUlOX0RPTS4xOTk1LjA2LzAzLzIwMjYBAAAA3rYBAAMAAAAAAKm3qeXNe94ILS8POc573ghFQ0lRLk5ZU0U6SUJNLklRX09QRUJfQVNTRVRTX0FDVFVBTF9SRVRVUk5fRE9NLjE5OTUuMDYvMDMvMjAyNi4uLlVTRC5IAQAAAN62AQADAAAAAACpt6nlzXveCC0vDznOe94IRUNJUS5OWVNFOklCTS5JUV9PUEVCX09CTElHQVRJT05fUFJPSkVDVEVEX0RPTS4x</t>
  </si>
  <si>
    <t>OTk1LjA2LzAzLzIwMjYuLi5VU0QuSAEAAADetgEAAwAAAAAAqbep5c173ggtLw85znveCDtDSVEuTllTRTpJQk0uSVFfT1BFQl9UT1RBTF9DT1NUX0RPTS4xOTk1LjA2LzAzLzIwMjYuLi5VU0QuSAEAAADetgEAAwAAAAAAqbep5c173ggtLw85znveCDZDSVEuTllTRTpJQk0uSVFfUEVOU0lPTl9DTF9ET00uMTk5NS4wNi8wMy8yMDI2Li4uVVNELkgBAAAA3rYBAAMAAAAAAKm3qeXNe94ILS8POc573ghDQ0lRLk5ZU0U6SUJNLklRX09QRUJfQUNDVU1fT1RIRVJfQ0lfRk9SRUlHTi4xOTk1LjA2LzAzLzIwMjYuLi5VU0QuSAEAAADetgEAAwAAAAAAqbep5c173ggtLw85znveCEdDSVEuTllTRTpJQk0uSVFfUEVOU0lPTl9FU1RfQkVORUZJVF8zWVJfRk9SRUlHTi4xOTk1LjA2LzAzLzIwMjYuLi5VU0QuSAEAAADetgEAAwAAAAAAqbep5c173ggtLw85znveCEpDSVEuTllTRTpJQk0uSVFfUEVOU0lPTl9QUklPUl9TRVJWSUNFX05FWFRfRk9SRUlHTi4xOTk1LjA2LzAzLzIwMjYuLi5VU0QuSAEAAADetgEAAwAAAAAAqbep5c173ggtLw85znveCExDSVEuTllTRTpJQk0uSVFfUEVOU0lPTl9BU1NFVFNfQUNUVUFMX1JFVFVSTl9GT1JFSUdOLjE5OTUuMDYvMDMvMjAyNi4uLlVTRC5IAQAAAN62AQADAAAAAACpt6nlzXveCC0vDznOe94IOkNJUS5OWVNFOklCTS5JUV9PUEVCX0JFTkVGSVRfSU5GT19EQVRFX0RP</t>
  </si>
  <si>
    <t>TS4xOTk1LjA2LzAzLzIwMjYBAAAA3rYBAAMAAAAAAKm3qeXNe94ILS8POc573ghDQ0lRLk5ZU0U6SUJNLklRX09QRUJfUEJPX1JBVEVfQ09NUF9JTkNSRUFTRV9NSU5fRE9NLjE5OTUuMDYvMDMvMjAyNgEAAADetgEAAwAAAAAAqbep5c173ggtLw85znveCENDSVEuTllTRTpJQk0uSVFfUEVOU0lPTl9FWFBfUkFURV9SRVRVUk5fTUFYX0ZPUkVJR04uMTk5NS4wNi8wMy8yMDI2AQAAAN62AQADAAAAAACpt6nlzXveCC0vDznOe94IRkNJUS5OWVNFOklCTS5JUV9QRU5TSU9OX0FTU0VUU19DVVJUQUlMX0ZPUkVJR04uMTk5NS4wNi8wMy8yMDI2Li4uVVNELkgBAAAA3rYBAAMAAAAAAKm3qeXNe94IJmoPOc573ghHQ0lRLk5ZU0U6SUJNLklRX1BFTlNJT05fT0JMSUdBVElPTl9QQUlEX0ZPUkVJR04uMTk5NS4wNi8wMy8yMDI2Li4uVVNELkgBAAAA3rYBAAMAAAAAAKm3qeXNe94IJmoPOc573ghKQ0lRLk5ZU0U6SUJNLklRX09QRUJfQVNTRVRTX09USEVSX1BMQU5fQURKX0ZPUkVJR04uMTk5NS4wNi8wMy8yMDI2Li4uVVNELkgBAAAA3rYBAAMAAAAAAKm3qeXNe94IJmoPOc573ghBQ0lRLk5ZU0U6SUJNLklRX1BFTlNJT05fTFRfQVNTRVRTX0ZPUkVJR04uMTk5NS4wNi8wMy8yMDI2Li4uVVNELkgBAAAA3rYBAAMAAAAAAKm3qeXNe94ILS8POc573ghEQ0lRLk5ZU0U6SUJNLklRX1BFTlNJT05fSU5UQU5fQVNT</t>
  </si>
  <si>
    <t>RVRTX0ZPUkVJR04uMTk5NS4wNi8wMy8yMDI2Li4uVVNELkgBAAAA3rYBAAMAAAAAAKm3qeXNe94ILS8POc573ghEQ0lRLk5ZU0U6SUJNLklRX1BFTlNJT05fUFJFUEFJRF9DT1NUX0ZPUkVJR04uMTk5NS4wNi8wMy8yMDI2Li4uVVNELkgBAAAA3rYBAAMAAAAAAKm3qeXNe94Ign4POc573ghGQ0lRLk5ZU0U6SUJNLklRX1BFTlNJT05fQU1UX1JFQ09HX05FWFRfRk9SRUlHTi4xOTk1LjA2LzAzLzIwMjYuLi5VU0QuSAEAAADetgEAAwAAAAAAqbep5c173giCfg85znveCERDSVEuTllTRTpJQk0uSVFfUEVOU0lPTl9CUkVBS0RPV05fRklfRk9SRUlHTi4xOTk1LjA2LzAzLzIwMjYuLi5VU0QuSAEAAADetgEAAwAAAAAAqbep5c173giCfg85znveCE5DSVEuTllTRTpJQk0uSVFfUEVOU0lPTl9BQ0NVTVVMQVRFRF9PQkxJR0FUSU9OX0ZPUkVJR04uMTk5NS4wNi8wMy8yMDI2Li4uVVNELkgBAAAA3rYBAAMAAAAAAKm3qeXNe94IJmoPOc573gg6Q0lRLk5ZU0U6SUJNLklRX09QRUJfT1RIRVJfQURKX0RPTS4xOTk1LjA2LzAzLzIwMjYuLi5VU0QuSAEAAADetgEAAwAAAAAAqbep5c173ggmag85znveCEJDSVEuTllTRTpJQk0uSVFfT1BFQl9DSV9PVEhFUl9NSVNDX0FESl9ET00uMTk5NS4wNi8wMy8yMDI2Li4uVVNELkgBAAAA3rYBAAMAAAAAAKm3qeXNe94IT5QPOc573gg9Q0lRLk5ZU0U6SUJNLklRX09QRUJf</t>
  </si>
  <si>
    <t>QlJFQUtET1dOX1BDVF9GSV9GT1JFSUdOLjE5OTUuMDYvMDMvMjAyNgEAAADetgEAAwAAAAAAqbep5c173ghPlA85znveCE5DSVEuTllTRTpJQk0uSVFfT1BFQl9PQkxJR0FUSU9OX09USEVSX1BMQU5fQURKX0ZPUkVJR04uMTk5NS4wNi8wMy8yMDI2Li4uVVNELkgBAAAA3rYBAAMAAAAAAKm3qeXNe94IT5QPOc573ghEQ0lRLk5ZU0U6SUJNLklRX09QRUJfT0JMSUdBVElPTl9QQUlEX0ZPUkVJR04uMTk5NS4wNi8wMy8yMDI2Li4uVVNELkgBAAAA3rYBAAMAAAAAAKm3qeXNe94IT5QPOc573ghAQ0lRLk5ZU0U6SUJNLklRX0FVTV9DQVNIX0ZMT1dTX0RJVklERU5EUy4xOTk1LjA2LzAzLzIwMjYuLi5VU0QuSAEAAADetgEAAwAAAAAAqbep5c173ghPlA85znveCD5DSVEuTllTRTpJQk0uSVFfQVVNX0ZJWEVEX0lOQ09NRV9GVU5EUy4xOTk1LjA2LzAzLzIwMjYuLi5VU0QuSAEAAADetgEAAwAAAAAAqbep5c173gi6uw85znveCEFDSVEuTllTRTpJQk0uSVFfT1BFQl9CUkVBS0RPV05fUkVfRk9SRUlHTi4xOTk1LjA2LzAzLzIwMjYuLi5VU0QuSAEAAADetgEAAwAAAAAAqbep5c173gi6uw85znveCD9DSVEuTllTRTpJQk0uSVFfT1BFQl9PVEhFUl9DT1NUX0ZPUkVJR04uMTk5NS4wNi8wMy8yMDI2Li4uVVNELkgBAAAA3rYBAAMAAAAAAKm3qeXNe94IT5QPOc573ghEQ0lRLk5ZU0U6SUJNLklRX1BFTlNJT05f</t>
  </si>
  <si>
    <t>QlJFQUtET1dOX1JFX0ZPUkVJR04uMTk5NS4wNi8wMy8yMDI2Li4uVVNELkgBAAAA3rYBAAMAAAAAAKm3qeXNe94IT5QPOc573ghCQ0lRLk5ZU0U6SUJNLklRX1BFTlNJT05fRVhQX1JFVFVSTl9GT1JFSUdOLjE5OTUuMDYvMDMvMjAyNi4uLlVTRC5IAQAAAN62AQADAAAAAACpt6nlzXveCE+UDznOe94IRkNJUS5OWVNFOklCTS5JUV9QRU5TSU9OX09CTElHQVRJT05fUk9BX0ZPUkVJR04uMTk5NS4wNi8wMy8yMDI2Li4uVVNELkgBAAAA3rYBAAMAAAAAAKm3qeXNe94IursPOc573ghEQ0lRLk5ZU0U6SUJNLklRX09QRUJfSU5DUkVBU0VfRUZGRUNUX1BCT19ET00uMTk5NS4wNi8wMy8yMDI2Li4uVVNELkgBAAAA3rYBAAMAAAAAAKm3qeXNe94IursPOc573gg9Q0lRLk5ZU0U6SUJNLklRX09QRUJfQlJFQUtET1dOX0ZJX0RPTS4xOTk1LjA2LzAzLzIwMjYuLi5VU0QuSAEAAADetgEAAwAAAAAAqbep5c173gi6uw85znveCD5DSVEuTllTRTpJQk0uSVFfT1BFQl9BU1NFVFNfRlhfQURKX0RPTS4xOTk1LjA2LzAzLzIwMjYuLi5VU0QuSAEAAADetgEAAwAAAAAAqbep5c173gi6uw85znveCEdDSVEuTllTRTpJQk0uSVFfT1BFQl9PQkxJR0FUSU9OX0FDQ1VNVUxBVEVEX0RPTS4xOTk1LjA2LzAzLzIwMjYuLi5VU0QuSAEAAADetgEAAwAAAAAAqbep5c173gi6uw85znveCEBDSVEuTllTRTpJQk0uSVFfUEVOU0lP</t>
  </si>
  <si>
    <t>Tl9QUkVQQUlEX0NPU1RfRE9NLjE5OTUuMDYvMDMvMjAyNi4uLlVTRC5IAQAAAN62AQADAAAAAACpt6nlzXveCLq7DznOe94IQENJUS5OWVNFOklCTS5JUV9QRU5TSU9OX0JSRUFLRE9XTl9FUV9ET00uMTk5NS4wNi8wMy8yMDI2Li4uVVNELkgBAAAA3rYBAAMAAAAAAKm3qeXNe94IursPOc573ghBQ0lRLk5ZU0U6SUJNLklRX09QRUJfQ0lfUFJJT1JfU0VSVklDRV9ET00uMTk5NS4wNi8wMy8yMDI2Li4uVVNELkgBAAAA3rYBAAMAAAAAAKm3qeXNe94IursPOc573ghOQ0lRLk5ZU0U6SUJNLklRX09QRUJfQVNTRVRTX0VNUExPWUVSX0NPTlRSSUJVVElPTlNfRE9NLjE5OTUuMDYvMDMvMjAyNi4uLlVTRC5IAQAAAN62AQADAAAAAACpt6nlzXveCLq7DznOe94IQ0NJUS5OWVNFOklCTS5JUV9PUEVCX09CTElHQVRJT05fQ1VSVEFJTF9ET00uMTk5NS4wNi8wMy8yMDI2Li4uVVNELkgBAAAA3rYBAAMAAAAAAKm3qeXNe94IursPOc573gg7Q0lRLk5ZU0U6SUJNLklRX09QRUJfRVhQX1JFVFVSTl9ET00uMTk5NS4wNi8wMy8yMDI2Li4uVVNELkgBAAAA3rYBAAMAAAAAAKm3qeXNe94I2/YPOc573ghDQ0lRLk5ZU0U6SUJNLklRX1BFTlNJT05fTkVUX0FTU0VUX1JFQ09HX0RPTS4xOTk1LjA2LzAzLzIwMjYuLi5VU0QuSAEAAADetgEAAwAAAAAAqbep5c173gjb9g85znveCDxDSVEuTllTRTpJQk0uSVFfUEVOU0lP</t>
  </si>
  <si>
    <t>Tl9BQ1RfTkVYVF9ET00uMTk5NS4wNi8wMy8yMDI2Li4uVVNELkgBAAAA3rYBAAMAAAAAAKm3qeXNe94I2/YPOc573ghHQ0lRLk5ZU0U6SUJNLklRX1BFTlNJT05fRVNUX0JFTkVGSVRfMllSX0ZPUkVJR04uMTk5NS4wNi8wMy8yMDI2Li4uVVNELkgBAAAA3rYBAAMAAAAAAKm3qeXNe94IursPOc573gg6Q0lRLk5ZU0U6SUJNLklRX09QRUJfTFRfQVNTRVRTX0RPTS4xOTk1LjA2LzAzLzIwMjYuLi5VU0QuSAEAAADetgEAAwAAAAAAqbep5c173gi6uw85znveCDlDSVEuTllTRTpJQk0uSVFfT1BFQl9CUkVBS0RPV05fUENUX1JFX0RPTS4xOTk1LjA2LzAzLzIwMjYBAAAA3rYBAAMAAAAAAKm3qeXNe94I2/YPOc573gg9Q0lRLk5ZU0U6SUJNLklRX1BFTlNJT05fQkVORUZJVF9JTkZPX0RBVEVfRE9NLjE5OTUuMDYvMDMvMjAyNgEAAADetgEAAwAAAAAAqbep5c173gjb9g85znveCERDSVEuTllTRTpJQk0uSVFfUEVOU0lPTl9DSV9ORVRfQU1UX1JFQ09HX0RPTS4xOTk1LjA2LzAzLzIwMjYuLi5VU0QuSAEAAADetgEAAwAAAAAAqbep5c173gjb9g85znveCDxDSVEuTllTRTpJQk0uSVFfUEVOU0lPTl9CUkVBS0RPV05fUENUX1JFX0RPTS4xOTk1LjA2LzAzLzIwMjYBAAAA3rYBAAMAAAAAAKm3qeXNe94I2/YPOc573gg+Q0lRLk5ZU0U6SUJNLklRX1BFTlNJT05fQVNTRVRTX0FDUV9ET00uMTk5NS4wNi8wMy8y</t>
  </si>
  <si>
    <t>MDI2Li4uVVNELkgBAAAA3rYBAAMAAAAAAKm3qeXNe94IfR4QOc573ghDQ0lRLk5ZU0U6SUJNLklRX1BFTlNJT05fT0JMSUdBVElPTl9QQUlEX0RPTS4xOTk1LjA2LzAzLzIwMjYuLi5VU0QuSAEAAADetgEAAwAAAAAAqbep5c173gh9HhA5znveCFlDSVEuTllTRTpJQk0uSVFfUEVOU0lPTl9PQkxJR0FUSU9OX0VNUExPWUVFX0NPTlRSSUJVVElPTlNfRk9SRUlHTi4xOTk1LjA2LzAzLzIwMjYuLi5VU0QuSAEAAADetgEAAwAAAAAAqbep5c173gh9HhA5znveCD9DSVEuTllTRTpJQk0uSVFfT1BFQl9PQkxJR0FUSU9OX0JFR19ET00uMTk5NS4wNi8wMy8yMDI2Li4uVVNELkgBAAAA3rYBAAMAAAAAAKm3qeXNe94I2/YPOc573ghQQ0lRLk5ZU0U6SUJNLklRX1BFTlNJT05fUVVBUlRfRU1QTE9ZRVJfQ09OVFJJQlVUSU9OU19ET00uMTk5NS4wNi8wMy8yMDI2Li4uVVNELkgBAAAA3rYBAAMAAAAAAKm3qeXNe94I2/YPOc573ghHQ0lRLk5ZU0U6SUJNLklRX1BFTlNJT05fRVNUX0JFTkVGSVRfMVlSX0ZPUkVJR04uMTk5NS4wNi8wMy8yMDI2Li4uVVNELkgBAAAA3rYBAAMAAAAAAKm3qeXNe94IezIQOc573gg5Q0lRLk5ZU0U6SUJNLklRX1BFTlNJT05fT1RIRVJfRE9NLjE5OTUuMDYvMDMvMjAyNi4uLlVTRC5IAQAAAN62AQADAAAAAACpt6nlzXveCHsyEDnOe94IQ0NJUS5OWVNFOklCTS5JUV9QRU5TSU9OX0VT</t>
  </si>
  <si>
    <t>VF9CRU5FRklUXzRZUl9ET00uMTk5NS4wNi8wMy8yMDI2Li4uVVNELkgBAAAA3rYBAAMAAAAAAKm3qeXNe94IezIQOc573ghDQ0lRLk5ZU0U6SUJNLklRX1BFTlNJT05fRVNUX0JFTkVGSVRfMllSX0RPTS4xOTk1LjA2LzAzLzIwMjYuLi5VU0QuSAEAAADetgEAAwAAAAAAqbep5c173gh9HhA5znveCEFDSVEuTllTRTpJQk0uSVFfUEVOU0lPTl9DSV9UUkFOU0lUSU9OX0RPTS4xOTk1LjA2LzAzLzIwMjYuLi5VU0QuSAEAAADetgEAAwAAAAAAqbep5c173gh9HhA5znveCDlDSVEuTllTRTpJQk0uSVFfUEVOU0lPTl9ESVNDX1JBVEVfTUFYX0RPTS4xOTk1LjA2LzAzLzIwMjYBAAAA3rYBAAMAAAAAAKm3qeXNe94IezIQOc573ghDQ0lRLk5ZU0U6SUJNLklRX1BFTlNJT05fRVhQX1JFVFVSTl9ET01FU1RJQy4xOTk1LjA2LzAzLzIwMjYuLi5VU0QuSAEAAADetgEAAwAAAAAAqbep5c173gh7MhA5znveCE1DSVEuTllTRTpJQk0uSVFfUEVOU0lPTl9PQkxJR0FUSU9OX09USEVSX1BMQU5fQURKX0RPTS4xOTk1LjA2LzAzLzIwMjYuLi5VU0QuSAEAAADetgEAAwAAAAAAqbep5c173gh7MhA5znveCElDSVEuTllTRTpJQk0uSVFfUEVOU0lPTl9PQkxJR0FUSU9OX09USEVSX0NPU1RfRE9NLjE5OTUuMDYvMDMvMjAyNi4uLlVTRC5IAQAAAN62AQADAAAAAACpt6nlzXveCHsyEDnOe94INENJUS5OWVNFOklCTS5JUV9P</t>
  </si>
  <si>
    <t>UEVCX0xUX0xJQUIuMTk5NS4wNi8wMy8yMDI2Li4uVVNELkgBAAAA3rYBAAMAAAAAAKm3qeXNe94IezIQOc573gg7Q0lRLk5ZU0U6SUJNLklRX09QRUJfQUNDVU1fT1RIRVJfQ0kuMTk5NS4wNi8wMy8yMDI2Li4uVVNELkgBAAAA3rYBAAMAAAAAAKm3qeXNe94IezIQOc573gg9Q0lRLk5ZU0U6SUJNLklRX09QRUJfUEJPX0FTU1VNRURfUkFURV9SRVRfTUlOLjE5OTUuMDYvMDMvMjAyNgEAAADetgEAAwAAAAAAqbep5c173gh7MhA5znveCDlDSVEuTllTRTpJQk0uSVFfT1BFQl9CUkVBS0RPV05fRVEuMTk5NS4wNi8wMy8yMDI2Li4uVVNELkgBAAAA3rYBAAMAAAAAAKm3qeXNe94IezIQOc573gg7Q0lRLk5ZU0U6SUJNLklRX09QRUJfQVNTRVRTX0NVUlRBSUwuMTk5NS4wNi8wMy8yMDI2Li4uVVNELkgBAAAA3rYBAAMAAAAAAKm3qeXNe94IezIQOc573gg+Q0lRLk5ZU0U6SUJNLklRX09QRUJfT0JMSUdBVElPTl9GWF9BREouMTk5NS4wNi8wMy8yMDI2Li4uVVNELkgBAAAA3rYBAAMAAAAAAKm3qeXNe94IezIQOc573ghOQ0lRLk5ZU0U6SUJNLklRX09QRUJfT0JMSUdBVElPTl9FTVBMT1lFRV9DT05UUklCVVRJT05TLjE5OTUuMDYvMDMvMjAyNi4uLlVTRC5IAQAAAN62AQADAAAAAACpt6nlzXveCO5tEDnOe94IRUNJUS5OWVNFOklCTS5JUV9PUEVCX0NJX05FVF9BTVRfUkVDT0dfRk9SRUlHTi4xOTk1LjA2</t>
  </si>
  <si>
    <t>LzAzLzIwMjYuLi5VU0QuSAEAAADetgEAAwAAAAAAqbep5c173gjubRA5znveCEBDSVEuTllTRTpJQk0uSVFfUEVOU0lPTl9CUkVBS0RPV05fUENUX0VRX0ZPUkVJR04uMTk5NS4wNi8wMy8yMDI2AQAAAN62AQADAAAAAACpt6nlzXveCO5tEDnOe94IQkNJUS5OWVNFOklCTS5JUV9QRU5TSU9OX0FTU0VUU19CRUdfRk9SRUlHTi4xOTk1LjA2LzAzLzIwMjYuLi5VU0QuSAEAAADetgEAAwAAAAAAqbep5c173gjubRA5znveCEZDSVEuTllTRTpJQk0uSVFfUEVOU0lPTl9PQkxJR0FUSU9OX0FDUV9GT1JFSUdOLjE5OTUuMDYvMDMvMjAyNi4uLlVTRC5IAQAAAN62AQADAAAAAACpt6nlzXveCHsyEDnOe94IP0NJUS5OWVNFOklCTS5JUV9PUEVCX0FDQ1VNX09USEVSX0NJX0RPTS4xOTk1LjA2LzAzLzIwMjYuLi5VU0QuSAEAAADetgEAAwAAAAAAqbep5c173gjubRA5znveCDdDSVEuTllTRTpJQk0uSVFfT1BFQl9DSV9BQ1RfRE9NLjE5OTUuMDYvMDMvMjAyNi4uLlVTRC5IAQAAAN62AQADAAAAAACpt6nlzXveCO5tEDnOe94IRUNJUS5OWVNFOklCTS5JUV9QRU5TSU9OX0lOVEVSRVNUX0NPU1RfRk9SRUlHTi4xOTk1LjA2LzAzLzIwMjYuLi5VU0QuSAEAAADetgEAAwAAAAAAqbep5c173gjubRA5znveCEJDSVEuTllTRTpJQk0uSVFfT1BFQl9IRUFMVEhfQ09TVF9UUkVORF9JTklUSUFMX0RPTS4xOTk1LjA2LzAz</t>
  </si>
  <si>
    <t>LzIwMjYBAAAA3rYBAAMAAAAAAKm3qeXNe94I7m0QOc573gg6Q0lRLk5ZU0U6SUJNLklRX1BFTlNJT05fQ0lfQUNUX0RPTS4xOTk1LjA2LzAzLzIwMjYuLi5VU0QuSAEAAADetgEAAwAAAAAAqbep5c173gjubRA5znveCD9DSVEuTllTRTpJQk0uSVFfUEVOU0lPTl9FWFBfUkFURV9SRVRVUk5fTUlOX0RPTS4xOTk1LjA2LzAzLzIwMjYBAAAA3rYBAAMAAAAAAKm3qeXNe94I7m0QOc573ghHQ0lRLk5ZU0U6SUJNLklRX1BFTlNJT05fVFJBTlNJVElPTl9ORVhUX0ZPUkVJR04uMTk5NS4wNi8wMy8yMDI2Li4uVVNELkgBAAAA3rYBAAMAAAAAAKm3qeXNe94I7m0QOc573gg/Q0lRLk5ZU0U6SUJNLklRX09QRUJfQVNTRVRTX0NVUlRBSUxfRE9NLjE5OTUuMDYvMDMvMjAyNi4uLlVTRC5IAQAAAN62AQADAAAAAACpt6nlzXveCO5tEDnOe94IRUNJUS5OWVNFOklCTS5JUV9PUEVCX0FTU0VUU19CRU5FRklUU19QQUlEX0RPTS4xOTk1LjA2LzAzLzIwMjYuLi5VU0QuSAEAAADetgEAAwAAAAAAqbep5c173gjubRA5znveCEBDSVEuTllTRTpJQk0uSVFfT1BFQl9PQkxJR0FUSU9OX1BBSURfRE9NLjE5OTUuMDYvMDMvMjAyNi4uLlVTRC5IAQAAAN62AQADAAAAAACpt6nlzXveCO5tEDnOe94ISUNJUS5OWVNFOklCTS5JUV9PUEVCX09CTElHQVRJT05fSU5URVJFU1RfQ09TVF9ET00uMTk5NS4wNi8wMy8yMDI2Li4uVVNE</t>
  </si>
  <si>
    <t>LkgBAAAA3rYBAAMAAAAAAKm3qeXNe94IT6wQOc573ghEQ0lRLk5ZU0U6SUJNLklRX1BFTlNJT05fUEJPX0FTU1VNRURfUkFURV9SRVRfTUFYX0RPTS4xOTk1LjA2LzAzLzIwMjYBAAAA3rYBAAMAAAAAAKm3qeXNe94IT6wQOc573ghKQ0lRLk5ZU0U6SUJNLklRX1BFTlNJT05fRVNUX0JFTkVGSVRfQUZURVI1X0ZPUkVJR04uMTk5NS4wNi8wMy8yMDI2Li4uVVNELkgBAAAA3rYBAAMAAAAAAKm3qeXNe94IT6wQOc573gg9Q0lRLk5ZU0U6SUJNLklRX1BFTlNJT05fRElTQ09VTlRfUkFURV9GT1JFSUdOLjE5OTUuMDYvMDMvMjAyNgEAAADetgEAAwAAAAAAqbep5c173ghPrBA5znveCD5DSVEuTllTRTpJQk0uSVFfUEVOU0lPTl9BU1NFVFNfRk9SRUlHTi4xOTk1LjA2LzAzLzIwMjYuLi5VU0QuSAEAAADetgEAAwAAAAAAqbep5c173gjubRA5znveCDZDSVEuTllTRTpJQk0uSVFfT1BFQl9PVEhFUl9ET00uMTk5NS4wNi8wMy8yMDI2Li4uVVNELkgBAAAA3rYBAAMAAAAAAKm3qeXNe94IT6wQOc573gg5Q0lRLk5ZU0U6SUJNLklRX09QRUJfQlJFQUtET1dOX1BDVF9GSV9ET00uMTk5NS4wNi8wMy8yMDI2AQAAAN62AQADAAAAAACpt6nlzXveCE+sEDnOe94IQkNJUS5OWVNFOklCTS5JUV9QRU5TSU9OX0FNVF9SRUNPR19ORVhUX0RPTS4xOTk1LjA2LzAzLzIwMjYuLi5VU0QuSAEAAADetgEAAwAAAAAAqbep5c17</t>
  </si>
  <si>
    <t>3ghPrBA5znveCEBDSVEuTllTRTpJQk0uSVFfUEVOU0lPTl9CUkVBS0RPV05fUkVfRE9NLjE5OTUuMDYvMDMvMjAyNi4uLlVTRC5IAQAAAN62AQADAAAAAACGzqnlzXveCE+sEDnOe94IQUNJUS5OWVNFOklCTS5JUV9QRU5TSU9OX1JBVEVfQ09NUF9HUk9XVEhfRE9NRVNUSUMuMTk5NS4wNi8wMy8yMDI2AQAAAN62AQADAAAAAACGzqnlzXveCE+sEDnOe94ISENJUS5OWVNFOklCTS5JUV9QRU5TSU9OX09CTElHQVRJT05fUFJPSkVDVEVEX0RPTS4xOTk1LjA2LzAzLzIwMjYuLi5VU0QuSAEAAADetgEAAwAAAAAAhs6p5c173ghPrBA5znveCEJDSVEuTllTRTpJQk0uSVFfUEVOU0lPTl9PQkxJR0FUSU9OX0FDUV9ET00uMTk5NS4wNi8wMy8yMDI2Li4uVVNELkgBAAAA3rYBAAMAAAAAAIbOqeXNe94IT6wQOc573ghTQ0lRLk5ZU0U6SUJNLklRX09QRUJfT0JMSUdBVElPTl9BQ1RVQVJJQUxfR0FJTl9MT1NTX0ZPUkVJR04uMTk5NS4wNi8wMy8yMDI2Li4uVVNELkgBAAAA3rYBAAMAAAAAAIbOqeXNe94IT6wQOc573gg9Q0lRLk5ZU0U6SUJNLklRX1BFTlNJT05fRElTQ19SQVRFX01BWF9GT1JFSUdOLjE5OTUuMDYvMDMvMjAyNgEAAADetgEAAwAAAAAAhs6p5c173ghPrBA5znveCE1DSVEuTllTRTpJQk0uSVFfUEVOU0lPTl9PQkxJR0FUSU9OX1RPVEFMX0NPU1RfRk9SRUlHTi4xOTk1LjA2LzAzLzIwMjYuLi5V</t>
  </si>
  <si>
    <t>U0QuSAEAAADetgEAAwAAAAAAhs6p5c173ghPrBA5znveCENDSVEuTllTRTpJQk0uSVFfT1BFQl9FU1RfQkVORUZJVF9BRlRFUjVfRE9NLjE5OTUuMDYvMDMvMjAyNi4uLlVTRC5IAQAAAN62AQADAAAAAACGzqnlzXveCJznEDnOe94INkNJUS5OWVNFOklCTS5JUV9PUEVCX0JFTkVGSVRfSU5GT19EQVRFLjE5OTUuMDYvMDMvMjAyNgEAAADetgEAAwAAAAAAhs6p5c173gic5xA5znveCEBDSVEuTllTRTpJQk0uSVFfUEVOU0lPTl9BQ1RfTkVYVF9GT1JFSUdOLjE5OTUuMDYvMDMvMjAyNi4uLlVTRC5IAQAAAN62AQADAAAAAACGzqnlzXveCJznEDnOe94ITUNJUS5OWVNFOklCTS5JUV9QRU5TSU9OX0FTU0VUU19PVEhFUl9QTEFOX0FESl9GT1JFSUdOLjE5OTUuMDYvMDMvMjAyNi4uLlVTRC5IAQAAAN62AQADAAAAAACGzqnlzXveCJznEDnOe94ISkNJUS5OWVNFOklCTS5JUV9QRU5TSU9OX1BCT19SQVRFX0NPTVBfSU5DUkVBU0VfTUlOX0ZPUkVJR04uMTk5NS4wNi8wMy8yMDI2AQAAAN62AQADAAAAAACGzqnlzXveCL77EDnOe94IVUNJUS5OWVNFOklCTS5JUV9QRU5TSU9OX0FTU0VUU19QQVJUSUNJUF9DT05UUklCVVRJT05TX0ZPUkVJR04uMTk5NS4wNi8wMy8yMDI2Li4uVVNELkgBAAAA3rYBAAMAAAAAAIbOqeXNe94IvvsQOc573ghAQ0lRLk5ZU0U6SUJNLklRX09QRUJfRVNUX0JFTkVGSVRfNVlSX0RP</t>
  </si>
  <si>
    <t>TS4xOTk1LjA2LzAzLzIwMjYuLi5VU0QuSAEAAADetgEAAwAAAAAAhs6p5c173gi++xA5znveCENDSVEuTllTRTpJQk0uSVFfUEVOU0lPTl9CUkVBS0RPV05fUENUX09USEVSX0ZPUkVJR04uMTk5NS4wNi8wMy8yMDI2AQAAAN62AQADAAAAAACGzqnlzXveCL77EDnOe94IPkNJUS5OWVNFOklCTS5JUV9QRU5TSU9OX0NJX0FDVF9GT1JFSUdOLjE5OTUuMDYvMDMvMjAyNi4uLlVTRC5IAQAAAN62AQADAAAAAACGzqnlzXveCJznEDnOe94IT0NJUS5OWVNFOklCTS5JUV9QRU5TSU9OX09CTElHQVRJT05fU0VSVklDRV9DT1NUX0ZPUkVJR04uMTk5NS4wNi8wMy8yMDI2Li4uVVNELkgBAAAA3rYBAAMAAAAAAIbOqeXNe94IvvsQOc573ghAQ0lRLk5ZU0U6SUJNLklRX09QRUJfRVNUX0JFTkVGSVRfMVlSX0RPTS4xOTk1LjA2LzAzLzIwMjYuLi5VU0QuSAEAAADetgEAAwAAAAAAhs6p5c173gi++xA5znveCEdDSVEuTllTRTpJQk0uSVFfUEVOU0lPTl9FU1RfQkVORUZJVF80WVJfRk9SRUlHTi4xOTk1LjA2LzAzLzIwMjYuLi5VU0QuSAEAAADetgEAAwAAAAAAhs6p5c173gi++xA5znveCEJDSVEuTllTRTpJQk0uSVFfT1BFQl9PQkxJR0FUSU9OX0ZYX0FESl9ET00uMTk5NS4wNi8wMy8yMDI2Li4uVVNELkgBAAAA3rYBAAMAAAAAAIbOqeXNe94IvvsQOc573gg7Q0lRLk5ZU0U6SUJNLklRX1BFTlNJT05fTFRfTElB</t>
  </si>
  <si>
    <t>Ql9ET00uMTk5NS4wNi8wMy8yMDI2Li4uVVNELkgBAAAA3rYBAAMAAAAAAIbOqeXNe94IvvsQOc573ghDQ0lRLk5ZU0U6SUJNLklRX1BFTlNJT05fVFJBTlNJVElPTl9ORVhUX0RPTS4xOTk1LjA2LzAzLzIwMjYuLi5VU0QuSAEAAADetgEAAwAAAAAAhs6p5c173ggSIxE5znveCD9DSVEuTllTRTpJQk0uSVFfUEVOU0lPTl9CUkVBS0RPV05fUENUX09USEVSX0RPTS4xOTk1LjA2LzAzLzIwMjYBAAAA3rYBAAMAAAAAAIbOqeXNe94IEiMROc573ghCQ0lRLk5ZU0U6SUJNLklRX1BFTlNJT05fQVNTRVRTX0NVUlRBSUxfRE9NLjE5OTUuMDYvMDMvMjAyNi4uLlVTRC5IAQAAAN62AQADAAAAAACGzqnlzXveCBIjETnOe94IRUNJUS5OWVNFOklCTS5JUV9QRU5TSU9OX09CTElHQVRJT05fRlhfQURKX0RPTS4xOTk1LjA2LzAzLzIwMjYuLi5VU0QuSAEAAADetgEAAwAAAAAAhs6p5c173ggSIxE5znveCEBDSVEuTllTRTpJQk0uSVFfUEVOU0lPTl9TRVJWSUNFX0NPU1RfRE9NLjE5OTUuMDYvMDMvMjAyNi4uLlVTRC5IAQAAAN62AQADAAAAAACGzqnlzXveCBIjETnOe94IP0NJUS5OWVNFOklCTS5JUV9PUEVCX0hFQUxUSF9DT1NUX1RSRU5EX1VMVElNQVRFLjE5OTUuMDYvMDMvMjAyNgEAAADetgEAAwAAAAAAhs6p5c173ggSIxE5znveCE1DSVEuTllTRTpJQk0uSVFfT1BFQl9ERUNSRUFTRV9FRkZFQ1RfU0VSVklD</t>
  </si>
  <si>
    <t>RV9JTlRfQ09TVC4xOTk1LjA2LzAzLzIwMjYuLi5VU0QuSAEAAADetgEAAwAAAAAAhs6p5c173ggSIxE5znveCDlDSVEuTllTRTpJQk0uSVFfT1BFQl9QUkVQQUlEX0NPU1QuMTk5NS4wNi8wMy8yMDI2Li4uVVNELkgBAAAA3rYBAAMAAAAAAIbOqeXNe94IEiMROc573gg1Q0lRLk5ZU0U6SUJNLklRX09QRUJfQUNUX05FWFQuMTk5NS4wNi8wMy8yMDI2Li4uVVNELkgBAAAA3rYBAAMAAAAAAIbOqeXNe94IEiMROc573ghGQ0lRLk5ZU0U6SUJNLklRX1BFTlNJT05fT0JMSUdBVElPTl9CRUdfRk9SRUlHTi4xOTk1LjA2LzAzLzIwMjYuLi5VU0QuSAEAAADetgEAAwAAAAAAhs6p5c173ggSIxE5znveCE1DSVEuTllTRTpJQk0uSVFfUEVOU0lPTl9PQkxJR0FUSU9OX09USEVSX0NPU1RfRk9SRUlHTi4xOTk1LjA2LzAzLzIwMjYuLi5VU0QuSAEAAADetgEAAwAAAAAAhs6p5c173ggRShE5znveCD1DSVEuTllTRTpJQk0uSVFfT1BFQl9BQ0NSVUVEX0xJQUJfRE9NLjE5OTUuMDYvMDMvMjAyNi4uLlVTRC5IAQAAAN62AQADAAAAAACGzqnlzXveCBFKETnOe94IQUNJUS5OWVNFOklCTS5JUV9PUEVCX1BCT19BU1NVTUVEX1JBVEVfUkVUX01JTl9ET00uMTk5NS4wNi8wMy8yMDI2AQAAAN62AQADAAAAAACGzqnlzXveCBIjETnOe94IP0NJUS5OWVNFOklCTS5JUV9PUEVCX1JBVEVfQ09NUF9JTkNSRUFTRV9NSU5fRE9N</t>
  </si>
  <si>
    <t>LjE5OTUuMDYvMDMvMjAyNgEAAADetgEAAwAAAAAAhs6p5c173ggSIxE5znveCFJDSVEuTllTRTpJQk0uSVFfT1BFQl9PQkxJR0FUSU9OX0VNUExPWUVFX0NPTlRSSUJVVElPTlNfRE9NLjE5OTUuMDYvMDMvMjAyNi4uLlVTRC5IAQAAAN62AQADAAAAAACGzqnlzXveCBIjETnOe94ITENJUS5OWVNFOklCTS5JUV9QRU5TSU9OX0VTVF9DT05UUklCVVRJT05TX05FWFRZUl9ET00uMTk5NS4wNi8wMy8yMDI2Li4uVVNELkgBAAAA3rYBAAMAAAAAAIbOqeXNe94IEUoROc573ghAQ0lRLk5ZU0U6SUJNLklRX1BFTlNJT05fQUNDUlVFRF9MSUFCX0RPTS4xOTk1LjA2LzAzLzIwMjYuLi5VU0QuSAEAAADetgEAAwAAAAAAhs6p5c173ggRShE5znveCEZDSVEuTllTRTpJQk0uSVFfUEVOU0lPTl9SQVRFX0NPTVBfSU5DUkVBU0VfTUFYX0ZPUkVJR04uMTk5NS4wNi8wMy8yMDI2AQAAAN62AQADAAAAAACGzqnlzXveCBFKETnOe94ITkNJUS5OWVNFOklCTS5JUV9PUEVCX0FTU0VUU19QQVJUSUNJUF9DT05UUklCVVRJT05TX0RPTS4xOTk1LjA2LzAzLzIwMjYuLi5VU0QuSAEAAADetgEAAwAAAAAAhs6p5c173ggRShE5znveCEpDSVEuTllTRTpJQk0uSVFfT1BFQl9PQkxJR0FUSU9OX09USEVSX1BMQU5fQURKX0RPTS4xOTk1LjA2LzAzLzIwMjYuLi5VU0QuSAEAAADetgEAAwAAAAAAhs6p5c173ggRShE5znveCENDSVEu</t>
  </si>
  <si>
    <t>TllTRTpJQk0uSVFfUEVOU0lPTl9FU1RfQkVORUZJVF8zWVJfRE9NLjE5OTUuMDYvMDMvMjAyNi4uLlVTRC5IAQAAAN62AQADAAAAAACGzqnlzXveCBFKETnOe94IPENJUS5OWVNFOklCTS5JUV9QRU5TSU9OX0JSRUFLRE9XTl9QQ1RfRklfRE9NLjE5OTUuMDYvMDMvMjAyNgEAAADetgEAAwAAAAAAhs6p5c173ggRShE5znveCD5DSVEuTllTRTpJQk0uSVFfUEVOU0lPTl9ESVNDT1VOVF9SQVRFX0RPTUVTVElDLjE5OTUuMDYvMDMvMjAyNgEAAADetgEAAwAAAAAAhs6p5c173ggRShE5znveCEhDSVEuTllTRTpJQk0uSVFfUEVOU0lPTl9BU1NFVFNfQUNUVUFMX1JFVFVSTl9ET00uMTk5NS4wNi8wMy8yMDI2Li4uVVNELkgBAAAA3rYBAAMAAAAAAIbOqeXNe94IEUoROc573ghCQ0lRLk5ZU0U6SUJNLklRX1BFTlNJT05fT0JMSUdBVElPTl9CRUdfRE9NLjE5OTUuMDYvMDMvMjAyNi4uLlVTRC5IAQAAAN62AQADAAAAAACGzqnlzXveCBFKETnOe94ISUNJUS5OWVNFOklCTS5JUV9QRU5TSU9OX09CTElHQVRJT05fVE9UQUxfQ09TVF9ET00uMTk5NS4wNi8wMy8yMDI2Li4uVVNELkgBAAAA3rYBAAMAAAAAAIbOqeXNe94IKXEROc573ggyQ0lRLk5ZU0U6SUJNLklRX09QRUJfT1RIRVIuMTk5NS4wNi8wMy8yMDI2Li4uVVNELkgBAAAA3rYBAAMAAAAAAIbOqeXNe94IKXEROc573ghAQ0lRLk5ZU0U6SUJNLklRX0FV</t>
  </si>
  <si>
    <t>TV9ORVRfSU5GTE9XU19PVVRGTE9XUy4xOTk1LjA2LzAzLzIwMjYuLi5VU0QuSAEAAADetgEAAwAAAAAAhs6p5c173ggpcRE5znveCFVDSVEuTllTRTpJQk0uSVFfUEVOU0lPTl9BU1NFVFNfRU1QTE9ZRVJfQ09OVFJJQlVUSU9OU19GT1JFSUdOLjE5OTUuMDYvMDMvMjAyNi4uLlVTRC5IAQAAAN62AQADAAAAAACGzqnlzXveCClxETnOe94IQ0NJUS5OWVNFOklCTS5JUV9PUEVCX1BCT19SQVRFX0NPTVBfSU5DUkVBU0VfTUFYX0RPTS4xOTk1LjA2LzAzLzIwMjYBAAAA3rYBAAMAAAAAAIbOqeXNe94IKXEROc573gg9Q0lRLk5ZU0U6SUJNLklRX09QRUJfQlJFQUtET1dOX1JFX0RPTS4xOTk1LjA2LzAzLzIwMjYuLi5VU0QuSAEAAADetgEAAwAAAAAAhs6p5c173ggpcRE5znveCEJDSVEuTllTRTpJQk0uSVFfUEVOU0lPTl9BQ0NVTV9PVEhFUl9DSV9ET00uMTk5NS4wNi8wMy8yMDI2Li4uVVNELkgBAAAA3rYBAAMAAAAAAIbOqeXNe94IKXEROc573ghDQ0lRLk5ZU0U6SUJNLklRX1BFTlNJT05fRVNUX0JFTkVGSVRfNVlSX0RPTS4xOTk1LjA2LzAzLzIwMjYuLi5VU0QuSAEAAADetgEAAwAAAAAAhs6p5c173ggpcRE5znveCEVDSVEuTllTRTpJQk0uSVFfUEVOU0lPTl9DSV9PVEhFUl9NSVNDX0FESl9ET00uMTk5NS4wNi8wMy8yMDI2Li4uVVNELkgBAAAA3rYBAAMAAAAAAIbOqeXNe94IKXEROc573gg0Q0lR</t>
  </si>
  <si>
    <t>Lk5ZU0U6SUJNLklRX0FVTV9ET01FU1RJQy4xOTk1LjA2LzAzLzIwMjYuLi5VU0QuSAEAAADetgEAAwAAAAAAhs6p5c173ggpcRE5znveCFJDSVEuTllTRTpJQk0uSVFfT1BFQl9BU1NFVFNfUEFSVElDSVBfQ09OVFJJQlVUSU9OU19GT1JFSUdOLjE5OTUuMDYvMDMvMjAyNi4uLlVTRC5IAQAAAN62AQADAAAAAACGzqnlzXveCD2YETnOe94IQENJUS5OWVNFOklCTS5JUV9QRU5TSU9OX0JSRUFLRE9XTl9QQ1RfRklfRk9SRUlHTi4xOTk1LjA2LzAzLzIwMjYBAAAA3rYBAAMAAAAAAIbOqeXNe94IPZgROc573ghQQ0lRLk5ZU0U6SUJNLklRX1BFTlNJT05fUVVBUlRfQURETF9DT05UUklCVVRJT05TX0VYUF9ET00uMTk5NS4wNi8wMy8yMDI2Li4uVVNELkgBAAAA3rYBAAMAAAAAAIbOqeXNe94IPZgROc573ghBQ0lRLk5ZU0U6SUJNLklRX1BFTlNJT05fVU5SRUNPR19QUklPUl9ET00uMTk5NS4wNi8wMy8yMDI2Li4uVVNELkgBAAAA3rYBAAMAAAAAAIbOqeXNe94IPZgROc573ghDQ0lRLk5ZU0U6SUJNLklRX1BFTlNJT05fRVNUX0JFTkVGSVRfMVlSX0RPTS4xOTk1LjA2LzAzLzIwMjYuLi5VU0QuSAEAAADetgEAAwAAAAAAhs6p5c173ggpcRE5znveCElDSVEuTllTRTpJQk0uSVFfUEVOU0lPTl9BU1NFVFNfT1RIRVJfUExBTl9BREpfRE9NLjE5OTUuMDYvMDMvMjAyNi4uLlVTRC5IAQAAAN62AQADAAAAAACG</t>
  </si>
  <si>
    <t>zqnlzXveCD2YETnOe94IUUNJUS5OWVNFOklCTS5JUV9QRU5TSU9OX09CTElHQVRJT05fT1RIRVJfUExBTl9BREpfRk9SRUlHTi4xOTk1LjA2LzAzLzIwMjYuLi5VU0QuSAEAAADetgEAAwAAAAAAhs6p5c173gg9mBE5znveCDNDSVEuTllTRTpJQk0uSVFfT1BFQl9DTF9ET00uMTk5NS4wNi8wMy8yMDI2Li4uVVNELkgBAAAA3rYBAAMAAAAAAIbOqeXNe94IPZgROc573gg8Q0lRLk5ZU0U6SUJNLklRX09QRUJfRVhQX1JBVEVfUkVUVVJOX01BWF9ET00uMTk5NS4wNi8wMy8yMDI2AQAAAN62AQADAAAAAACGzqnlzXveCD2YETnOe94ISENJUS5OWVNFOklCTS5JUV9QRU5TSU9OX0FTU0VUU19CRU5FRklUU19QQUlEX0RPTS4xOTk1LjA2LzAzLzIwMjYuLi5VU0QuSAEAAADetgEAAwAAAAAAhs6p5c173gg9mBE5znveCEFDSVEuTllTRTpJQk0uSVFfT1BFQl9BU1NFVFNfQkVORUZJVFNfUEFJRC4xOTk1LjA2LzAzLzIwMjYuLi5VU0QuSAEAAADetgEAAwAAAAAAhs6p5c173ghJvxE5znveCDxDSVEuTllTRTpJQk0uSVFfT1BFQl9PQkxJR0FUSU9OX1BBSUQuMTk5NS4wNi8wMy8yMDI2Li4uVVNELkgBAAAA3rYBAAMAAAAAAIbOqeXNe94ISb8ROc573gg/Q0lRLk5ZU0U6SUJNLklRX1BFTlNJT05fTkVUX0FTU0VUX1JFQ09HLjE5OTUuMDYvMDMvMjAyNi4uLlVTRC5IAQAAAN62AQADAAAAAACGzqnlzXveCD2YETnO</t>
  </si>
  <si>
    <t>e94IP0NJUS5OWVNFOklCTS5JUV9QRU5TSU9OX0VTVF9CRU5FRklUXzRZUi4xOTk1LjA2LzAzLzIwMjYuLi5VU0QuSAEAAADetgEAAwAAAAAAhs6p5c173gg9mBE5znveCEFDSVEuTllTRTpJQk0uSVFfUEVOU0lPTl9DSV9PVEhFUl9NSVNDX0FESi4xOTk1LjA2LzAzLzIwMjYuLi5VU0QuSAEAAADetgEAAwAAAAAAhs6p5c173gg9mBE5znveCDtDSVEuTllTRTpJQk0uSVFfUEVOU0lPTl9FWFBfUkFURV9SRVRVUk5fTUlOLjE5OTUuMDYvMDMvMjAyNgEAAADetgEAAwAAAAAAhs6p5c173ghJvxE5znveCDVDSVEuTllTRTpJQk0uSVFfUEVOU0lPTl9ESVNDX1JBVEVfTUFYLjE5OTUuMDYvMDMvMjAyNgEAAADetgEAAwAAAAAAhs6p5c173ghJvxE5znveCERDSVEuTllTRTpJQk0uSVFfUEVOU0lPTl9PQkxJR0FUSU9OX1BST0pFQ1RFRC4xOTk1LjA2LzAzLzIwMjYuLi5VU0QuSAEAAADetgEAAwAAAAAAhs6p5c173ghJvxE5znveCFJDSVEuTllTRTpJQk0uSVFfUEVOU0lPTl9PQkxJR0FUSU9OX1NVUFBMRV9QTEFOU19UT1RBTF9DT1NULjE5OTUuMDYvMDMvMjAyNi4uLlVTRC5IAQAAAN62AQADAAAAAACGzqnlzXveCEm/ETnOe94IO0NJUS5OWVNFOklCTS5JUV9JTlRFUkNPTVBBTllfTk9OX0NMLjE5OTUuMDYvMDMvMjAyNi4uLlVTRC5IAQAAAN62AQADAAAAAACGzqnlzXveCEm/ETnOe94IT0NJUS5OWVNFOklC</t>
  </si>
  <si>
    <t>TS5JUV9PUEVCX09CTElHQVRJT05fQUNUVUFSSUFMX0dBSU5fTE9TU19ET00uMTk5NS4wNi8wMy8yMDI2Li4uVVNELkgBAAAA3rYBAAMAAAAAAIbOqeXNe94ISb8ROc573gg7Q0lRLk5ZU0U6SUJNLklRX09QRUJfT1RIRVJfQ09TVF9ET00uMTk5NS4wNi8wMy8yMDI2Li4uVVNELkgBAAAA3rYBAAMAAAAAAIbOqeXNe94ISb8ROc573ghGQ0lRLk5ZU0U6SUJNLklRX1BFTlNJT05fUEJPX1JBVEVfQ09NUF9JTkNSRUFTRV9NSU5fRE9NLjE5OTUuMDYvMDMvMjAyNgEAAADetgEAAwAAAAAAhs6p5c173ghJvxE5znveCEBDSVEuTllTRTpJQk0uSVFfUEVOU0lPTl9CUkVBS0RPV05fRklfRE9NLjE5OTUuMDYvMDMvMjAyNi4uLlVTRC5IAQAAAN62AQADAAAAAACGzqnlzXveCEm/ETnOe94IP0NJUS5OWVNFOklCTS5JUV9QRU5TSU9OX0VYUF9SQVRFX1JFVFVSTl9NQVhfRE9NLjE5OTUuMDYvMDMvMjAyNgEAAADetgEAAwAAAAAAhs6p5c173ghJvxE5znveCC9DSVEuTllTRTpJQk0uSVFfT1BFQl9DTC4xOTk1LjA2LzAzLzIwMjYuLi5VU0QuSAEAAADetgEAAwAAAAAAhs6p5c173ghu5hE5znveCD9DSVEuTllTRTpJQk0uSVFfT1BFQl9QUklPUl9TRVJWSUNFX05FWFQuMTk5NS4wNi8wMy8yMDI2Li4uVVNELkgBAAAA3rYBAAMAAAAAAIbOqeXNe94IbuYROc573ggyQ0lRLk5ZU0U6SUJNLklRX09QRUJfRElTQ19SQVRF</t>
  </si>
  <si>
    <t>X01JTi4xOTk1LjA2LzAzLzIwMjYBAAAA3rYBAAMAAAAAAIbOqeXNe94IbuYROc573gg3Q0lRLk5ZU0U6SUJNLklRX09QRUJfVE9UQUxfQ09TVC4xOTk1LjA2LzAzLzIwMjYuLi5VU0QuSAEAAADetgEAAwAAAAAAhs6p5c173ghu5hE5znveCERDSVEuTllTRTpJQk0uSVFfUEVOU0lPTl9DSV9QUklPUl9TRVJWSUNFX0RPTS4xOTk1LjA2LzAzLzIwMjYuLi5VU0QuSAEAAADetgEAAwAAAAAAhs6p5c173ghJvxE5znveCEJDSVEuTllTRTpJQk0uSVFfUEVOU0lPTl9PQkxJR0FUSU9OX1JPQV9ET00uMTk5NS4wNi8wMy8yMDI2Li4uVVNELkgBAAAA3rYBAAMAAAAAAIbOqeXNe94Ihw0SOc573ghNQ0lRLk5ZU0U6SUJNLklRX09QRUJfSU5DUkVBU0VfRUZGRUNUX1NFUlZJQ0VfSU5UX0NPU1QuMTk5NS4wNi8wMy8yMDI2Li4uVVNELkgBAAAA3rYBAAMAAAAAAIbOqeXNe94Ihw0SOc573gg2Q0lRLk5ZU0U6SUJNLklRX09QRUJfT1RIRVJfQURKLjE5OTUuMDYvMDMvMjAyNi4uLlVTRC5IAQAAAN62AQADAAAAAACGzqnlzXveCIcNEjnOe94IPENJUS5OWVNFOklCTS5JUV9PUEVCX0VTVF9CRU5FRklUXzNZUi4xOTk1LjA2LzAzLzIwMjYuLi5VU0QuSAEAAADetgEAAwAAAAAAhs6p5c173giHDRI5znveCD5DSVEuTllTRTpJQk0uSVFfT1BFQl9DSV9PVEhFUl9NSVNDX0FESi4xOTk1LjA2LzAzLzIwMjYuLi5VU0QuSAEA</t>
  </si>
  <si>
    <t>AADetgEAAwAAAAAAhs6p5c173ghu5hE5znveCDVDSVEuTllTRTpJQk0uSVFfT1BFQl9CUkVBS0RPV05fUENUX0VRLjE5OTUuMDYvMDMvMjAyNgEAAADetgEAAwAAAAAAhs6p5c173giHDRI5znveCDxDSVEuTllTRTpJQk0uSVFfT1BFQl9FU1RfQkVORUZJVF8xWVIuMTk5NS4wNi8wMy8yMDI2Li4uVVNELkgBAAAA3rYBAAMAAAAAAIbOqeXNe94Ihw0SOc573ghKQ0lRLk5ZU0U6SUJNLklRX09QRUJfQVNTRVRTX0VNUExPWUVSX0NPTlRSSUJVVElPTlMuMTk5NS4wNi8wMy8yMDI2Li4uVVNELkgBAAAA3rYBAAMAAAAAAIbOqeXNe94Ihw0SOc573gg2Q0lRLk5ZU0U6SUJNLklRX09QRUJfRElTQ19SQVRFX01JTl9ET00uMTk5NS4wNi8wMy8yMDI2AQAAAN62AQADAAAAAACGzqnlzXveCIcNEjnOe94IOENJUS5OWVNFOklCTS5JUV9PUEVCX0JSRUFLRE9XTl9QQ1RfT1RIRVIuMTk5NS4wNi8wMy8yMDI2AQAAAN62AQADAAAAAACGzqnlzXveCIcNEjnOe94IQkNJUS5OWVNFOklCTS5JUV9PUEVCX0FTU0VUU19PVEhFUl9QTEFOX0FESi4xOTk1LjA2LzAzLzIwMjYuLi5VU0QuSAEAAADetgEAAwAAAAAAhs6p5c173gi4NBI5znveCFFDSVEuTllTRTpJQk0uSVFfUEVOU0lPTl9BU1NFVFNfUEFSVElDSVBfQ09OVFJJQlVUSU9OU19ET00uMTk5NS4wNi8wMy8yMDI2Li4uVVNELkgBAAAA3rYBAAMAAAAAAIbOqeXNe94I</t>
  </si>
  <si>
    <t>uDQSOc573gg/Q0lRLk5ZU0U6SUJNLklRX09QRUJfUEJPX1JBVEVfQ09NUF9JTkNSRUFTRV9NSU4uMTk5NS4wNi8wMy8yMDI2AQAAAN62AQADAAAAAACGzqnlzXveCLg0EjnOe94IPUNJUS5OWVNFOklCTS5JUV9PUEVCX0NJX1BSSU9SX1NFUlZJQ0UuMTk5NS4wNi8wMy8yMDI2Li4uVVNELkgBAAAA3rYBAAMAAAAAAIbOqeXNe94IuDQSOc573gg9Q0lRLk5ZU0U6SUJNLklRX1BFTlNJT05fTFRfQVNTRVRTX0RPTS4xOTk1LjA2LzAzLzIwMjYuLi5VU0QuSAEAAADetgEAAwAAAAAAhs6p5c173giHDRI5znveCDdDSVEuTllTRTpJQk0uSVFfT1BFQl9BU1NFVFNfQkVHLjE5OTUuMDYvMDMvMjAyNi4uLlVTRC5IAQAAAN62AQADAAAAAACGzqnlzXveCLg0EjnOe94IRkNJUS5OWVNFOklCTS5JUV9QRU5TSU9OX1VORlVOREVEX0FERExfTUlOX0xJQUIuMTk5NS4wNi8wMy8yMDI2Li4uVVNELkgBAAAA3rYBAAMAAAAAAIbOqeXNe94IuDQSOc573gg8Q0lRLk5ZU0U6SUJNLklRX1BFTlNJT05fSU5UQU5fQVNTRVRTLjE5OTUuMDYvMDMvMjAyNi4uLlVTRC5IAQAAAN62AQADAAAAAACGzqnlzXveCLg0EjnOe94IQENJUS5OWVNFOklCTS5JUV9QRU5TSU9OX0FNVF9SRUNPR19QRVJJT0QuMTk5NS4wNi8wMy8yMDI2Li4uVVNELkgBAAAA3rYBAAMAAAAAAIbOqeXNe94IuDQSOc573gg7Q0lRLk5ZU0U6SUJNLklRX1BFTlNJ</t>
  </si>
  <si>
    <t>T05fQlJFQUtET1dOX1BDVF9PVEhFUi4xOTk1LjA2LzAzLzIwMjYBAAAA3rYBAAMAAAAAAIbOqeXNe94IuDQSOc573gg9Q0lRLk5ZU0U6SUJNLklRX09QRUJfQlJFQUtET1dOX0VRX0RPTS4xOTk1LjA2LzAzLzIwMjYuLi5VU0QuSAEAAADetgEAAwAAAAAAhs6p5c173gi4NBI5znveCDVDSVEuTllTRTpJQk0uSVFfT1BFQl9CUkVBS0RPV05fUENUX0ZJLjE5OTUuMDYvMDMvMjAyNgEAAADetgEAAwAAAAAAhs6p5c173gi4NBI5znveCDdDSVEuTllTRTpJQk0uSVFfT1BFQl9BU1NFVFNfQUNRLjE5OTUuMDYvMDMvMjAyNi4uLlVTRC5IAQAAAN62AQADAAAAAACGzqnlzXveCLg0EjnOe94IS0NJUS5OWVNFOklCTS5JUV9PUEVCX09CTElHQVRJT05fQUNUVUFSSUFMX0dBSU5fTE9TUy4xOTk1LjA2LzAzLzIwMjYuLi5VU0QuSAEAAADetgEAAwAAAAAAhs6p5c173gi4NBI5znveCDlDSVEuTllTRTpJQk0uSVFfT1BFQl9TRVJWSUNFX0NPU1QuMTk5NS4wNi8wMy8yMDI2Li4uVVNELkgBAAAA3rYBAAMAAAAAAIbOqeXNe94IuDQSOc573gg3Q0lRLk5ZU0U6SUJNLklRX09QRUJfQVNTRVRTX0RPTS4xOTk1LjA2LzAzLzIwMjYuLi5VU0QuSAEAAADetgEAAwAAAAAAhs6p5c173gi4NBI5znveCExDSVEuTllTRTpJQk0uSVFfUEVOU0lPTl9PQkxJR0FUSU9OX0lOVEVSRVNUX0NPU1RfRE9NLjE5OTUuMDYvMDMvMjAyNi4u</t>
  </si>
  <si>
    <t>LlVTRC5IAQAAAN62AQADAAAAAACGzqnlzXveCLg0EjnOe94INkNJUS5OWVNFOklCTS5JUV9PUEVCX0xUX0FTU0VUUy4xOTk1LjA2LzAzLzIwMjYuLi5VU0QuSAEAAADetgEAAwAAAAAAhs6p5c173gi4NBI5znveCDlDSVEuTllTRTpJQk0uSVFfT1BFQl9JTlRBTl9BU1NFVFMuMTk5NS4wNi8wMy8yMDI2Li4uVVNELkgBAAAA3rYBAAMAAAAAAIbOqeXNe94IuDQSOc573gg8Q0lRLk5ZU0U6SUJNLklRX09QRUJfVFJBTlNJVElPTl9ORVhULjE5OTUuMDYvMDMvMjAyNi4uLlVTRC5IAQAAAN62AQADAAAAAACGzqnlzXveCLg0EjnOe94IPENJUS5OWVNFOklCTS5JUV9PUEVCX0JSRUFLRE9XTl9PVEhFUi4xOTk1LjA2LzAzLzIwMjYuLi5VU0QuSAEAAADetgEAAwAAAAAAhs6p5c173gitbxI5znveCEFDSVEuTllTRTpJQk0uSVFfT1BFQl9PQkxJR0FUSU9OX1BST0pFQ1RFRC4xOTk1LjA2LzAzLzIwMjYuLi5VU0QuSAEAAADetgEAAwAAAAAAhs6p5c173gitbxI5znveCDlDSVEuTllTRTpJQk0uSVFfUEVOU0lPTl9PVEhFUl9BREouMTk5NS4wNi8wMy8yMDI2Li4uVVNELkgBAAAA3rYBAAMAAAAAAIbOqeXNe94IrW8SOc573gg/Q0lRLk5ZU0U6SUJNLklRX1BFTlNJT05fRVNUX0JFTkVGSVRfM1lSLjE5OTUuMDYvMDMvMjAyNi4uLlVTRC5IAQAAAN62AQADAAAAAACGzqnlzXveCK1vEjnOe94IQkNJUS5OWVNFOklC</t>
  </si>
  <si>
    <t>TS5JUV9QRU5TSU9OX1BCT19SQVRFX0NPTVBfSU5DUkVBU0VfTUFYLjE5OTUuMDYvMDMvMjAyNgEAAADetgEAAwAAAAAAhs6p5c173gi4NBI5znveCD9DSVEuTllTRTpJQk0uSVFfUEVOU0lPTl9CUkVBS0RPV05fT1RIRVIuMTk5NS4wNi8wMy8yMDI2Li4uVVNELkgBAAAA3rYBAAMAAAAAAIbOqeXNe94IrW8SOc573gg1Q0lRLk5ZU0U6SUJNLklRX1BFTlNJT05fRElTQ19SQVRFX01JTi4xOTk1LjA2LzAzLzIwMjYBAAAA3rYBAAMAAAAAAIbOqeXNe94IrW8SOc573ghJQ0lRLk5ZU0U6SUJNLklRX1BFTlNJT05fT0JMSUdBVElPTl9PVEhFUl9QTEFOX0FESi4xOTk1LjA2LzAzLzIwMjYuLi5VU0QuSAEAAADetgEAAwAAAAAAhs6p5c173gitbxI5znveCEVDSVEuTllTRTpJQk0uSVFfUEVOU0lPTl9PQkxJR0FUSU9OX1RPVEFMX0NPU1QuMTk5NS4wNi8wMy8yMDI2Li4uVVNELkgBAAAA3rYBAAMAAAAAAIbOqeXNe94IrW8SOc573gg9Q0lRLk5ZU0U6SUJNLklRX1BFTlNJT05fSU5URVJFU1RfQ09TVC4xOTk1LjA2LzAzLzIwMjYuLi5VU0QuSAEAAADetgEAAwAAAAAAhs6p5c173gitbxI5znveCDxDSVEuTllTRTpJQk0uSVFfT1BFQl9FU1RfQkVORUZJVF81WVIuMTk5NS4wNi8wMy8yMDI2Li4uVVNELkgBAAAA3rYBAAMAAAAAAIbOqeXNe94ILZcSOc573ggzQ0lRLk5ZU0U6SUJNLklRX09QRUJfQVNTRVRTLjE5</t>
  </si>
  <si>
    <t>OTUuMDYvMDMvMjAyNi4uLlVTRC5IAQAAAN62AQADAAAAAACGzqnlzXveCC2XEjnOe94IN0NJUS5OWVNFOklCTS5JUV9PUEVCX09USEVSX0NPU1QuMTk5NS4wNi8wMy8yMDI2Li4uVVNELkgBAAAA3rYBAAMAAAAAAIbOqeXNe94IrW8SOc573ghIQ0lRLk5ZU0U6SUJNLklRX09QRUJfT0JMSUdBVElPTl9TRVJWSUNFX0NPU1RfRE9NLjE5OTUuMDYvMDMvMjAyNi4uLlVTRC5IAQAAAN62AQADAAAAAACGzqnlzXveCK1vEjnOe94IPUNJUS5OWVNFOklCTS5JUV9PUEVCX1NFUlZJQ0VfQ09TVF9ET00uMTk5NS4wNi8wMy8yMDI2Li4uVVNELkgBAAAA3rYBAAMAAAAAAIbOqeXNe94IrW8SOc573ghSQ0lRLk5ZU0U6SUJNLklRX1BFTlNJT05fT0JMSUdBVElPTl9BQ1RVQVJJQUxfR0FJTl9MT1NTX0RPTS4xOTk1LjA2LzAzLzIwMjYuLi5VU0QuSAEAAADetgEAAwAAAAAAhs6p5c173ggtlxI5znveCDhDSVEuTllTRTpJQk0uSVFfT1BFQl9FWFBfUkFURV9SRVRVUk5fTUFYLjE5OTUuMDYvMDMvMjAyNgEAAADetgEAAwAAAAAAhs6p5c173ggtlxI5znveCEVDSVEuTllTRTpJQk0uSVFfT1BFQl9PQkxJR0FUSU9OX0lOVEVSRVNUX0NPU1QuMTk5NS4wNi8wMy8yMDI2Li4uVVNELkgBAAAA3rYBAAMAAAAAAIbOqeXNe94ILZcSOc573ghMQ0lRLk5ZU0U6SUJNLklRX1BFTlNJT05fUVVBUlRfRU1QTE9ZRVJfQ09OVFJJQlVU</t>
  </si>
  <si>
    <t>SU9OUy4xOTk1LjA2LzAzLzIwMjYuLi5VU0QuSAEAAADetgEAAwAAAAAAhs6p5c173ggtlxI5znveCDxDSVEuTllTRTpJQk0uSVFfT1BFQl9CUkVBS0RPV05fUENUX09USEVSX0RPTS4xOTk1LjA2LzAzLzIwMjYBAAAA3rYBAAMAAAAAAIbOqeXNe94ILZcSOc573gg9Q0lRLk5ZU0U6SUJNLklRX1BFTlNJT05fT1RIRVJfQURKX0RPTS4xOTk1LjA2LzAzLzIwMjYuLi5VU0QuSAEAAADetgEAAwAAAAAAhs6p5c173ggtlxI5znveCDpDSVEuTllTRTpJQk0uSVFfUEVOU0lPTl9BU1NFVFNfRE9NLjE5OTUuMDYvMDMvMjAyNi4uLlVTRC5IAQAAAN62AQADAAAAAACGzqnlzXveCC2XEjnOe94IPkNJUS5OWVNFOklCTS5JUV9QRU5TSU9OX0FTU0VUU19CRUdfRE9NLjE5OTUuMDYvMDMvMjAyNi4uLlVTRC5IAQAAAN62AQADAAAAAACGzqnlzXveCC2XEjnOe94IRENJUS5OWVNFOklCTS5JUV9QRU5TSU9OX1BCT19BU1NVTUVEX1JBVEVfUkVUX01JTl9ET00uMTk5NS4wNi8wMy8yMDI2AQAAAN62AQADAAAAAACGzqnlzXveCC2XEjnOe94IQ0NJUS5OWVNFOklCTS5JUV9QRU5TSU9OX0JSRUFLRE9XTl9PVEhFUl9ET00uMTk5NS4wNi8wMy8yMDI2Li4uVVNELkgBAAAA3rYBAAMAAAAAAIbOqeXNe94ILZcSOc573ghbQ0lRLk5ZU0U6SUJNLklRX1BFTlNJT05fT0JMSUdBVElPTl9UT1RBTF9DT1NUX0lOQ0xfU1VQUExFX1BM</t>
  </si>
  <si>
    <t>QU5TX0RPTS4xOTk1LjA2LzAzLzIwMjYuLi5VU0QuSAEAAADetgEAAwAAAAAAhs6p5c173ggtlxI5znveCD5DSVEuTllTRTpJQk0uSVFfT1BFQl9IRUFMVEhfQ09TVF9UUkVORF9JTklUSUFMLjE5OTUuMDYvMDMvMjAyNgEAAADetgEAAwAAAAAAhs6p5c173ggtlxI5znveCD1DSVEuTllTRTpJQk0uSVFfT1BFQl9QQk9fQVNTVU1FRF9SQVRFX1JFVF9NQVguMTk5NS4wNi8wMy8yMDI2AQAAAN62AQADAAAAAACGzqnlzXveCC2XEjnOe94IO0NJUS5OWVNFOklCTS5JUV9PUEVCX0FTU0VUU19BQ1FfRE9NLjE5OTUuMDYvMDMvMjAyNi4uLlVTRC5IAQAAAN62AQADAAAAAACGzqnlzXveCC2XEjnOe94IS0NJUS5OWVNFOklCTS5JUV9QRU5TSU9OX09CTElHQVRJT05fU0VSVklDRV9DT1NUX0RPTS4xOTk1LjA2LzAzLzIwMjYuLi5VU0QuSAEAAADetgEAAwAAAAAAhs6p5c173ggtlxI5znveCDNDSVEuTllTRTpJQk0uSVFfT1BFQl9DSV9BQ1QuMTk5NS4wNi8wMy8yMDI2Li4uVVNELkgBAAAA3rYBAAMAAAAAAIbOqeXNe94IadcSOc573gg7Q0lRLk5ZU0U6SUJNLklRX09QRUJfUkFURV9DT01QX0lOQ1JFQVNFX01BWC4xOTk1LjA2LzAzLzIwMjYBAAAA3rYBAAMAAAAAAIbOqeXNe94ILZcSOc573ghDQ0lRLk5ZU0U6SUJNLklRX09QRUJfT0JMSUdBVElPTl9BQ0NVTVVMQVRFRC4xOTk1LjA2LzAzLzIwMjYuLi5VU0Qu</t>
  </si>
  <si>
    <t>SAEAAADetgEAAwAAAAAAhs6p5c173ggtlxI5znveCDtDSVEuTllTRTpJQk0uSVFfT1BFQl9PQkxJR0FUSU9OX0JFRy4xOTk1LjA2LzAzLzIwMjYuLi5VU0QuSAEAAADetgEAAwAAAAAAhs6p5c173ggtlxI5znveCEJDSVEuTllTRTpJQk0uSVFfUEVOU0lPTl9SQVRFX0NPTVBfSU5DUkVBU0VfTUFYX0RPTS4xOTk1LjA2LzAzLzIwMjYBAAAA3rYBAAMAAAAAAIbOqeXNe94ILZcSOc573gg7Q0lRLk5ZU0U6SUJNLklRX09QRUJfQU1UX1JFQ09HX05FWFQuMTk5NS4wNi8wMy8yMDI2Li4uVVNELkgBAAAA3rYBAAMAAAAAAIbOqeXNe94IadcSOc573gg6Q0lRLk5ZU0U6SUJNLklRX09QRUJfQVNTRVRTX0ZYX0FESi4xOTk1LjA2LzAzLzIwMjYuLi5VU0QuSAEAAADetgEAAwAAAAAAhs6p5c173ghp1xI5znveCDlDSVEuTllTRTpJQk0uSVFfUEVOU0lPTl9CRU5FRklUX0lORk9fREFURS4xOTk1LjA2LzAzLzIwMjYBAAAA3rYBAAMAAAAAAIbOqeXNe94IadcSOc573ghMQ0lRLk5ZU0U6SUJNLklRX1BFTlNJT05fUVVBUlRfQURETF9DT05UUklCVVRJT05TX0VYUC4xOTk1LjA2LzAzLzIwMjYuLi5VU0QuSAEAAADetgEAAwAAAAAAhs6p5c173ghp1xI5znveCDxDSVEuTllTRTpJQk0uSVFfUEVOU0lPTl9BQ0NSVUVEX0xJQUIuMTk5NS4wNi8wMy8yMDI2Li4uVVNELkgBAAAA3rYBAAMAAAAAAIbOqeXNe94IadcSOc57</t>
  </si>
  <si>
    <t>3gg/Q0lRLk5ZU0U6SUJNLklRX1BFTlNJT05fRVNUX0JFTkVGSVRfNVlSLjE5OTUuMDYvMDMvMjAyNi4uLlVTRC5IAQAAAN62AQADAAAAAACGzqnlzXveCGnXEjnOe94IQENJUS5OWVNFOklCTS5JUV9QRU5TSU9OX0NJX05FVF9BTVRfUkVDT0cuMTk5NS4wNi8wMy8yMDI2Li4uVVNELkgBAAAA3rYBAAMAAAAAAIbOqeXNe94IadcSOc573gg7Q0lRLk5ZU0U6SUJNLklRX1BFTlNJT05fRVhQX1JBVEVfUkVUVVJOX01BWC4xOTk1LjA2LzAzLzIwMjYBAAAA3rYBAAMAAAAAAIbOqeXNe94IadcSOc573ghNQ0lRLk5ZU0U6SUJNLklRX1BFTlNJT05fQVNTRVRTX0VNUExPWUVSX0NPTlRSSUJVVElPTlMuMTk5NS4wNi8wMy8yMDI2Li4uVVNELkgBAAAA3rYBAAMAAAAAAIbOqeXNe94IadcSOc573ghHQ0lRLk5ZU0U6SUJNLklRX1BFTlNJT05fT0JMSUdBVElPTl9TRVJWSUNFX0NPU1QuMTk5NS4wNi8wMy8yMDI2Li4uVVNELkgBAAAA3rYBAAMAAAAAAIbOqeXNe94I1v4SOc573ghHQ0lRLk5ZU0U6SUJNLklRX1BFTlNJT05fQ09OVFJJQlVUSU9OX1RPVEFMX0NPU1QuMTk5NS4wNi8wMy8yMDI2Li4uVVNELkgBAAAA3rYBAAMAAAAAAIbOqeXNe94I1v4SOc573gg6Q0lRLk5ZU0U6SUJNLklRX0dST1NTX0lOVEFOX0FTU0VUUy4xOTk1LjA2LzAzLzIwMjYuLi5VU0QuSAEAAADetgEAAgAAAAUxODA1NQEIAAAABQAAAAEx</t>
  </si>
  <si>
    <t>AQAAAAstMTkyMDg0Njk1MAMAAAADMTYwAgAAAAUyNDI5MwQAAAABMAcAAAAIMy82LzIwMjYIAAAACTkvMzAvMjAyNAkAAAABMIbOqeXNe94IadcSOc573ghRQ0lRLk5ZU0U6SUJNLklRX1BFTlNJT05fQVNTRVRTX0VNUExPWUVSX0NPTlRSSUJVVElPTlNfRE9NLjE5OTUuMDYvMDMvMjAyNi4uLlVTRC5IAQAAAN62AQADAAAAAACGzqnlzXveCGnXEjnOe94IOUNJUS5OWVNFOklCTS5JUV9PUEVCX0FDQ1JVRURfTElBQi4xOTk1LjA2LzAzLzIwMjYuLi5VU0QuSAEAAADetgEAAwAAAAAAhs6p5c173gjW/hI5znveCDJDSVEuTllTRTpJQk0uSVFfT1BFQl9ESVNDX1JBVEVfTUFYLjE5OTUuMDYvMDMvMjAyNgEAAADetgEAAwAAAAAAhs6p5c173gjW/hI5znveCE9DSVEuTllTRTpJQk0uSVFfUEVOU0lPTl9BQ0NVTVVMQVRFRF9PQkxJR0FUSU9OX0RPTUVTVElDLjE5OTUuMDYvMDMvMjAyNi4uLlVTRC5IAQAAAN62AQADAAAAAACGzqnlzXveCNb+EjnOe94IRkNJUS5OWVNFOklCTS5JUV9QRU5TSU9OX09CTElHQVRJT05fQ1VSVEFJTF9ET00uMTk5NS4wNi8wMy8yMDI2Li4uVVNELkgBAAAA3rYBAAMAAAAAAIbOqeXNe94I1v4SOc573ghVQ0lRLk5ZU0U6SUJNLklRX1BFTlNJT05fT0JMSUdBVElPTl9FTVBMT1lFRV9DT05UUklCVVRJT05TX0RPTS4xOTk1LjA2LzAzLzIwMjYuLi5VU0QuSAEAAADetgEAAwAAAAAA</t>
  </si>
  <si>
    <t>hs6p5c173gjW/hI5znveCDpDSVEuTllTRTpJQk0uSVFfT1BFQl9VTlJFQ09HX1BSSU9SLjE5OTUuMDYvMDMvMjAyNi4uLlVTRC5IAQAAAN62AQADAAAAAACGzqnlzXveCNb+EjnOe94IP0NJUS5OWVNFOklCTS5JUV9PUEVCX0VTVF9CRU5FRklUX0FGVEVSNS4xOTk1LjA2LzAzLzIwMjYuLi5VU0QuSAEAAADetgEAAwAAAAAAhs6p5c173gjW/hI5znveCDxDSVEuTllTRTpJQk0uSVFfT1BFQl9FU1RfQkVORUZJVF80WVIuMTk5NS4wNi8wMy8yMDI2Li4uVVNELkgBAAAA3rYBAAMAAAAAAFvjqeXNe94I1v4SOc573gg5Q0lRLk5ZU0U6SUJNLklRX09QRUJfQlJFQUtET1dOX1JFLjE5OTUuMDYvMDMvMjAyNi4uLlVTRC5IAQAAAN62AQADAAAAAABb46nlzXveCNb+EjnOe94IRkNJUS5OWVNFOklCTS5JUV9PUEVCX09CTElHQVRJT05fT1RIRVJfUExBTl9BREouMTk5NS4wNi8wMy8yMDI2Li4uVVNELkgBAAAA3rYBAAMAAAAAAFvjqeXNe94I1v4SOc573ghEQ0lRLk5ZU0U6SUJNLklRX09QRUJfU1VQUExFX1BMQU5TX1RPVEFMX0NPU1QuMTk5NS4wNi8wMy8yMDI2Li4uVVNELkgBAAAA3rYBAAMAAAAAAFvjqeXNe94I8iUTOc573ggyQ0lRLk5ZU0U6SUJNLklRX1BFTlNJT05fQ0wuMTk5NS4wNi8wMy8yMDI2Li4uVVNELkgBAAAA3rYBAAMAAAAAAFvjqeXNe94I8iUTOc573ghCQ0lRLk5ZU0U6SUJNLklRX1BFTlNJ</t>
  </si>
  <si>
    <t>T05fUEJPX1JBVEVfQ09NUF9JTkNSRUFTRV9NSU4uMTk5NS4wNi8wMy8yMDI2AQAAAN62AQADAAAAAABb46nlzXveCPIlEznOe94IPENJUS5OWVNFOklCTS5JUV9QRU5TSU9OX0JSRUFLRE9XTl9SRS4xOTk1LjA2LzAzLzIwMjYuLi5VU0QuSAEAAADetgEAAwAAAAAAW+Op5c173gjyJRM5znveCDlDSVEuTllTRTpJQk0uSVFfT1BFQl9BQ1RfTkVYVF9ET00uMTk5NS4wNi8wMy8yMDI2Li4uVVNELkgBAAAA3rYBAAMAAAAAAFvjqeXNe94I1v4SOc573gg5Q0lRLk5ZU0U6SUJNLklRX1BFTlNJT05fRElTQ19SQVRFX01JTl9ET00uMTk5NS4wNi8wMy8yMDI2AQAAAN62AQADAAAAAABb46nlzXveCPIlEznOe94IQUNJUS5OWVNFOklCTS5JUV9QRU5TSU9OX0FTU0VUU19GWF9BREpfRE9NLjE5OTUuMDYvMDMvMjAyNi4uLlVTRC5IAQAAAN62AQADAAAAAABb46nlzXveCPIlEznOe94IQUNJUS5OWVNFOklCTS5JUV9QRU5TSU9OX0lOVEVSRVNUX0NPU1RfRE9NLjE5OTUuMDYvMDMvMjAyNi4uLlVTRC5IAQAAAN62AQADAAAAAABb46nlzXveCPIlEznOe94IPENJUS5OWVNFOklCTS5JUV9PUEVCX05FVF9BU1NFVF9SRUNPRy4xOTk1LjA2LzAzLzIwMjYuLi5VU0QuSAEAAADetgEAAwAAAAAAW+Op5c173gjyJRM5znveCD1DSVEuTllTRTpJQk0uSVFfT1BFQl9DSV9ORVRfQU1UX1JFQ09HLjE5OTUuMDYvMDMvMjAyNi4u</t>
  </si>
  <si>
    <t>LlVTRC5IAQAAAN62AQADAAAAAABb46nlzXveCPIlEznOe94IOENJUS5OWVNFOklCTS5JUV9PUEVCX0VYUF9SQVRFX1JFVFVSTl9NSU4uMTk5NS4wNi8wMy8yMDI2AQAAAN62AQADAAAAAABb46nlzXveCPJMEznOe94ISkNJUS5OWVNFOklCTS5JUV9PUEVCX0FTU0VUU19QQVJUSUNJUF9DT05UUklCVVRJT05TLjE5OTUuMDYvMDMvMjAyNi4uLlVTRC5IAQAAAN62AQADAAAAAABb46nlzXveCPJMEznOe94ISENJUS5OWVNFOklCTS5JUV9PUEVCX1NVUFBMRV9QTEFOU19UT1RBTF9DT1NUX0RPTS4xOTk1LjA2LzAzLzIwMjYuLi5VU0QuSAEAAADetgEAAwAAAAAAW+Op5c173gjyJRM5znveCEBDSVEuTllTRTpJQk0uSVFfT1BFQl9ERUNSRUFTRV9FRkZFQ1RfUEJPLjE5OTUuMDYvMDMvMjAyNi4uLlVTRC5IAQAAAN62AQADAAAAAABb46nlzXveCPIlEznOe94IQENJUS5OWVNFOklCTS5JUV9PUEVCX0lOQ1JFQVNFX0VGRkVDVF9QQk8uMTk5NS4wNi8wMy8yMDI2Li4uVVNELkgBAAAA3rYBAAMAAAAAAFvjqeXNe94I8kwTOc573gg8Q0lRLk5ZU0U6SUJNLklRX09QRUJfRVNUX0JFTkVGSVRfMllSLjE5OTUuMDYvMDMvMjAyNi4uLlVTRC5IAQAAAN62AQADAAAAAABb46nlzXveCPJMEznOe94IRENJUS5OWVNFOklCTS5JUV9PUEVCX09CTElHQVRJT05fU0VSVklDRV9DT1NULjE5OTUuMDYvMDMvMjAyNi4uLlVTRC5I</t>
  </si>
  <si>
    <t>AQAAAN62AQADAAAAAABb46nlzXveCPJMEznOe94ISENJUS5OWVNFOklCTS5JUV9QRU5TSU9OX0VTVF9DT05UUklCVVRJT05TX05FWFRZUi4xOTk1LjA2LzAzLzIwMjYuLi5VU0QuSAEAAADetgEAAwAAAAAAW+Op5c173gjyTBM5znveCEJDSVEuTllTRTpJQk0uSVFfUEVOU0lPTl9FU1RfQkVORUZJVF9BRlRFUjUuMTk5NS4wNi8wMy8yMDI2Li4uVVNELkgBAAAA3rYBAAMAAAAAAFvjqeXNe94I8kwTOc573ghKQ0lRLk5ZU0U6SUJNLklRX1BFTlNJT05fVU5GVU5ERURfQURETF9NSU5fTElBQl9ET00uMTk5NS4wNi8wMy8yMDI2Li4uVVNELkgBAAAA3rYBAAMAAAAAAFvjqeXNe94IH3QTOc573gg7Q0lRLk5ZU0U6SUJNLklRX09QRUJfT0JMSUdBVElPTl9BQ1EuMTk5NS4wNi8wMy8yMDI2Li4uVVNELkgBAAAA3rYBAAMAAAAAAFvjqeXNe94I8kwTOc573ghGQ0lRLk5ZU0U6SUJNLklRX1BFTlNJT05fUEJPX1JBVEVfQ09NUF9JTkNSRUFTRV9NQVhfRE9NLjE5OTUuMDYvMDMvMjAyNgEAAADetgEAAwAAAAAAW+Op5c173gjyTBM5znveCEJDSVEuTllTRTpJQk0uSVFfUEVOU0lPTl9SQVRFX0NPTVBfSU5DUkVBU0VfTUlOX0RPTS4xOTk1LjA2LzAzLzIwMjYBAAAA3rYBAAMAAAAAAFvjqeXNe94I8kwTOc573gg/Q0lRLk5ZU0U6SUJNLklRX09QRUJfUEJPX1JBVEVfQ09NUF9JTkNSRUFTRV9NQVguMTk5NS4wNi8w</t>
  </si>
  <si>
    <t>My8yMDI2AQAAAN62AQADAAAAAABb46nlzXveCPJMEznOe94IOkNJUS5OWVNFOklCTS5JUV9PUEVCX0NJX1RSQU5TSVRJT04uMTk5NS4wNi8wMy8yMDI2Li4uVVNELkgBAAAA3rYBAAMAAAAAAFvjqeXNe94IH3QTOc573gg7Q0lRLk5ZU0U6SUJNLklRX09QRUJfUkFURV9DT01QX0lOQ1JFQVNFX01JTi4xOTk1LjA2LzAzLzIwMjYBAAAA3rYBAAMAAAAAAFvjqeXNe94IH3QTOc573ghBQ0lRLk5ZU0U6SUJNLklRX09QRUJfQVNTRVRTX0FDVFVBTF9SRVRVUk4uMTk5NS4wNi8wMy8yMDI2Li4uVVNELkgBAAAA3rYBAAMAAAAAAFvjqeXNe94IH3QTOc573gg3Q0lRLk5ZU0U6SUJNLklRX1BFTlNJT05fTFRfTElBQi4xOTk1LjA2LzAzLzIwMjYuLi5VU0QuSAEAAADetgEAAwAAAAAAW+Op5c173ggfdBM5znveCD5DSVEuTllTRTpJQk0uSVFfUEVOU0lPTl9BQ0NVTV9PVEhFUl9DSS4xOTk1LjA2LzAzLzIwMjYuLi5VU0QuSAEAAADetgEAAwAAAAAAW+Op5c173ggfdBM5znveCDVDSVEuTllTRTpJQk0uSVFfT1BFQl9CUkVBS0RPV05fUENUX1JFLjE5OTUuMDYvMDMvMjAyNgEAAADetgEAAwAAAAAAW+Op5c173ggfdBM5znveCDdDSVEuTllTRTpJQk0uSVFfUE9TVF9SRVRJUkVfRVhQLjE5OTUuMDYvMDMvMjAyNi4uLlVTRC5IAQAAAN62AQADAAAAAABb46nlzXveCB90EznOe94IOkNJUS5OWVNFOklCTS5JUV9PUEVC</t>
  </si>
  <si>
    <t>X0lOVEVSRVNUX0NPU1QuMTk5NS4wNi8wMy8yMDI2Li4uVVNELkgBAAAA3rYBAAMAAAAAAFvjqeXNe94IH3QTOc573gg4Q0lRLk5ZU0U6SUJNLklRX1BFTlNJT05fQlJFQUtET1dOX1BDVF9FUS4xOTk1LjA2LzAzLzIwMjYBAAAA3rYBAAMAAAAAAFvjqeXNe94IH3QTOc573ggsQ0lRLk5ZU0U6SUJNLklRX0FVRElUT1JfTkFNRS4xOTk1LjA2LzAzLzIwMjYBAAAA3rYBAAMAAAAAAFvjqeXNe94IH3QTOc573ggxQ0lRLk5ZU0U6SUJNLklRX0lOVEFOX05FVC4xOTk1LjA2LzAzLzIwMjYuLi5VU0QuSAEAAADetgEAAgAAAAUxMTA5MAEIAAAABQAAAAExAQAAAAstMTkyMDg0Njk1MAMAAAADMTYwAgAAAAU0ODk2MgQAAAABMAcAAAAIMy82LzIwMjYIAAAACTkvMzAvMjAyNAkAAAABMFvjqeXNe94IMZsTOc573gg5Q0lRLk5ZU0U6SUJNLklRX0ZJTl9ESVZfU1RfSU5WRVNULjE5OTUuMDYvMDMvMjAyNi4uLlVTRC5IAQAAAN62AQADAAAAAABb46nlzXveCDGbEznOe94IQkNJUS5OWVNFOklCTS5JUV9QRU5TSU9OX1BSSU9SX1NFUlZJQ0VfTkVYVC4xOTk1LjA2LzAzLzIwMjYuLi5VU0QuSAEAAADetgEAAwAAAAAAW+Op5c173ggxmxM5znveCDtDSVEuTllTRTpJQk0uSVFfSU5URVJDT01QQU5ZX05PTl9DQS4xOTk1LjA2LzAzLzIwMjYuLi5VU0QuSAEAAADetgEAAwAAAAAAW+Op5c173ggfdBM5znveCDRDSVEuTllT</t>
  </si>
  <si>
    <t>RTpJQk0uSVFfR1dfSU5UQU5fTkVULjE5OTUuMDYvMDMvMjAyNi4uLlVTRC5IAQAAAN62AQADAAAAAABb46nlzXveCDGbEznOe94IPENJUS5OWVNFOklCTS5JUV9ERVJJVkFUSVZFX0FTU0VUU19MVC4xOTk1LjA2LzAzLzIwMjYuLi5VU0QuSAEAAADetgEAAgAAAAI0MQEIAAAABQAAAAExAQAAAAstMTkyMDg0Njk1MAMAAAADMTYwAgAAAAQxMTEwBAAAAAEwBwAAAAgzLzYvMjAyNggAAAAJOS8zMC8yMDI0CQAAAAEwW+Op5c173ggxmxM5znveCD9DSVEuTllTRTpJQk0uSVFfUEVOU0lPTl9FU1RfQkVORUZJVF8xWVIuMTk5NS4wNi8wMy8yMDI2Li4uVVNELkgBAAAA3rYBAAMAAAAAAFvjqeXNe94IMZsTOc573ghDQ0lRLk5ZU0U6SUJNLklRX1JFU1RSSUNURURfQ0FTSF9OT05fQ1VSUkVOVC4xOTk1LjA2LzAzLzIwMjYuLi5VU0QuSAEAAADetgEAAwAAAAAAW+Op5c173ggxmxM5znveCC9DSVEuTllTRTpJQk0uSVFfVE9UQUxfRU1QTE9ZRUVTLjE5OTUuMDYvMDMvMjAyNgEAAADetgEAAwAAAAAAW+Op5c173ggxmxM5znveCDZDSVEuTllTRTpJQk0uSVFfQVNTRVRTX0xFVkVMXzEuMTk5NS4wNi8wMy8yMDI2Li4uVVNELkgBAAAA3rYBAAIAAAADNDMyAFvjqeXNe94IMZsTOc573gg9Q0lRLk5ZU0U6SUJNLklRX0xFQVNFSE9MRF9JTVBST1ZFTUVOVC4xOTk1LjA2LzAzLzIwMjYuLi5VU0QuSAEAAADetgEAAwAA</t>
  </si>
  <si>
    <t>AAAAW+Op5c173ggxmxM5znveCDNDSVEuTllTRTpJQk0uSVFfQVJfVU5CSUxMRUQuMTk5NS4wNi8wMy8yMDI2Li4uVVNELkgBAAAA3rYBAAIAAAADNTcyAQgAAAAFAAAAATEBAAAACy0xOTIwODQ2OTUwAwAAAAMxNjACAAAABTQ1NDIwBAAAAAEwBwAAAAgzLzYvMjAyNggAAAAJOS8zMC8yMDI0CQAAAAEwW+Op5c173ggxmxM5znveCDdDSVEuTllTRTpJQk0uSVFfTkVUX1dPUktJTkdfQ0FQLjE5OTUuMDYvMDMvMjAyNi4uLlVTRC5IAQAAAN62AQACAAAABS03NjIzAQgAAAAFAAAAATEBAAAACy0xOTIwODQ2OTUwAwAAAAMxNjACAAAABDEzMTEEAAAAATAHAAAACDMvNi8yMDI2CAAAAAk5LzMwLzIwMjQJAAAAATBb46nlzXveCDGbEznOe94IOUNJUS5OWVNFOklCTS5JUV9CVl9TSEFSRV9SRVBPUlRFRC4xOTk1LjA2LzAzLzIwMjYuLi5VU0QuSAEAAADetgEAAwAAAAAAW+Op5c173ggxmxM5znveCE5DSVEuTllTRTpJQk0uSVFfQ1VSUkVOVF9QT1JUSU9OX09QRVJfTEVBU0VfTElBQklMSVRJRVMuMTk5NS4wNi8wMy8yMDI2Li4uVVNELkgBAAAA3rYBAAIAAAADNzkwAQgAAAAFAAAAATEBAAAACy0xOTIwODQ2OTUwAwAAAAMxNjACAAAABTQ4Mzg1BAAAAAEwBwAAAAgzLzYvMjAyNggAAAAJOS8zMC8yMDI0CQAAAAEwW+Op5c173ghRwhM5znveCC9DSVEuTllTRTpJQk0uSVFfUlVBX05FVC4xOTk1LjA2LzAzLzIw</t>
  </si>
  <si>
    <t>MjYuLi5VU0QuSAEAAADetgEAAwAAAAAAW+Op5c173ghRwhM5znveCDJDSVEuTllTRTpJQk0uSVFfUFJFRl9PVEhFUi4xOTk1LjA2LzAzLzIwMjYuLi5VU0QuSAEAAADetgEAAwAAAAAAW+Op5c173ghRwhM5znveCDNDSVEuTllTRTpJQk0uSVFfUFJFRl9SRURFRU0uMTk5NS4wNi8wMy8yMDI2Li4uVVNELkgBAAAA3rYBAAMAAAAAAFvjqeXNe94IUcITOc573gg6Q0lRLk5ZU0U6SUJNLklRX1VORUFSTl9SRVZfQ1VSUkVOVC4xOTk1LjA2LzAzLzIwMjYuLi5VU0QuSAEAAADetgEAAgAAAAUxMjg4MgEIAAAABQAAAAExAQAAAAstMTkyMDg0Njk1MAMAAAADMTYwAgAAAAQxMDc0BAAAAAEwBwAAAAgzLzYvMjAyNggAAAAJOS8zMC8yMDI0CQAAAAEwW+Op5c173ghRwhM5znveCDdDSVEuTllTRTpJQk0uSVFfTE9BTlNfUkVDRUlWX0xULjE5OTUuMDYvMDMvMjAyNi4uLlVTRC5IAQAAAN62AQACAAAAAzEwMAEIAAAABQAAAAExAQAAAAstMTkyMDg0Njk1MAMAAAADMTYwAgAAAAQxMDUwBAAAAAEwBwAAAAgzLzYvMjAyNggAAAAJOS8zMC8yMDI0CQAAAAEwW+Op5c173ghRwhM5znveCDlDSVEuTllTRTpJQk0uSVFfUEVOU0lPTl9MVF9BU1NFVFMuMTk5NS4wNi8wMy8yMDI2Li4uVVNELkgBAAAA3rYBAAMAAAAAAFvjqeXNe94IUcITOc573gg2Q0lRLk5ZU0U6SUJNLklRX1BFTlNJT05fQVNTRVRTLjE5OTUuMDYvMDMv</t>
  </si>
  <si>
    <t>MjAyNi4uLlVTRC5IAQAAAN62AQADAAAAAABb46nlzXveCFHCEznOe94IQUNJUS5OWVNFOklCTS5JUV9ERVJJVkFUSVZFX1RSQURJTkdfQVNTRVRTLjE5OTUuMDYvMDMvMjAyNi4uLlVTRC5IAQAAAN62AQADAAAAAABb46nlzXveCFHCEznOe94INUNJUS5OWVNFOklCTS5JUV9PUkRFUl9CQUNLTE9HLjE5OTUuMDYvMDMvMjAyNi4uLlVTRC5IAQAAAN62AQADAAAAAABb46nlzXveCFHCEznOe94IQENJUS5OWVNFOklCTS5JUV9QRU5TSU9OX1BCT19BU1NVTUVEX1JBVEVfUkVUX01JTi4xOTk1LjA2LzAzLzIwMjYBAAAA3rYBAAMAAAAAAFvjqeXNe94IUcITOc573ghAQ0lRLk5ZU0U6SUJNLklRX1BFTlNJT05fQ0lfUFJJT1JfU0VSVklDRS4xOTk1LjA2LzAzLzIwMjYuLi5VU0QuSAEAAADetgEAAwAAAAAAW+Op5c173ghRwhM5znveCD5DSVEuTllTRTpJQk0uSVFfUEVOU0lPTl9SQVRFX0NPTVBfSU5DUkVBU0VfTUlOLjE5OTUuMDYvMDMvMjAyNgEAAADetgEAAwAAAAAAW+Op5c173ghRwhM5znveCC5DSVEuTllTRTpJQk0uSVFfUkVTVEFURU1FTlRfQlMuMTk5NS4wNi8wMy8yMDI2AQAAAN62AQADAAAAAk5DAFvjqeXNe94IUcITOc573gg/Q0lRLk5ZU0U6SUJNLklRX0RFUklWQVRJVkVfTElBQl9DVVJSRU5ULjE5OTUuMDYvMDMvMjAyNi4uLlVTRC5IAQAAAN62AQACAAAAAzI0OAEIAAAABQAAAAExAQAAAAst</t>
  </si>
  <si>
    <t>MTkyMDg0Njk1MAMAAAADMTYwAgAAAAU0MDQxNwQAAAABMAcAAAAIMy82LzIwMjYIAAAACTkvMzAvMjAyNAkAAAABMFvjqeXNe94IUcITOc573gg6Q0lRLk5ZU0U6SUJNLklRX0ZJTl9ESVZfREVCVF9UT1RBTC4xOTk1LjA2LzAzLzIwMjYuLi5VU0QuSAEAAADetgEAAgAAAAUxMDM1NQEIAAAABQAAAAExAQAAAAstMTkyMDg0Njk1MAMAAAADMTYwAgAAAAUyNDUxNgQAAAABMAcAAAAIMy82LzIwMjYIAAAACTkvMzAvMjAyNAkAAAABMFvjqeXNe94IUcITOc573gg7Q0lRLk5ZU0U6SUJNLklRX0xJQUJJTElUSUVTX0xFVkVMXzMuMTk5NS4wNi8wMy8yMDI2Li4uVVNELkgBAAAA3rYBAAMAAAAAAFvjqeXNe94IUcITOc573ghDQ0lRLk5ZU0U6SUJNLklRX0dFTkVSQUxfUEFSVE5FUl9QUkVGX0VRVUlUWS4xOTk1LjA2LzAzLzIwMjYuLi5VU0QuSAEAAADetgEAAwAAAAAAW+Op5c173ghRwhM5znveCEFDSVEuTllTRTpJQk0uSVFfRklOX0RJVl9NSU5PUklUWV9JTlRFUkVTVC4xOTk1LjA2LzAzLzIwMjYuLi5VU0QuSAEAAADetgEAAwAAAAAAW+Op5c173ghRwhM5znveCC9DSVEuTllTRTpJQk0uSVFfV0lQX0lOVi4xOTk1LjA2LzAzLzIwMjYuLi5VU0QuSAEAAADetgEAAgAAAAQxMTk5AQgAAAAFAAAAATEBAAAACy0xOTIwODQ2OTUwAwAAAAMxNjACAAAABDMyMTkEAAAAATAHAAAACDMvNi8yMDI2CAAAAAk5LzMw</t>
  </si>
  <si>
    <t>LzIwMjQJAAAAATBb46nlzXveCFHCEznOe94IOkNJUS5OWVNFOklCTS5JUV9UT1RBTF9ERUJUX0NVUlJFTlQuMTk5NS4wNi8wMy8yMDI2Li4uVVNELkgBAAAA3rYBAAIAAAAENDM4OQEIAAAABQAAAAExAQAAAAstMTkyMDg0Njk1MAMAAAADMTYwAgAAAAUyNTIyMwQAAAABMAcAAAAIMy82LzIwMjYIAAAACTkvMzAvMjAyNAkAAAABMFvjqeXNe94INv0TOc573gg4Q0lRLk5ZU0U6SUJNLklRX1BFTlNJT05fQlJFQUtET1dOX1BDVF9SRS4xOTk1LjA2LzAzLzIwMjYBAAAA3rYBAAMAAAAAAFvjqeXNe94INv0TOc573gg9Q0lRLk5ZU0U6SUJNLklRX1JFU1RSSUNURURfQ0FTSF9UT1RBTC4xOTk1LjA2LzAzLzIwMjYuLi5VU0QuSAEAAADetgEAAgAAAAIxNwEIAAAABQAAAAExAQAAAAstMTkyMDg0Njk1MAMAAAADMTYwAgAAAAUyNDE5MgQAAAABMAcAAAAIMy82LzIwMjYIAAAACTkvMzAvMjAyNAkAAAABMFvjqeXNe94INv0TOc573gg/Q0lRLk5ZU0U6SUJNLklRX0VNUExPWUVFU19VTkRFUl9VTklPTl9DT05UUkFDVFMuMTk5NS4wNi8wMy8yMDI2AQAAAN62AQADAAAAAABb46nlzXveCDb9EznOe94IKUNJUS5OWVNFOklCTS5JUV9GVUxMX1RJTUUuMTk5NS4wNi8wMy8yMDI2AQAAAN62AQADAAAAAABb46nlzXveCDb9EznOe94INkNJUS5OWVNFOklCTS5JUV9QRU5TSU9OX0NJX0FDVC4xOTk1LjA2LzAzLzIwMjYu</t>
  </si>
  <si>
    <t>Li5VU0QuSAEAAADetgEAAwAAAAAAW+Op5c173gg2/RM5znveCERDSVEuTllTRTpJQk0uSVFfUEVOU0lPTl9BU1NFVFNfQUNUVUFMX1JFVFVSTi4xOTk1LjA2LzAzLzIwMjYuLi5VU0QuSAEAAADetgEAAwAAAAAAW+Op5c173gg2/RM5znveCDdDSVEuTllTRTpJQk0uSVFfSU5URVJDT01QQU5ZX0NBLjE5OTUuMDYvMDMvMjAyNi4uLlVTRC5IAQAAAN62AQADAAAAAABb46nlzXveCDb9EznOe94ILkNJUS5OWVNFOklCTS5JUV9HV19ORVQuMTk5NS4wNi8wMy8yMDI2Li4uVVNELkgBAAAA3rYBAAIAAAAFNjEwOTIBCAAAAAUAAAABMQEAAAALLTE5MjA4NDY5NTADAAAAAzE2MAIAAAAFNDg5NjAEAAAAATAHAAAACDMvNi8yMDI2CAAAAAk5LzMwLzIwMjQJAAAAATBb46nlzXveCDb9EznOe94IRUNJUS5OWVNFOklCTS5JUV9DVVJSRU5UX1BPUlRfREVCVF9ERVJJVkFUSVZFUy4xOTk1LjA2LzAzLzIwMjYuLi5VU0QuSAEAAADetgEAAwAAAAAAW+Op5c173gg2/RM5znveCEJDSVEuTllTRTpJQk0uSVFfUEVOU0lPTl9PQkxJR0FUSU9OX0NVUlRBSUwuMTk5NS4wNi8wMy8yMDI2Li4uVVNELkgBAAAA3rYBAAMAAAAAAFvjqeXNe94INv0TOc573ghRQ0lRLk5ZU0U6SUJNLklRX1BFTlNJT05fT0JMSUdBVElPTl9FTVBMT1lFRV9DT05UUklCVVRJT05TLjE5OTUuMDYvMDMvMjAyNi4uLlVTRC5IAQAAAN62AQADAAAAAABb</t>
  </si>
  <si>
    <t>46nlzXveCDb9EznOe94IPUNJUS5OWVNFOklCTS5JUV9BRFZBTkNFU19GT1JfU1VQUExJRVMuMTk5NS4wNi8wMy8yMDI2Li4uVVNELkgBAAAA3rYBAAMAAAAAAFvjqeXNe94INv0TOc573gg2Q0lRLk5ZU0U6SUJNLklRX0FDQ1VNX0FNT1JUX0dXLjE5OTUuMDYvMDMvMjAyNi4uLlVTRC5IAQAAAN62AQADAAAAAABb46nlzXveCDb9EznOe94IPUNJUS5OWVNFOklCTS5JUV9GSU5fRElWX0xUX0RFQlRfVE9UQUwuMTk5NS4wNi8wMy8yMDI2Li4uVVNELkgBAAAA3rYBAAIAAAAFMTAzNTUBCAAAAAUAAAABMQEAAAALLTE5MjA4NDY5NTADAAAAAzE2MAIAAAAFMjQ1MTUEAAAAATAHAAAACDMvNi8yMDI2CAAAAAk5LzMwLzIwMjQJAAAAATBb46nlzXveCDb9EznOe94IO0NJUS5OWVNFOklCTS5JUV9MSUFCSUxJVElFU19MRVZFTF8xLjE5OTUuMDYvMDMvMjAyNi4uLlVTRC5IAQAAAN62AQADAAAAAABb46nlzXveCJA4FDnOe94IQ0NJUS5OWVNFOklCTS5JUV9ERUZfVEFYX1ZBTFVBVElPTl9BTExPV0FOQ0UuMTk5NS4wNi8wMy8yMDI2Li4uVVNELkgBAAAA3rYBAAMAAAAAAFvjqeXNe94INv0TOc573gg0Q0lRLk5ZU0U6SUJNLklRX0ZJTklTSEVEX0lOVi4xOTk1LjA2LzAzLzIwMjYuLi5VU0QuSAEAAADetgEAAgAAAAMxNjkBCAAAAAUAAAABMQEAAAALLTE5MjA4NDY5NTADAAAAAzE2MAIAAAAEMzA3NQQAAAABMAcA</t>
  </si>
  <si>
    <t>AAAIMy82LzIwMjYIAAAACTkvMzAvMjAyNAkAAAABMFvjqeXNe94INv0TOc573ggtQ0lRLk5ZU0U6SUJNLklRX0xJRk9SLjE5OTUuMDYvMDMvMjAyNi4uLlVTRC5IAQAAAN62AQADAAAAAABb46nlzXveCDb9EznOe94IMkNJUS5OWVNFOklCTS5JUV9DQVNIX1NIQVJFLjE5OTUuMDYvMDMvMjAyNi4uLlVTRC5IAQAAAN62AQACAAAACTE0LjI3MjUwMgEIAAAABQAAAAExAQAAAAstMTkyMDg0Njk1MAMAAAADMTYwAgAAAAQ0MzgxBAAAAAEwBwAAAAgzLzYvMjAyNggAAAAJOS8zMC8yMDI0CQAAAAEwW+Op5c173gg2/RM5znveCFRDSVEuTllTRTpJQk0uSVFfRklOQU5DSU5HX09CTElHX05PTl9DVVJSRU5UX0VYQ0xfT1BFUl9MRUFTRVMuMTk5NS4wNi8wMy8yMDI2Li4uVVNELkgBAAAA3rYBAAIAAAAFNTI5ODABCAAAAAUAAAABMQEAAAALLTE5MjA4NDY5NTADAAAAAzE2MAIAAAAFNDg5ODEEAAAAATAHAAAACDMvNi8yMDI2CAAAAAk5LzMwLzIwMjQJAAAAATBb46nlzXveCJA4FDnOe94IPENJUS5OWVNFOklCTS5JUV9QRU5TSU9OX0JSRUFLRE9XTl9GSS4xOTk1LjA2LzAzLzIwMjYuLi5VU0QuSAEAAADetgEAAwAAAAAAW+Op5c173giQOBQ5znveCDpDSVEuTllTRTpJQk0uSVFfUEVOU0lPTl9BU1NFVFNfQUNRLjE5OTUuMDYvMDMvMjAyNi4uLlVTRC5IAQAAAN62AQADAAAAAABb46nlzXveCJA4FDnOe94IQENJ</t>
  </si>
  <si>
    <t>US5OWVNFOklCTS5JUV9BQ0NVTV9BTU9SVF9JTlRBTl9BU1NFVFMuMTk5NS4wNi8wMy8yMDI2Li4uVVNELkgBAAAA3rYBAAIAAAAFLTc3ODEBCAAAAAUAAAABMQEAAAALLTE5MjA4NDY5NTADAAAAAzE2MAIAAAAFMjQzMzEEAAAAATAHAAAACDMvNi8yMDI2CAAAAAk5LzMwLzIwMjQJAAAAATBb46nlzXveCJA4FDnOe94IPENJUS5OWVNFOklCTS5JUV9XQVJSQU5UWV9MSUFCSUxJVElFUy4xOTk1LjA2LzAzLzIwMjYuLi5VU0QuSAEAAADetgEAAwAAAAAAW+Op5c173giQOBQ5znveCDhDSVEuTllTRTpJQk0uSVFfUEVOU0lPTl9CUkVBS0RPV05fUENUX0ZJLjE5OTUuMDYvMDMvMjAyNgEAAADetgEAAwAAAAAAW+Op5c173giQOBQ5znveCD9DSVEuTllTRTpJQk0uSVFfUEVOU0lPTl9PQkxJR0FUSU9OX1BBSUQuMTk5NS4wNi8wMy8yMDI2Li4uVVNELkgBAAAA3rYBAAMAAAAAAFvjqeXNe94IkDgUOc573gg+Q0lRLk5ZU0U6SUJNLklRX1BFTlNJT05fT0JMSUdBVElPTl9CRUcuMTk5NS4wNi8wMy8yMDI2Li4uVVNELkgBAAAA3rYBAAMAAAAAAFvjqeXNe94IkDgUOc573gguQ0lRLk5ZU0U6SUJNLklRX0NPU1RfQk9SUk9XSU5HLjE5OTUuMDYvMDMvMjAyNgEAAADetgEAAgAAAAYyLjg1MzcBCAAAAAUAAAABMQEAAAALLTE5MjA4NDY5NTADAAAAAzE2MAIAAAAFMjE2ODEEAAAAATAHAAAACDMvNi8yMDI2CAAAAAk5</t>
  </si>
  <si>
    <t>LzMwLzIwMjQJAAAAATBb46nlzXveCJA4FDnOe94IKUNJUS5OWVNFOklCTS5JUV9QQVJUX1RJTUUuMTk5NS4wNi8wMy8yMDI2AQAAAN62AQADAAAAAABb46nlzXveCJA4FDnOe94ISkNJUS5OWVNFOklCTS5JUV9MSVFVSURBVElPTl9WQUxVRV9QUkVGRVJSRURfUkVERUVNLjE5OTUuMDYvMDMvMjAyNi4uLlVTRC5IAQAAAN62AQADAAAAAABb46nlzXveCPtfFDnOe94IRkNJUS5OWVNFOklCTS5JUV9UT1RBTF9HRU5FUkFMX1BBUlRORVJfSU5URVJFU1QuMTk5NS4wNi8wMy8yMDI2Li4uVVNELkgBAAAA3rYBAAMAAAAAAFvjqeXNe94I+18UOc573ggxQ0lRLk5ZU0U6SUJNLklRX01BQ0hJTkVSWS4xOTk1LjA2LzAzLzIwMjYuLi5VU0QuSAEAAADetgEAAwAAAAAAW+Op5c173gj7XxQ5znveCDlDSVEuTllTRTpJQk0uSVFfT1BFQl9CUkVBS0RPV05fRkkuMTk5NS4wNi8wMy8yMDI2Li4uVVNELkgBAAAA3rYBAAMAAAAAAFvjqeXNe94IkDgUOc573ghNQ0lRLk5ZU0U6SUJNLklRX1BFTlNJT05fQVNTRVRTX1BBUlRJQ0lQX0NPTlRSSUJVVElPTlMuMTk5NS4wNi8wMy8yMDI2Li4uVVNELkgBAAAA3rYBAAMAAAAAAFvjqeXNe94IkDgUOc573gg9Q0lRLk5ZU0U6SUJNLklRX0ZJTl9ESVZfU1RfREVCVF9UT1RBTC4xOTk1LjA2LzAzLzIwMjYuLi5VU0QuSAEAAADetgEAAwAAAAAAW+Op5c173gj7XxQ5znveCDJDSVEu</t>
  </si>
  <si>
    <t>TllTRTpJQk0uSVFfQVZHX1RFTVBfRU1QTE9ZRUVTLjE5OTUuMDYvMDMvMjAyNgEAAADetgEAAwAAAAAAW+Op5c173gj7XxQ5znveCEhDSVEuTllTRTpJQk0uSVFfQVNTRVRTX05FVFRJTkdfT1RIRVJfQURKVVNUTUVOVFMuMTk5NS4wNi8wMy8yMDI2Li4uVVNELkgBAAAA3rYBAAMAAAAAAFvjqeXNe94I+18UOc573gg/Q0lRLk5ZU0U6SUJNLklRX01JTk9SSVRZX0lOVF9SRURFRU1fVE9ULjE5OTUuMDYvMDMvMjAyNi4uLlVTRC5IAQAAAN62AQADAAAAAABb46nlzXveCPtfFDnOe94IL0NJUS5OWVNFOklCTS5JUV9SQVdfSU5WLjE5OTUuMDYvMDMvMjAyNi4uLlVTRC5IAQAAAN62AQADAAAAAABb46nlzXveCPtfFDnOe94IMkNJUS5OWVNFOklCTS5JUV9UT1RBTF9ERUJULjE5OTUuMDYvMDMvMjAyNi4uLlVTRC5IAQAAAN62AQACAAAABTYwMTI2AQgAAAAFAAAAATEBAAAACy0xOTIwODQ2OTUwAwAAAAMxNjACAAAABDQxNzMEAAAAATAHAAAACDMvNi8yMDI2CAAAAAk5LzMwLzIwMjQJAAAAATBb46nlzXveCPtfFDnOe94IK0NJUS5OWVNFOklCTS5JUV9UQlYuMTk5NS4wNi8wMy8yMDI2Li4uVVNELkgBAAAA3rYBAAIAAAAGLTQ3NzM0AQgAAAAFAAAAATEBAAAACy0xOTIwODQ2OTUwAwAAAAMxNjACAAAABDEzMTAEAAAAATAHAAAACDMvNi8yMDI2CAAAAAk5LzMwLzIwMjQJAAAAATBb46nlzXveCPtfFDnOe94I</t>
  </si>
  <si>
    <t>NENJUS5OWVNFOklCTS5JUV9UT1RBTF9MRUFTRVMuMTk5NS4wNi8wMy8yMDI2Li4uVVNELkgBAAAA3rYBAAIAAAAENDQyNQEIAAAABQAAAAExAQAAAAstMTkyMDg0Njk1MAMAAAADMTYwAgAAAAU0ODk3OQQAAAABMAcAAAAIMy82LzIwMjYIAAAACTkvMzAvMjAyNAkAAAABMFvjqeXNe94I+18UOc573gg9Q0lRLk5ZU0U6SUJNLklRX1JVQV9DQVBJVEFMX0xFQVNFX05FVC4xOTk1LjA2LzAzLzIwMjYuLi5VU0QuSAEAAADetgEAAwAAAAAAW+Op5c173gj7XxQ5znveCCxDSVEuTllTRTpJQk0uSVFfQVBJQy4xOTk1LjA2LzAzLzIwMjYuLi5VU0QuSAEAAADetgEAAwAAAAAAW+Op5c173gj7XxQ5znveCENDSVEuTllTRTpJQk0uSVFfT1BFQl9PQkxJR0FUSU9OX0FDUV9GT1JFSUdOLjE5OTkuMDYvMDMvMjAyNi4uLlVTRC5IAQAAAN62AQADAAAAAAC5PDDmzXveCL5PzjjOe94IQUNJUS5OWVNFOklCTS5JUV9QRU5TSU9OX0JFTkVGSVRfSU5GT19EQVRFX0ZPUkVJR04uMTk5OS4wNi8wMy8yMDI2AQAAAN62AQADAAAAAAC5PDDmzXveCL5PzjjOe94INUNJUS5OWVNFOklCTS5JUV9OT0xfQ0ZfTk9fRVhQLjE5OTkuMDYvMDMvMjAyNi4uLlVTRC5IAQAAAN62AQADAAAAAAC5PDDmzXveCL5PzjjOe94IOUNJUS5OWVNFOklCTS5JUV9BU1NFVF9NQU5BR0VEX0dST1dUSF9SQVRFLjE5OTkuMDYvMDMvMjAyNgEAAADetgEA</t>
  </si>
  <si>
    <t>AwAAAAAAuTww5s173gi+T844znveCD5DSVEuTllTRTpJQk0uSVFfUEVOU0lPTl9DSV9BQ1RfRk9SRUlHTi4xOTk5LjA2LzAzLzIwMjYuLi5VU0QuSAEAAADetgEAAwAAAAAAuTww5s173gizds44znveCD1DSVEuTllTRTpJQk0uSVFfUEVOU0lPTl9ESVNDX1JBVEVfTUFYX0ZPUkVJR04uMTk5OS4wNi8wMy8yMDI2AQAAAN62AQADAAAAAAC5PDDmzXveCLN2zjjOe94IVUNJUS5OWVNFOklCTS5JUV9QRU5TSU9OX0FTU0VUU19FTVBMT1lFUl9DT05UUklCVVRJT05TX0ZPUkVJR04uMTk5OS4wNi8wMy8yMDI2Li4uVVNELkgBAAAA3rYBAAMAAAAAALk8MObNe94Is3bOOM573ghEQ0lRLk5ZU0U6SUJNLklRX09QRUJfSU5DUkVBU0VfRUZGRUNUX1BCT19ET00uMTk5OS4wNi8wMy8yMDI2Li4uVVNELkgBAAAA3rYBAAMAAAAAALk8MObNe94Is3bOOM573gg5Q0lRLk5ZU0U6SUJNLklRX09QRUJfQUNUX05FWFRfRE9NLjE5OTkuMDYvMDMvMjAyNi4uLlVTRC5IAQAAAN62AQADAAAAAAC5PDDmzXveCL5PzjjOe94IRUNJUS5OWVNFOklCTS5JUV9VTlJFQ09HX1RBWF9CRU5FRklUX09USEVSX0FESi4xOTk5LjA2LzAzLzIwMjYuLi5VU0QuSAEAAADetgEAAwAAAAAAuTww5s173gizds44znveCExDSVEuTllTRTpJQk0uSVFfT1BFQl9PQkxJR0FUSU9OX1NFUlZJQ0VfQ09TVF9GT1JFSUdOLjE5OTkuMDYvMDMvMjAyNi4u</t>
  </si>
  <si>
    <t>LlVTRC5IAQAAAN62AQADAAAAAAC5PDDmzXveCLN2zjjOe94IRkNJUS5OWVNFOklCTS5JUV9QRU5TSU9OX09CTElHQVRJT05fQkVHX0ZPUkVJR04uMTk5OS4wNi8wMy8yMDI2Li4uVVNELkgBAAAA3rYBAAMAAAAAALk8MObNe94Is3bOOM573gg6Q0lRLk5ZU0U6SUJNLklRX09QRUJfTFRfQVNTRVRTX0RPTS4xOTk5LjA2LzAzLzIwMjYuLi5VU0QuSAEAAADetgEAAwAAAAAAuTww5s173gizds44znveCENDSVEuTllTRTpJQk0uSVFfT1BFQl9QQk9fUkFURV9DT01QX0lOQ1JFQVNFX01BWF9ET00uMTk5OS4wNi8wMy8yMDI2AQAAAN62AQADAAAAAAC5PDDmzXveCLN2zjjOe94IR0NJUS5OWVNFOklCTS5JUV9PUEVCX1BCT19SQVRFX0NPTVBfSU5DUkVBU0VfTUlOX0ZPUkVJR04uMTk5OS4wNi8wMy8yMDI2AQAAAN62AQADAAAAAAC5PDDmzXveCPedzjjOe94ISkNJUS5OWVNFOklCTS5JUV9QRU5TSU9OX1BCT19SQVRFX0NPTVBfSU5DUkVBU0VfTUlOX0ZPUkVJR04uMTk5OS4wNi8wMy8yMDI2AQAAAN62AQADAAAAAAC5PDDmzXveCLN2zjjOe94IQENJUS5OWVNFOklCTS5JUV9QRU5TSU9OX0JSRUFLRE9XTl9QQ1RfRVFfRk9SRUlHTi4xOTk5LjA2LzAzLzIwMjYBAAAA3rYBAAMAAAAAALk8MObNe94Is3bOOM573ghJQ0lRLk5ZU0U6SUJNLklRX1BFTlNJT05fT0JMSUdBVElPTl9GWF9BREpfRk9SRUlHTi4xOTk5</t>
  </si>
  <si>
    <t>LjA2LzAzLzIwMjYuLi5VU0QuSAEAAADetgEAAwAAAAAAuTww5s173gizds44znveCEBDSVEuTllTRTpJQk0uSVFfT1BFQl9ORVRfQVNTRVRfUkVDT0dfRE9NLjE5OTkuMDYvMDMvMjAyNi4uLlVTRC5IAQAAAN62AQADAAAAAAC5PDDmzXveCLN2zjjOe94IPUNJUS5OWVNFOklCTS5JUV9PUEVCX0JSRUFLRE9XTl9SRV9ET00uMTk5OS4wNi8wMy8yMDI2Li4uVVNELkgBAAAA3rYBAAMAAAAAALk8MObNe94I953OOM573ghAQ0lRLk5ZU0U6SUJNLklRX09QRUJfRVhQX1JBVEVfUkVUVVJOX01BWF9GT1JFSUdOLjE5OTkuMDYvMDMvMjAyNgEAAADetgEAAwAAAAAAuTww5s173gj3nc44znveCERDSVEuTllTRTpJQk0uSVFfUEVOU0lPTl9BQ0NSVUVEX0xJQUJfRk9SRUlHTi4xOTk5LjA2LzAzLzIwMjYuLi5VU0QuSAEAAADetgEAAwAAAAAAuTww5s173gj3nc44znveCEpDSVEuTllTRTpJQk0uSVFfUEVOU0lPTl9FU1RfQkVORUZJVF9BRlRFUjVfRk9SRUlHTi4xOTk5LjA2LzAzLzIwMjYuLi5VU0QuSAEAAADetgEAAwAAAAAAuTww5s173gj3nc44znveCERDSVEuTllTRTpJQk0uSVFfUEVOU0lPTl9CUkVBS0RPV05fUkVfRk9SRUlHTi4xOTk5LjA2LzAzLzIwMjYuLi5VU0QuSAEAAADetgEAAwAAAAAAuTww5s173gj3nc44znveCEBDSVEuTllTRTpJQk0uSVFfUEVOU0lPTl9SQVRFX0NPTVBfR1JPV1RIX0ZPUkVJ</t>
  </si>
  <si>
    <t>R04uMTk5OS4wNi8wMy8yMDI2AQAAAN62AQADAAAAAAC5PDDmzXveCPedzjjOe94IQkNJUS5OWVNFOklCTS5JUV9QRU5TSU9OX0FTU0VUU19CRUdfRk9SRUlHTi4xOTk5LjA2LzAzLzIwMjYuLi5VU0QuSAEAAADetgEAAwAAAAAAuTww5s173gj3nc44znveCEBDSVEuTllTRTpJQk0uSVFfT1BFQl9FU1RfQkVORUZJVF8zWVJfRE9NLjE5OTkuMDYvMDMvMjAyNi4uLlVTRC5IAQAAAN62AQADAAAAAAC5PDDmzXveCPedzjjOe94IQUNJUS5OWVNFOklCTS5JUV9PUEVCX0NJX05FVF9BTVRfUkVDT0dfRE9NLjE5OTkuMDYvMDMvMjAyNi4uLlVTRC5IAQAAAN62AQADAAAAAAC5PDDmzXveCPedzjjOe94IP0NJUS5OWVNFOklCTS5JUV9PUEVCX1JBVEVfQ09NUF9JTkNSRUFTRV9NQVhfRE9NLjE5OTkuMDYvMDMvMjAyNgEAAADetgEAAwAAAAAAuTww5s173gj3nc44znveCDtDSVEuTllTRTpJQk0uSVFfT1BFQl9BU1NFVFNfQkVHX0RPTS4xOTk5LjA2LzAzLzIwMjYuLi5VU0QuSAEAAADetgEAAwAAAAAAuTww5s173gjwxM44znveCE1DSVEuTllTRTpJQk0uSVFfT1BFQl9UT1RBTF9DT1NUX0lOQ0xfU1VQUExFX1BMQU5TX0RPTS4xOTk5LjA2LzAzLzIwMjYuLi5VU0QuSAEAAADetgEAAwAAAAAAuTww5s173gjwxM44znveCD1DSVEuTllTRTpJQk0uSVFfUEVOU0lPTl9MVF9BU1NFVFNfRE9NLjE5OTkuMDYvMDMvMjAy</t>
  </si>
  <si>
    <t>Ni4uLlVTRC5IAQAAAN62AQADAAAAAAC5PDDmzXveCPDEzjjOe94IRENJUS5OWVNFOklCTS5JUV9QRU5TSU9OX1BCT19BU1NVTUVEX1JBVEVfUkVUX01BWF9ET00uMTk5OS4wNi8wMy8yMDI2AQAAAN62AQADAAAAAAC5PDDmzXveCPDEzjjOe94IQENJUS5OWVNFOklCTS5JUV9QRU5TSU9OX0JSRUFLRE9XTl9GSV9ET00uMTk5OS4wNi8wMy8yMDI2Li4uVVNELkgBAAAA3rYBAAMAAAAAALk8MObNe94I953OOM573gg6Q0lRLk5ZU0U6SUJNLklRX09QRUJfT1RIRVJfRk9SRUlHTi4xOTk5LjA2LzAzLzIwMjYuLi5VU0QuSAEAAADetgEAAwAAAAAAuTww5s173gjwxM44znveCENDSVEuTllTRTpJQk0uSVFfUEVOU0lPTl9FWFBfUkFURV9SRVRVUk5fTUlOX0ZPUkVJR04uMTk5OS4wNi8wMy8yMDI2AQAAAN62AQADAAAAAAC5PDDmzXveCPDEzjjOe94IVkNJUS5OWVNFOklCTS5JUV9QRU5TSU9OX09CTElHQVRJT05fU1VQUExFX1BMQU5TX1RPVEFMX0NPU1RfRE9NLjE5OTkuMDYvMDMvMjAyNi4uLlVTRC5IAQAAAN62AQADAAAAAAC5PDDmzXveCM0f0TjOe94IPUNJUS5OWVNFOklCTS5JUV9PUEVCX0lOVEFOX0FTU0VUU19ET00uMTk5OS4wNi8wMy8yMDI2Li4uVVNELkgBAAAA3rYBAAMAAAAAALk8MObNe94I8MTOOM573ghTQ0lRLk5ZU0U6SUJNLklRX09QRUJfT0JMSUdBVElPTl9BQ1RVQVJJQUxfR0FJTl9MT1NT</t>
  </si>
  <si>
    <t>X0ZPUkVJR04uMTk5OS4wNi8wMy8yMDI2Li4uVVNELkgBAAAA3rYBAAMAAAAAALk8MObNe94I8MTOOM573ghIQ0lRLk5ZU0U6SUJNLklRX1BFTlNJT05fQ0lfUFJJT1JfU0VSVklDRV9GT1JFSUdOLjE5OTkuMDYvMDMvMjAyNi4uLlVTRC5IAQAAAN62AQADAAAAAAC5PDDmzXveCOPrzjjOe94IVUNJUS5OWVNFOklCTS5JUV9QRU5TSU9OX0FTU0VUU19QQVJUSUNJUF9DT05UUklCVVRJT05TX0ZPUkVJR04uMTk5OS4wNi8wMy8yMDI2Li4uVVNELkgBAAAA3rYBAAMAAAAAALk8MObNe94I8MTOOM573ghWQ0lRLk5ZU0U6SUJNLklRX1BFTlNJT05fT0JMSUdBVElPTl9BQ1RVQVJJQUxfR0FJTl9MT1NTX0ZPUkVJR04uMTk5OS4wNi8wMy8yMDI2Li4uVVNELkgBAAAA3rYBAAMAAAAAALk8MObNe94I8MTOOM573ghSQ0lRLk5ZU0U6SUJNLklRX09QRUJfQVNTRVRTX0VNUExPWUVSX0NPTlRSSUJVVElPTlNfRk9SRUlHTi4xOTk5LjA2LzAzLzIwMjYuLi5VU0QuSAEAAADetgEAAwAAAAAAuTww5s173gjwxM44znveCEVDSVEuTllTRTpJQk0uSVFfT1BFQl9QQk9fQVNTVU1FRF9SQVRFX1JFVF9NSU5fRk9SRUlHTi4xOTk5LjA2LzAzLzIwMjYBAAAA3rYBAAMAAAAAALk8MObNe94I8MTOOM573ghAQ0lRLk5ZU0U6SUJNLklRX09QRUJfRVhQX1JBVEVfUkVUVVJOX01JTl9GT1JFSUdOLjE5OTkuMDYvMDMvMjAyNgEAAADe</t>
  </si>
  <si>
    <t>tgEAAwAAAAAAuTww5s173gjj6844znveCExDSVEuTllTRTpJQk0uSVFfUEVOU0lPTl9BU1NFVFNfQUNUVUFMX1JFVFVSTl9GT1JFSUdOLjE5OTkuMDYvMDMvMjAyNi4uLlVTRC5IAQAAAN62AQADAAAAAAC5PDDmzXveCOPrzjjOe94IUENJUS5OWVNFOklCTS5JUV9QRU5TSU9OX09CTElHQVRJT05fSU5URVJFU1RfQ09TVF9GT1JFSUdOLjE5OTkuMDYvMDMvMjAyNi4uLlVTRC5IAQAAAN62AQADAAAAAAC5PDDmzXveCOPrzjjOe94IOkNJUS5OWVNFOklCTS5JUV9PUEVCX0JFTkVGSVRfSU5GT19EQVRFX0RPTS4xOTk5LjA2LzAzLzIwMjYBAAAA3rYBAAMAAAAAALk8MObNe94I4+vOOM573ghDQ0lRLk5ZU0U6SUJNLklRX09QRUJfUFJJT1JfU0VSVklDRV9ORVhUX0RPTS4xOTk5LjA2LzAzLzIwMjYuLi5VU0QuSAEAAADetgEAAwAAAAAAuTww5s173gjj6844znveCEdDSVEuTllTRTpJQk0uSVFfUEVOU0lPTl9FU1RfQkVORUZJVF8xWVJfRk9SRUlHTi4xOTk5LjA2LzAzLzIwMjYuLi5VU0QuSAEAAADetgEAAwAAAAAAuTww5s173gjj6844znveCEpDSVEuTllTRTpJQk0uSVFfUEVOU0lPTl9QUklPUl9TRVJWSUNFX05FWFRfRk9SRUlHTi4xOTk5LjA2LzAzLzIwMjYuLi5VU0QuSAEAAADetgEAAwAAAAAAuTww5s173gjj6844znveCENDSVEuTllTRTpJQk0uSVFfUEVOU0lPTl9FWFBfUkFURV9SRVRVUk5fTUFY</t>
  </si>
  <si>
    <t>X0ZPUkVJR04uMTk5OS4wNi8wMy8yMDI2AQAAAN62AQADAAAAAAC5PDDmzXveCOPrzjjOe94IRkNJUS5OWVNFOklCTS5JUV9QRU5TSU9OX0FTU0VUU19DVVJUQUlMX0ZPUkVJR04uMTk5OS4wNi8wMy8yMDI2Li4uVVNELkgBAAAA3rYBAAMAAAAAALk8MObNe94I4+vOOM573ghFQ0lRLk5ZU0U6SUJNLklRX1BFTlNJT05fSU5URVJFU1RfQ09TVF9GT1JFSUdOLjE5OTkuMDYvMDMvMjAyNi4uLlVTRC5IAQAAAN62AQADAAAAAAC5PDDmzXveCPYSzzjOe94IQ0NJUS5OWVNFOklCTS5JUV9PUEVCX1BCT19SQVRFX0NPTVBfSU5DUkVBU0VfTUlOX0RPTS4xOTk5LjA2LzAzLzIwMjYBAAAA3rYBAAMAAAAAALk8MObNe94I9hLPOM573gg5Q0lRLk5ZU0U6SUJNLklRX09QRUJfQlJFQUtET1dOX1BDVF9SRV9ET00uMTk5OS4wNi8wMy8yMDI2AQAAAN62AQADAAAAAAC5PDDmzXveCOPrzjjOe94IPkNJUS5OWVNFOklCTS5JUV9PUEVCX0FTU0VUU19GWF9BREpfRE9NLjE5OTkuMDYvMDMvMjAyNi4uLlVTRC5IAQAAAN62AQADAAAAAAC5PDDmzXveCOPrzjjOe94IT0NJUS5OWVNFOklCTS5JUV9PUEVCX09CTElHQVRJT05fQUNUVUFSSUFMX0dBSU5fTE9TU19ET00uMTk5OS4wNi8wMy8yMDI2Li4uVVNELkgBAAAA3rYBAAMAAAAAALk8MObNe94I4+vOOM573ghEQ0lRLk5ZU0U6SUJNLklRX1BFTlNJT05fUFJFUEFJRF9DT1NU</t>
  </si>
  <si>
    <t>X0ZPUkVJR04uMTk5OS4wNi8wMy8yMDI2Li4uVVNELkgBAAAA3rYBAAMAAAAAALk8MObNe94I9hLPOM573ghHQ0lRLk5ZU0U6SUJNLklRX1BFTlNJT05fRVNUX0JFTkVGSVRfNVlSX0ZPUkVJR04uMTk5OS4wNi8wMy8yMDI2Li4uVVNELkgBAAAA3rYBAAMAAAAAALk8MObNe94I9hLPOM573ghHQ0lRLk5ZU0U6SUJNLklRX1BFTlNJT05fRVNUX0JFTkVGSVRfM1lSX0ZPUkVJR04uMTk5OS4wNi8wMy8yMDI2Li4uVVNELkgBAAAA3rYBAAMAAAAAALk8MObNe94I9hLPOM573ghEQ0lRLk5ZU0U6SUJNLklRX1BFTlNJT05fQlJFQUtET1dOX0ZJX0ZPUkVJR04uMTk5OS4wNi8wMy8yMDI2Li4uVVNELkgBAAAA3rYBAAMAAAAAALk8MObNe94I9hLPOM573ghHQ0lRLk5ZU0U6SUJNLklRX1BFTlNJT05fT0JMSUdBVElPTl9QQUlEX0ZPUkVJR04uMTk5OS4wNi8wMy8yMDI2Li4uVVNELkgBAAAA3rYBAAMAAAAAALk8MObNe94I9hLPOM573gg6Q0lRLk5ZU0U6SUJNLklRX09QRUJfT1RIRVJfQURKX0RPTS4xOTk5LjA2LzAzLzIwMjYuLi5VU0QuSAEAAADetgEAAwAAAAAAuTww5s173gj2Es84znveCEBDSVEuTllTRTpJQk0uSVFfT1BFQl9FU1RfQkVORUZJVF81WVJfRE9NLjE5OTkuMDYvMDMvMjAyNi4uLlVTRC5IAQAAAN62AQADAAAAAAC5PDDmzXveCPYSzzjOe94IQkNJUS5OWVNFOklCTS5JUV9PUEVCX0NJX09USEVS</t>
  </si>
  <si>
    <t>X01JU0NfQURKX0RPTS4xOTk5LjA2LzAzLzIwMjYuLi5VU0QuSAEAAADetgEAAwAAAAAAuTww5s173gj2Es84znveCDtDSVEuTllTRTpJQk0uSVFfQVVNX0lOU1RJVFVUSU9OQUxfQ1VTVE9NRVJTLjE5OTkuMDYvMDMvMjAyNgEAAADetgEAAwAAAAAAuTww5s173gj2Es84znveCEJDSVEuTllTRTpJQk0uSVFfT1BFQl9BU1NFVFNfRlhfQURKX0ZPUkVJR04uMTk5OS4wNi8wMy8yMDI2Li4uVVNELkgBAAAA3rYBAAMAAAAAALk8MObNe94I9hLPOM573ggzQ0lRLk5ZU0U6SUJNLklRX0FVTV9BVkVSQUdFLjE5OTkuMDYvMDMvMjAyNi4uLlVTRC5IAQAAAN62AQADAAAAAAC5PDDmzXveCORNzzjOe94IQkNJUS5OWVNFOklCTS5JUV9PUEVCX0lOVEVSRVNUX0NPU1RfRk9SRUlHTi4xOTk5LjA2LzAzLzIwMjYuLi5VU0QuSAEAAADetgEAAwAAAAAAuTww5s173gjkTc84znveCD9DSVEuTllTRTpJQk0uSVFfT1BFQl9UT1RBTF9DT1NUX0ZPUkVJR04uMTk5OS4wNi8wMy8yMDI2Li4uVVNELkgBAAAA3rYBAAMAAAAAALk8MObNe94I5E3POM573ghAQ0lRLk5ZU0U6SUJNLklRX1BFTlNJT05fQUNUX05FWFRfRk9SRUlHTi4xOTk5LjA2LzAzLzIwMjYuLi5VU0QuSAEAAADetgEAAwAAAAAAuTww5s173gjkTc84znveCENDSVEuTllTRTpJQk0uSVFfUEVOU0lPTl9CUkVBS0RPV05fUENUX09USEVSX0ZPUkVJR04uMTk5OS4w</t>
  </si>
  <si>
    <t>Ni8wMy8yMDI2AQAAAN62AQADAAAAAAC5PDDmzXveCORNzzjOe94IUUNJUS5OWVNFOklCTS5JUV9QRU5TSU9OX09CTElHQVRJT05fT1RIRVJfUExBTl9BREpfRk9SRUlHTi4xOTk5LjA2LzAzLzIwMjYuLi5VU0QuSAEAAADetgEAAwAAAAAAuTww5s173gjkTc84znveCDZDSVEuTllTRTpJQk0uSVFfT1BFQl9PVEhFUl9ET00uMTk5OS4wNi8wMy8yMDI2Li4uVVNELkgBAAAA3rYBAAMAAAAAALk8MObNe94I5E3POM573ghBQ0lRLk5ZU0U6SUJNLklRX09QRUJfQ0lfUFJJT1JfU0VSVklDRV9ET00uMTk5OS4wNi8wMy8yMDI2Li4uVVNELkgBAAAA3rYBAAMAAAAAALk8MObNe94I5E3POM573gg8Q0lRLk5ZU0U6SUJNLklRX09QRUJfQlJFQUtET1dOX1BDVF9PVEhFUl9ET00uMTk5OS4wNi8wMy8yMDI2AQAAAN62AQADAAAAAAC5PDDmzXveCORNzzjOe94IOUNJUS5OWVNFOklCTS5JUV9PUEVCX0JSRUFLRE9XTl9QQ1RfRVFfRE9NLjE5OTkuMDYvMDMvMjAyNgEAAADetgEAAwAAAAAAuTww5s173gjkTc84znveCE5DSVEuTllTRTpJQk0uSVFfT1BFQl9BU1NFVFNfUEFSVElDSVBfQ09OVFJJQlVUSU9OU19ET00uMTk5OS4wNi8wMy8yMDI2Li4uVVNELkgBAAAA3rYBAAMAAAAAALk8MObNe94I5E3POM573ghJQ0lRLk5ZU0U6SUJNLklRX09QRUJfT0JMSUdBVElPTl9JTlRFUkVTVF9DT1NUX0RPTS4xOTk5LjA2LzAz</t>
  </si>
  <si>
    <t>LzIwMjYuLi5VU0QuSAEAAADetgEAAwAAAAAAuTww5s173gjkTc84znveCENDSVEuTllTRTpJQk0uSVFfUEVOU0lPTl9ORVRfQVNTRVRfUkVDT0dfRE9NLjE5OTkuMDYvMDMvMjAyNi4uLlVTRC5IAQAAAN62AQADAAAAAAC5PDDmzXveCORNzzjOe94IOUNJUS5OWVNFOklCTS5JUV9QRU5TSU9OX09USEVSX0RPTS4xOTk5LjA2LzAzLzIwMjYuLi5VU0QuSAEAAADetgEAAwAAAAAAuTww5s173gjkTc84znveCE1DSVEuTllTRTpJQk0uSVFfUEVOU0lPTl9BU1NFVFNfT1RIRVJfUExBTl9BREpfRk9SRUlHTi4xOTk5LjA2LzAzLzIwMjYuLi5VU0QuSAEAAADetgEAAwAAAAAAuTww5s173gjkTc84znveCEZDSVEuTllTRTpJQk0uSVFfUEVOU0lPTl9PQkxJR0FUSU9OX1JPQV9GT1JFSUdOLjE5OTkuMDYvMDMvMjAyNi4uLlVTRC5IAQAAAN62AQADAAAAAAC5PDDmzXveCIaJzzjOe94IUUNJUS5OWVNFOklCTS5JUV9PUEVCX0RFQ1JFQVNFX0VGRkVDVF9TRVJWSUNFX0lOVF9DT1NUX0RPTS4xOTk5LjA2LzAzLzIwMjYuLi5VU0QuSAEAAADetgEAAwAAAAAAuTww5s173gjkTc84znveCEBDSVEuTllTRTpJQk0uSVFfT1BFQl9UUkFOU0lUSU9OX05FWFRfRE9NLjE5OTkuMDYvMDMvMjAyNi4uLlVTRC5IAQAAAN62AQADAAAAAAC5PDDmzXveCORNzzjOe94IQkNJUS5OWVNFOklCTS5JUV9BVU1fQUNRVUlTSVRJT05TX1RS</t>
  </si>
  <si>
    <t>QU5TRkVSUy4xOTk5LjA2LzAzLzIwMjYuLi5VU0QuSAEAAADetgEAAwAAAAAAuTww5s173gjkTc84znveCD1DSVEuTllTRTpJQk0uSVFfT1BFQl9BQ1RfTkVYVF9GT1JFSUdOLjE5OTkuMDYvMDMvMjAyNi4uLlVTRC5IAQAAAN62AQADAAAAAAC5PDDmzXveCORNzzjOe94ISUNJUS5OWVNFOklCTS5JUV9PUEVCX0FTU0VUU19CRU5FRklUU19QQUlEX0ZPUkVJR04uMTk5OS4wNi8wMy8yMDI2Li4uVVNELkgBAAAA3rYBAAMAAAAAALk8MObNe94IhonPOM573gg9Q0lRLk5ZU0U6SUJNLklRX1BFTlNJT05fRElTQ09VTlRfUkFURV9GT1JFSUdOLjE5OTkuMDYvMDMvMjAyNgEAAADetgEAAwAAAAAAuTww5s173giGic84znveCE9DSVEuTllTRTpJQk0uSVFfUEVOU0lPTl9PQkxJR0FUSU9OX1NFUlZJQ0VfQ09TVF9GT1JFSUdOLjE5OTkuMDYvMDMvMjAyNi4uLlVTRC5IAQAAAN62AQADAAAAAAC5PDDmzXveCIaJzzjOe94IN0NJUS5OWVNFOklCTS5JUV9BVU1fRkVFX0VBUk5JTkcuMTk5OS4wNi8wMy8yMDI2Li4uVVNELkgBAAAA3rYBAAMAAAAAALk8MObNe94IhonPOM573ghOQ0lRLk5ZU0U6SUJNLklRX1BFTlNJT05fVU5GVU5ERURfQURETF9NSU5fTElBQl9GT1JFSUdOLjE5OTkuMDYvMDMvMjAyNi4uLlVTRC5IAQAAAN62AQADAAAAAAC5PDDmzXveCIaJzzjOe94IQUNJUS5OWVNFOklCTS5JUV9QRU5TSU9OX09U</t>
  </si>
  <si>
    <t>SEVSX0FESl9GT1JFSUdOLjE5OTkuMDYvMDMvMjAyNi4uLlVTRC5IAQAAAN62AQADAAAAAAC5PDDmzXveCIaJzzjOe94IR0NJUS5OWVNFOklCTS5JUV9QRU5TSU9OX0VTVF9CRU5FRklUXzJZUl9GT1JFSUdOLjE5OTkuMDYvMDMvMjAyNi4uLlVTRC5IAQAAAN62AQADAAAAAAC5PDDmzXveCIaJzzjOe94ISkNJUS5OWVNFOklCTS5JUV9QRU5TSU9OX1BCT19SQVRFX0NPTVBfSU5DUkVBU0VfTUFYX0ZPUkVJR04uMTk5OS4wNi8wMy8yMDI2AQAAAN62AQADAAAAAAC5PDDmzXveCIaJzzjOe94ISENJUS5OWVNFOklCTS5JUV9QRU5TSU9OX0NJX05FVF9BTVRfUkVDT0dfRk9SRUlHTi4xOTk5LjA2LzAzLzIwMjYuLi5VU0QuSAEAAADetgEAAwAAAAAAuTww5s173giGic84znveCEBDSVEuTllTRTpJQk0uSVFfUEVOU0lPTl9CUkVBS0RPV05fUENUX0ZJX0ZPUkVJR04uMTk5OS4wNi8wMy8yMDI2AQAAAN62AQADAAAAAAC5PDDmzXveCIaJzzjOe94IRkNJUS5OWVNFOklCTS5JUV9QRU5TSU9OX09CTElHQVRJT05fQUNRX0ZPUkVJR04uMTk5OS4wNi8wMy8yMDI2Li4uVVNELkgBAAAA3rYBAAMAAAAAALk8MObNe94I+rDPOM573ggzQ0lRLk5ZU0U6SUJNLklRX09QRUJfQ0xfRE9NLjE5OTkuMDYvMDMvMjAyNi4uLlVTRC5IAQAAAN62AQADAAAAAAC5PDDmzXveCPqwzzjOe94IQUNJUS5OWVNFOklCTS5JUV9PUEVCX1BC</t>
  </si>
  <si>
    <t>T19BU1NVTUVEX1JBVEVfUkVUX01BWF9ET00uMTk5OS4wNi8wMy8yMDI2AQAAAN62AQADAAAAAAC5PDDmzXveCPqwzzjOe94IQENJUS5OWVNFOklCTS5JUV9PUEVCX0JSRUFLRE9XTl9PVEhFUl9ET00uMTk5OS4wNi8wMy8yMDI2Li4uVVNELkgBAAAA3rYBAAMAAAAAALk8MObNe94IhonPOM573gg9Q0lRLk5ZU0U6SUJNLklRX09QRUJfQlJFQUtET1dOX1BDVF9FUV9GT1JFSUdOLjE5OTkuMDYvMDMvMjAyNgEAAADetgEAAwAAAAAAuTww5s173giGic84znveCEpDSVEuTllTRTpJQk0uSVFfT1BFQl9BU1NFVFNfT1RIRVJfUExBTl9BREpfRk9SRUlHTi4xOTk5LjA2LzAzLzIwMjYuLi5VU0QuSAEAAADetgEAAwAAAAAAuTww5s173gj6sM84znveCD9DSVEuTllTRTpJQk0uSVFfT1BFQl9PVEhFUl9DT1NUX0ZPUkVJR04uMTk5OS4wNi8wMy8yMDI2Li4uVVNELkgBAAAA3rYBAAMAAAAAALk8MObNe94I+rDPOM573ghBQ0lRLk5ZU0U6SUJNLklRX09QRUJfU0VSVklDRV9DT1NUX0ZPUkVJR04uMTk5OS4wNi8wMy8yMDI2Li4uVVNELkgBAAAA3rYBAAMAAAAAALk8MObNe94I+rDPOM573ghQQ0lRLk5ZU0U6SUJNLklRX1BFTlNJT05fRVNUX0NPTlRSSUJVVElPTlNfTkVYVFlSX0ZPUkVJR04uMTk5OS4wNi8wMy8yMDI2Li4uVVNELkgBAAAA3rYBAAMAAAAAALk8MObNe94I+rDPOM573ghIQ0lRLk5ZU0U6SUJNLklR</t>
  </si>
  <si>
    <t>X1BFTlNJT05fUEJPX0FTU1VNRURfUkFURV9SRVRfTUFYX0ZPUkVJR04uMTk5OS4wNi8wMy8yMDI2AQAAAN62AQADAAAAAAC5PDDmzXveCPqwzzjOe94IRENJUS5OWVNFOklCTS5JUV9QRU5TSU9OX0JSRUFLRE9XTl9FUV9GT1JFSUdOLjE5OTkuMDYvMDMvMjAyNi4uLlVTRC5IAQAAAN62AQADAAAAAAC5PDDmzXveCPqwzzjOe94IRENJUS5OWVNFOklCTS5JUV9PUEVCX0VTVF9CRU5FRklUXzFZUl9GT1JFSUdOLjE5OTkuMDYvMDMvMjAyNi4uLlVTRC5IAQAAAN62AQADAAAAAAC5PDDmzXveCPqwzzjOe94IX0NJUS5OWVNFOklCTS5JUV9QRU5TSU9OX09CTElHQVRJT05fVE9UQUxfQ09TVF9JTkNMX1NVUFBMRV9QTEFOU19GT1JFSUdOLjE5OTkuMDYvMDMvMjAyNi4uLlVTRC5IAQAAAN62AQADAAAAAAC5PDDmzXveCPqwzzjOe94IPkNJUS5OWVNFOklCTS5JUV9PUEVCX1VOUkVDT0dfUFJJT1JfRE9NLjE5OTkuMDYvMDMvMjAyNi4uLlVTRC5IAQAAAN62AQADAAAAAAC5PDDmzXveCPqwzzjOe94IRkNJUS5OWVNFOklCTS5JUV9PUEVCX0FTU0VUU19PVEhFUl9QTEFOX0FESl9ET00uMTk5OS4wNi8wMy8yMDI2Li4uVVNELkgBAAAA3rYBAAMAAAAAALk8MObNe94I+rDPOM573gg7Q0lRLk5ZU0U6SUJNLklRX09QRUJfVE9UQUxfQ09TVF9ET00uMTk5OS4wNi8wMy8yMDI2Li4uVVNELkgBAAAA3rYBAAMAAAAAALk8</t>
  </si>
  <si>
    <t>MObNe94IWdjPOM573ghGQ0lRLk5ZU0U6SUJNLklRX1BFTlNJT05fUEJPX1JBVEVfQ09NUF9JTkNSRUFTRV9NQVhfRE9NLjE5OTkuMDYvMDMvMjAyNgEAAADetgEAAwAAAAAAuTww5s173ghZ2M84znveCDpDSVEuTllTRTpJQk0uSVFfUEVOU0lPTl9DSV9BQ1RfRE9NLjE5OTkuMDYvMDMvMjAyNi4uLlVTRC5IAQAAAN62AQADAAAAAAC5PDDmzXveCFnYzzjOe94IP0NJUS5OWVNFOklCTS5JUV9QRU5TSU9OX0VYUF9SQVRFX1JFVFVSTl9NSU5fRE9NLjE5OTkuMDYvMDMvMjAyNgEAAADetgEAAwAAAAAAuTww5s173ghZ2M84znveCElDSVEuTllTRTpJQk0uSVFfUEVOU0lPTl9DSV9PVEhFUl9NSVNDX0FESl9GT1JFSUdOLjE5OTkuMDYvMDMvMjAyNi4uLlVTRC5IAQAAAN62AQADAAAAAAC5PDDmzXveCFnYzzjOe94IRkNJUS5OWVNFOklCTS5JUV9QRU5TSU9OX1JBVEVfQ09NUF9JTkNSRUFTRV9NSU5fRk9SRUlHTi4xOTk5LjA2LzAzLzIwMjYBAAAA3rYBAAMAAAAAALk8MObNe94IWdjPOM573ghKQ0lRLk5ZU0U6SUJNLklRX1BFTlNJT05fT0JMSUdBVElPTl9DVVJUQUlMX0ZPUkVJR04uMTk5OS4wNi8wMy8yMDI2Li4uVVNELkgBAAAA3rYBAAMAAAAAALk8MObNe94IWdjPOM573ghZQ0lRLk5ZU0U6SUJNLklRX1BFTlNJT05fT0JMSUdBVElPTl9FTVBMT1lFRV9DT05UUklCVVRJT05TX0ZPUkVJR04uMTk5OS4w</t>
  </si>
  <si>
    <t>Ni8wMy8yMDI2Li4uVVNELkgBAAAA3rYBAAMAAAAAALk8MObNe94IWdjPOM573gg8Q0lRLk5ZU0U6SUJNLklRX09QRUJfRVhQX1JBVEVfUkVUVVJOX01JTl9ET00uMTk5OS4wNi8wMy8yMDI2AQAAAN62AQADAAAAAAC5PDDmzXveCFnYzzjOe94IRUNJUS5OWVNFOklCTS5JUV9QRU5TSU9OX1VOUkVDT0dfUFJJT1JfRk9SRUlHTi4xOTk5LjA2LzAzLzIwMjYuLi5VU0QuSAEAAADetgEAAwAAAAAAuTww5s173ghZ2M84znveCFFDSVEuTllTRTpJQk0uSVFfT1BFQl9JTkNSRUFTRV9FRkZFQ1RfU0VSVklDRV9JTlRfQ09TVF9ET00uMTk5OS4wNi8wMy8yMDI2Li4uVVNELkgBAAAA3rYBAAMAAAAAALk8MObNe94Ir//POM573gg9Q0lRLk5ZU0U6SUJNLklRX09QRUJfUFJFUEFJRF9DT1NUX0RPTS4xOTk5LjA2LzAzLzIwMjYuLi5VU0QuSAEAAADetgEAAwAAAAAAuTww5s173giv/884znveCEVDSVEuTllTRTpJQk0uSVFfT1BFQl9BU1NFVFNfQkVORUZJVFNfUEFJRF9ET00uMTk5OS4wNi8wMy8yMDI2Li4uVVNELkgBAAAA3rYBAAMAAAAAALk8MObNe94Ir//POM573ghDQ0lRLk5ZU0U6SUJNLklRX09QRUJfT0JMSUdBVElPTl9DVVJUQUlMX0RPTS4xOTk5LjA2LzAzLzIwMjYuLi5VU0QuSAEAAADetgEAAwAAAAAAuTww5s173giv/884znveCEBDSVEuTllTRTpJQk0uSVFfUEVOU0lPTl9CUkVBS0RPV05fUkVfRE9N</t>
  </si>
  <si>
    <t>LjE5OTkuMDYvMDMvMjAyNi4uLlVTRC5IAQAAAN62AQADAAAAAAC5PDDmzXveCFnYzzjOe94IQUNJUS5OWVNFOklCTS5JUV9QRU5TSU9OX1JBVEVfQ09NUF9HUk9XVEhfRE9NRVNUSUMuMTk5OS4wNi8wMy8yMDI2AQAAAN62AQADAAAAAAC5PDDmzXveCK//zzjOe94ISUNJUS5OWVNFOklCTS5JUV9QRU5TSU9OX0FTU0VUU19PVEhFUl9QTEFOX0FESl9ET00uMTk5OS4wNi8wMy8yMDI2Li4uVVNELkgBAAAA3rYBAAMAAAAAALk8MObNe94Ir//POM573ghCQ0lRLk5ZU0U6SUJNLklRX1BFTlNJT05fT0JMSUdBVElPTl9BQ1FfRE9NLjE5OTkuMDYvMDMvMjAyNi4uLlVTRC5IAQAAAN62AQADAAAAAAC5PDDmzXveCK//zzjOe94IPUNJUS5OWVNFOklCTS5JUV9QRU5TSU9OX09USEVSX0ZPUkVJR04uMTk5OS4wNi8wMy8yMDI2Li4uVVNELkgBAAAA3rYBAAMAAAAAALk8MObNe94Ir//POM573ghGQ0lRLk5ZU0U6SUJNLklRX1BFTlNJT05fQU1UX1JFQ09HX05FWFRfRk9SRUlHTi4xOTk5LjA2LzAzLzIwMjYuLi5VU0QuSAEAAADetgEAAwAAAAAAuTww5s173giv/884znveCEJDSVEuTllTRTpJQk0uSVFfUEVOU0lPTl9FWFBfUkVUVVJOX0ZPUkVJR04uMTk5OS4wNi8wMy8yMDI2Li4uVVNELkgBAAAA3rYBAAMAAAAAALk8MObNe94IlDrQOM573ghCQ0lRLk5ZU0U6SUJNLklRX09QRUJfSEVBTFRIX0NPU1RfVFJFTkRf</t>
  </si>
  <si>
    <t>SU5JVElBTF9ET00uMTk5OS4wNi8wMy8yMDI2AQAAAN62AQADAAAAAAC5PDDmzXveCK//zzjOe94IN0NJUS5OWVNFOklCTS5JUV9PUEVCX0NJX0FDVF9ET00uMTk5OS4wNi8wMy8yMDI2Li4uVVNELkgBAAAA3rYBAAMAAAAAALk8MObNe94Ir//POM573gg9Q0lRLk5ZU0U6SUJNLklRX09QRUJfQlJFQUtET1dOX0ZJX0RPTS4xOTk5LjA2LzAzLzIwMjYuLi5VU0QuSAEAAADetgEAAwAAAAAAuTww5s173giv/884znveCDlDSVEuTllTRTpJQk0uSVFfT1BFQl9CUkVBS0RPV05fUENUX0ZJX0RPTS4xOTk5LjA2LzAzLzIwMjYBAAAA3rYBAAMAAAAAALk8MObNe94Ir//POM573gg2Q0lRLk5ZU0U6SUJNLklRX09QRUJfRElTQ19SQVRFX01BWF9ET00uMTk5OS4wNi8wMy8yMDI2AQAAAN62AQADAAAAAAC5PDDmzXveCJQ60DjOe94IQENJUS5OWVNFOklCTS5JUV9PUEVCX09CTElHQVRJT05fUEFJRF9ET00uMTk5OS4wNi8wMy8yMDI2Li4uVVNELkgBAAAA3rYBAAMAAAAAALk8MObNe94IlDrQOM573gg+Q0lRLk5ZU0U6SUJNLklRX09QRUJfSU5URVJFU1RfQ09TVF9ET00uMTk5OS4wNi8wMy8yMDI2Li4uVVNELkgBAAAA3rYBAAMAAAAAALk8MObNe94IlDrQOM573ghCQ0lRLk5ZU0U6SUJNLklRX1BFTlNJT05fQU1UX1JFQ09HX05FWFRfRE9NLjE5OTkuMDYvMDMvMjAyNi4uLlVTRC5IAQAAAN62AQADAAAAAAC5PDDm</t>
  </si>
  <si>
    <t>zXveCJQ60DjOe94IRUNJUS5OWVNFOklCTS5JUV9QRU5TSU9OX0NJX1RSQU5TSVRJT05fRk9SRUlHTi4xOTk5LjA2LzAzLzIwMjYuLi5VU0QuSAEAAADetgEAAwAAAAAAuTww5s173giUOtA4znveCEVDSVEuTllTRTpJQk0uSVFfUEVOU0lPTl9BU1NFVFNfRlhfQURKX0ZPUkVJR04uMTk5OS4wNi8wMy8yMDI2Li4uVVNELkgBAAAA3rYBAAMAAAAAALk8MObNe94I2mHQOM573gg/Q0lRLk5ZU0U6SUJNLklRX09QRUJfQVNTRVRTX0NVUlRBSUxfRE9NLjE5OTkuMDYvMDMvMjAyNi4uLlVTRC5IAQAAAN62AQADAAAAAAC5PDDmzXveCNph0DjOe94IPENJUS5OWVNFOklCTS5JUV9QRU5TSU9OX0FDVF9ORVhUX0RPTS4xOTk5LjA2LzAzLzIwMjYuLi5VU0QuSAEAAADetgEAAwAAAAAAuTww5s173gjaYdA4znveCEBDSVEuTllTRTpJQk0uSVFfUEVOU0lPTl9CUkVBS0RPV05fRVFfRE9NLjE5OTkuMDYvMDMvMjAyNi4uLlVTRC5IAQAAAN62AQADAAAAAAC5PDDmzXveCJQ60DjOe94IQkNJUS5OWVNFOklCTS5JUV9QRU5TSU9OX1JBVEVfQ09NUF9JTkNSRUFTRV9NSU5fRE9NLjE5OTkuMDYvMDMvMjAyNgEAAADetgEAAwAAAAAAuTww5s173giUOtA4znveCFFDSVEuTllTRTpJQk0uSVFfUEVOU0lPTl9BU1NFVFNfRU1QTE9ZRVJfQ09OVFJJQlVUSU9OU19ET00uMTk5OS4wNi8wMy8yMDI2Li4uVVNELkgBAAAA3rYBAAMA</t>
  </si>
  <si>
    <t>AAAAALk8MObNe94I2mHQOM573ghLQ0lRLk5ZU0U6SUJNLklRX1BFTlNJT05fT0JMSUdBVElPTl9TRVJWSUNFX0NPU1RfRE9NLjE5OTkuMDYvMDMvMjAyNi4uLlVTRC5IAQAAAN62AQADAAAAAAC5PDDmzXveCNph0DjOe94IOkNJUS5OWVNFOklCTS5JUV9PUEVCX1VOUkVDT0dfUFJJT1IuMTk5OS4wNi8wMy8yMDI2Li4uVVNELkgBAAAA3rYBAAMAAAAAALk8MObNe94I2mHQOM573gg8Q0lRLk5ZU0U6SUJNLklRX09QRUJfRVNUX0JFTkVGSVRfMllSLjE5OTkuMDYvMDMvMjAyNi4uLlVTRC5IAQAAAN62AQADAAAAAAC5PDDmzXveCNph0DjOe94IPUNJUS5OWVNFOklCTS5JUV9PUEVCX0NJX1BSSU9SX1NFUlZJQ0UuMTk5OS4wNi8wMy8yMDI2Li4uVVNELkgBAAAA3rYBAAMAAAAAALk8MObNe94I2mHQOM573gg7Q0lRLk5ZU0U6SUJNLklRX09QRUJfUkFURV9DT01QX0lOQ1JFQVNFX01JTi4xOTk5LjA2LzAzLzIwMjYBAAAA3rYBAAMAAAAAALk8MObNe94I2mHQOM573ggzQ0lRLk5ZU0U6SUJNLklRX09QRUJfQVNTRVRTLjE5OTkuMDYvMDMvMjAyNi4uLlVTRC5IAQAAAN62AQADAAAAAAC5PDDmzXveCNph0DjOe94IP0NJUS5OWVNFOklCTS5JUV9PUEVCX09CTElHQVRJT05fQ1VSVEFJTC4xOTk5LjA2LzAzLzIwMjYuLi5VU0QuSAEAAADetgEAAwAAAAAAuTww5s173gjaYdA4znveCDdDSVEuTllTRTpJQk0uSVFf</t>
  </si>
  <si>
    <t>T1BFQl9FWFBfUkVUVVJOLjE5OTkuMDYvMDMvMjAyNi4uLlVTRC5IAQAAAN62AQADAAAAAAC5PDDmzXveCNph0DjOe94IR0NJUS5OWVNFOklCTS5JUV9QRU5TSU9OX1RSQU5TSVRJT05fTkVYVF9GT1JFSUdOLjE5OTkuMDYvMDMvMjAyNi4uLlVTRC5IAQAAAN62AQADAAAAAAC5PDDmzXveCNph0DjOe94IPkNJUS5OWVNFOklCTS5JUV9QRU5TSU9OX0FTU0VUU19GT1JFSUdOLjE5OTkuMDYvMDMvMjAyNi4uLlVTRC5IAQAAAN62AQADAAAAAAC5PDDmzXveCESW0DjOe94IQ0NJUS5OWVNFOklCTS5JUV9PUEVCX0VTVF9CRU5FRklUX0FGVEVSNV9ET00uMTk5OS4wNi8wMy8yMDI2Li4uVVNELkgBAAAA3rYBAAMAAAAAALk8MObNe94IRJbQOM573gg2Q0lRLk5ZU0U6SUJNLklRX09QRUJfRElTQ19SQVRFX01JTl9ET00uMTk5OS4wNi8wMy8yMDI2AQAAAN62AQADAAAAAAC5PDDmzXveCESW0DjOe94IQENJUS5OWVNFOklCTS5JUV9QRU5TSU9OX0lOVEFOX0FTU0VUU19ET00uMTk5OS4wNi8wMy8yMDI2Li4uVVNELkgBAAAA3rYBAAMAAAAAALk8MObNe94IRJbQOM573ghBQ0lRLk5ZU0U6SUJNLklRX09QRUJfQlJFQUtET1dOX0ZJX0ZPUkVJR04uMTk5OS4wNi8wMy8yMDI2Li4uVVNELkgBAAAA3rYBAAMAAAAAALk8MObNe94I2mHQOM573gg/Q0lRLk5ZU0U6SUJNLklRX1BFTlNJT05fTFRfTElBQl9GT1JFSUdOLjE5</t>
  </si>
  <si>
    <t>OTkuMDYvMDMvMjAyNi4uLlVTRC5IAQAAAN62AQADAAAAAAC5PDDmzXveCESW0DjOe94ITENJUS5OWVNFOklCTS5JUV9QRU5TSU9OX0FTU0VUU19CRU5FRklUU19QQUlEX0ZPUkVJR04uMTk5OS4wNi8wMy8yMDI2Li4uVVNELkgBAAAA3rYBAAMAAAAAALk8MObNe94IRJbQOM573ghEQ0lRLk5ZU0U6SUJNLklRX1BFTlNJT05fU0VSVklDRV9DT1NUX0ZPUkVJR04uMTk5OS4wNi8wMy8yMDI2Li4uVVNELkgBAAAA3rYBAAMAAAAAALk8MObNe94IRJbQOM573gg/Q0lRLk5ZU0U6SUJNLklRX09QRUJfQUNDVU1fT1RIRVJfQ0lfRE9NLjE5OTkuMDYvMDMvMjAyNi4uLlVTRC5IAQAAAN62AQADAAAAAAC5PDDmzXveCESW0DjOe94IPUNJUS5OWVNFOklCTS5JUV9PUEVCX0JSRUFLRE9XTl9FUV9ET00uMTk5OS4wNi8wMy8yMDI2Li4uVVNELkgBAAAA3rYBAAMAAAAAALk8MObNe94IRJbQOM573ghQQ0lRLk5ZU0U6SUJNLklRX1BFTlNJT05fUVVBUlRfRU1QTE9ZRVJfQ09OVFJJQlVUSU9OU19ET00uMTk5OS4wNi8wMy8yMDI2Li4uVVNELkgBAAAA3rYBAAMAAAAAALk8MObNe94IRJbQOM573ghDQ0lRLk5ZU0U6SUJNLklRX1BFTlNJT05fRVNUX0JFTkVGSVRfNFlSX0RPTS4xOTk5LjA2LzAzLzIwMjYuLi5VU0QuSAEAAADetgEAAwAAAAAAuTww5s173ghEltA4znveCERDSVEuTllTRTpJQk0uSVFfT1BFQl9PQkxJR0FU</t>
  </si>
  <si>
    <t>SU9OX1BBSURfRk9SRUlHTi4xOTk5LjA2LzAzLzIwMjYuLi5VU0QuSAEAAADetgEAAwAAAAAAuTww5s173ghEltA4znveCE5DSVEuTllTRTpJQk0uSVFfUEVOU0lPTl9BQ0NVTVVMQVRFRF9PQkxJR0FUSU9OX0ZPUkVJR04uMTk5OS4wNi8wMy8yMDI2Li4uVVNELkgBAAAA3rYBAAMAAAAAALk8MObNe94IRJbQOM573ghEQ0lRLk5ZU0U6SUJNLklRX09QRUJfREVDUkVBU0VfRUZGRUNUX1BCT19ET00uMTk5OS4wNi8wMy8yMDI2Li4uVVNELkgBAAAA3rYBAAMAAAAAALk8MObNe94IRJbQOM573ghFQ0lRLk5ZU0U6SUJNLklRX09QRUJfQVNTRVRTX0FDVFVBTF9SRVRVUk5fRE9NLjE5OTkuMDYvMDMvMjAyNi4uLlVTRC5IAQAAAN62AQADAAAAAAC5PDDmzXveCESW0DjOe94IP0NJUS5OWVNFOklCTS5JUV9PUEVCX09CTElHQVRJT05fQUNRX0RPTS4xOTk5LjA2LzAzLzIwMjYuLi5VU0QuSAEAAADetgEAAwAAAAAAuTww5s173ghEltA4znveCERDSVEuTllTRTpJQk0uSVFfUEVOU0lPTl9QQk9fQVNTVU1FRF9SQVRFX1JFVF9NSU5fRE9NLjE5OTkuMDYvMDMvMjAyNgEAAADetgEAAwAAAAAAuTww5s173ghEltA4znveCENDSVEuTllTRTpJQk0uSVFfUEVOU0lPTl9CUkVBS0RPV05fT1RIRVJfRE9NLjE5OTkuMDYvMDMvMjAyNi4uLlVTRC5IAQAAAN62AQADAAAAAAC5PDDmzXveCESW0DjOe94IQkNJUS5OWVNFOklC</t>
  </si>
  <si>
    <t>TS5JUV9QRU5TSU9OX1JBVEVfQ09NUF9JTkNSRUFTRV9NQVhfRE9NLjE5OTkuMDYvMDMvMjAyNgEAAADetgEAAwAAAAAAuTww5s173ghEltA4znveCDlDSVEuTllTRTpJQk0uSVFfUEVOU0lPTl9ESVNDX1JBVEVfTUFYX0RPTS4xOTk5LjA2LzAzLzIwMjYBAAAA3rYBAAMAAAAAALk8MObNe94ILtHQOM573gg+Q0lRLk5ZU0U6SUJNLklRX1BFTlNJT05fQVNTRVRTX0JFR19ET00uMTk5OS4wNi8wMy8yMDI2Li4uVVNELkgBAAAA3rYBAAMAAAAAALk8MObNe94ILtHQOM573ghbQ0lRLk5ZU0U6SUJNLklRX1BFTlNJT05fT0JMSUdBVElPTl9UT1RBTF9DT1NUX0lOQ0xfU1VQUExFX1BMQU5TX0RPTS4xOTk5LjA2LzAzLzIwMjYuLi5VU0QuSAEAAADetgEAAwAAAAAAuTww5s173ggu0dA4znveCDpDSVEuTllTRTpJQk0uSVFfUEVOU0lPTl9DTF9GT1JFSUdOLjE5OTkuMDYvMDMvMjAyNi4uLlVTRC5IAQAAAN62AQADAAAAAAC5PDDmzXveCC7R0DjOe94IOENJUS5OWVNFOklCTS5JUV9PUEVCX0xUX0xJQUJfRE9NLjE5OTkuMDYvMDMvMjAyNi4uLlVTRC5IAQAAAN62AQADAAAAAAC5PDDmzXveCESW0DjOe94IQENJUS5OWVNFOklCTS5JUV9PUEVCX0VTVF9CRU5FRklUXzJZUl9ET00uMTk5OS4wNi8wMy8yMDI2Li4uVVNELkgBAAAA3rYBAAMAAAAAALk8MObNe94ILtHQOM573ghFQ0lRLk5ZU0U6SUJNLklRX09QRUJf</t>
  </si>
  <si>
    <t>T0JMSUdBVElPTl9QUk9KRUNURURfRE9NLjE5OTkuMDYvMDMvMjAyNi4uLlVTRC5IAQAAAN62AQADAAAAAAC5PDDmzXveCC7R0DjOe94ISENJUS5OWVNFOklCTS5JUV9PUEVCX09CTElHQVRJT05fU0VSVklDRV9DT1NUX0RPTS4xOTk5LjA2LzAzLzIwMjYuLi5VU0QuSAEAAADetgEAAwAAAAAAuTww5s173ggu0dA4znveCEpDSVEuTllTRTpJQk0uSVFfUEVOU0lPTl9VTkZVTkRFRF9BRERMX01JTl9MSUFCX0RPTS4xOTk5LjA2LzAzLzIwMjYuLi5VU0QuSAEAAADetgEAAwAAAAAAuTww5s173ggu0dA4znveCEZDSVEuTllTRTpJQk0uSVFfUEVOU0lPTl9FU1RfQkVORUZJVF9BRlRFUjVfRE9NLjE5OTkuMDYvMDMvMjAyNi4uLlVTRC5IAQAAAN62AQADAAAAAAC5PDDmzXveCC7R0DjOe94ITENJUS5OWVNFOklCTS5JUV9QRU5TSU9OX09CTElHQVRJT05fUFJPSkVDVEVEX0ZPUkVJR04uMTk5OS4wNi8wMy8yMDI2Li4uVVNELkgBAAAA3rYBAAMAAAAAALk8MObNe94ImfjQOM573ghUQ0lRLk5ZU0U6SUJNLklRX1BFTlNJT05fUVVBUlRfQURETF9DT05UUklCVVRJT05TX0VYUF9GT1JFSUdOLjE5OTkuMDYvMDMvMjAyNi4uLlVTRC5IAQAAAN62AQADAAAAAAC5PDDmzXveCC7R0DjOe94IQENJUS5OWVNFOklCTS5JUV9PUEVCX0VTVF9CRU5FRklUXzFZUl9ET00uMTk5OS4wNi8wMy8yMDI2Li4uVVNELkgBAAAA3rYB</t>
  </si>
  <si>
    <t>AAMAAAAAALk8MObNe94ILtHQOM573ghUQ0lRLk5ZU0U6SUJNLklRX1BFTlNJT05fUVVBUlRfRU1QTE9ZRVJfQ09OVFJJQlVUSU9OU19GT1JFSUdOLjE5OTkuMDYvMDMvMjAyNi4uLlVTRC5IAQAAAN62AQADAAAAAAC5PDDmzXveCC7R0DjOe94IQUNJUS5OWVNFOklCTS5JUV9QRU5TSU9OX0xUX0FTU0VUU19GT1JFSUdOLjE5OTkuMDYvMDMvMjAyNi4uLlVTRC5IAQAAAN62AQADAAAAAAC5PDDmzXveCC7R0DjOe94ITUNJUS5OWVNFOklCTS5JUV9QRU5TSU9OX09CTElHQVRJT05fVE9UQUxfQ09TVF9GT1JFSUdOLjE5OTkuMDYvMDMvMjAyNi4uLlVTRC5IAQAAAN62AQADAAAAAAC5PDDmzXveCJn40DjOe94IOkNJUS5OWVNFOklCTS5JUV9PUEVCX0RJU0NfUkFURV9NQVhfRk9SRUlHTi4xOTk5LjA2LzAzLzIwMjYBAAAA3rYBAAMAAAAAALk8MObNe94ImfjQOM573gg9Q0lRLk5ZU0U6SUJNLklRX1BFTlNJT05fRElTQ19SQVRFX01JTl9GT1JFSUdOLjE5OTkuMDYvMDMvMjAyNgEAAADetgEAAwAAAAAAuTww5s173giZ+NA4znveCE1DSVEuTllTRTpJQk0uSVFfUEVOU0lPTl9PQkxJR0FUSU9OX09USEVSX0NPU1RfRk9SRUlHTi4xOTk5LjA2LzAzLzIwMjYuLi5VU0QuSAEAAADetgEAAwAAAAAAuTww5s173giZ+NA4znveCEFDSVEuTllTRTpJQk0uSVFfT1BFQl9QQk9fQVNTVU1FRF9SQVRFX1JFVF9NSU5fRE9N</t>
  </si>
  <si>
    <t>LjE5OTkuMDYvMDMvMjAyNgEAAADetgEAAwAAAAAAuTww5s173giZ+NA4znveCD1DSVEuTllTRTpJQk0uSVFfT1BFQl9BQ0NSVUVEX0xJQUJfRE9NLjE5OTkuMDYvMDMvMjAyNi4uLlVTRC5IAQAAAN62AQADAAAAAAC5PDDmzXveCJn40DjOe94IR0NJUS5OWVNFOklCTS5JUV9QRU5TSU9OX0JSRUFLRE9XTl9PVEhFUl9GT1JFSUdOLjE5OTkuMDYvMDMvMjAyNi4uLlVTRC5IAQAAAN62AQADAAAAAAC5PDDmzXveCJn40DjOe94IQENJUS5OWVNFOklCTS5JUV9QRU5TSU9OX0JSRUFLRE9XTl9QQ1RfUkVfRk9SRUlHTi4xOTk5LjA2LzAzLzIwMjYBAAAA3rYBAAMAAAAAALk8MObNe94ImfjQOM573ghGQ0lRLk5ZU0U6SUJNLklRX1BFTlNJT05fUkFURV9DT01QX0lOQ1JFQVNFX01BWF9GT1JFSUdOLjE5OTkuMDYvMDMvMjAyNgEAAADetgEAAwAAAAAAuTww5s173giZ+NA4znveCD5DSVEuTllTRTpJQk0uSVFfT1BFQl9DSV9UUkFOU0lUSU9OX0RPTS4xOTk5LjA2LzAzLzIwMjYuLi5VU0QuSAEAAADetgEAAwAAAAAAuTww5s173giZ+NA4znveCDtDSVEuTllTRTpJQk0uSVFfT1BFQl9BU1NFVFNfQUNRX0RPTS4xOTk5LjA2LzAzLzIwMjYuLi5VU0QuSAEAAADetgEAAwAAAAAAuTww5s173gjNH9E4znveCFBDSVEuTllTRTpJQk0uSVFfUEVOU0lPTl9RVUFSVF9BRERMX0NPTlRSSUJVVElPTlNfRVhQX0RPTS4xOTk5</t>
  </si>
  <si>
    <t>LjA2LzAzLzIwMjYuLi5VU0QuSAEAAADetgEAAwAAAAAAuTww5s173gjNH9E4znveCEZDSVEuTllTRTpJQk0uSVFfUEVOU0lPTl9QQk9fUkFURV9DT01QX0lOQ1JFQVNFX01JTl9ET00uMTk5OS4wNi8wMy8yMDI2AQAAAN62AQADAAAAAAC5PDDmzXveCM0f0TjOe94IOUNJUS5OWVNFOklCTS5JUV9QRU5TSU9OX0RJU0NfUkFURV9NSU5fRE9NLjE5OTkuMDYvMDMvMjAyNgEAAADetgEAAwAAAAAAuTww5s173gjNH9E4znveCE9DSVEuTllTRTpJQk0uSVFfUEVOU0lPTl9BQ0NVTVVMQVRFRF9PQkxJR0FUSU9OX0RPTUVTVElDLjE5OTkuMDYvMDMvMjAyNi4uLlVTRC5IAQAAAN62AQADAAAAAAC5PDDmzXveCJn40DjOe94IQkNJUS5OWVNFOklCTS5JUV9QRU5TSU9OX09CTElHQVRJT05fUk9BX0RPTS4xOTk5LjA2LzAzLzIwMjYuLi5VU0QuSAEAAADetgEAAwAAAAAAuTww5s173gjNH9E4znveCC9DSVEuTllTRTpJQk0uSVFfT1BFQl9DTC4xOTk5LjA2LzAzLzIwMjYuLi5VU0QuSAEAAADetgEAAwAAAAAAuTww5s173gjNH9E4znveCD9DSVEuTllTRTpJQk0uSVFfT1BFQl9QQk9fUkFURV9DT01QX0lOQ1JFQVNFX01JTi4xOTk5LjA2LzAzLzIwMjYBAAAA3rYBAAMAAAAAALk8MObNe94IzR/ROM573ghEQ0lRLk5ZU0U6SUJNLklRX1BFTlNJT05fSU5UQU5fQVNTRVRTX0ZPUkVJR04uMTk5OS4wNi8wMy8yMDI2Li4u</t>
  </si>
  <si>
    <t>VVNELkgBAAAA3rYBAAMAAAAAALk8MObNe94IzR/ROM573ghDQ0lRLk5ZU0U6SUJNLklRX09QRUJfSEVBTFRIX0NPU1RfVFJFTkRfVUxUSU1BVEVfRE9NLjE5OTkuMDYvMDMvMjAyNgEAAADetgEAAwAAAAAAuTww5s173gjHRtE4znveCEBDSVEuTllTRTpJQk0uSVFfT1BFQl9FU1RfQkVORUZJVF80WVJfRE9NLjE5OTkuMDYvMDMvMjAyNi4uLlVTRC5IAQAAAN62AQADAAAAAAC5PDDmzXveCM0f0TjOe94ISENJUS5OWVNFOklCTS5JUV9PUEVCX1NVUFBMRV9QTEFOU19UT1RBTF9DT1NUX0RPTS4xOTk5LjA2LzAzLzIwMjYuLi5VU0QuSAEAAADetgEAAwAAAAAAuTww5s173gjNH9E4znveCEJDSVEuTllTRTpJQk0uSVFfUEVOU0lPTl9BU1NFVFNfQUNRX0ZPUkVJR04uMTk5OS4wNi8wMy8yMDI2Li4uVVNELkgBAAAA3rYBAAMAAAAAALk8MObNe94IzR/ROM573ghHQ0lRLk5ZU0U6SUJNLklRX09QRUJfT0JMSUdBVElPTl9BQ0NVTVVMQVRFRF9ET00uMTk5OS4wNi8wMy8yMDI2Li4uVVNELkgBAAAA3rYBAAMAAAAAALk8MObNe94IzR/ROM573gg2Q0lRLk5ZU0U6SUJNLklRX1BFTlNJT05fQ0xfRE9NLjE5OTkuMDYvMDMvMjAyNi4uLlVTRC5IAQAAAN62AQADAAAAAAC5PDDmzXveCMdG0TjOe94IQENJUS5OWVNFOklCTS5JUV9QRU5TSU9OX1BSRVBBSURfQ09TVF9ET00uMTk5OS4wNi8wMy8yMDI2Li4uVVNELkgB</t>
  </si>
  <si>
    <t>AAAA3rYBAAMAAAAAALk8MObNe94Ix0bROM573gg8Q0lRLk5ZU0U6SUJNLklRX1BFTlNJT05fQlJFQUtET1dOX1BDVF9SRV9ET00uMTk5OS4wNi8wMy8yMDI2AQAAAN62AQADAAAAAAC5PDDmzXveCMdG0TjOe94IPkNJUS5OWVNFOklCTS5JUV9QRU5TSU9OX0FTU0VUU19BQ1FfRE9NLjE5OTkuMDYvMDMvMjAyNi4uLlVTRC5IAQAAAN62AQADAAAAAAC5PDDmzXveCMdG0TjOe94IUUNJUS5OWVNFOklCTS5JUV9QRU5TSU9OX0FTU0VUU19QQVJUSUNJUF9DT05UUklCVVRJT05TX0RPTS4xOTk5LjA2LzAzLzIwMjYuLi5VU0QuSAEAAADetgEAAwAAAAAAuTww5s173gjHRtE4znveCExDSVEuTllTRTpJQk0uSVFfUEVOU0lPTl9PQkxJR0FUSU9OX0lOVEVSRVNUX0NPU1RfRE9NLjE5OTkuMDYvMDMvMjAyNi4uLlVTRC5IAQAAAN62AQADAAAAAAC5PDDmzXveCMdG0TjOe94IQENJUS5OWVNFOklCTS5JUV9PUEVCX0lOQ1JFQVNFX0VGRkVDVF9QQk8uMTk5OS4wNi8wMy8yMDI2Li4uVVNELkgBAAAA3rYBAAMAAAAAALk8MObNe94Ix0bROM573gg/Q0lRLk5ZU0U6SUJNLklRX09QRUJfQU1UX1JFQ09HX05FWFRfRE9NLjE5OTkuMDYvMDMvMjAyNi4uLlVTRC5IAQAAAN62AQADAAAAAAC5PDDmzXveCMdG0TjOe94IPENJUS5OWVNFOklCTS5JUV9PUEVCX0VYUF9SQVRFX1JFVFVSTl9NQVhfRE9NLjE5OTkuMDYvMDMvMjAy</t>
  </si>
  <si>
    <t>NgEAAADetgEAAwAAAAAAuTww5s173gjHRtE4znveCFJDSVEuTllTRTpJQk0uSVFfT1BFQl9PQkxJR0FUSU9OX0VNUExPWUVFX0NPTlRSSUJVVElPTlNfRE9NLjE5OTkuMDYvMDMvMjAyNi4uLlVTRC5IAQAAAN62AQADAAAAAAC5PDDmzXveCMdG0TjOe94IO0NJUS5OWVNFOklCTS5JUV9PUEVCX0VYUF9SRVRVUk5fRE9NLjE5OTkuMDYvMDMvMjAyNi4uLlVTRC5IAQAAAN62AQADAAAAAAC5PDDmzXveCOJt0TjOe94IRENJUS5OWVNFOklCTS5JUV9QRU5TSU9OX0NJX05FVF9BTVRfUkVDT0dfRE9NLjE5OTkuMDYvMDMvMjAyNi4uLlVTRC5IAQAAAN62AQADAAAAAAC5PDDmzXveCOJt0TjOe94ITkNJUS5OWVNFOklCTS5JUV9PUEVCX0FTU0VUU19FTVBMT1lFUl9DT05UUklCVVRJT05TX0RPTS4xOTk5LjA2LzAzLzIwMjYuLi5VU0QuSAEAAADetgEAAwAAAAAAuTww5s173gjibdE4znveCD9DSVEuTllTRTpJQk0uSVFfT1BFQl9PQkxJR0FUSU9OX0JFR19ET00uMTk5OS4wNi8wMy8yMDI2Li4uVVNELkgBAAAA3rYBAAMAAAAAALk8MObNe94I4m3ROM573ghDQ0lRLk5ZU0U6SUJNLklRX1BFTlNJT05fRVNUX0JFTkVGSVRfMllSX0RPTS4xOTk5LjA2LzAzLzIwMjYuLi5VU0QuSAEAAADetgEAAwAAAAAAuTww5s173gjHRtE4znveCDxDSVEuTllTRTpJQk0uSVFfUEVOU0lPTl9CUkVBS0RPV05fUENUX0VRX0RPTS4x</t>
  </si>
  <si>
    <t>OTk5LjA2LzAzLzIwMjYBAAAA3rYBAAMAAAAAALk8MObNe94I4m3ROM573ghDQ0lRLk5ZU0U6SUJNLklRX1BFTlNJT05fRVhQX1JFVFVSTl9ET01FU1RJQy4xOTk5LjA2LzAzLzIwMjYuLi5VU0QuSAEAAADetgEAAwAAAAAAuTww5s173gjibdE4znveCD1DSVEuTllTRTpJQk0uSVFfUEVOU0lPTl9CRU5FRklUX0lORk9fREFURV9ET00uMTk5OS4wNi8wMy8yMDI2AQAAAN62AQADAAAAAAC5PDDmzXveCOJt0TjOe94IP0NJUS5OWVNFOklCTS5JUV9PUEVCX1JBVEVfQ09NUF9JTkNSRUFTRV9NSU5fRE9NLjE5OTkuMDYvMDMvMjAyNgEAAADetgEAAwAAAAAAuTww5s173gjibdE4znveCENDSVEuTllTRTpJQk0uSVFfUEVOU0lPTl9FU1RfQkVORUZJVF81WVJfRE9NLjE5OTkuMDYvMDMvMjAyNi4uLlVTRC5IAQAAAN62AQADAAAAAAC5PDDmzXveCOJt0TjOe94IPkNJUS5OWVNFOklCTS5JUV9QRU5TSU9OX0RJU0NPVU5UX1JBVEVfRE9NRVNUSUMuMTk5OS4wNi8wMy8yMDI2AQAAAN62AQADAAAAAAC5PDDmzXveCOJt0TjOe94IQ0NJUS5OWVNFOklCTS5JUV9QRU5TSU9OX09CTElHQVRJT05fUEFJRF9ET00uMTk5OS4wNi8wMy8yMDI2Li4uVVNELkgBAAAA3rYBAAMAAAAAALk8MObNe94I4m3ROM573gg/Q0lRLk5ZU0U6SUJNLklRX09QRUJfSEVBTFRIX0NPU1RfVFJFTkRfVUxUSU1BVEUuMTk5OS4wNi8wMy8yMDI2</t>
  </si>
  <si>
    <t>AQAAAN62AQADAAAAAADJYzDmzXveCOJt0TjOe94IN0NJUS5OWVNFOklCTS5JUV9PUEVCX0FTU0VUU19CRUcuMTk5OS4wNi8wMy8yMDI2Li4uVVNELkgBAAAA3rYBAAMAAAAAAMljMObNe94I4m3ROM573ghEQ0lRLk5ZU0U6SUJNLklRX09QRUJfT0JMSUdBVElPTl9TRVJWSUNFX0NPU1QuMTk5OS4wNi8wMy8yMDI2Li4uVVNELkgBAAAA3rYBAAMAAAAAAMljMObNe94I15TROM573ghGQ0lRLk5ZU0U6SUJNLklRX1BFTlNJT05fVU5GVU5ERURfQURETF9NSU5fTElBQi4xOTk5LjA2LzAzLzIwMjYuLi5VU0QuSAEAAADetgEAAwAAAAAAyWMw5s173gjXlNE4znveCDxDSVEuTllTRTpJQk0uSVFfUEVOU0lPTl9JTlRBTl9BU1NFVFMuMTk5OS4wNi8wMy8yMDI2Li4uVVNELkgBAAAA3rYBAAMAAAAAAMljMObNe94I15TROM573ghAQ0lRLk5ZU0U6SUJNLklRX1BFTlNJT05fQU1UX1JFQ09HX1BFUklPRC4xOTk5LjA2LzAzLzIwMjYuLi5VU0QuSAEAAADetgEAAwAAAAAAyWMw5s173gjXlNE4znveCEJDSVEuTllTRTpJQk0uSVFfUEVOU0lPTl9QUklPUl9TRVJWSUNFX05FWFQuMTk5OS4wNi8wMy8yMDI2Li4uVVNELkgBAAAA3rYBAAMAAAAAAMljMObNe94I4m3ROM573gg4Q0lRLk5ZU0U6SUJNLklRX1BFTlNJT05fQlJFQUtET1dOX1BDVF9FUS4xOTk5LjA2LzAzLzIwMjYBAAAA3rYBAAMAAAAAAMljMObNe94I15TR</t>
  </si>
  <si>
    <t>OM573ghNQ0lRLk5ZU0U6SUJNLklRX1BFTlNJT05fQVNTRVRTX1BBUlRJQ0lQX0NPTlRSSUJVVElPTlMuMTk5OS4wNi8wMy8yMDI2Li4uVVNELkgBAAAA3rYBAAMAAAAAAMljMObNe94I15TROM573ghIQ0lRLk5ZU0U6SUJNLklRX1BFTlNJT05fT0JMSUdBVElPTl9JTlRFUkVTVF9DT1NULjE5OTkuMDYvMDMvMjAyNi4uLlVTRC5IAQAAAN62AQADAAAAAADJYzDmzXveCNeU0TjOe94ILENJUS5OWVNFOklCTS5JUV9BVURJVE9SX05BTUUuMTk5OS4wNi8wMy8yMDI2AQAAAN62AQADAAAAAADJYzDmzXveCNeU0TjOe94ILkNJUS5OWVNFOklCTS5JUV9SRVNUQVRFTUVOVF9CUy4xOTk5LjA2LzAzLzIwMjYBAAAA3rYBAAMAAAABTwDJYzDmzXveCNeU0TjOe94ISENJUS5OWVNFOklCTS5JUV9QRU5TSU9OX09CTElHQVRJT05fUFJPSkVDVEVEX0RPTS4xOTk5LjA2LzAzLzIwMjYuLi5VU0QuSAEAAADetgEAAwAAAAAAyWMw5s173gjqu9E4znveCEJDSVEuTllTRTpJQk0uSVFfUEVOU0lPTl9PQkxJR0FUSU9OX0JFR19ET00uMTk5OS4wNi8wMy8yMDI2Li4uVVNELkgBAAAA3rYBAAMAAAAAAMljMObNe94I15TROM573gg9Q0lRLk5ZU0U6SUJNLklRX09QRUJfUEJPX0FTU1VNRURfUkFURV9SRVRfTUlOLjE5OTkuMDYvMDMvMjAyNgEAAADetgEAAwAAAAAAyWMw5s173gjXlNE4znveCDVDSVEuTllTRTpJQk0uSVFfT1BF</t>
  </si>
  <si>
    <t>Ql9CUkVBS0RPV05fUENUX0ZJLjE5OTkuMDYvMDMvMjAyNgEAAADetgEAAwAAAAAAyWMw5s173gjXlNE4znveCDdDSVEuTllTRTpJQk0uSVFfT1BFQl9BU1NFVFNfQUNRLjE5OTkuMDYvMDMvMjAyNi4uLlVTRC5IAQAAAN62AQADAAAAAADJYzDmzXveCNeU0TjOe94IOUNJUS5OWVNFOklCTS5JUV9PUEVCX1NFUlZJQ0VfQ09TVC4xOTk5LjA2LzAzLzIwMjYuLi5VU0QuSAEAAADetgEAAwAAAAAAyWMw5s173gjqu9E4znveCExDSVEuTllTRTpJQk0uSVFfUEVOU0lPTl9FU1RfQ09OVFJJQlVUSU9OU19ORVhUWVJfRE9NLjE5OTkuMDYvMDMvMjAyNi4uLlVTRC5IAQAAAN62AQADAAAAAADJYzDmzXveCOq70TjOe94IPENJUS5OWVNFOklCTS5JUV9PUEVCX0JSRUFLRE9XTl9PVEhFUi4xOTk5LjA2LzAzLzIwMjYuLi5VU0QuSAEAAADetgEAAwAAAAAAyWMw5s173gjqu9E4znveCEtDSVEuTllTRTpJQk0uSVFfT1BFQl9PQkxJR0FUSU9OX0FDVFVBUklBTF9HQUlOX0xPU1MuMTk5OS4wNi8wMy8yMDI2Li4uVVNELkgBAAAA3rYBAAMAAAAAAMljMObNe94I6rvROM573gg2Q0lRLk5ZU0U6SUJNLklRX09QRUJfTFRfQVNTRVRTLjE5OTkuMDYvMDMvMjAyNi4uLlVTRC5IAQAAAN62AQADAAAAAADJYzDmzXveCOq70TjOe94IOUNJUS5OWVNFOklCTS5JUV9PUEVCX0lOVEFOX0FTU0VUUy4xOTk5LjA2LzAzLzIwMjYuLi5V</t>
  </si>
  <si>
    <t>U0QuSAEAAADetgEAAwAAAAAAyWMw5s173gjYz9E4znveCDlDSVEuTllTRTpJQk0uSVFfT1BFQl9QUkVQQUlEX0NPU1QuMTk5OS4wNi8wMy8yMDI2Li4uVVNELkgBAAAA3rYBAAMAAAAAAMljMObNe94I2M/ROM573gg8Q0lRLk5ZU0U6SUJNLklRX09QRUJfVFJBTlNJVElPTl9ORVhULjE5OTkuMDYvMDMvMjAyNi4uLlVTRC5IAQAAAN62AQADAAAAAADJYzDmzXveCNjP0TjOe94IQUNJUS5OWVNFOklCTS5JUV9PUEVCX09CTElHQVRJT05fUFJPSkVDVEVELjE5OTkuMDYvMDMvMjAyNi4uLlVTRC5IAQAAAN62AQADAAAAAADJYzDmzXveCNjP0TjOe94IPENJUS5OWVNFOklCTS5JUV9PUEVCX0VTVF9CRU5FRklUXzVZUi4xOTk5LjA2LzAzLzIwMjYuLi5VU0QuSAEAAADetgEAAwAAAAAAyWMw5s173gjqu9E4znveCD9DSVEuTllTRTpJQk0uSVFfT1BFQl9QUklPUl9TRVJWSUNFX05FWFQuMTk5OS4wNi8wMy8yMDI2Li4uVVNELkgBAAAA3rYBAAMAAAAAAMljMObNe94I2M/ROM573gg4Q0lRLk5ZU0U6SUJNLklRX09QRUJfRVhQX1JBVEVfUkVUVVJOX01BWC4xOTk5LjA2LzAzLzIwMjYBAAAA3rYBAAMAAAAAAMljMObNe94I2M/ROM573ghBQ0lRLk5ZU0U6SUJNLklRX09QRUJfQVNTRVRTX0JFTkVGSVRTX1BBSUQuMTk5OS4wNi8wMy8yMDI2Li4uVVNELkgBAAAA3rYBAAMAAAAAAMljMObNe94I2M/ROM573gg3Q0lR</t>
  </si>
  <si>
    <t>Lk5ZU0U6SUJNLklRX09QRUJfQVNTRVRTX0RPTS4xOTk5LjA2LzAzLzIwMjYuLi5VU0QuSAEAAADetgEAAwAAAAAAyWMw5s173gjYz9E4znveCERDSVEuTllTRTpJQk0uSVFfUEVOU0lPTl9DSV9QUklPUl9TRVJWSUNFX0RPTS4xOTk5LjA2LzAzLzIwMjYuLi5VU0QuSAEAAADetgEAAwAAAAAAyWMw5s173gjYz9E4znveCD9DSVEuTllTRTpJQk0uSVFfUEVOU0lPTl9FWFBfUkFURV9SRVRVUk5fTUFYX0RPTS4xOTk5LjA2LzAzLzIwMjYBAAAA3rYBAAMAAAAAAMljMObNe94IEvfROM573gg8Q0lRLk5ZU0U6SUJNLklRX09QRUJfRVNUX0JFTkVGSVRfM1lSLjE5OTkuMDYvMDMvMjAyNi4uLlVTRC5IAQAAAN62AQADAAAAAADJYzDmzXveCNjP0TjOe94IOUNJUS5OWVNFOklCTS5JUV9PUEVCX0JSRUFLRE9XTl9GSS4xOTk5LjA2LzAzLzIwMjYuLi5VU0QuSAEAAADetgEAAwAAAAAAyWMw5s173gjYz9E4znveCEZDSVEuTllTRTpJQk0uSVFfUEVOU0lPTl9QUklPUl9TRVJWSUNFX05FWFRfRE9NLjE5OTkuMDYvMDMvMjAyNi4uLlVTRC5IAQAAAN62AQADAAAAAADJYzDmzXveCNjP0TjOe94IP0NJUS5OWVNFOklCTS5JUV9QRU5TSU9OX0JSRUFLRE9XTl9QQ1RfT1RIRVJfRE9NLjE5OTkuMDYvMDMvMjAyNgEAAADetgEAAwAAAAAAyWMw5s173gjYz9E4znveCFJDSVEuTllTRTpJQk0uSVFfUEVOU0lPTl9PQkxJR0FU</t>
  </si>
  <si>
    <t>SU9OX0FDVFVBUklBTF9HQUlOX0xPU1NfRE9NLjE5OTkuMDYvMDMvMjAyNi4uLlVTRC5IAQAAAN62AQADAAAAAADJYzDmzXveCBL30TjOe94ISUNJUS5OWVNFOklCTS5JUV9QRU5TSU9OX09CTElHQVRJT05fVE9UQUxfQ09TVF9ET00uMTk5OS4wNi8wMy8yMDI2Li4uVVNELkgBAAAA3rYBAAMAAAAAAMljMObNe94IEvfROM573ghNQ0lRLk5ZU0U6SUJNLklRX09QRUJfREVDUkVBU0VfRUZGRUNUX1NFUlZJQ0VfSU5UX0NPU1QuMTk5OS4wNi8wMy8yMDI2Li4uVVNELkgBAAAA3rYBAAMAAAAAAMljMObNe94IEvfROM573ghNQ0lRLk5ZU0U6SUJNLklRX09QRUJfSU5DUkVBU0VfRUZGRUNUX1NFUlZJQ0VfSU5UX0NPU1QuMTk5OS4wNi8wMy8yMDI2Li4uVVNELkgBAAAA3rYBAAMAAAAAAMljMObNe94IEvfROM573gg7Q0lRLk5ZU0U6SUJNLklRX09QRUJfQVNTRVRTX0NVUlRBSUwuMTk5OS4wNi8wMy8yMDI2Li4uVVNELkgBAAAA3rYBAAMAAAAAAMljMObNe94IEvfROM573gg6Q0lRLk5ZU0U6SUJNLklRX09QRUJfSU5URVJFU1RfQ09TVC4xOTk5LjA2LzAzLzIwMjYuLi5VU0QuSAEAAADetgEAAwAAAAAAyWMw5s173ggS99E4znveCDVDSVEuTllTRTpJQk0uSVFfUEVOU0lPTl9PVEhFUi4xOTk5LjA2LzAzLzIwMjYuLi5VU0QuSAEAAADetgEAAwAAAAAAyWMw5s173ggS99E4znveCD9DSVEuTllTRTpJQk0uSVFf</t>
  </si>
  <si>
    <t>UEVOU0lPTl9FU1RfQkVORUZJVF8xWVIuMTk5OS4wNi8wMy8yMDI2Li4uVVNELkgBAAAA3rYBAAMAAAAAAMljMObNe94IEvfROM573ghAQ0lRLk5ZU0U6SUJNLklRX1BFTlNJT05fUEJPX0FTU1VNRURfUkFURV9SRVRfTUFYLjE5OTkuMDYvMDMvMjAyNgEAAADetgEAAwAAAAAAyWMw5s173ggS99E4znveCDxDSVEuTllTRTpJQk0uSVFfUEVOU0lPTl9CUkVBS0RPV05fRkkuMTk5OS4wNi8wMy8yMDI2Li4uVVNELkgBAAAA3rYBAAMAAAAAAMljMObNe94IEvfROM573ghCQ0lRLk5ZU0U6SUJNLklRX1BFTlNJT05fQUNDVU1fT1RIRVJfQ0lfRE9NLjE5OTkuMDYvMDMvMjAyNi4uLlVTRC5IAQAAAN62AQADAAAAAADJYzDmzXveCCAe0jjOe94ITUNJUS5OWVNFOklCTS5JUV9QRU5TSU9OX09CTElHQVRJT05fT1RIRVJfUExBTl9BREpfRE9NLjE5OTkuMDYvMDMvMjAyNi4uLlVTRC5IAQAAAN62AQADAAAAAADJYzDmzXveCCAe0jjOe94IPkNJUS5OWVNFOklCTS5JUV9PUEVCX0hFQUxUSF9DT1NUX1RSRU5EX0lOSVRJQUwuMTk5OS4wNi8wMy8yMDI2AQAAAN62AQADAAAAAADJYzDmzXveCCAe0jjOe94IO0NJUS5OWVNFOklCTS5JUV9PUEVCX1JBVEVfQ09NUF9JTkNSRUFTRV9NQVguMTk5OS4wNi8wMy8yMDI2AQAAAN62AQADAAAAAADJYzDmzXveCBL30TjOe94IO0NJUS5OWVNFOklCTS5JUV9PUEVCX09CTElHQVRJ</t>
  </si>
  <si>
    <t>T05fQkVHLjE5OTkuMDYvMDMvMjAyNi4uLlVTRC5IAQAAAN62AQADAAAAAADJYzDmzXveCBL30TjOe94IPUNJUS5OWVNFOklCTS5JUV9QRU5TSU9OX09USEVSX0FESl9ET00uMTk5OS4wNi8wMy8yMDI2Li4uVVNELkgBAAAA3rYBAAMAAAAAAMljMObNe94IIB7SOM573ghDQ0lRLk5ZU0U6SUJNLklRX1BFTlNJT05fRVNUX0JFTkVGSVRfM1lSX0RPTS4xOTk5LjA2LzAzLzIwMjYuLi5VU0QuSAEAAADetgEAAwAAAAAAyWMw5s173gggHtI4znveCDpDSVEuTllTRTpJQk0uSVFfUEVOU0lPTl9BU1NFVFNfRE9NLjE5OTkuMDYvMDMvMjAyNi4uLlVTRC5IAQAAAN62AQADAAAAAADJYzDmzXveCCAe0jjOe94IRUNJUS5OWVNFOklCTS5JUV9QRU5TSU9OX09CTElHQVRJT05fRlhfQURKX0RPTS4xOTk5LjA2LzAzLzIwMjYuLi5VU0QuSAEAAADetgEAAwAAAAAAyWMw5s173gggHtI4znveCDtDSVEuTllTRTpJQk0uSVFfT1BFQl9BTVRfUkVDT0dfTkVYVC4xOTk5LjA2LzAzLzIwMjYuLi5VU0QuSAEAAADetgEAAwAAAAAAyWMw5s173gggHtI4znveCDhDSVEuTllTRTpJQk0uSVFfT1BFQl9CUkVBS0RPV05fUENUX09USEVSLjE5OTkuMDYvMDMvMjAyNgEAAADetgEAAwAAAAAAyWMw5s173gggHtI4znveCD5DSVEuTllTRTpJQk0uSVFfT1BFQl9PQkxJR0FUSU9OX0ZYX0FESi4xOTk5LjA2LzAzLzIwMjYuLi5VU0QuSAEA</t>
  </si>
  <si>
    <t>AADetgEAAwAAAAAAyWMw5s173gggHtI4znveCExDSVEuTllTRTpJQk0uSVFfUEVOU0lPTl9RVUFSVF9BRERMX0NPTlRSSUJVVElPTlNfRVhQLjE5OTkuMDYvMDMvMjAyNi4uLlVTRC5IAQAAAN62AQADAAAAAADJYzDmzXveCCAe0jjOe94IN0NJUS5OWVNFOklCTS5JUV9QRU5TSU9OX1VWX0xJQUIuMTk5OS4wNi8wMy8yMDI2Li4uVVNELkgBAAAA3rYBAAMAAAAAAMljMObNe94IIB7SOM573gg/Q0lRLk5ZU0U6SUJNLklRX1BFTlNJT05fRVNUX0JFTkVGSVRfNVlSLjE5OTkuMDYvMDMvMjAyNi4uLlVTRC5IAQAAAN62AQADAAAAAADJYzDmzXveCCAe0jjOe94IQENJUS5OWVNFOklCTS5JUV9QRU5TSU9OX0NJX05FVF9BTVRfUkVDT0cuMTk5OS4wNi8wMy8yMDI2Li4uVVNELkgBAAAA3rYBAAMAAAAAAMljMObNe94IIB7SOM573gg7Q0lRLk5ZU0U6SUJNLklRX1BFTlNJT05fRVhQX1JBVEVfUkVUVVJOX01BWC4xOTk5LjA2LzAzLzIwMjYBAAAA3rYBAAMAAAAAAMljMObNe94IIB7SOM573ghNQ0lRLk5ZU0U6SUJNLklRX1BFTlNJT05fQVNTRVRTX0VNUExPWUVSX0NPTlRSSUJVVElPTlMuMTk5OS4wNi8wMy8yMDI2Li4uVVNELkgBAAAA3rYBAAMAAAAAAMljMObNe94IIB7SOM573ghGQ0lRLk5ZU0U6SUJNLklRX1BFTlNJT05fQUNDVU1VTEFURURfT0JMSUdBVElPTi4xOTk5LjA2LzAzLzIwMjYuLi5VU0QuSAEA</t>
  </si>
  <si>
    <t>AADetgEAAwAAAAAAyWMw5s173gggHtI4znveCEdDSVEuTllTRTpJQk0uSVFfUEVOU0lPTl9DT05UUklCVVRJT05fVE9UQUxfQ09TVC4xOTk5LjA2LzAzLzIwMjYuLi5VU0QuSAEAAADetgEAAwAAAAAAyWMw5s173gggHtI4znveCC9DSVEuTllTRTpJQk0uSVFfRklMSU5HX0NVUlJFTkNZLjE5OTkuMDYvMDMvMjAyNgEAAADetgEAAwAAAANVU0QAF35A5s173gibn9g4znveCDZDSVEuTllTRTpJQk0uSVFfT1BFQl9CRU5FRklUX0lORk9fREFURS4xOTk5LjA2LzAzLzIwMjYBAAAA3rYBAAMAAAAAAMljMObNe94I+ljSOM573gg6Q0lRLk5ZU0U6SUJNLklRX09QRUJfQVNTRVRTX0ZYX0FESi4xOTk5LjA2LzAzLzIwMjYuLi5VU0QuSAEAAADetgEAAwAAAAAAyWMw5s173gggHtI4znveCD9DSVEuTllTRTpJQk0uSVFfT1BFQl9FU1RfQkVORUZJVF9BRlRFUjUuMTk5OS4wNi8wMy8yMDI2Li4uVVNELkgBAAAA3rYBAAMAAAAAAMljMObNe94IIB7SOM573gg1Q0lRLk5ZU0U6SUJNLklRX09QRUJfQUNUX05FWFQuMTk5OS4wNi8wMy8yMDI2Li4uVVNELkgBAAAA3rYBAAMAAAAAAMljMObNe94I+ljSOM573gg5Q0lRLk5ZU0U6SUJNLklRX09QRUJfQlJFQUtET1dOX1JFLjE5OTkuMDYvMDMvMjAyNi4uLlVTRC5IAQAAAN62AQADAAAAAADJYzDmzXveCPpY0jjOe94IMkNJUS5OWVNFOklCTS5JUV9PUEVCX0RJU0NfUkFU</t>
  </si>
  <si>
    <t>RV9NQVguMTk5OS4wNi8wMy8yMDI2AQAAAN62AQADAAAAAADJYzDmzXveCPpY0jjOe94IRkNJUS5OWVNFOklCTS5JUV9PUEVCX09CTElHQVRJT05fT1RIRVJfUExBTl9BREouMTk5OS4wNi8wMy8yMDI2Li4uVVNELkgBAAAA3rYBAAMAAAAAAMljMObNe94I+ljSOM573ghEQ0lRLk5ZU0U6SUJNLklRX09QRUJfU1VQUExFX1BMQU5TX1RPVEFMX0NPU1QuMTk5OS4wNi8wMy8yMDI2Li4uVVNELkgBAAAA3rYBAAMAAAAAAMljMObNe94I+ljSOM573ghKQ0lRLk5ZU0U6SUJNLklRX09QRUJfT0JMSUdBVElPTl9PVEhFUl9QTEFOX0FESl9ET00uMTk5OS4wNi8wMy8yMDI2Li4uVVNELkgBAAAA3rYBAAMAAAAAAMljMObNe94I+JTSOM573ghAQ0lRLk5ZU0U6SUJNLklRX1BFTlNJT05fQUNDUlVFRF9MSUFCX0RPTS4xOTk5LjA2LzAzLzIwMjYuLi5VU0QuSAEAAADetgEAAwAAAAAAyWMw5s173giEbdI4znveCDRDSVEuTllTRTpJQk0uSVFfT1BFQl9MVF9MSUFCLjE5OTkuMDYvMDMvMjAyNi4uLlVTRC5IAQAAAN62AQADAAAAAADJYzDmzXveCIRt0jjOe94IPUNJUS5OWVNFOklCTS5JUV9PUEVCX1NFUlZJQ0VfQ09TVF9ET00uMTk5OS4wNi8wMy8yMDI2Li4uVVNELkgBAAAA3rYBAAMAAAAAAMljMObNe94IhG3SOM573ghVQ0lRLk5ZU0U6SUJNLklRX1BFTlNJT05fT0JMSUdBVElPTl9FTVBMT1lFRV9DT05UUklCVVRJ</t>
  </si>
  <si>
    <t>T05TX0RPTS4xOTk5LjA2LzAzLzIwMjYuLi5VU0QuSAEAAADetgEAAwAAAAAAyWMw5s173giEbdI4znveCElDSVEuTllTRTpJQk0uSVFfUEVOU0lPTl9PQkxJR0FUSU9OX09USEVSX0NPU1RfRE9NLjE5OTkuMDYvMDMvMjAyNi4uLlVTRC5IAQAAAN62AQADAAAAAADJYzDmzXveCPiU0jjOe94IQUNJUS5OWVNFOklCTS5JUV9QRU5TSU9OX0lOVEVSRVNUX0NPU1RfRE9NLjE5OTkuMDYvMDMvMjAyNi4uLlVTRC5IAQAAAN62AQADAAAAAADJYzDmzXveCPiU0jjOe94IPENJUS5OWVNFOklCTS5JUV9PUEVCX05FVF9BU1NFVF9SRUNPRy4xOTk5LjA2LzAzLzIwMjYuLi5VU0QuSAEAAADetgEAAwAAAAAAyWMw5s173gj4lNI4znveCD1DSVEuTllTRTpJQk0uSVFfT1BFQl9DSV9ORVRfQU1UX1JFQ09HLjE5OTkuMDYvMDMvMjAyNi4uLlVTRC5IAQAAAN62AQADAAAAAADJYzDmzXveCPiU0jjOe94IQUNJUS5OWVNFOklCTS5JUV9QRU5TSU9OX1VOUkVDT0dfUFJJT1JfRE9NLjE5OTkuMDYvMDMvMjAyNi4uLlVTRC5IAQAAAN62AQADAAAAAADJYzDmzXveCPiU0jjOe94IRkNJUS5OWVNFOklCTS5JUV9QRU5TSU9OX09CTElHQVRJT05fQ1VSVEFJTF9ET00uMTk5OS4wNi8wMy8yMDI2Li4uVVNELkgBAAAA3rYBAAMAAAAAAMljMObNe94I+JTSOM573gg5Q0lRLk5ZU0U6SUJNLklRX09QRUJfQlJFQUtET1dOX0VRLjE5OTku</t>
  </si>
  <si>
    <t>MDYvMDMvMjAyNi4uLlVTRC5IAQAAAN62AQADAAAAAADJYzDmzXveCPiU0jjOe94IO0NJUS5OWVNFOklCTS5JUV9PUEVCX09CTElHQVRJT05fQUNRLjE5OTkuMDYvMDMvMjAyNi4uLlVTRC5IAQAAAN62AQADAAAAAADJYzDmzXveCPiU0jjOe94IN0NJUS5OWVNFOklCTS5JUV9PUEVCX09USEVSX0NPU1QuMTk5OS4wNi8wMy8yMDI2Li4uVVNELkgBAAAA3rYBAAMAAAAAAMljMObNe94I+JTSOM573gg5Q0lRLk5ZU0U6SUJNLklRX1BFTlNJT05fQkVORUZJVF9JTkZPX0RBVEUuMTk5OS4wNi8wMy8yMDI2AQAAAN62AQADAAAAAADJYzDmzXveCO/M0jjOe94IQUNJUS5OWVNFOklCTS5JUV9QRU5TSU9OX0FTU0VUU19GWF9BREpfRE9NLjE5OTkuMDYvMDMvMjAyNi4uLlVTRC5IAQAAAN62AQADAAAAAADJYzDmzXveCO/M0jjOe94IQENJUS5OWVNFOklCTS5JUV9PUEVCX0RFQ1JFQVNFX0VGRkVDVF9QQk8uMTk5OS4wNi8wMy8yMDI2Li4uVVNELkgBAAAA3rYBAAMAAAAAAMljMObNe94I78zSOM573gg/Q0lRLk5ZU0U6SUJNLklRX09QRUJfUEJPX1JBVEVfQ09NUF9JTkNSRUFTRV9NQVguMTk5OS4wNi8wMy8yMDI2AQAAAN62AQADAAAAAADJYzDmzXveCO/M0jjOe94IOkNJUS5OWVNFOklCTS5JUV9PUEVCX0NJX1RSQU5TSVRJT04uMTk5OS4wNi8wMy8yMDI2Li4uVVNELkgBAAAA3rYBAAMAAAAAAMljMObNe94I78zS</t>
  </si>
  <si>
    <t>OM573ghBQ0lRLk5ZU0U6SUJNLklRX09QRUJfQVNTRVRTX0FDVFVBTF9SRVRVUk4uMTk5OS4wNi8wMy8yMDI2Li4uVVNELkgBAAAA3rYBAAMAAAAAAMljMObNe94I78zSOM573gg+Q0lRLk5ZU0U6SUJNLklRX1BFTlNJT05fQUNDVU1fT1RIRVJfQ0kuMTk5OS4wNi8wMy8yMDI2Li4uVVNELkgBAAAA3rYBAAMAAAAAAMljMObNe94I78zSOM573ghAQ0lRLk5ZU0U6SUJNLklRX1BFTlNJT05fUEJPX0FTU1VNRURfUkFURV9SRVRfTUlOLjE5OTkuMDYvMDMvMjAyNgEAAADetgEAAwAAAAAAyWMw5s173gjvzNI4znveCDxDSVEuTllTRTpJQk0uSVFfUEVOU0lPTl9CUkVBS0RPV05fRVEuMTk5OS4wNi8wMy8yMDI2Li4uVVNELkgBAAAA3rYBAAMAAAAAAMljMObNe94I78zSOM573gg+Q0lRLk5ZU0U6SUJNLklRX1BFTlNJT05fQVNTRVRTX0NVUlRBSUwuMTk5OS4wNi8wMy8yMDI2Li4uVVNELkgBAAAA3rYBAAMAAAAAAMljMObNe94I78zSOM573ghEQ0lRLk5ZU0U6SUJNLklRX1BFTlNJT05fQVNTRVRTX0JFTkVGSVRTX1BBSUQuMTk5OS4wNi8wMy8yMDI2Li4uVVNELkgBAAAA3rYBAAMAAAAAAMljMObNe94IdPTSOM573ghRQ0lRLk5ZU0U6SUJNLklRX1BFTlNJT05fT0JMSUdBVElPTl9FTVBMT1lFRV9DT05UUklCVVRJT05TLjE5OTkuMDYvMDMvMjAyNi4uLlVTRC5IAQAAAN62AQADAAAAAADJYzDmzXveCHT00jjO</t>
  </si>
  <si>
    <t>e94IL0NJUS5OWVNFOklCTS5JUV9BVURJVE9SX09QSU5JT04uMTk5OS4wNi8wMy8yMDI2AQAAAN62AQADAAAAAADJYzDmzXveCHT00jjOe94IPUNJUS5OWVNFOklCTS5JUV9BRFZBTkNFU19GT1JfU1VQUExJRVMuMTk5OS4wNi8wMy8yMDI2Li4uVVNELkgBAAAA3rYBAAMAAAAAAMljMObNe94I78zSOM573gg7Q0lRLk5ZU0U6SUJNLklRX1NUX0RFQlRfREVSSVZBVElWRVMuMTk5OS4wNi8wMy8yMDI2Li4uVVNELkgBAAAA3rYBAAMAAAAAAMljMObNe94I78zSOM573gg1Q0lRLk5ZU0U6SUJNLklRX09SREVSX0JBQ0tMT0cuMTk5OS4wNi8wMy8yMDI2Li4uVVNELkgBAAAA3rYBAAMAAAAAAMljMObNe94IdPTSOM573ghDQ0lRLk5ZU0U6SUJNLklRX1BFTlNJT05fRVNUX0JFTkVGSVRfMVlSX0RPTS4xOTk5LjA2LzAzLzIwMjYuLi5VU0QuSAEAAADetgEAAwAAAAAAyWMw5s173gh09NI4znveCDxDSVEuTllTRTpJQk0uSVFfUEVOU0lPTl9CUkVBS0RPV05fUENUX0ZJX0RPTS4xOTk5LjA2LzAzLzIwMjYBAAAA3rYBAAMAAAAAAMljMObNe94IdPTSOM573gg9Q0lRLk5ZU0U6SUJNLklRX09QRUJfUEJPX0FTU1VNRURfUkFURV9SRVRfTUFYLjE5OTkuMDYvMDMvMjAyNgEAAADetgEAAwAAAAAAyWMw5s173gh09NI4znveCDVDSVEuTllTRTpJQk0uSVFfT1BFQl9CUkVBS0RPV05fUENUX1JFLjE5OTkuMDYvMDMvMjAy</t>
  </si>
  <si>
    <t>NgEAAADetgEAAwAAAAAAyWMw5s173gh09NI4znveCDxDSVEuTllTRTpJQk0uSVFfT1BFQl9PQkxJR0FUSU9OX1BBSUQuMTk5OS4wNi8wMy8yMDI2Li4uVVNELkgBAAAA3rYBAAMAAAAAAMljMObNe94IXgvTOM573gg/Q0lRLk5ZU0U6SUJNLklRX1BFTlNJT05fTkVUX0FTU0VUX1JFQ09HLjE5OTkuMDYvMDMvMjAyNi4uLlVTRC5IAQAAAN62AQADAAAAAADJYzDmzXveCF4L0zjOe94IP0NJUS5OWVNFOklCTS5JUV9QRU5TSU9OX0VTVF9CRU5FRklUXzRZUi4xOTk5LjA2LzAzLzIwMjYuLi5VU0QuSAEAAADetgEAAwAAAAAAyWMw5s173gheC9M4znveCEFDSVEuTllTRTpJQk0uSVFfUEVOU0lPTl9DSV9PVEhFUl9NSVNDX0FESi4xOTk5LjA2LzAzLzIwMjYuLi5VU0QuSAEAAADetgEAAwAAAAAAyWMw5s173gheC9M4znveCDZDSVEuTllTRTpJQk0uSVFfUEVOU0lPTl9DSV9BQ1QuMTk5OS4wNi8wMy8yMDI2Li4uVVNELkgBAAAA3rYBAAMAAAAAAMljMObNe94IXgvTOM573ghDQ0lRLk5ZU0U6SUJNLklRX1BFTlNJT05fVFJBTlNJVElPTl9ORVhUX0RPTS4xOTk5LjA2LzAzLzIwMjYuLi5VU0QuSAEAAADetgEAAwAAAAAAyWMw5s173gheC9M4znveCEVDSVEuTllTRTpJQk0uSVFfUEVOU0lPTl9DSV9PVEhFUl9NSVNDX0FESl9ET00uMTk5OS4wNi8wMy8yMDI2Li4uVVNELkgBAAAA3rYBAAMAAAAAAMljMObNe94I</t>
  </si>
  <si>
    <t>XgvTOM573ghIQ0lRLk5ZU0U6SUJNLklRX1BFTlNJT05fQVNTRVRTX0FDVFVBTF9SRVRVUk5fRE9NLjE5OTkuMDYvMDMvMjAyNi4uLlVTRC5IAQAAAN62AQADAAAAAADJYzDmzXveCF4L0zjOe94IM0NJUS5OWVNFOklCTS5JUV9PUEVCX0NJX0FDVC4xOTk5LjA2LzAzLzIwMjYuLi5VU0QuSAEAAADetgEAAwAAAAAAyWMw5s173gheC9M4znveCDJDSVEuTllTRTpJQk0uSVFfT1BFQl9ESVNDX1JBVEVfTUlOLjE5OTkuMDYvMDMvMjAyNgEAAADetgEAAwAAAAAAyWMw5s173gheC9M4znveCENDSVEuTllTRTpJQk0uSVFfT1BFQl9PQkxJR0FUSU9OX0FDQ1VNVUxBVEVELjE5OTkuMDYvMDMvMjAyNi4uLlVTRC5IAQAAAN62AQADAAAAAADJYzDmzXveCOsy0zjOe94IQENJUS5OWVNFOklCTS5JUV9QRU5TSU9OX1NFUlZJQ0VfQ09TVF9ET00uMTk5OS4wNi8wMy8yMDI2Li4uVVNELkgBAAAA3rYBAAMAAAAAAMljMObNe94I6zLTOM573ggyQ0lRLk5ZU0U6SUJNLklRX09QRUJfT1RIRVIuMTk5OS4wNi8wMy8yMDI2Li4uVVNELkgBAAAA3rYBAAMAAAAAAMljMObNe94IXgvTOM573gg7Q0lRLk5ZU0U6SUJNLklRX09QRUJfQUNDVU1fT1RIRVJfQ0kuMTk5OS4wNi8wMy8yMDI2Li4uVVNELkgBAAAA3rYBAAMAAAAAAMljMObNe94IXgvTOM573gg1Q0lRLk5ZU0U6SUJNLklRX09QRUJfQlJFQUtET1dOX1BDVF9FUS4xOTk5</t>
  </si>
  <si>
    <t>LjA2LzAzLzIwMjYBAAAA3rYBAAMAAAAAAMljMObNe94IXgvTOM573gg3Q0lRLk5ZU0U6SUJNLklRX09QRUJfVE9UQUxfQ09TVC4xOTk5LjA2LzAzLzIwMjYuLi5VU0QuSAEAAADetgEAAwAAAAAAyWMw5s173gjrMtM4znveCDlDSVEuTllTRTpJQk0uSVFfUEVOU0lPTl9MVF9BU1NFVFMuMTk5OS4wNi8wMy8yMDI2Li4uVVNELkgBAAAA3rYBAAMAAAAAAMljMObNe94I6zLTOM573gg8Q0lRLk5ZU0U6SUJNLklRX1BFTlNJT05fQUNDUlVFRF9MSUFCLjE5OTkuMDYvMDMvMjAyNi4uLlVTRC5IAQAAAN62AQADAAAAAADJYzDmzXveCOsy0zjOe94IQkNJUS5OWVNFOklCTS5JUV9PUEVCX09CTElHQVRJT05fRlhfQURKX0RPTS4xOTk5LjA2LzAzLzIwMjYuLi5VU0QuSAEAAADetgEAAwAAAAAAyWMw5s173gjrMtM4znveCDtDSVEuTllTRTpJQk0uSVFfUEVOU0lPTl9MVF9MSUFCX0RPTS4xOTk5LjA2LzAzLzIwMjYuLi5VU0QuSAEAAADetgEAAwAAAAAAyWMw5s173gjrMtM4znveCEhDSVEuTllTRTpJQk0uSVFfUEVOU0lPTl9BU1NFVFNfQkVORUZJVFNfUEFJRF9ET00uMTk5OS4wNi8wMy8yMDI2Li4uVVNELkgBAAAA3rYBAAMAAAAAAMljMObNe94I6zLTOM573gg2Q0lRLk5ZU0U6SUJNLklRX09QRUJfT1RIRVJfQURKLjE5OTkuMDYvMDMvMjAyNi4uLlVTRC5IAQAAAN62AQADAAAAAADJYzDmzXveCOsy0zjOe94I</t>
  </si>
  <si>
    <t>OUNJUS5OWVNFOklCTS5JUV9PUEVCX0FDQ1JVRURfTElBQi4xOTk5LjA2LzAzLzIwMjYuLi5VU0QuSAEAAADetgEAAwAAAAAAyWMw5s173gjrMtM4znveCD5DSVEuTllTRTpJQk0uSVFfT1BFQl9DSV9PVEhFUl9NSVNDX0FESi4xOTk5LjA2LzAzLzIwMjYuLi5VU0QuSAEAAADetgEAAwAAAAAAyWMw5s173gjrMtM4znveCEpDSVEuTllTRTpJQk0uSVFfT1BFQl9BU1NFVFNfRU1QTE9ZRVJfQ09OVFJJQlVUSU9OUy4xOTk5LjA2LzAzLzIwMjYuLi5VU0QuSAEAAADetgEAAwAAAAAAyWMw5s173gjrMtM4znveCE5DSVEuTllTRTpJQk0uSVFfT1BFQl9PQkxJR0FUSU9OX0VNUExPWUVFX0NPTlRSSUJVVElPTlMuMTk5OS4wNi8wMy8yMDI2Li4uVVNELkgBAAAA3rYBAAMAAAAAAMljMObNe94IUG3TOM573ghBQ0lRLk5ZU0U6SUJNLklRX1BFTlNJT05fQ0lfVFJBTlNJVElPTl9ET00uMTk5OS4wNi8wMy8yMDI2Li4uVVNELkgBAAAA3rYBAAMAAAAAAMljMObNe94IqFnTOM573ghCQ0lRLk5ZU0U6SUJNLklRX1BFTlNJT05fQVNTRVRTX0NVUlRBSUxfRE9NLjE5OTkuMDYvMDMvMjAyNi4uLlVTRC5IAQAAAN62AQADAAAAAADJYzDmzXveCKhZ0zjOe94IPENJUS5OWVNFOklCTS5JUV9PUEVCX0VTVF9CRU5FRklUXzFZUi4xOTk5LjA2LzAzLzIwMjYuLi5VU0QuSAEAAADetgEAAwAAAAAAyWMw5s173gioWdM4znveCEJD</t>
  </si>
  <si>
    <t>SVEuTllTRTpJQk0uSVFfT1BFQl9BU1NFVFNfT1RIRVJfUExBTl9BREouMTk5OS4wNi8wMy8yMDI2Li4uVVNELkgBAAAA3rYBAAMAAAAAAMljMObNe94I6zLTOM573gg9Q0lRLk5ZU0U6SUJNLklRX1BFTlNJT05fVU5SRUNPR19QUklPUi4xOTk5LjA2LzAzLzIwMjYuLi5VU0QuSAEAAADetgEAAwAAAAAAyWMw5s173ghQbdM4znveCDtDSVEuTllTRTpJQk0uSVFfT1BFQl9PVEhFUl9DT1NUX0RPTS4xOTk5LjA2LzAzLzIwMjYuLi5VU0QuSAEAAADetgEAAwAAAAAAyWMw5s173ghQbdM4znveCDhDSVEuTllTRTpJQk0uSVFfT1BFQl9FWFBfUkFURV9SRVRVUk5fTUlOLjE5OTkuMDYvMDMvMjAyNgEAAADetgEAAwAAAAAAyWMw5s173ghQbdM4znveCEJDSVEuTllTRTpJQk0uSVFfUEVOU0lPTl9FU1RfQkVORUZJVF9BRlRFUjUuMTk5OS4wNi8wMy8yMDI2Li4uVVNELkgBAAAA3rYBAAMAAAAAAMljMObNe94IUG3TOM573ghBQ0lRLk5ZU0U6SUJNLklRX1BFTlNJT05fT0JMSUdBVElPTl9GWF9BREouMTk5OS4wNi8wMy8yMDI2Li4uVVNELkgBAAAA3rYBAAMAAAAAAMljMObNe94IUG3TOM573ghHQ0lRLk5ZU0U6SUJNLklRX1BFTlNJT05fT0JMSUdBVElPTl9TRVJWSUNFX0NPU1QuMTk5OS4wNi8wMy8yMDI2Li4uVVNELkgBAAAA3rYBAAMAAAAAAMljMObNe94IUG3TOM573gg9Q0lRLk5ZU0U6SUJNLklRX1JFU1RS</t>
  </si>
  <si>
    <t>SUNURURfQ0FTSF9UT1RBTC4xOTk5LjA2LzAzLzIwMjYuLi5VU0QuSAEAAADetgEAAgAAAAIzMAEIAAAABQAAAAExAQAAAAstMTkyMDg0Njk0OQMAAAADMTYwAgAAAAUyNDE5MgQAAAABMAcAAAAIMy82LzIwMjYIAAAACTkvMzAvMjAyNQkAAAABMMljMObNe94IUG3TOM573gg9Q0lRLk5ZU0U6SUJNLklRX0RFQlRfRVFVSVZfT1BFUl9MRUFTRS4xOTk5LjA2LzAzLzIwMjYuLi5VU0QuSAEAAADetgEAAwAAAAAAyWMw5s173ghQbdM4znveCDxDSVEuTllTRTpJQk0uSVFfT1BFQl9FU1RfQkVORUZJVF80WVIuMTk5OS4wNi8wMy8yMDI2Li4uVVNELkgBAAAA3rYBAAMAAAAAAMljMObNe94IUG3TOM573ghAQ0lRLk5ZU0U6SUJNLklRX1BFTlNJT05fQ0lfUFJJT1JfU0VSVklDRS4xOTk5LjA2LzAzLzIwMjYuLi5VU0QuSAEAAADetgEAAwAAAAAAyWMw5s173ghQbdM4znveCD5DSVEuTllTRTpJQk0uSVFfUEVOU0lPTl9SQVRFX0NPTVBfSU5DUkVBU0VfTUlOLjE5OTkuMDYvMDMvMjAyNgEAAADetgEAAwAAAAAAyWMw5s173ghQbdM4znveCEVDSVEuTllTRTpJQk0uSVFfQ1VSUkVOVF9QT1JUX0RFQlRfREVSSVZBVElWRVMuMTk5OS4wNi8wMy8yMDI2Li4uVVNELkgBAAAA3rYBAAMAAAAAAMljMObNe94IUG3TOM573ghKQ0lRLk5ZU0U6SUJNLklRX09QRUJfQVNTRVRTX1BBUlRJQ0lQX0NPTlRSSUJVVElPTlMuMTk5</t>
  </si>
  <si>
    <t>OS4wNi8wMy8yMDI2Li4uVVNELkgBAAAA3rYBAAMAAAAAAMljMObNe94IUG3TOM573ghFQ0lRLk5ZU0U6SUJNLklRX09QRUJfT0JMSUdBVElPTl9JTlRFUkVTVF9DT1NULjE5OTkuMDYvMDMvMjAyNi4uLlVTRC5IAQAAAN62AQADAAAAAADJYzDmzXveCFBt0zjOe94IRUNJUS5OWVNFOklCTS5JUV9QRU5TSU9OX09CTElHQVRJT05fVE9UQUxfQ09TVC4xOTk5LjA2LzAzLzIwMjYuLi5VU0QuSAEAAADetgEAAwAAAAAAyWMw5s173ghQbdM4znveCC5DSVEuTllTRTpJQk0uSVFfR1dfTkVULjE5OTkuMDYvMDMvMjAyNi4uLlVTRC5IAQAAAN62AQACAAAABTY3Mzk2AQgAAAAFAAAAATEBAAAACy0xOTIwODQ2OTQ5AwAAAAMxNjACAAAABTQ4OTYwBAAAAAEwBwAAAAgzLzYvMjAyNggAAAAJOS8zMC8yMDI1CQAAAAEwyWMw5s173ggJqNM4znveCD1DSVEuTllTRTpJQk0uSVFfRklOX0RJVl9MVF9ERUJUX1RPVEFMLjE5OTkuMDYvMDMvMjAyNi4uLlVTRC5IAQAAAN62AQACAAAABTExMzAwAQgAAAAFAAAAATEBAAAACy0xOTIwODQ2OTQ5AwAAAAMxNjACAAAABTI0NTE1BAAAAAEwBwAAAAgzLzYvMjAyNggAAAAJOS8zMC8yMDI1CQAAAAEwyWMw5s173ggJqNM4znveCDtDSVEuTllTRTpJQk0uSVFfTElBQklMSVRJRVNfTEVWRUxfMS4xOTk5LjA2LzAzLzIwMjYuLi5VU0QuSAEAAADetgEAAwAAAAAAyWMw5s173ggJqNM4</t>
  </si>
  <si>
    <t>znveCENDSVEuTllTRTpJQk0uSVFfREVGX1RBWF9WQUxVQVRJT05fQUxMT1dBTkNFLjE5OTkuMDYvMDMvMjAyNi4uLlVTRC5IAQAAAN62AQADAAAAAADJYzDmzXveCFBt0zjOe94IQ0NJUS5OWVNFOklCTS5JUV9GSU5fRElWX01JTk9SSVRZX0lOVF9SRURFRU0uMTk5OS4wNi8wMy8yMDI2Li4uVVNELkgBAAAA3rYBAAMAAAAAAMljMObNe94IUG3TOM573ggtQ0lRLk5ZU0U6SUJNLklRX0xJRk9SLjE5OTkuMDYvMDMvMjAyNi4uLlVTRC5IAQAAAN62AQADAAAAAADJYzDmzXveCAmo0zjOe94IMkNJUS5OWVNFOklCTS5JUV9DQVNIX1NIQVJFLjE5OTkuMDYvMDMvMjAyNi4uLlVTRC5IAQAAAN62AQACAAAACTEyLjM3Njc2NwEIAAAABQAAAAExAQAAAAstMTkyMDg0Njk0OQMAAAADMTYwAgAAAAQ0MzgxBAAAAAEwBwAAAAgzLzYvMjAyNggAAAAJOS8zMC8yMDI1CQAAAAEwyWMw5s173ggJqNM4znveCFRDSVEuTllTRTpJQk0uSVFfRklOQU5DSU5HX09CTElHX05PTl9DVVJSRU5UX0VYQ0xfT1BFUl9MRUFTRVMuMTk5OS4wNi8wMy8yMDI2Li4uVVNELkgBAAAA3rYBAAIAAAAFNTUxNzQBCAAAAAUAAAABMQEAAAALLTE5MjA4NDY5NDkDAAAAAzE2MAIAAAAFNDg5ODEEAAAAATAHAAAACDMvNi8yMDI2CAAAAAk5LzMwLzIwMjUJAAAAATDJYzDmzXveCAmo0zjOe94IRUNJUS5OWVNFOklCTS5JUV9SVUFfT1BFUkFUSU5H</t>
  </si>
  <si>
    <t>X0xFQVNFX0FDQ1VNX0RFUC4xOTk5LjA2LzAzLzIwMjYuLi5VU0QuSAEAAADetgEAAwAAAAAAyWMw5s173ggJqNM4znveCENDSVEuTllTRTpJQk0uSVFfUlVBX0NBUElUQUxfTEVBU0VfQUNDVU1fREVQLjE5OTkuMDYvMDMvMjAyNi4uLlVTRC5IAQAAAN62AQADAAAAAADJYzDmzXveCAmo0zjOe94ILkNJUS5OWVNFOklCTS5JUV9DT01NT04uMTk5OS4wNi8wMy8yMDI2Li4uVVNELkgBAAAA3rYBAAIAAAAFNjI4MTkBCAAAAAUAAAABMQEAAAALLTE5MjA4NDY5NDkDAAAAAzE2MAIAAAAEMTEwMwQAAAABMAcAAAAIMy82LzIwMjYIAAAACTkvMzAvMjAyNQkAAAABMMljMObNe94ICajTOM573gg4Q0lRLk5ZU0U6SUJNLklRX0xPTkdfVEVSTV9MRUFTRVMuMTk5OS4wNi8wMy8yMDI2Li4uVVNELkgBAAAA3rYBAAIAAAAEMzc5MwEIAAAABQAAAAExAQAAAAstMTkyMDg0Njk0OQMAAAADMTYwAgAAAAQxMTgzBAAAAAEwBwAAAAgzLzYvMjAyNggAAAAJOS8zMC8yMDI1CQAAAAEwyWMw5s173ggJqNM4znveCCpDSVEuTllTRTpJQk0uSVFfQVAuMTk5OS4wNi8wMy8yMDI2Li4uVVNELkgBAAAA3rYBAAIAAAAEMzg2NwEIAAAABQAAAAExAQAAAAstMTkyMDg0Njk0OQMAAAADMTYwAgAAAAQxMDE4BAAAAAEwBwAAAAgzLzYvMjAyNggAAAAJOS8zMC8yMDI1CQAAAAEwyWMw5s173ggJqNM4znveCCpDSVEuTllTRTpJQk0uSVFf</t>
  </si>
  <si>
    <t>QUQuMTk5OS4wNi8wMy8yMDI2Li4uVVNELkgBAAAA3rYBAAIAAAAGLTEyMjA3AQgAAAAFAAAAATEBAAAACy0xOTIwODQ2OTQ5AwAAAAMxNjACAAAABDEwNzUEAAAAATAHAAAACDMvNi8yMDI2CAAAAAk5LzMwLzIwMjUJAAAAATDJYzDmzXveCAmo0zjOe94IOENJUS5OWVNFOklCTS5JUV9QRU5TSU9OX0JSRUFLRE9XTl9QQ1RfUkUuMTk5OS4wNi8wMy8yMDI2AQAAAN62AQADAAAAAADJYzDmzXveCAmo0zjOe94INkNJUS5OWVNFOklCTS5JUV9BQ0NVTV9BTU9SVF9HVy4xOTk5LjA2LzAzLzIwMjYuLi5VU0QuSAEAAADetgEAAwAAAAAAyWMw5s173ggJqNM4znveCDlDSVEuTllTRTpJQk0uSVFfUEVOU0lPTl9PVEhFUl9BREouMTk5OS4wNi8wMy8yMDI2Li4uVVNELkgBAAAA3rYBAAMAAAAAAMljMObNe94ICajTOM573gg6Q0lRLk5ZU0U6SUJNLklRX1BFTlNJT05fQVNTRVRTX0FDUS4xOTk5LjA2LzAzLzIwMjYuLi5VU0QuSAEAAADetgEAAwAAAAAAyWMw5s173ggJqNM4znveCERDSVEuTllTRTpJQk0uSVFfUEVOU0lPTl9BU1NFVFNfQUNUVUFMX1JFVFVSTi4xOTk5LjA2LzAzLzIwMjYuLi5VU0QuSAEAAADetgEAAwAAAAAAyWMw5s173ggJqNM4znveCEJDSVEuTllTRTpJQk0uSVFfUEVOU0lPTl9PQkxJR0FUSU9OX0NVUlRBSUwuMTk5OS4wNi8wMy8yMDI2Li4uVVNELkgBAAAA3rYBAAMAAAAAAMljMObNe94I</t>
  </si>
  <si>
    <t>CajTOM573ghAQ0lRLk5ZU0U6SUJNLklRX0FDQ1VNX0FNT1JUX0lOVEFOX0FTU0VUUy4xOTk5LjA2LzAzLzIwMjYuLi5VU0QuSAEAAADetgEAAgAAAAUtOTg5OQEIAAAABQAAAAExAQAAAAstMTkyMDg0Njk0OQMAAAADMTYwAgAAAAUyNDMzMQQAAAABMAcAAAAIMy82LzIwMjYIAAAACTkvMzAvMjAyNQkAAAABMMljMObNe94IT+PTOM573gg8Q0lRLk5ZU0U6SUJNLklRX1dBUlJBTlRZX0xJQUJJTElUSUVTLjE5OTkuMDYvMDMvMjAyNi4uLlVTRC5IAQAAAN62AQADAAAAAADJYzDmzXveCE/j0zjOe94ILkNJUS5OWVNFOklCTS5JUV9DT1NUX0JPUlJPV0lORy4xOTk5LjA2LzAzLzIwMjYBAAAA3rYBAAIAAAAGMi45NjkzAQgAAAAFAAAAATEBAAAACy0xOTIwODQ2OTQ5AwAAAAMxNjACAAAABTIxNjgxBAAAAAEwBwAAAAgzLzYvMjAyNggAAAAJOS8zMC8yMDI1CQAAAAEwyWMw5s173ghP49M4znveCClDSVEuTllTRTpJQk0uSVFfUEFSVF9USU1FLjE5OTkuMDYvMDMvMjAyNgEAAADetgEAAwAAAAAAyWMw5s173ggJqNM4znveCD5DSVEuTllTRTpJQk0uSVFfTElBQklMSVRJRVNfRkFJUl9WQUxVRS4xOTk5LjA2LzAzLzIwMjYuLi5VU0QuSAEAAADetgEAAgAAAAU1NDAwMQDJYzDmzXveCAmo0zjOe94IRkNJUS5OWVNFOklCTS5JUV9UT1RBTF9HRU5FUkFMX1BBUlRORVJfSU5URVJFU1QuMTk5OS4wNi8wMy8yMDI2</t>
  </si>
  <si>
    <t>Li4uVVNELkgBAAAA3rYBAAMAAAAAAMljMObNe94IZvfTOM573ggxQ0lRLk5ZU0U6SUJNLklRX01BQ0hJTkVSWS4xOTk5LjA2LzAzLzIwMjYuLi5VU0QuSAEAAADetgEAAwAAAAAAyWMw5s173ghP49M4znveCDNDSVEuTllTRTpJQk0uSVFfV09SS0lOR19DQVAuMTk5OS4wNi8wMy8yMDI2Li4uVVNELkgBAAAA3rYBAAIAAAAFLTI0MDIBCAAAAAUAAAABMQEAAAALLTE5MjA4NDY5NDkDAAAAAzE2MAIAAAAENDE2NQQAAAABMAcAAAAIMy82LzIwMjYIAAAACTkvMzAvMjAyNQkAAAABMMljMObNe94IT+PTOM573gg/Q0lRLk5ZU0U6SUJNLklRX1BFTlNJT05fT0JMSUdBVElPTl9QQUlELjE5OTkuMDYvMDMvMjAyNi4uLlVTRC5IAQAAAN62AQADAAAAAADJYzDmzXveCE/j0zjOe94IKkNJUS5OWVNFOklCTS5JUV9QRVJJT0REQVRFLjE5OTkuMDYvMDMvMjAyNgEAAADetgEABQAAAAozMC8wOS8yMDI1ABaGoufNe94IqVHaOM573gg8Q0lRLk5ZU0U6SUJNLklRX0RFUklWQVRJVkVfQVNTRVRTX0xULjE5OTkuMDYvMDMvMjAyNi4uLlVTRC5IAQAAAN62AQACAAAAAzM0OAEIAAAABQAAAAExAQAAAAstMTkyMDg0Njk0OQMAAAADMTYwAgAAAAQxMTEwBAAAAAEwBwAAAAgzLzYvMjAyNggAAAAJOS8zMC8yMDI1CQAAAAEwyWMw5s173ghm99M4znveCERDSVEuTllTRTpJQk0uSVFfUEVOU0lPTl9PQkxJR0FUSU9OX1BST0pF</t>
  </si>
  <si>
    <t>Q1RFRC4xOTk5LjA2LzAzLzIwMjYuLi5VU0QuSAEAAADetgEAAwAAAAAAyWMw5s173ghm99M4znveCD5DSVEuTllTRTpJQk0uSVFfUEVOU0lPTl9PQkxJR0FUSU9OX0JFRy4xOTk5LjA2LzAzLzIwMjYuLi5VU0QuSAEAAADetgEAAwAAAAAAyWMw5s173ghm99M4znveCD1DSVEuTllTRTpJQk0uSVFfUEVOU0lPTl9JTlRFUkVTVF9DT1NULjE5OTkuMDYvMDMvMjAyNi4uLlVTRC5IAQAAAN62AQADAAAAAADJYzDmzXveCGb30zjOe94IMkNJUS5OWVNFOklCTS5JUV9BVkdfVEVNUF9FTVBMT1lFRVMuMTk5OS4wNi8wMy8yMDI2AQAAAN62AQADAAAAAADJYzDmzXveCGb30zjOe94ISENJUS5OWVNFOklCTS5JUV9BU1NFVFNfTkVUVElOR19PVEhFUl9BREpVU1RNRU5UUy4xOTk5LjA2LzAzLzIwMjYuLi5VU0QuSAEAAADetgEAAwAAAAAAyWMw5s173ghm99M4znveCEJDSVEuTllTRTpJQk0uSVFfUEVOU0lPTl9QQk9fUkFURV9DT01QX0lOQ1JFQVNFX01BWC4xOTk5LjA2LzAzLzIwMjYBAAAA3rYBAAMAAAAAAMljMObNe94IZvfTOM573gg2Q0lRLk5ZU0U6SUJNLklRX1BFTlNJT05fQVNTRVRTLjE5OTkuMDYvMDMvMjAyNi4uLlVTRC5IAQAAAN62AQADAAAAAADJYzDmzXveCGb30zjOe94IOENJUS5OWVNFOklCTS5JUV9QRU5TSU9OX0JSRUFLRE9XTl9QQ1RfRkkuMTk5OS4wNi8wMy8yMDI2AQAAAN62AQADAAAAAADJ</t>
  </si>
  <si>
    <t>YzDmzXveCGb30zjOe94IOkNJUS5OWVNFOklCTS5JUV9ERUJUX0VRVUlWX05FVF9QQk8uMTk5OS4wNi8wMy8yMDI2Li4uVVNELkgBAAAA3rYBAAMAAAAAAMljMObNe94IZvfTOM573ghHQ0lRLk5ZU0U6SUJNLklRX0ZBSVJfVkFMVUVfQ0hBTkdFX0lOQ0xfRUFSTklOR1MuMTk5OS4wNi8wMy8yMDI2Li4uVVNELkgBAAAA3rYBAAMAAAAAAMljMObNe94IsB7UOM573ghLQ0lRLk5ZU0U6SUJNLklRX0xJUVVJREFUSU9OX1ZBTFVFX1BSRUZFUlJFRF9DT05WRVJULjE5OTkuMDYvMDMvMjAyNi4uLlVTRC5IAQAAAN62AQADAAAAAADJYzDmzXveCLAe1DjOe94IQ0NJUS5OWVNFOklCTS5JUV9HRU5FUkFMX1BBUlRORVJfUFJFRl9FUVVJVFkuMTk5OS4wNi8wMy8yMDI2Li4uVVNELkgBAAAA3rYBAAMAAAAAAMljMObNe94IsB7UOM573ggsQ0lRLk5ZU0U6SUJNLklRX0xBTkQuMTk5OS4wNi8wMy8yMDI2Li4uVVNELkgBAAAA3rYBAAMAAAAAAMljMObNe94IZvfTOM573gg/Q0lRLk5ZU0U6SUJNLklRX01JTk9SSVRZX0lOVEVSRVNUX1RPVEFMLjE5OTkuMDYvMDMvMjAyNi4uLlVTRC5IAQAAAN62AQACAAAAAjg1AQgAAAAFAAAAATEBAAAACy0xOTIwODQ2OTQ5AwAAAAMxNjACAAAABDEzMTIEAAAAATAHAAAACDMvNi8yMDI2CAAAAAk5LzMwLzIwMjUJAAAAATDJYzDmzXveCGb30zjOe94IPUNJUS5OWVNFOklCTS5JUV9U</t>
  </si>
  <si>
    <t>T1RBTF9PVVRTVEFORElOR19GSUxJTkdfREFURS4xOTk5LjA2LzAzLzIwMjYBAAAA3rYBAAIAAAAKOTM0LjczNTIwNgEEAAAABQAAAAE1AQAAAAstMTkyMDg0Njk0OQIAAAAFMjQxNTMGAAAAATDJYzDmzXveCLAe1DjOe94IN0NJUS5OWVNFOklCTS5JUV9QT1NUX1JFVElSRV9FWFAuMTk5OS4wNi8wMy8yMDI2Li4uVVNELkgBAAAA3rYBAAMAAAAAAMljMObNe94IsB7UOM573gg6Q0lRLk5ZU0U6SUJNLklRX1BFTlNJT05fQVNTRVRTX0JFRy4xOTk5LjA2LzAzLzIwMjYuLi5VU0QuSAEAAADetgEAAwAAAAAAyWMw5s173giwHtQ4znveCEVDSVEuTllTRTpJQk0uSVFfUEVOU0lPTl9PQkxJR0FUSU9OX09USEVSX0NPU1QuMTk5OS4wNi8wMy8yMDI2Li4uVVNELkgBAAAA3rYBAAMAAAAAAMljMObNe94IsB7UOM573ggnQ0lRLk5ZU0U6SUJNLklRX0dBQVBfQlMuMTk5OS4wNi8wMy8yMDI2AQAAAN62AQADAAAAB1VTIEdBQVAAyWMw5s173giwHtQ4znveCEJDSVEuTllTRTpJQk0uSVFfUEVOU0lPTl9QQk9fUkFURV9DT01QX0lOQ1JFQVNFX01JTi4xOTk5LjA2LzAzLzIwMjYBAAAA3rYBAAMAAAAAAMljMObNe94IsB7UOM573gg+Q0lRLk5ZU0U6SUJNLklRX1BFTlNJT05fT0JMSUdBVElPTl9BQ1EuMTk5OS4wNi8wMy8yMDI2Li4uVVNELkgBAAAA3rYBAAMAAAAAAMljMObNe94IsB7UOM573ghSQ0lRLk5ZU0U6SUJN</t>
  </si>
  <si>
    <t>LklRX1BFTlNJT05fT0JMSUdBVElPTl9TVVBQTEVfUExBTlNfVE9UQUxfQ09TVC4xOTk5LjA2LzAzLzIwMjYuLi5VU0QuSAEAAADetgEAAwAAAAAAyWMw5s173giwHtQ4znveCDdDSVEuTllTRTpJQk0uSVFfSU5URVJDT01QQU5ZX0NBLjE5OTkuMDYvMDMvMjAyNi4uLlVTRC5IAQAAAN62AQADAAAAAADJYzDmzXveCLAe1DjOe94IMENJUS5OWVNFOklCTS5JUV9HUk9TU19HVy4xOTk5LjA2LzAzLzIwMjYuLi5VU0QuSAEAAADetgEAAwAAAAAAyWMw5s173giwHtQ4znveCDpDSVEuTllTRTpJQk0uSVFfR1JPU1NfSU5UQU5fQVNTRVRTLjE5OTkuMDYvMDMvMjAyNi4uLlVTRC5IAQAAAN62AQACAAAABTIwNjg4AQgAAAAFAAAAATEBAAAACy0xOTIwODQ2OTQ5AwAAAAMxNjACAAAABTI0MjkzBAAAAAEwBwAAAAgzLzYvMjAyNggAAAAJOS8zMC8yMDI1CQAAAAEwyWMw5s173ggjUdQ4znveCDFDSVEuTllTRTpJQk0uSVFfTlVNQkVSX0FEUkhPTERFUlMuMTk5OS4wNi8wMy8yMDI2AQAAAN62AQADAAAAAADJYzDmzXveCCNR1DjOe94IP0NJUS5OWVNFOklCTS5JUV9FTVBMT1lFRVNfVU5ERVJfVU5JT05fQ09OVFJBQ1RTLjE5OTkuMDYvMDMvMjAyNgEAAADetgEAAwAAAAAAyWMw5s173giwHtQ4znveCDZDSVEuTllTRTpJQk0uSVFfQVNTRVRTX0xFVkVMXzIuMTk5OS4wNi8wMy8yMDI2Li4uVVNELkgBAAAA3rYBAAIA</t>
  </si>
  <si>
    <t>AAAEOTcwMADJYzDmzXveCLAe1DjOe94IO0NJUS5OWVNFOklCTS5JUV9NSU5PUklUWV9JTlRfUkVERUVNLjE5OTkuMDYvMDMvMjAyNi4uLlVTRC5IAQAAAN62AQADAAAAAADJYzDmzXveCLAe1DjOe94INUNJUS5OWVNFOklCTS5JUV9QRU5TSU9OX0RJU0NfUkFURV9NQVguMTk5OS4wNi8wMy8yMDI2AQAAAN62AQADAAAAAADJYzDmzXveCCNR1DjOe94IRUNJUS5OWVNFOklCTS5JUV9QRU5TSU9OX0FTU0VUU19PVEhFUl9QTEFOX0FESi4xOTk5LjA2LzAzLzIwMjYuLi5VU0QuSAEAAADetgEAAwAAAAAAyWMw5s173ggjUdQ4znveCD1DSVEuTllTRTpJQk0uSVFfUEVOU0lPTl9BU1NFVFNfRlhfQURKLjE5OTkuMDYvMDMvMjAyNi4uLlVTRC5IAQAAAN62AQADAAAAAADJYzDmzXveCCNR1DjOe94IN0NJUS5OWVNFOklCTS5JUV9JTlRFUkNPTVBBTllfQ0wuMTk5OS4wNi8wMy8yMDI2Li4uVVNELkgBAAAA3rYBAAMAAAAAAMljMObNe94II1HUOM573gg7Q0lRLk5ZU0U6SUJNLklRX1BFTlNJT05fRVhQX1JBVEVfUkVUVVJOX01JTi4xOTk5LjA2LzAzLzIwMjYBAAAA3rYBAAMAAAAAAMljMObNe94II1HUOM573ghJQ0lRLk5ZU0U6SUJNLklRX1BFTlNJT05fT0JMSUdBVElPTl9PVEhFUl9QTEFOX0FESi4xOTk5LjA2LzAzLzIwMjYuLi5VU0QuSAEAAADetgEAAwAAAAAAyWMw5s173ggjUdQ4znveCE5DSVEuTllTRTpJ</t>
  </si>
  <si>
    <t>Qk0uSVFfUEVOU0lPTl9PQkxJR0FUSU9OX0FDVFVBUklBTF9HQUlOX0xPU1MuMTk5OS4wNi8wMy8yMDI2Li4uVVNELkgBAAAA3rYBAAMAAAAAAMljMObNe94II1HUOM573gg5Q0lRLk5ZU0U6SUJNLklRX1BFTlNJT05fVE9UQUxfRVhQLjE5OTkuMDYvMDMvMjAyNi4uLlVTRC5IAQAAAN62AQADAAAAAADJYzDmzXveCCNR1DjOe94IPENJUS5OWVNFOklCTS5JUV9QRU5TSU9OX1NFUlZJQ0VfQ09TVC4xOTk5LjA2LzAzLzIwMjYuLi5VU0QuSAEAAADetgEAAwAAAAAAyWMw5s173ggjUdQ4znveCEFDSVEuTllTRTpJQk0uSVFfREVSSVZBVElWRV9BU1NFVFNfQ1VSUkVOVC4xOTk5LjA2LzAzLzIwMjYuLi5VU0QuSAEAAADetgEAAgAAAAMzMDMBCAAAAAUAAAABMQEAAAALLTE5MjA4NDY5NDkDAAAAAzE2MAIAAAAEMTEwOQQAAAABMAcAAAAIMy82LzIwMjYIAAAACTkvMzAvMjAyNQkAAAABMMljMObNe94II1HUOM573gg6Q0lRLk5ZU0U6SUJNLklRX0ZJTl9ESVZfQ0FTSF9FUVVJVi4xOTk5LjA2LzAzLzIwMjYuLi5VU0QuSAEAAADetgEAAwAAAAAAyWMw5s173gjOeNQ4znveCE1DSVEuTllTRTpJQk0uSVFfTElBQklMSVRJRVNfTkVUVElOR19PVEhFUl9BREpVU1RNRU5UUy4xOTk5LjA2LzAzLzIwMjYuLi5VU0QuSAEAAADetgEAAwAAAAAAyWMw5s173gjOeNQ4znveCElDSVEuTllTRTpJQk0uSVFfR0VORVJBTF9Q</t>
  </si>
  <si>
    <t>QVJUTkVSX01JTk9SSVRZX0lOVEVSRVNULjE5OTkuMDYvMDMvMjAyNi4uLlVTRC5IAQAAAN62AQADAAAAAADJYzDmzXveCM541DjOe94IMUNJUS5OWVNFOklCTS5JUV9CVUlMRElOR1MuMTk5OS4wNi8wMy8yMDI2Li4uVVNELkgBAAAA3rYBAAMAAAAAAMljMObNe94IznjUOM573gg0Q0lRLk5ZU0U6SUJNLklRX0ZJTklTSEVEX0lOVi4xOTk5LjA2LzAzLzIwMjYuLi5VU0QuSAEAAADetgEAAgAAAAMzMTQBCAAAAAUAAAABMQEAAAALLTE5MjA4NDY5NDkDAAAAAzE2MAIAAAAEMzA3NQQAAAABMAcAAAAIMy82LzIwMjYIAAAACTkvMzAvMjAyNQkAAAABMMljMObNe94II1HUOM573gg+Q0lRLk5ZU0U6SUJNLklRX1RPVEFMX0RFQlRfTk9OX0NVUlJFTlQuMTk5OS4wNi8wMy8yMDI2Li4uVVNELkgBAAAA3rYBAAIAAAAFNTc4MjABCAAAAAUAAAABMQEAAAALLTE5MjA4NDY5NDkDAAAAAzE2MAIAAAAFMjUyMjQEAAAAATAHAAAACDMvNi8yMDI2CAAAAAk5LzMwLzIwMjUJAAAAATDJYzDmzXveCM541DjOe94IO0NJUS5OWVNFOklCTS5JUV9BRF9FWENMX09QRVJfTEVBU0VTLjE5OTkuMDYvMDMvMjAyNi4uLlVTRC5IAQAAAN62AQACAAAABi0xMjIwNwEIAAAABQAAAAExAQAAAAstMTkyMDg0Njk0OQMAAAADMTYwAgAAAAU0ODk3NQQAAAABMAcAAAAIMy82LzIwMjYIAAAACTkvMzAvMjAyNQkAAAABMMljMObNe94IznjU</t>
  </si>
  <si>
    <t>OM573gg5Q0lRLk5ZU0U6SUJNLklRX01JTk9SSVRZX0lOVEVSRVNULjE5OTkuMDYvMDMvMjAyNi4uLlVTRC5IAQAAAN62AQACAAAAAjg1AQgAAAAFAAAAATEBAAAACy0xOTIwODQ2OTQ5AwAAAAMxNjACAAAABDEwNTIEAAAAATAHAAAACDMvNi8yMDI2CAAAAAk5LzMwLzIwMjUJAAAAATDJYzDmzXveCM541DjOe94IMENJUS5OWVNFOklCTS5JUV9UUkVBU1VSWS4xOTk5LjA2LzAzLzIwMjYuLi5VU0QuSAEAAADetgEAAgAAAActMTcwNTEyAQgAAAAFAAAAATEBAAAACy0xOTIwODQ2OTQ5AwAAAAMxNjACAAAABDEyNDgEAAAAATAHAAAACDMvNi8yMDI2CAAAAAk5LzMwLzIwMjUJAAAAATDJYzDmzXveCM541DjOe94INUNJUS5OWVNFOklCTS5JUV9VTkVBUk5fUkVWX0xULjE5OTkuMDYvMDMvMjAyNi4uLlVTRC5IAQAAAN62AQACAAAABDM4NjMBCAAAAAUAAAABMQEAAAALLTE5MjA4NDY5NDkDAAAAAzE2MAIAAAAEMTI1NgQAAAABMAcAAAAIMy82LzIwMjYIAAAACTkvMzAvMjAyNQkAAAABMMljMObNe94I6p/UOM573gg5Q0lRLk5ZU0U6SUJNLklRX0NVUlJFTlRfUE9SVF9ERUJULjE5OTkuMDYvMDMvMjAyNi4uLlVTRC5IAQAAAN62AQACAAAABDc5NDEBCAAAAAUAAAABMQEAAAALLTE5MjA4NDY5NDkDAAAAAzE2MAIAAAAEMTI5NwQAAAABMAcAAAAIMy82LzIwMjYIAAAACTkvMzAvMjAyNQkAAAABMMljMObNe94I</t>
  </si>
  <si>
    <t>6p/UOM573ggqQ0lRLk5ZU0U6SUJNLklRX0dXLjE5OTkuMDYvMDMvMjAyNi4uLlVTRC5IAQAAAN62AQACAAAABTY3Mzk2AQgAAAAFAAAAATEBAAAACy0xOTIwODQ2OTQ5AwAAAAMxNjACAAAABDExNzEEAAAAATAHAAAACDMvNi8yMDI2CAAAAAk5LzMwLzIwMjUJAAAAATDJYzDmzXveCOqf1DjOe94IMUNJUS5OWVNFOklCTS5JUV9JTlZFTlRPUlkuMTk5OS4wNi8wMy8yMDI2Li4uVVNELkgBAAAA3rYBAAIAAAAEMTM5NwEIAAAABQAAAAExAQAAAAstMTkyMDg0Njk0OQMAAAADMTYwAgAAAAQxMDQzBAAAAAEwBwAAAAgzLzYvMjAyNggAAAAJOS8zMC8yMDI1CQAAAAEwyWMw5s173gjqn9Q4znveCD9DSVEuTllTRTpJQk0uSVFfUEVOU0lPTl9UUkFOU0lUSU9OX05FWFQuMTk5OS4wNi8wMy8yMDI2Li4uVVNELkgBAAAA3rYBAAMAAAAAAMljMObNe94IznjUOM573ghDQ0lRLk5ZU0U6SUJNLklRX0RFUklWQVRJVkVfTElBQl9OT05fQ1VSUkVOVC4xOTk5LjA2LzAzLzIwMjYuLi5VU0QuSAEAAADetgEAAgAAAAMyNDIBCAAAAAUAAAABMQEAAAALLTE5MjA4NDY5NDkDAAAAAzE2MAIAAAAFNDA0MTkEAAAAATAHAAAACDMvNi8yMDI2CAAAAAk5LzMwLzIwMjUJAAAAATDJYzDmzXveCOqf1DjOe94IP0NJUS5OWVNFOklCTS5JUV9QRU5TSU9OX0JSRUFLRE9XTl9PVEhFUi4xOTk5LjA2LzAzLzIwMjYuLi5VU0QuSAEAAADe</t>
  </si>
  <si>
    <t>tgEAAwAAAAAAyWMw5s173gjqn9Q4znveCDtDSVEuTllTRTpJQk0uSVFfVE9UQUxfREVCVF9FWENMX0ZJTi4xOTk5LjA2LzAzLzIwMjYuLi5VU0QuSAEAAADetgEAAgAAAAU2NjU2OQEIAAAABQAAAAExAQAAAAstMTkyMDg0Njk0OQMAAAADMTYwAgAAAAUyMTg2MAQAAAABMAcAAAAIMy82LzIwMjYIAAAACTkvMzAvMjAyNQkAAAABMMljMObNe94I6p/UOM573ggtQ0lRLk5ZU0U6SUJNLklRX0FWR19FTVBMT1lFRVMuMTk5OS4wNi8wMy8yMDI2AQAAAN62AQADAAAAAADJYzDmzXveCOqf1DjOe94INkNJUS5OWVNFOklCTS5JUV9BU1NFVFNfTEVWRUxfMy4xOTk5LjA2LzAzLzIwMjYuLi5VU0QuSAEAAADetgEAAwAAAAAAyWMw5s173gjqn9Q4znveCEpDSVEuTllTRTpJQk0uSVFfTElRVUlEQVRJT05fVkFMVUVfUFJFRkVSUkVEX1JFREVFTS4xOTk5LjA2LzAzLzIwMjYuLi5VU0QuSAEAAADetgEAAwAAAAAAyWMw5s173ggVx9Q4znveCCtDSVEuTllTRTpJQk0uSVFfQ0lQLjE5OTkuMDYvMDMvMjAyNi4uLlVTRC5IAQAAAN62AQADAAAAAADJYzDmzXveCBXH1DjOe94ITENJUS5OWVNFOklCTS5JUV9QRU5TSU9OX1FVQVJUX0VNUExPWUVSX0NPTlRSSUJVVElPTlMuMTk5OS4wNi8wMy8yMDI2Li4uVVNELkgBAAAA3rYBAAMAAAAAAMljMObNe94I6p/UOM573gg/Q0lRLk5ZU0U6SUJNLklRX1BFTlNJT05fRVNUX0JF</t>
  </si>
  <si>
    <t>TkVGSVRfM1lSLjE5OTkuMDYvMDMvMjAyNi4uLlVTRC5IAQAAAN62AQADAAAAAADJYzDmzXveCOqf1DjOe94IPkNJUS5OWVNFOklCTS5JUV9QRU5TSU9OX1JBVEVfQ09NUF9JTkNSRUFTRV9NQVguMTk5OS4wNi8wMy8yMDI2AQAAAN62AQADAAAAAADJYzDmzXveCOqf1DjOe94INUNJUS5OWVNFOklCTS5JUV9QRU5TSU9OX0RJU0NfUkFURV9NSU4uMTk5OS4wNi8wMy8yMDI2AQAAAN62AQADAAAAAADJYzDmzXveCBXH1DjOe94IOUNJUS5OWVNFOklCTS5JUV9GSU5fRElWX1NUX0lOVkVTVC4xOTk5LjA2LzAzLzIwMjYuLi5VU0QuSAEAAADetgEAAwAAAAAAyWMw5s173ggVx9Q4znveCD1DSVEuTllTRTpJQk0uSVFfRklOX0RJVl9TVF9ERUJUX1RPVEFMLjE5OTkuMDYvMDMvMjAyNi4uLlVTRC5IAQAAAN62AQADAAAAAADJYzDmzXveCBXH1DjOe94IO0NJUS5OWVNFOklCTS5JUV9MSUFCSUxJVElFU19MRVZFTF8yLjE5OTkuMDYvMDMvMjAyNi4uLlVTRC5IAQAAAN62AQACAAAABTU0MDAxAMljMObNe94IFcfUOM573ghFQ0lRLk5ZU0U6SUJNLklRX0dFTkVSQUxfUEFSVE5FUl9DT01NT05fRVFVSVRZLjE5OTkuMDYvMDMvMjAyNi4uLlVTRC5IAQAAAN62AQADAAAAAADJYzDmzXveCBXH1DjOe94IMUNJUS5OWVNFOklCTS5JUV9PVEhFUl9JTlYuMTk5OS4wNi8wMy8yMDI2Li4uVVNELkgBAAAA3rYBAAMAAAAAAMlj</t>
  </si>
  <si>
    <t>MObNe94IFcfUOM573ghIQ0lRLk5ZU0U6SUJNLklRX1BFTlNJT05fRVNUX0NPTlRSSUJVVElPTlNfTkVYVFlSLjE5OTkuMDYvMDMvMjAyNi4uLlVTRC5IAQAAAN62AQADAAAAAADJYzDmzXveCBXH1DjOe94IOENJUS5OWVNFOklCTS5JUV9QRU5TSU9OX0FDVF9ORVhULjE5OTkuMDYvMDMvMjAyNi4uLlVTRC5IAQAAAN62AQADAAAAAADJYzDmzXveCBXH1DjOe94IPENJUS5OWVNFOklCTS5JUV9QRU5TSU9OX0JSRUFLRE9XTl9SRS4xOTk5LjA2LzAzLzIwMjYuLi5VU0QuSAEAAADetgEAAwAAAAAAyWMw5s173ggVx9Q4znveCDFDSVEuTllTRTpJQk0uSVFfSU5UQU5fTkVULjE5OTkuMDYvMDMvMjAyNi4uLlVTRC5IAQAAAN62AQACAAAABTExNzI5AQgAAAAFAAAAATEBAAAACy0xOTIwODQ2OTQ5AwAAAAMxNjACAAAABTQ4OTYyBAAAAAEwBwAAAAgzLzYvMjAyNggAAAAJOS8zMC8yMDI1CQAAAAEwyWMw5s173ggVx9Q4znveCDdDSVEuTllTRTpJQk0uSVFfUEVOU0lPTl9MVF9MSUFCLjE5OTkuMDYvMDMvMjAyNi4uLlVTRC5IAQAAAN62AQADAAAAAADJYzDmzXveCAHu1DjOe94IP0NJUS5OWVNFOklCTS5JUV9QRU5TSU9OX0VTVF9CRU5FRklUXzJZUi4xOTk5LjA2LzAzLzIwMjYuLi5VU0QuSAEAAADetgEAAwAAAAAAyWMw5s173ggB7tQ4znveCD1DSVEuTllTRTpJQk0uSVFfUEVOU0lPTl9DSV9UUkFOU0lUSU9O</t>
  </si>
  <si>
    <t>LjE5OTkuMDYvMDMvMjAyNi4uLlVTRC5IAQAAAN62AQADAAAAAADJYzDmzXveCAHu1DjOe94IO0NJUS5OWVNFOklCTS5JUV9JTlRFUkNPTVBBTllfTk9OX0NBLjE5OTkuMDYvMDMvMjAyNi4uLlVTRC5IAQAAAN62AQADAAAAAADJYzDmzXveCAHu1DjOe94INENJUS5OWVNFOklCTS5JUV9HV19JTlRBTl9ORVQuMTk5OS4wNi8wMy8yMDI2Li4uVVNELkgBAAAA3rYBAAMAAAAAAMljMObNe94IFcfUOM573gg6Q0lRLk5ZU0U6SUJNLklRX0xUX01BUktfU0VDVVJJVElFUy4xOTk5LjA2LzAzLzIwMjYuLi5VU0QuSAEAAADetgEAAwAAAAAAyWMw5s173ggB7tQ4znveCENDSVEuTllTRTpJQk0uSVFfUkVTVFJJQ1RFRF9DQVNIX05PTl9DVVJSRU5ULjE5OTkuMDYvMDMvMjAyNi4uLlVTRC5IAQAAAN62AQADAAAAAADJYzDmzXveCAHu1DjOe94IL0NJUS5OWVNFOklCTS5JUV9UT1RBTF9FTVBMT1lFRVMuMTk5OS4wNi8wMy8yMDI2AQAAAN62AQADAAAAAADJYzDmzXveCAHu1DjOe94INkNJUS5OWVNFOklCTS5JUV9BU1NFVFNfTEVWRUxfMS4xOTk5LjA2LzAzLzIwMjYuLi5VU0QuSAEAAADetgEAAgAAAAM1NzUAyWMw5s173ggB7tQ4znveCD1DSVEuTllTRTpJQk0uSVFfTEVBU0VIT0xEX0lNUFJPVkVNRU5ULjE5OTkuMDYvMDMvMjAyNi4uLlVTRC5IAQAAAN62AQADAAAAAADJYzDmzXveCAHu1DjOe94IMENJUS5OWVNF</t>
  </si>
  <si>
    <t>OklCTS5JUV9TT0ZUV0FSRS4xOTk5LjA2LzAzLzIwMjYuLi5VU0QuSAEAAADetgEAAwAAAAAAyWMw5s173ggtFdU4znveCDxDSVEuTllTRTpJQk0uSVFfUEVOU0lPTl9QUkVQQUlEX0NPU1QuMTk5OS4wNi8wMy8yMDI2Li4uVVNELkgBAAAA3rYBAAMAAAAAAMljMObNe94ILRXVOM573gg7Q0lRLk5ZU0U6SUJNLklRX1BFTlNJT05fQlJFQUtET1dOX1BDVF9PVEhFUi4xOTk5LjA2LzAzLzIwMjYBAAAA3rYBAAMAAAAAAMljMObNe94ILRXVOM573gg7Q0lRLk5ZU0U6SUJNLklRX0lOVEVSQ09NUEFOWV9OT05fQ0wuMTk5OS4wNi8wMy8yMDI2Li4uVVNELkgBAAAA3rYBAAMAAAAAAMljMObNe94ILRXVOM573ghBQ0lRLk5ZU0U6SUJNLklRX0RFUklWQVRJVkVfVFJBRElOR19BU1NFVFMuMTk5OS4wNi8wMy8yMDI2Li4uVVNELkgBAAAA3rYBAAMAAAAAAMljMObNe94ILRXVOM573gg6Q0lRLk5ZU0U6SUJNLklRX0ZJTl9ESVZfREVCVF9UT1RBTC4xOTk5LjA2LzAzLzIwMjYuLi5VU0QuSAEAAADetgEAAgAAAAUxMTMwMAEIAAAABQAAAAExAQAAAAstMTkyMDg0Njk0OQMAAAADMTYwAgAAAAUyNDUxNgQAAAABMAcAAAAIMy82LzIwMjYIAAAACTkvMzAvMjAyNQkAAAABMMljMObNe94ILRXVOM573ggyQ0lRLk5ZU0U6SUJNLklRX1BFTlNJT05fQ0wuMTk5OS4wNi8wMy8yMDI2Li4uVVNELkgBAAAA3rYBAAMAAAAAAMlj</t>
  </si>
  <si>
    <t>MObNe94ILRXVOM573gg/Q0lRLk5ZU0U6SUJNLklRX0RFUklWQVRJVkVfTElBQl9DVVJSRU5ULjE5OTkuMDYvMDMvMjAyNi4uLlVTRC5IAQAAAN62AQACAAAAAzM2NgEIAAAABQAAAAExAQAAAAstMTkyMDg0Njk0OQMAAAADMTYwAgAAAAU0MDQxNwQAAAABMAcAAAAIMy82LzIwMjYIAAAACTkvMzAvMjAyNQkAAAABMMljMObNe94ILRXVOM573gg6Q0lRLk5ZU0U6SUJNLklRX1RPVEFMX0RFQlRfQ1VSUkVOVC4xOTk5LjA2LzAzLzIwMjYuLi5VU0QuSAEAAADetgEAAgAAAAQ4NzQ5AQgAAAAFAAAAATEBAAAACy0xOTIwODQ2OTQ5AwAAAAMxNjACAAAABTI1MjIzBAAAAAEwBwAAAAgzLzYvMjAyNggAAAAJOS8zMC8yMDI1CQAAAAEwyWMw5s173ggtFdU4znveCD5DSVEuTllTRTpJQk0uSVFfVE9UQUxfREVCVF9FWENMX0xFQVNFUy4xOTk5LjA2LzAzLzIwMjYuLi5VU0QuSAEAAADetgEAAgAAAAU2MTk2OQEIAAAABQAAAAExAQAAAAstMTkyMDg0Njk0OQMAAAADMTYwAgAAAAU0ODk5MgQAAAABMAcAAAAIMy82LzIwMjYIAAAACTkvMzAvMjAyNQkAAAABMMljMObNe94ILRXVOM573ggsQ0lRLk5ZU0U6SUJNLklRX05QUEUuMTk5OS4wNi8wMy8yMDI2Li4uVVNELkgBAAAA3rYBAAIAAAAEOTA3NAEIAAAABQAAAAExAQAAAAstMTkyMDg0Njk0OQMAAAADMTYwAgAAAAQxMDA0BAAAAAEwBwAAAAgzLzYvMjAyNggAAAAJ</t>
  </si>
  <si>
    <t>OS8zMC8yMDI1CQAAAAEwyWMw5s173ggZPNU4znveCD9DSVEuTllTRTpJQk0uSVFfTUlOT1JJVFlfSU5UX1JFREVFTV9UT1QuMTk5OS4wNi8wMy8yMDI2Li4uVVNELkgBAAAA3rYBAAMAAAAAAMljMObNe94IGTzVOM573gg3Q0lRLk5ZU0U6SUJNLklRX05FVF9XT1JLSU5HX0NBUC4xOTk5LjA2LzAzLzIwMjYuLi5VU0QuSAEAAADetgEAAgAAAAUtODUwOAEIAAAABQAAAAExAQAAAAstMTkyMDg0Njk0OQMAAAADMTYwAgAAAAQxMzExBAAAAAEwBwAAAAgzLzYvMjAyNggAAAAJOS8zMC8yMDI1CQAAAAEwyWMw5s173ggZPNU4znveCDlDSVEuTllTRTpJQk0uSVFfVE9UQUxfT1BFUl9MRUFTRVMuMTk5OS4wNi8wMy8yMDI2Li4uVVNELkgBAAAA3rYBAAIAAAAEMzQ1MwEIAAAABQAAAAExAQAAAAstMTkyMDg0Njk0OQMAAAADMTYwAgAAAAU0ODk3OAQAAAABMAcAAAAIMy82LzIwMjYIAAAACTkvMzAvMjAyNQkAAAABMMljMObNe94IGTzVOM573ghOQ0lRLk5ZU0U6SUJNLklRX0NVUlJFTlRfUE9SVElPTl9PUEVSX0xFQVNFX0xJQUJJTElUSUVTLjE5OTkuMDYvMDMvMjAyNi4uLlVTRC5IAQAAAN62AQACAAAAAzgwNwEIAAAABQAAAAExAQAAAAstMTkyMDg0Njk0OQMAAAADMTYwAgAAAAU0ODM4NQQAAAABMAcAAAAIMy82LzIwMjYIAAAACTkvMzAvMjAyNQkAAAABMMljMObNe94ILRXVOM573ghAQ0lRLk5ZU0U6SUJN</t>
  </si>
  <si>
    <t>LklRX0ZJTkFOQ0VfTEVBU0VTX0xPTkdfVEVSTS4xOTk5LjA2LzAzLzIwMjYuLi5VU0QuSAEAAADetgEAAgAAAAQxMTQ3AQgAAAAFAAAAATEBAAAACy0xOTIwODQ2OTQ5AwAAAAMxNjACAAAABTQ4OTkxBAAAAAEwBwAAAAgzLzYvMjAyNggAAAAJOS8zMC8yMDI1CQAAAAEwyWMw5s173ggVY9U4znveCCpDSVEuTllTRTpJQk0uSVFfQUUuMTk5OS4wNi8wMy8yMDI2Li4uVVNELkgBAAAA3rYBAAIAAAAENjYxOQEIAAAABQAAAAExAQAAAAstMTkyMDg0Njk0OQMAAAADMTYwAgAAAAQxMDE2BAAAAAEwBwAAAAgzLzYvMjAyNggAAAAJOS8zMC8yMDI1CQAAAAEwyWMw5s173ggZPNU4znveCDRDSVEuTllTRTpJQk0uSVFfVE9UQUxfQVNTRVRTLjE5OTkuMDYvMDMvMjAyNi4uLlVTRC5IAQAAAN62AQACAAAABjE0NjMxMgEIAAAABQAAAAExAQAAAAstMTkyMDg0Njk0OQMAAAADMTYwAgAAAAQxMDA3BAAAAAEwBwAAAAgzLzYvMjAyNggAAAAJOS8zMC8yMDI1CQAAAAEwyWMw5s173ggZPNU4znveCCxDSVEuTllTRTpJQk0uSVFfR1BQRS4xOTk5LjA2LzAzLzIwMjYuLi5VU0QuSAEAAADetgEAAgAAAAUyMTI4MQEIAAAABQAAAAExAQAAAAstMTkyMDg0Njk0OQMAAAADMTYwAgAAAAQxMTY5BAAAAAEwBwAAAAgzLzYvMjAyNggAAAAJOS8zMC8yMDI1CQAAAAEwyWMw5s173ggZPNU4znveCC5DSVEuTllTRTpJQk0uSVFfUkVT</t>
  </si>
  <si>
    <t>VEFURU1FTlRfQ0YuMTk5OS4wNi8wMy8yMDI2AQAAAN62AQADAAAAAU8AyWMw5s173ggZPNU4znveCDtDSVEuTllTRTpJQk0uSVFfTElBQklMSVRJRVNfTEVWRUxfMy4xOTk5LjA2LzAzLzIwMjYuLi5VU0QuSAEAAADetgEAAwAAAAAAyWMw5s173ggVY9U4znveCC9DSVEuTllTRTpJQk0uSVFfUkFXX0lOVi4xOTk5LjA2LzAzLzIwMjYuLi5VU0QuSAEAAADetgEAAwAAAAAAyWMw5s173ggVY9U4znveCDNDSVEuTllTRTpJQk0uSVFfQVJfVU5CSUxMRUQuMTk5OS4wNi8wMy8yMDI2Li4uVVNELkgBAAAA3rYBAAIAAAADNTMzAQgAAAAFAAAAATEBAAAACy0xOTIwODQ2OTQ5AwAAAAMxNjACAAAABTQ1NDIwBAAAAAEwBwAAAAgzLzYvMjAyNggAAAAJOS8zMC8yMDI1CQAAAAEwyWMw5s173ggVY9U4znveCDNDSVEuTllTRTpJQk0uSVFfUFJFUEFJRF9FWFAuMTk5OS4wNi8wMy8yMDI2Li4uVVNELkgBAAAA3rYBAAIAAAAEMTkwMwEIAAAABQAAAAExAQAAAAstMTkyMDg0Njk0OQMAAAADMTYwAgAAAAQxMjEyBAAAAAEwBwAAAAgzLzYvMjAyNggAAAAJOS8zMC8yMDI1CQAAAAEwyWMw5s173ggVY9U4znveCD5DSVEuTllTRTpJQk0uSVFfUEVOU0lPTl9PQkxJR0FUSU9OX1JPQS4xOTk5LjA2LzAzLzIwMjYuLi5VU0QuSAEAAADetgEAAwAAAAAAyWMw5s173ggVY9U4znveCDRDSVEuTllTRTpJQk0uSVFfUFJFRl9DT05W</t>
  </si>
  <si>
    <t>RVJULjE5OTkuMDYvMDMvMjAyNi4uLlVTRC5IAQAAAN62AQADAAAAAADJYzDmzXveCMJ21TjOe94IM0NJUS5OWVNFOklCTS5JUV9QUkVGX1JFREVFTS4xOTk5LjA2LzAzLzIwMjYuLi5VU0QuSAEAAADetgEAAwAAAAAAyWMw5s173gjCdtU4znveCDVDSVEuTllTRTpJQk0uSVFfT1RIRVJfTElBQl9MVC4xOTk5LjA2LzAzLzIwMjYuLi5VU0QuSAEAAADetgEAAgAAAAUxMTc2MgEIAAAABQAAAAExAQAAAAstMTkyMDg0Njk0OQMAAAADMTYwAgAAAAQxMDYyBAAAAAEwBwAAAAgzLzYvMjAyNggAAAAJOS8zMC8yMDI1CQAAAAEwyWMw5s173gjCdtU4znveCDtDSVEuTllTRTpJQk0uSVFfSU5DX1RBWF9QQVlfQ1VSUkVOVC4xOTk5LjA2LzAzLzIwMjYuLi5VU0QuSAEAAADetgEAAgAAAAQxNjYzAQgAAAAFAAAAATEBAAAACy0xOTIwODQ2OTQ5AwAAAAMxNjACAAAABDEwOTQEAAAAATAHAAAACDMvNi8yMDI2CAAAAAk5LzMwLzIwMjUJAAAAATDJYzDmzXveCMJ21TjOe94IPENJUS5OWVNFOklCTS5JUV9GSU5fRElWX0RFQlRfQ1VSUkVOVC4xOTk5LjA2LzAzLzIwMjYuLi5VU0QuSAEAAADetgEAAwAAAAAAyWMw5s173gjCdtU4znveCDZDSVEuTllTRTpJQk0uSVFfT1RIRVJfQ0FfU1VQUEwuMTk5OS4wNi8wMy8yMDI2Li4uVVNELkgBAAAA3rYBAAIAAAAEMTQyOQEIAAAABQAAAAExAQAAAAstMTkyMDg0Njk0OQMAAAAD</t>
  </si>
  <si>
    <t>MTYwAgAAAAQxMDU1BAAAAAEwBwAAAAgzLzYvMjAyNggAAAAJOS8zMC8yMDI1CQAAAAEwyWMw5s173gjCdtU4znveCDZDSVEuTllTRTpJQk0uSVFfQ0FTSF9TVF9JTlZFU1QuMTk5OS4wNi8wMy8yMDI2Li4uVVNELkgBAAAA3rYBAAIAAAAFMTQ4NTUBCAAAAAUAAAABMQEAAAALLTE5MjA4NDY5NDkDAAAAAzE2MAIAAAAEMTAwMgQAAAABMAcAAAAIMy82LzIwMjYIAAAACTkvMzAvMjAyNQkAAAABMMljMObNe94IwnbVOM573ggyQ0lRLk5ZU0U6SUJNLklRX0NBU0hfRVFVSVYuMTk5OS4wNi8wMy8yMDI2Li4uVVNELkgBAAAA3rYBAAIAAAAFMTE1NjkBCAAAAAUAAAABMQEAAAALLTE5MjA4NDY5NDkDAAAAAzE2MAIAAAAEMTA5NgQAAAABMAcAAAAIMy82LzIwMjYIAAAACTkvMzAvMjAyNQkAAAABMMljMObNe94IwnbVOM573gg0Q0lRLk5ZU0U6SUJNLklRX0RPX0lOVkVTVF9DRi4xOTk5LjA2LzAzLzIwMjYuLi5VU0QuSAEAAADetgEAAwAAAAAAyWMw5s173gjCdtU4znveCDxDSVEuTllTRTpJQk0uSVFfQ0FTSF9JTlRFUkVTVF9JTlZFU1QuMTk5OS4wNi8wMy8yMDI2Li4uVVNELkgBAAAA3rYBAAMAAAAAAMljMObNe94IwnbVOM573ggyQ0lRLk5ZU0U6SUJNLklRX0RFUFJFX1NVUFAuMTk5OS4wNi8wMy8yMDI2Li4uVVNELkgBAAAA3rYBAAMAAAAAAMljMObNe94IhbHVOM573gg6Q0lRLk5ZU0U6SUJNLklRX0NP</t>
  </si>
  <si>
    <t>TU1PTl9QUkVGX0RJVl9DRi4xOTk5LjA2LzAzLzIwMjYuLi5VU0QuSAEAAADetgEAAwAAAAAAyWMw5s173gjCdtU4znveCDBDSVEuTllTRTpJQk0uSVFfUFJFRl9SRVAuMTk5OS4wNi8wMy8yMDI2Li4uVVNELkgBAAAA3rYBAAMAAAAAAMljMObNe94IwnbVOM573gg6Q0lRLk5ZU0U6SUJNLklRX0lOVkVTVF9TRUNVUklUWV9DRi4xOTk5LjA2LzAzLzIwMjYuLi5VU0QuSAEAAADetgEAAgAAAAUtMzE1NgEIAAAABQAAAAExAQAAAAstMTkyMDg0Njk0OQMAAAADMTYwAgAAAAQyMDI3BAAAAAEwBwAAAAgzLzYvMjAyNggAAAAJOS8zMC8yMDI1CQAAAAEwyWMw5s173gjCdtU4znveCDhDSVEuTllTRTpJQk0uSVFfQ0hBTkdFX0lOVkVOVE9SWS4xOTk5LjA2LzAzLzIwMjYuLi5VU0QuSAEAAADetgEAAgAAAAQtMTY2AQgAAAAFAAAAATEBAAAACy0xOTIwODQ2OTQ5AwAAAAMxNjACAAAABDIwOTkEAAAAATAHAAAACDMvNi8yMDI2CAAAAAk5LzMwLzIwMjUJAAAAATDJYzDmzXveCMJ21TjOe94INkNJUS5OWVNFOklCTS5JUV9HQUlOX0FTU0VUU19DRi4xOTk5LjA2LzAzLzIwMjYuLi5VU0QuSAEAAADetgEAAgAAAAMtNjYBCAAAAAUAAAABMQEAAAALLTE5MjA4NDY5NDkDAAAAAzE2MAIAAAAEMjAyNgQAAAABMAcAAAAIMy82LzIwMjYIAAAACTkvMzAvMjAyNQkAAAABMMljMObNe94IhbHVOM573gg+Q0lRLk5ZU0U6SUJN</t>
  </si>
  <si>
    <t>LklRX1NUT0NLX09QVElPTlNfQ09NUF9UQVguMTk5OS4wNi8wMy8yMDI2Li4uVVNELkgBAAAA3rYBAAMAAAAAAMljMObNe94IhbHVOM573gg8Q0lRLk5ZU0U6SUJNLklRX1JFU1RSX1NUT0NLX0NPTVBfVEFYLjE5OTkuMDYvMDMvMjAyNi4uLlVTRC5IAQAAAN62AQADAAAAAADJYzDmzXveCIWx1TjOe94IPENJUS5OWVNFOklCTS5JUV9UT1RBTF9VTlVTVUFMX1NVUFBMRS4xOTk5LjA2LzAzLzIwMjYuLi5VU0QuSAEAAADetgEAAwAAAAAAyWMw5s173giFsdU4znveCEBDSVEuTllTRTpJQk0uSVFfSU1QVVRfT1BFUl9MRUFTRV9JTlRfRVhQLjE5OTkuMDYvMDMvMjAyNi4uLlVTRC5IAQAAAN62AQADAAAAAADJYzDmzXveCIWx1TjOe94IMENJUS5OWVNFOklCTS5JUV9ORVRfREVCVC4xOTk5LjA2LzAzLzIwMjYuLi5VU0QuSAEAAADetgEAAgAAAAU1MTcxNAEIAAAABQAAAAExAQAAAAstMTkyMDg0Njk0OQMAAAADMTYwAgAAAAQ0MzY0BAAAAAEwBwAAAAgzLzYvMjAyNggAAAAJOS8zMC8yMDI1CQAAAAEwyWMw5s173gjhydU4znveCDNDSVEuTllTRTpJQk0uSVFfUFJFRl9FUVVJVFkuMTk5OS4wNi8wMy8yMDI2Li4uVVNELkgBAAAA3rYBAAMAAAAAAMljMObNe94I4cnVOM573gg+Q0lRLk5ZU0U6SUJNLklRX05BVFVSQUxfUkVTT1VSQ0VTX0NPU1QuMTk5OS4wNi8wMy8yMDI2Li4uVVNELkgBAAAA3rYBAAMAAAAA</t>
  </si>
  <si>
    <t>AMljMObNe94I4cnVOM573gg/Q0lRLk5ZU0U6SUJNLklRX1JVQV9PUEVSQVRJTkdfTEVBU0VfTkVULjE5OTkuMDYvMDMvMjAyNi4uLlVTRC5IAQAAAN62AQADAAAAAADJYzDmzXveCOHJ1TjOe94IQUNJUS5OWVNFOklCTS5JUV9SVUFfT1BFUkFUSU5HX0xFQVNFX0dST1NTLjE5OTkuMDYvMDMvMjAyNi4uLlVTRC5IAQAAAN62AQACAAAABDMyMjMBCAAAAAUAAAABMQEAAAALLTE5MjA4NDY5NDkDAAAAAzE2MAIAAAAFNDgzNzcEAAAAATAHAAAACDMvNi8yMDI2CAAAAAk5LzMwLzIwMjUJAAAAATDJYzDmzXveCOHJ1TjOe94ILENJUS5OWVNFOklCTS5JUV9BUElDLjE5OTkuMDYvMDMvMjAyNi4uLlVTRC5IAQAAAN62AQADAAAAAADJYzDmzXveCC7x1TjOe94INENJUS5OWVNFOklCTS5JUV9UT1RBTF9SRUNFSVYuMTk5OS4wNi8wMy8yMDI2Li4uVVNELkgBAAAA3rYBAAIAAAAENzIyNQEIAAAABQAAAAExAQAAAAstMTkyMDg0Njk0OQMAAAADMTYwAgAAAAQxMDAxBAAAAAEwBwAAAAgzLzYvMjAyNggAAAAJOS8zMC8yMDI1CQAAAAEwyWMw5s173gjhydU4znveCDtDSVEuTllTRTpJQk0uSVFfR0FJTl9CQVJHQUlOX0FDUV9DRi4xOTk5LjA2LzAzLzIwMjYuLi5VU0QuSAEAAADetgEAAwAAAAAAyWMw5s173gjhydU4znveCEJDSVEuTllTRTpJQk0uSVFfQ0hBTkdFX05FVF9XT1JLSU5HX0NBUElUQUwuMTk5OS4wNi8w</t>
  </si>
  <si>
    <t>My8yMDI2Li4uVVNELkgBAAAA3rYBAAIAAAAELTg4NQEIAAAABQAAAAExAQAAAAstMTkyMDg0Njk0OQMAAAADMTYwAgAAAAQ0NDIxBAAAAAEwBwAAAAgzLzYvMjAyNggAAAAJOS8zMC8yMDI1CQAAAAEwyWMw5s173gjhydU4znveCEBDSVEuTllTRTpJQk0uSVFfQU1PUlRfU09GVFdBUkVfQVNTRVRTX0NGLjE5OTkuMDYvMDMvMjAyNi4uLlVTRC5IAQAAAN62AQACAAAAAzUyOQEIAAAABQAAAAExAQAAAAstMTkyMDg0Njk0OQMAAAADMTYwAgAAAAU0NjAxMQQAAAABMAcAAAAIMy82LzIwMjYIAAAACTkvMzAvMjAyNQkAAAABMMljMObNe94I4cnVOM573gg+Q0lRLk5ZU0U6SUJNLklRX0RBX0NGX0VYQ0xfT1BFUl9MRUFTRVMuMTk5OS4wNi8wMy8yMDI2Li4uVVNELkgBAAAA3rYBAAIAAAAEMzUwOQEIAAAABQAAAAExAQAAAAstMTkyMDg0Njk0OQMAAAADMTYwAgAAAAU0ODk4NQQAAAABMAcAAAAIMy82LzIwMjYIAAAACTkvMzAvMjAyNQkAAAABMMljMObNe94ILvHVOM573ggsQ0lRLk5ZU0U6SUJNLklRX0NBTENfVFlQRV9CUy4xOTk5LjA2LzAzLzIwMjYBAAAA3rYBAAMAAAADUkVQAMljMObNe94ILvHVOM573gg1Q0lRLk5ZU0U6SUJNLklRX0VRVUlUWV9NRVRIT0QuMTk5OS4wNi8wMy8yMDI2Li4uVVNELkgBAAAA3rYBAAMAAAAAAMljMObNe94ILvHVOM573gg+Q0lRLk5ZU0U6SUJNLklRX0ZJTkFOQ0VfTEVB</t>
  </si>
  <si>
    <t>U0VTX0NVUlJFTlQuMTk5OS4wNi8wMy8yMDI2Li4uVVNELkgBAAAA3rYBAAMAAAAAAMljMObNe94ILvHVOM573gg3Q0lRLk5ZU0U6SUJNLklRX0ZJTl9ESVZfREVCVF9MVC4xOTk5LjA2LzAzLzIwMjYuLi5VU0QuSAEAAADetgEAAwAAAAAAyWMw5s173ggu8dU4znveCDdDSVEuTllTRTpJQk0uSVFfT1RIRVJfTFRfQVNTRVRTLjE5OTkuMDYvMDMvMjAyNi4uLlVTRC5IAQAAAN62AQACAAAABDgzOTQBCAAAAAUAAAABMQEAAAALLTE5MjA4NDY5NDkDAAAAAzE2MAIAAAAEMTA2MAQAAAABMAcAAAAIMy82LzIwMjYIAAAACTkvMzAvMjAyNQkAAAABMMljMObNe94ILvHVOM573gg5Q0lRLk5ZU0U6SUJNLklRX0RFRl9UQVhfQVNTRVRTX0xULjE5OTkuMDYvMDMvMjAyNi4uLlVTRC5IAQAAAN62AQACAAAABDg1MDUBCAAAAAUAAAABMQEAAAALLTE5MjA4NDY5NDkDAAAAAzE2MAIAAAAEMTAyNgQAAAABMAcAAAAIMy82LzIwMjYIAAAACTkvMzAvMjAyNQkAAAABMMljMObNe94ILvHVOM573ggtQ0lRLk5ZU0U6SUJNLklRX0FSX0xULjE5OTkuMDYvMDMvMjAyNi4uLlVTRC5IAQAAAN62AQADAAAAAADJYzDmzXveCC7x1TjOe94IMUNJUS5OWVNFOklCTS5JUV9TVF9JTlZFU1QuMTk5OS4wNi8wMy8yMDI2Li4uVVNELkgBAAAA3rYBAAIAAAAEMzI4NgEIAAAABQAAAAExAQAAAAstMTkyMDg0Njk0OQMAAAADMTYwAgAAAAQx</t>
  </si>
  <si>
    <t>MDY5BAAAAAEwBwAAAAgzLzYvMjAyNggAAAAJOS8zMC8yMDI1CQAAAAEw1oow5s173ggu8dU4znveCDFDSVEuTllTRTpJQk0uSVFfVEJWX1NIQVJFLjE5OTkuMDYvMDMvMjAyNi4uLlVTRC5IAQAAAN62AQACAAAACi01NC43OTYyNjcBCAAAAAUAAAABMQEAAAALLTE5MjA4NDY5NDkDAAAAAzE2MAIAAAAENDE1NgQAAAABMAcAAAAIMy82LzIwMjYIAAAACTkvMzAvMjAyNQkAAAABMNaKMObNe94ILvHVOM573ggwQ0lRLk5ZU0U6SUJNLklRX1RPVEFMX0NBLjE5OTkuMDYvMDMvMjAyNi4uLlVTRC5IAQAAAN62AQACAAAABTMyNzQwAQgAAAAFAAAAATEBAAAACy0xOTIwODQ2OTQ5AwAAAAMxNjACAAAABDEwMDgEAAAAATAHAAAACDMvNi8yMDI2CAAAAAk5LzMwLzIwMjUJAAAAATDWijDmzXveCDAY1jjOe94ILUNJUS5OWVNFOklCTS5JUV9GSUxJTkdEQVRFX0JTLjE5OTkuMDYvMDMvMjAyNgEAAADetgEABQAAAAoyMy8xMC8yMDI1ANaKMObNe94IMBjWOM573gg1Q0lRLk5ZU0U6SUJNLklRX1JVQV9BQ0NVTV9ERVAuMTk5OS4wNi8wMy8yMDI2Li4uVVNELkgBAAAA3rYBAAMAAAAAANaKMObNe94IMBjWOM573gg5Q0lRLk5ZU0U6SUJNLklRX1RPVEFMX0xJQUJfRVFVSVRZLjE5OTkuMDYvMDMvMjAyNi4uLlVTRC5IAQAAAN62AQACAAAABjE0NjMxMgEIAAAABQAAAAExAQAAAAstMTkyMDg0Njk0OQMAAAADMTYwAgAA</t>
  </si>
  <si>
    <t>AAQxMDEzBAAAAAEwBwAAAAgzLzYvMjAyNggAAAAJOS8zMC8yMDI1CQAAAAEw1oow5s173ggwGNY4znveCDJDSVEuTllTRTpJQk0uSVFfVE9UQUxfTElBQi4xOTk5LjA2LzAzLzIwMjYuLi5VU0QuSAEAAADetgEAAgAAAAYxMTgzMjIBCAAAAAUAAAABMQEAAAALLTE5MjA4NDY5NDkDAAAAAzE2MAIAAAAEMTI3NgQAAAABMAcAAAAIMy82LzIwMjYIAAAACTkvMzAvMjAyNQkAAAABMNaKMObNe94ILvHVOM573gg3Q0lRLk5ZU0U6SUJNLklRX0RFRl9UQVhfTElBQl9MVC4xOTk5LjA2LzAzLzIwMjYuLi5VU0QuSAEAAADetgEAAwAAAAAA1oow5s173ggwGNY4znveCC9DSVEuTllTRTpJQk0uSVFfU1RfREVCVC4xOTk5LjA2LzAzLzIwMjYuLi5VU0QuSAEAAADetgEAAgAAAAExAQgAAAAFAAAAATEBAAAACy0xOTIwODQ2OTQ5AwAAAAMxNjACAAAABDEwNDYEAAAAATAHAAAACDMvNi8yMDI2CAAAAAk5LzMwLzIwMjUJAAAAATDWijDmzXveCDAY1jjOe94INENJUS5OWVNFOklCTS5JUV9PVEhFUl9SRUNFSVYuMTk5OS4wNi8wMy8yMDI2Li4uVVNELkgBAAAA3rYBAAIAAAAEMTE2MAEIAAAABQAAAAExAQAAAAstMTkyMDg0Njk0OQMAAAADMTYwAgAAAAQxMjA2BAAAAAEwBwAAAAgzLzYvMjAyNggAAAAJOS8zMC8yMDI1CQAAAAEw1oow5s173ggwGNY4znveCElDSVEuTllTRTpJQk0uSVFfTE9OR19URVJNX0RFQlRfUkVQ</t>
  </si>
  <si>
    <t>QUlEX0VYQ0xfTEVBU0VTLjE5OTkuMDYvMDMvMjAyNi4uLlVTRC5IAQAAAN62AQACAAAABS0zODAzAQgAAAAFAAAAATEBAAAACy0xOTIwODQ2OTQ5AwAAAAMxNjACAAAABTQ4OTg0BAAAAAEwBwAAAAgzLzYvMjAyNggAAAAJOS8zMC8yMDI1CQAAAAEw1oow5s173ggwGNY4znveCDhDSVEuTllTRTpJQk0uSVFfQ0FTSF9UQVhFU19GSU5BTi4xOTk5LjA2LzAzLzIwMjYuLi5VU0QuSAEAAADetgEAAwAAAAAA1oow5s173ggwGNY4znveCDxDSVEuTllTRTpJQk0uSVFfTkVHQVRJVkVfR1dfQU1PUlRfQ0YuMTk5OS4wNi8wMy8yMDI2Li4uVVNELkgBAAAA3rYBAAMAAAAAANaKMObNe94ITULWOM573ggyQ0lRLk5ZU0U6SUJNLklRX1RPVEFMX0RFQlQuMTk5OS4wNi8wMy8yMDI2Li4uVVNELkgBAAAA3rYBAAIAAAAFNjY1NjkBCAAAAAUAAAABMQEAAAALLTE5MjA4NDY5NDkDAAAAAzE2MAIAAAAENDE3MwQAAAABMAcAAAAIMy82LzIwMjYIAAAACTkvMzAvMjAyNQkAAAABMNaKMObNe94ITULWOM573gg/Q0lRLk5ZU0U6SUJNLklRX1JVQV9DQVBJVEFMX0xFQVNFX0dST1NTLjE5OTkuMDYvMDMvMjAyNi4uLlVTRC5IAQAAAN62AQADAAAAAADWijDmzXveCDAY1jjOe94IPUNJUS5OWVNFOklCTS5JUV9SVUFfQ0FQSVRBTF9MRUFTRV9ORVQuMTk5OS4wNi8wMy8yMDI2Li4uVVNELkgBAAAA3rYBAAMAAAAAANaKMObNe94I</t>
  </si>
  <si>
    <t>MBjWOM573gg3Q0lRLk5ZU0U6SUJNLklRX1BSRUZfTk9OX1JFREVFTS4xOTk5LjA2LzAzLzIwMjYuLi5VU0QuSAEAAADetgEAAwAAAAAA1oow5s173ggwGNY4znveCDdDSVEuTllTRTpJQk0uSVFfUkVTVFJJQ1RFRF9DQVNILjE5OTkuMDYvMDMvMjAyNi4uLlVTRC5IAQAAAN62AQACAAAAAjMwAQgAAAAFAAAAATEBAAAACy0xOTIwODQ2OTQ5AwAAAAMxNjACAAAABDExMDQEAAAAATAHAAAACDMvNi8yMDI2CAAAAAk5LzMwLzIwMjUJAAAAATDWijDmzXveCE1C1jjOe94IM0NJUS5OWVNFOklCTS5JUV9NQUlOVF9DQVBFWC4xOTk5LjA2LzAzLzIwMjYuLi5VU0QuSAEAAADetgEAAwAAAAAA1oow5s173ghNQtY4znveCDpDSVEuTllTRTpJQk0uSVFfQ0FTSF9JTlRFUkVTVF9PUEVSLjE5OTkuMDYvMDMvMjAyNi4uLlVTRC5IAQAAAN62AQADAAAAAADWijDmzXveCE1C1jjOe94INUNJUS5OWVNFOklCTS5JUV9DQVNIX0lOVEVSRVNULjE5OTkuMDYvMDMvMjAyNi4uLlVTRC5IAQAAAN62AQACAAAABDIxNjEBCAAAAAUAAAABMQEAAAALLTE5MjA4NDY5NDkDAAAAAzE2MAIAAAAEMzAyOAQAAAABMAcAAAAIMy82LzIwMjYIAAAACTkvMzAvMjAyNQkAAAABMNaKMObNe94ITULWOM573ggtQ0lRLk5ZU0U6SUJNLklRX0ZJTElOR0RBVEVfQ0YuMTk5OS4wNi8wMy8yMDI2AQAAAN62AQAFAAAACjIzLzEwLzIwMjUA1oow5s17</t>
  </si>
  <si>
    <t>3ghNQtY4znveCDNDSVEuTllTRTpJQk0uSVFfUFJFRl9JU1NVRUQuMTk5OS4wNi8wMy8yMDI2Li4uVVNELkgBAAAA3rYBAAMAAAAAANaKMObNe94ITULWOM573gg1Q0lRLk5ZU0U6SUJNLklRX1NBTEVfSU5UQU5fQ0YuMTk5OS4wNi8wMy8yMDI2Li4uVVNELkgBAAAA3rYBAAIAAAAELTYxNwEIAAAABQAAAAExAQAAAAstMTkyMDg0Njk0OQMAAAADMTYwAgAAAAQyMDI5BAAAAAEwBwAAAAgzLzYvMjAyNggAAAAJOS8zMC8yMDI1CQAAAAEw1oow5s173ghNQtY4znveCDFDSVEuTllTRTpJQk0uSVFfQ0hBTkdFX0FSLjE5OTkuMDYvMDMvMjAyNi4uLlVTRC5IAQAAAN62AQACAAAABC0zNzQBCAAAAAUAAAABMQEAAAALLTE5MjA4NDY5NDkDAAAAAzE2MAIAAAAEMjAxOAQAAAABMAcAAAAIMy82LzIwMjYIAAAACTkvMzAvMjAyNQkAAAABMNaKMObNe94ITULWOM573ggtQ0lRLk5ZU0U6SUJNLklRX0RPX0NGLjE5OTkuMDYvMDMvMjAyNi4uLlVTRC5IAQAAAN62AQADAAAAAADWijDmzXveCE1C1jjOe94IMkNJUS5OWVNFOklCTS5JUV9PSUxfSU1QQUlSLjE5OTkuMDYvMDMvMjAyNi4uLlVTRC5IAQAAAN62AQADAAAAAADWijDmzXveCFRm1jjOe94IP0NJUS5OWVNFOklCTS5JUV9SRVNUUl9TVE9DS19DT01QX1BSRVRBWC4xOTk5LjA2LzAzLzIwMjYuLi5VU0QuSAEAAADetgEAAwAAAAAA1oow5s173ghUZtY4znveCE5D</t>
  </si>
  <si>
    <t>SVEuTllTRTpJQk0uSVFfTElRVUlEQVRJT05fVkFMVUVfUFJFRkVSUkVEX05PTl9SRURFRU0uMTk5OS4wNi8wMy8yMDI2Li4uVVNELkgBAAAA3rYBAAMAAAAAANaKMObNe94IVGbWOM573ggrQ0lRLk5ZU0U6SUJNLklRX1RCVi4xOTk5LjA2LzAzLzIwMjYuLi5VU0QuSAEAAADetgEAAgAAAAYtNTEyMjABCAAAAAUAAAABMQEAAAALLTE5MjA4NDY5NDkDAAAAAzE2MAIAAAAEMTMxMAQAAAABMAcAAAAIMy82LzIwMjYIAAAACTkvMzAvMjAyNQkAAAABMNaKMObNe94IVGbWOM573ghQQ0lRLk5ZU0U6SUJNLklRX0ZJTkFOQ0lOR19PQkxJR19DVVJSRU5UX0VYQ0xfT1BFUl9MRUFTRVMuMTk5OS4wNi8wMy8yMDI2Li4uVVNELkgBAAAA3rYBAAIAAAAENzk0MgEIAAAABQAAAAExAQAAAAstMTkyMDg0Njk0OQMAAAADMTYwAgAAAAU0ODk4MAQAAAABMAcAAAAIMy82LzIwMjYIAAAACTkvMzAvMjAyNQkAAAABMNaKMObNe94IVGbWOM573gg8Q0lRLk5ZU0U6SUJNLklRX0RFRl9UQVhfTElBQl9DVVJSRU5ULjE5OTkuMDYvMDMvMjAyNi4uLlVTRC5IAQAAAN62AQADAAAAAADWijDmzXveCFRm1jjOe94IOUNJUS5OWVNFOklCTS5JUV9BU1NFVFNfRkFJUl9WQUxVRS4xOTk5LjA2LzAzLzIwMjYuLi5VU0QuSAEAAADetgEAAgAAAAUxMDI3NQDWijDmzXveCFRm1jjOe94IOENJUS5OWVNFOklCTS5JUV9BTExPV19ET1VCVF9B</t>
  </si>
  <si>
    <t>Q0NULjE5OTkuMDYvMDMvMjAyNi4uLlVTRC5IAQAAAN62AQACAAAAAzExNgEIAAAABQAAAAExAQAAAAstMTkyMDg0Njk0OQMAAAADMTYwAgAAAAQzMDEyBAAAAAEwBwAAAAgzLzYvMjAyNggAAAAJOS8zMC8yMDI1CQAAAAEw1oow5s173ghUZtY4znveCDlDSVEuTllTRTpJQk0uSVFfVE9UQUxfT1VUU1RBTkRJTkdfQlNfREFURS4xOTk5LjA2LzAzLzIwMjYBAAAA3rYBAAIAAAAKOTM0LjczNTIwNgEEAAAABQAAAAE1AQAAAAstMTkyMDg0Njk0OQIAAAAFMjQxNTIGAAAAATDWijDmzXveCFRm1jjOe94IQ0NJUS5OWVNFOklCTS5JUV9UT1RBTF9ERUJUX0VYQ0xfT1BFUl9MRUFTRVMuMTk5OS4wNi8wMy8yMDI2Li4uVVNELkgBAAAA3rYBAAIAAAAFNjMxMTYBCAAAAAUAAAABMQEAAAALLTE5MjA4NDY5NDkDAAAAAzE2MAIAAAAFNDg5ODIEAAAAATAHAAAACDMvNi8yMDI2CAAAAAk5LzMwLzIwMjUJAAAAATDWijDmzXveCFRm1jjOe94IMENJUS5OWVNFOklCTS5JUV9UT1RBTF9DTC4xOTk5LjA2LzAzLzIwMjYuLi5VU0QuSAEAAADetgEAAgAAAAUzNTE0MgEIAAAABQAAAAExAQAAAAstMTkyMDg0Njk0OQMAAAADMTYwAgAAAAQxMDA5BAAAAAEwBwAAAAgzLzYvMjAyNggAAAAJOS8zMC8yMDI1CQAAAAEw1oow5s173giTjdY4znveCDZDSVEuTllTRTpJQk0uSVFfREVGX0NIQVJHRVNfTFQuMTk5OS4wNi8wMy8yMDI2</t>
  </si>
  <si>
    <t>Li4uVVNELkgBAAAA3rYBAAIAAAADNzY4AQgAAAAFAAAAATEBAAAACy0xOTIwODQ2OTQ5AwAAAAMxNjACAAAABDEwMjUEAAAAATAHAAAACDMvNi8yMDI2CAAAAAk5LzMwLzIwMjUJAAAAATDWijDmzXveCJON1jjOe94INkNJUS5OWVNFOklCTS5JUV9MT0FOU19GT1JfU0FMRS4xOTk5LjA2LzAzLzIwMjYuLi5VU0QuSAEAAADetgEAAwAAAAAA1oow5s173ghUZtY4znveCDZDSVEuTllTRTpJQk0uSVFfU1RfTk9URV9SRUNFSVYuMTk5OS4wNi8wMy8yMDI2Li4uVVNELkgBAAAA3rYBAAMAAAAAANaKMObNe94IVGbWOM573ghFQ0lRLk5ZU0U6SUJNLklRX1RPVEFMX0RFQlRfUkVQQUlEX0VYQ0xfTEVBU0VTLjE5OTkuMDYvMDMvMjAyNi4uLlVTRC5IAQAAAN62AQACAAAABS0zODMyAQgAAAAFAAAAATEBAAAACy0xOTIwODQ2OTQ5AwAAAAMxNjACAAAABTQ4OTg2BAAAAAEwBwAAAAgzLzYvMjAyNggAAAAJOS8zMC8yMDI1CQAAAAEw1oow5s173ghUZtY4znveCENDSVEuTllTRTpJQk0uSVFfT1BFUkFUSU5HX0xFQVNFX0xJQUJJTElUSUVTLjE5OTkuMDYvMDMvMjAyNi4uLlVTRC5IAQAAAN62AQADAAAAAADWijDmzXveCJON1jjOe94IN0NJUS5OWVNFOklCTS5JUV9DQVNIX1RBWEVTX09QRVIuMTk5OS4wNi8wMy8yMDI2Li4uVVNELkgBAAAA3rYBAAMAAAAAANaKMObNe94Ik43WOM573ghEQ0lRLk5ZU0U6SUJNLklR</t>
  </si>
  <si>
    <t>X0RBX1NVUFBMX0NGX0VYQ0xfT1BFUl9MRUFTRVMuMTk5OS4wNi8wMy8yMDI2Li4uVVNELkgBAAAA3rYBAAIAAAAEMTQyMgEIAAAABQAAAAExAQAAAAstMTkyMDg0Njk0OQMAAAADMTYwAgAAAAU0ODk4MwQAAAABMAcAAAAIMy82LzIwMjYIAAAACTkvMzAvMjAyNQkAAAABMNaKMObNe94Ik43WOM573gg/Q0lRLk5ZU0U6SUJNLklRX09USEVSX0ZJTkFOQ0VfQUNUX1NVUFBMLjE5OTkuMDYvMDMvMjAyNi4uLlVTRC5IAQAAAN62AQACAAAABC0xMzIBCAAAAAUAAAABMQEAAAALLTE5MjA4NDY5NDkDAAAAAzE2MAIAAAAEMjA1MAQAAAABMAcAAAAIMy82LzIwMjYIAAAACTkvMzAvMjAyNQkAAAABMNaKMObNe94Ik43WOM573gg5Q0lRLk5ZU0U6SUJNLklRX1RPVEFMX0RFQlRfSVNTVUVELjE5OTkuMDYvMDMvMjAyNi4uLlVTRC5IAQAAAN62AQACAAAABDg0MTIBCAAAAAUAAAABMQEAAAALLTE5MjA4NDY5NDkDAAAAAzE2MAIAAAAEMjE2MQQAAAABMAcAAAAIMy82LzIwMjYIAAAACTkvMzAvMjAyNQkAAAABMNaKMObNe94Ik43WOM573ggzQ0lRLk5ZU0U6SUJNLklRX0NBU0hfSU5WRVNULjE5OTkuMDYvMDMvMjAyNi4uLlVTRC5IAQAAAN62AQACAAAABi0xMzA5OAEIAAAABQAAAAExAQAAAAstMTkyMDg0Njk0OQMAAAADMTYwAgAAAAQyMDA1BAAAAAEwBwAAAAgzLzYvMjAyNggAAAAJOS8zMC8yMDI1CQAAAAEw1oow</t>
  </si>
  <si>
    <t>5s173giTjdY4znveCDdDSVEuTllTRTpJQk0uSVFfTE9BTlNfUkVDRUlWX0xULjE5OTkuMDYvMDMvMjAyNi4uLlVTRC5IAQAAAN62AQADAAAAAADWijDmzXveCJON1jjOe94IM0NJUS5OWVNFOklCTS5JUV9PVEhFUl9JTlRBTi4xOTk5LjA2LzAzLzIwMjYuLi5VU0QuSAEAAADetgEAAgAAAAUxMTcyOQEIAAAABQAAAAExAQAAAAstMTkyMDg0Njk0OQMAAAADMTYwAgAAAAQxMDQwBAAAAAEwBwAAAAgzLzYvMjAyNggAAAAJOS8zMC8yMDI1CQAAAAEw1oow5s173giTjdY4znveCCpDSVEuTllTRTpJQk0uSVFfSU5WX01FVEhPRC4xOTk5LjA2LzAzLzIwMjYBAAAA3rYBAAMAAAAAANaKMObNe94Ik43WOM573gg5Q0lRLk5ZU0U6SUJNLklRX0JWX1NIQVJFX1JFUE9SVEVELjE5OTkuMDYvMDMvMjAyNi4uLlVTRC5IAQAAAN62AQADAAAAAADWijDmzXveCJON1jjOe94IPENJUS5OWVNFOklCTS5JUV9UT1RBTF9GSU5BTkNFX0xFQVNFUy4xOTk5LjA2LzAzLzIwMjYuLi5VU0QuSAEAAADetgEAAgAAAAQxMTQ3AQgAAAAFAAAAATEBAAAACy0xOTIwODQ2OTQ5AwAAAAMxNjACAAAABTQ5MDMxBAAAAAEwBwAAAAgzLzYvMjAyNggAAAAJOS8zMC8yMDI1CQAAAAEw1oow5s173giQtNY4znveCDRDSVEuTllTRTpJQk0uSVFfVE9UQUxfRVFVSVRZLjE5OTkuMDYvMDMvMjAyNi4uLlVTRC5IAQAAAN62AQACAAAABTI3OTkwAQgA</t>
  </si>
  <si>
    <t>AAAFAAAAATEBAAAACy0xOTIwODQ2OTQ5AwAAAAMxNjACAAAABDEyNzUEAAAAATAHAAAACDMvNi8yMDI2CAAAAAk5LzMwLzIwMjUJAAAAATDWijDmzXveCJC01jjOe94IO0NJUS5OWVNFOklCTS5JUV9UT1RBTF9DT01NT05fRVFVSVRZLjE5OTkuMDYvMDMvMjAyNi4uLlVTRC5IAQAAAN62AQACAAAABTI3OTA1AQgAAAAFAAAAATEBAAAACy0xOTIwODQ2OTQ5AwAAAAMxNjACAAAABDEwMDYEAAAAATAHAAAACDMvNi8yMDI2CAAAAAk5LzMwLzIwMjUJAAAAATDWijDmzXveCJC01jjOe94IL0NJUS5OWVNFOklCTS5JUV9QRU5TSU9OLjE5OTkuMDYvMDMvMjAyNi4uLlVTRC5IAQAAAN62AQACAAAABDk3MzUBCAAAAAUAAAABMQEAAAALLTE5MjA4NDY5NDkDAAAAAzE2MAIAAAAEMTIxMwQAAAABMAcAAAAIMy82LzIwMjYIAAAACTkvMzAvMjAyNQkAAAABMNaKMObNe94IkLTWOM573gg3Q0lRLk5ZU0U6SUJNLklRX0ZJTl9ESVZfTElBQl9MVC4xOTk5LjA2LzAzLzIwMjYuLi5VU0QuSAEAAADetgEAAwAAAAAA1oow5s173giQtNY4znveCDlDSVEuTllTRTpJQk0uSVFfRklOX0RJVl9BU1NFVFNfTFQuMTk5OS4wNi8wMy8yMDI2Li4uVVNELkgBAAAA3rYBAAMAAAAAANaKMObNe94IkLTWOM573ggxQ0lRLk5ZU0U6SUJNLklRX0xUX0lOVkVTVC4xOTk5LjA2LzAzLzIwMjYuLi5VU0QuSAEAAADetgEAAgAAAAQxNDQ4AQgA</t>
  </si>
  <si>
    <t>AAAFAAAAATEBAAAACy0xOTIwODQ2OTQ5AwAAAAMxNjACAAAABDEwNTQEAAAAATAHAAAACDMvNi8yMDI2CAAAAAk5LzMwLzIwMjUJAAAAATDWijDmzXveCJC01jjOe94ILENJUS5OWVNFOklCTS5JUV9DQUxDX1RZUEVfQ0YuMTk5OS4wNi8wMy8yMDI2AQAAAN62AQADAAAAA0xUTQDWijDmzXveCJC01jjOe94IMENJUS5OWVNFOklCTS5JUV9DRl9TSEFSRS4xOTk5LjA2LzAzLzIwMjYuLi5VU0QuSAEAAADetgEAAgAAAAkxMi43NTAxMDQBCAAAAAUAAAABMQEAAAALLTE5MjA4NDY5NDkDAAAAAzE2MAIAAAAFNDM5MjMEAAAAATAHAAAACDMvNi8yMDI2CAAAAAk5LzMwLzIwMjUJAAAAATDWijDmzXveCJC01jjOe94IOUNJUS5OWVNFOklCTS5JUV9DQVNIX0lOVEVSRVNUX05FVC4xOTk5LjA2LzAzLzIwMjYuLi5VU0QuSAEAAADetgEAAwAAAAAA1oow5s173giQtNY4znveCClDSVEuTllTRTpJQk0uSVFfRlVMTF9USU1FLjE5OTkuMDYvMDMvMjAyNgEAAADetgEAAwAAAAAA1oow5s173giQtNY4znveCElDSVEuTllTRTpJQk0uSVFfTFRfUE9SVElPTl9PUEVSX0xFQVNFX0xJQUJJTElUSUVTLjE5OTkuMDYvMDMvMjAyNi4uLlVTRC5IAQAAAN62AQACAAAABDI2NDYBCAAAAAUAAAABMQEAAAALLTE5MjA4NDY5NDkDAAAAAzE2MAIAAAAFNDgzODMEAAAAATAHAAAACDMvNi8yMDI2CAAAAAk5LzMwLzIwMjUJAAAAATDW</t>
  </si>
  <si>
    <t>ijDmzXveCJC01jjOe94IPUNJUS5OWVNFOklCTS5JUV9GSU5fRElWX0xPQU5TX0NVUlJFTlQuMTk5OS4wNi8wMy8yMDI2Li4uVVNELkgBAAAA3rYBAAIAAAAENTE1NgEIAAAABQAAAAExAQAAAAstMTkyMDg0Njk0OQMAAAADMTYwAgAAAAQxMDMyBAAAAAEwBwAAAAgzLzYvMjAyNggAAAAJOS8zMC8yMDI1CQAAAAEw1oow5s173giQtNY4znveCDpDSVEuTllTRTpJQk0uSVFfVEJWX1NIQVJFX1JFUE9SVEVELjE5OTkuMDYvMDMvMjAyNi4uLlVTRC5IAQAAAN62AQADAAAAAADWijDmzXveCJC01jjOe94IL0NJUS5OWVNFOklCTS5JUV9SVUFfTkVULjE5OTkuMDYvMDMvMjAyNi4uLlVTRC5IAQAAAN62AQADAAAAAADWijDmzXveCJC01jjOe94IMUNJUS5OWVNFOklCTS5JUV9SVUFfR1JPU1MuMTk5OS4wNi8wMy8yMDI2Li4uVVNELkgBAAAA3rYBAAMAAAAAANaKMObNe94IUe/WOM573gg7Q0lRLk5ZU0U6SUJNLklRX0NVUlJFTlRfUE9SVF9MRUFTRVMuMTk5OS4wNi8wMy8yMDI2Li4uVVNELkgBAAAA3rYBAAIAAAADODA3AQgAAAAFAAAAATEBAAAACy0xOTIwODQ2OTQ5AwAAAAMxNjACAAAABDEwOTAEAAAAATAHAAAACDMvNi8yMDI2CAAAAAk5LzMwLzIwMjUJAAAAATDWijDmzXveCJC01jjOe94IKkNJUS5OWVNFOklCTS5JUV9BUi4xOTk5LjA2LzAzLzIwMjYuLi5VU0QuSAEAAADetgEAAgAAAAQ2MDY1AQgAAAAF</t>
  </si>
  <si>
    <t>AAAAATEBAAAACy0xOTIwODQ2OTQ5AwAAAAMxNjACAAAABDEwMjEEAAAAATAHAAAACDMvNi8yMDI2CAAAAAk5LzMwLzIwMjUJAAAAATDWijDmzXveCJC01jjOe94IS0NJUS5OWVNFOklCTS5JUV9PUEVSQVRJTkdfTEVBU0VfTElBQklMSVRJRVNfTk9OQ0FTSC4xOTk5LjA2LzAzLzIwMjYuLi5VU0QuSAEAAADetgEAAwAAAAAA1oow5s173giQtNY4znveCDlDSVEuTllTRTpJQk0uSVFfQ0FTSF9UQVhFU19JTlZFU1QuMTk5OS4wNi8wMy8yMDI2Li4uVVNELkgBAAAA3rYBAAMAAAAAANaKMObNe94IkLTWOM573gg7Q0lRLk5ZU0U6SUJNLklRX0NBU0hfSU5URVJFU1RfRklOQU4uMTk5OS4wNi8wMy8yMDI2Li4uVVNELkgBAAAA3rYBAAMAAAAAANaKMObNe94IUe/WOM573ghFQ0lRLk5ZU0U6SUJNLklRX0RFUFJFQ0lBVElPTl9SRU5UQUxfQVNTRVRTX0NGLjE5OTkuMDYvMDMvMjAyNi4uLlVTRC5IAQAAAN62AQADAAAAAADWijDmzXveCFHv1jjOe94IOUNJUS5OWVNFOklCTS5JUV9UT1RBTF9ESVZfUEFJRF9DRi4xOTk5LjA2LzAzLzIwMjYuLi5VU0QuSAEAAADetgEAAgAAAAUtNjIyNwEIAAAABQAAAAExAQAAAAstMTkyMDg0Njk0OQMAAAADMTYwAgAAAAQyMDIyBAAAAAEwBwAAAAgzLzYvMjAyNggAAAAJOS8zMC8yMDI1CQAAAAEw1oow5s173ghR79Y4znveCDZDSVEuTllTRTpJQk0uSVFfU1RfREVCVF9JU1NV</t>
  </si>
  <si>
    <t>RUQuMTk5OS4wNi8wMy8yMDI2Li4uVVNELkgBAAAA3rYBAAMAAAAAANaKMObNe94IUe/WOM573gg2Q0lRLk5ZU0U6SUJNLklRX0NIQU5HRV9ERUZfVEFYLjE5OTkuMDYvMDMvMjAyNi4uLlVTRC5IAQAAAN62AQADAAAAAADWijDmzXveCFHv1jjOe94IMUNJUS5OWVNFOklCTS5JUV9DSEFOR0VfQVAuMTk5OS4wNi8wMy8yMDI2Li4uVVNELkgBAAAA3rYBAAIAAAADLTEzAQgAAAAFAAAAATEBAAAACy0xOTIwODQ2OTQ5AwAAAAMxNjACAAAABDIwMTcEAAAAATAHAAAACDMvNi8yMDI2CAAAAAk5LzMwLzIwMjUJAAAAATDWijDmzXveCFHv1jjOe94INkNJUS5OWVNFOklCTS5JUV9HQUlOX0lOVkVTVF9DRi4xOTk5LjA2LzAzLzIwMjYuLi5VU0QuSAEAAADetgEAAwAAAAAA1oow5s173ghR79Y4znveCDtDSVEuTllTRTpJQk0uSVFfTFRfREVCVF9ERVJJVkFUSVZFUy4xOTk5LjA2LzAzLzIwMjYuLi5VU0QuSAEAAADetgEAAwAAAAAA1oow5s173ghR79Y4znveCDFDSVEuTllTRTpJQk0uSVFfVE9UQUxfQ0FQLjE5OTkuMDYvMDMvMjAyNi4uLlVTRC5IAQAAAN62AQACAAAABTk0NTU5AQgAAAAFAAAAATEBAAAACy0xOTIwODQ2OTQ5AwAAAAMxNjACAAAABDQxNzUEAAAAATAHAAAACDMvNi8yMDI2CAAAAAk5LzMwLzIwMjUJAAAAATDWijDmzXveCFHv1jjOe94INENJUS5OWVNFOklCTS5JUV9UT1RBTF9MRUFTRVMuMTk5</t>
  </si>
  <si>
    <t>OS4wNi8wMy8yMDI2Li4uVVNELkgBAAAA3rYBAAIAAAAENDYwMAEIAAAABQAAAAExAQAAAAstMTkyMDg0Njk0OQMAAAADMTYwAgAAAAU0ODk3OQQAAAABMAcAAAAIMy82LzIwMjYIAAAACTkvMzAvMjAyNQkAAAABMNaKMObNe94IUe/WOM573gg+Q0lRLk5ZU0U6SUJNLklRX0RFRl9UQVhfQVNTRVRTX0NVUlJFTlQuMTk5OS4wNi8wMy8yMDI2Li4uVVNELkgBAAAA3rYBAAMAAAAAANaKMObNe94IUe/WOM573ghBQ0lRLk5ZU0U6SUJNLklRX0ZJTl9ESVZfTUlOT1JJVFlfSU5URVJFU1QuMTk5OS4wNi8wMy8yMDI2Li4uVVNELkgBAAAA3rYBAAMAAAAAANaKMObNe94IUe/WOM573ggwQ0lRLk5ZU0U6SUJNLklRX0dXX0lOVEFOLjE5OTkuMDYvMDMvMjAyNi4uLlVTRC5IAQAAAN62AQACAAAABTc5MTI1AQgAAAAFAAAAATEBAAAACy0xOTIwODQ2OTQ5AwAAAAMxNjACAAAABTM1MzgxBAAAAAEwBwAAAAgzLzYvMjAyNggAAAAJOS8zMC8yMDI1CQAAAAEw1oow5s173ghR79Y4znveCDBDSVEuTllTRTpJQk0uSVFfQlZfU0hBUkUuMTk5OS4wNi8wMy8yMDI2Li4uVVNELkgBAAAA3rYBAAIAAAAJMjkuODUzMzc0AQgAAAAFAAAAATEBAAAACy0xOTIwODQ2OTQ5AwAAAAMxNjACAAAABDQwMjAEAAAAATAHAAAACDMvNi8yMDI2CAAAAAk5LzMwLzIwMjUJAAAAATDWijDmzXveCFHv1jjOe94IL0NJUS5OWVNFOklCTS5JUV9M</t>
  </si>
  <si>
    <t>VF9ERUJULjE5OTkuMDYvMDMvMjAyNi4uLlVTRC5IAQAAAN62AQACAAAABTU0MDI3AQgAAAAFAAAAATEBAAAACy0xOTIwODQ2OTQ5AwAAAAMxNjACAAAABDEwNDkEAAAAATAHAAAACDMvNi8yMDI2CAAAAAk5LzMwLzIwMjUJAAAAATDWijDmzXveCFHv1jjOe94IPkNJUS5OWVNFOklCTS5JUV9DT05USU5HRU5UX0xJQUJJTElUSUVTLjE5OTkuMDYvMDMvMjAyNi4uLlVTRC5IAQAAAN62AQADAAAAAADWijDmzXveCIUq1zjOe94IL0NJUS5OWVNFOklCTS5JUV9XSVBfSU5WLjE5OTkuMDYvMDMvMjAyNi4uLlVTRC5IAQAAAN62AQACAAAABDEwODMBCAAAAAUAAAABMQEAAAALLTE5MjA4NDY5NDkDAAAAAzE2MAIAAAAEMzIxOQQAAAABMAcAAAAIMy82LzIwMjYIAAAACTkvMzAvMjAyNQkAAAABMNaKMObNe94IhSrXOM573gg8Q0lRLk5ZU0U6SUJNLklRX0ZJTl9ESVZfTElBQl9DVVJSRU5ULjE5OTkuMDYvMDMvMjAyNi4uLlVTRC5IAQAAAN62AQADAAAAAADWijDmzXveCIUq1zjOe94IN0NJUS5OWVNFOklCTS5JUV9ORVRfREVCVF9JU1NVRUQuMTk5OS4wNi8wMy8yMDI2Li4uVVNELkgBAAAA3rYBAAIAAAAENDU4MAEIAAAABQAAAAExAQAAAAstMTkyMDg0Njk0OQMAAAADMTYwAgAAAAQyMDAzBAAAAAEwBwAAAAgzLzYvMjAyNggAAAAJOS8zMC8yMDI1CQAAAAEw1oow5s173giFKtc4znveCD5DSVEuTllTRTpJQk0u</t>
  </si>
  <si>
    <t>SVFfQ0FTSF9JTlRFUkVTVF9SRUNFSVZFRC4xOTk5LjA2LzAzLzIwMjYuLi5VU0QuSAEAAADetgEAAwAAAAAA1oow5s173giFKtc4znveCDlDSVEuTllTRTpJQk0uSVFfR1dfSU5UQU5fQU1PUlRfQ0YuMTk5OS4wNi8wMy8yMDI2Li4uVVNELkgBAAAA3rYBAAIAAAAEMjA4NwEIAAAABQAAAAExAQAAAAstMTkyMDg0Njk0OQMAAAADMTYwAgAAAAQyMTgyBAAAAAEwBwAAAAgzLzYvMjAyNggAAAAJOS8zMC8yMDI1CQAAAAEw1oow5s173ggAP9c4znveCDVDSVEuTllTRTpJQk0uSVFfTUVSR0VSX1NVUFBMRS4xOTk5LjA2LzAzLzIwMjYuLi5VU0QuSAEAAADetgEAAwAAAAAA1oow5s173ggAP9c4znveCDlDSVEuTllTRTpJQk0uSVFfQ09OVElOR0VOVF9SRU5UQUwuMTk5OS4wNi8wMy8yMDI2Li4uVVNELkgBAAAA3rYBAAMAAAAAANaKMObNe94IAD/XOM573ggrQ0lRLk5ZU0U6SUJNLklRX0RJQy4xOTk5LjA2LzAzLzIwMjYuLi5VU0QuSAEAAADetgEAAwAAAAAA1oow5s173ggAP9c4znveCElDSVEuTllTRTpJQk0uSVFfSU5URVJFU1RfRVhQX0xFQVNFX0xJQUJJTElUWV9ERUJULjE5OTkuMDYvMDMvMjAyNi4uLlVTRC5IAQAAAN62AQADAAAAAADWijDmzXveCIUq1zjOe94IP0NJUS5OWVNFOklCTS5JUV9FWENJU0VfVEFYRVNfRVhDTF9TQUxFUy4xOTk5LjA2LzAzLzIwMjYuLi5VU0QuSAEAAADetgEAAwAAAAAA</t>
  </si>
  <si>
    <t>1oow5s173ggAP9c4znveCC9DSVEuTllTRTpJQk0uSVFfTklfU0ZBUy4xOTk5LjA2LzAzLzIwMjYuLi5VU0QuSAEAAADetgEAAwAAAAAA1oow5s173ggAP9c4znveCD1DSVEuTllTRTpJQk0uSVFfRUJJVEFfRVFfSU5DX0VYQ0xfU0JDLjE5OTkuMDYvMDMvMjAyNi4uLlVTRC5IAQAAAN62AQACAAAABTE1MjUxAQgAAAAFAAAAATEBAAAACy0xOTIwODQ2OTQ5AwAAAAMxNjACAAAABTI0MTMyBAAAAAEwBwAAAAgzLzYvMjAyNggAAAAJOS8zMC8yMDI1CQAAAAEw1oow5s173ggAP9c4znveCC5DSVEuTllTRTpJQk0uSVFfRUJJVERBLjE5OTkuMDYvMDMvMjAyNi4uLlVTRC5IAQAAAN62AQACAAAABTE1MDQyAQgAAAAFAAAAATEBAAAACy0xOTIwODQ2OTQ5AwAAAAMxNjACAAAABDQwNTEEAAAAATAHAAAACDMvNi8yMDI2CAAAAAk5LzMwLzIwMjUJAAAAATDWijDmzXveCAA/1zjOe94IPENJUS5OWVNFOklCTS5JUV9DSEFOR0VfREVGX1RBWF9UT1RBTC4xOTk5LjA2LzAzLzIwMjYuLi5VU0QuSAEAAADetgEAAgAAAAUtMjMzMAEIAAAABQAAAAExAQAAAAstMTkyMDg0Njk0OQMAAAADMTYwAgAAAAUzMDkyNAQAAAABMAcAAAAIMy82LzIwMjYIAAAACTkvMzAvMjAyNQkAAAABMNaKMObNe94IAD/XOM573gg2Q0lRLk5ZU0U6SUJNLklRX0xUX0RFQlRfUkVQQUlELjE5OTkuMDYvMDMvMjAyNi4uLlVTRC5IAQAAAN62AQAD</t>
  </si>
  <si>
    <t>AAAAAADWijDmzXveCEdm1zjOe94IPUNJUS5OWVNFOklCTS5JUV9DSEFOR0VfVFJBRElOR19BU1NFVFMuMTk5OS4wNi8wMy8yMDI2Li4uVVNELkgBAAAA3rYBAAMAAAAAANaKMObNe94IAD/XOM573ggtQ0lRLk5ZU0U6SUJNLklRX0RBX0NGLjE5OTkuMDYvMDMvMjAyNi4uLlVTRC5IAQAAAN62AQACAAAABDQzMDkBCAAAAAUAAAABMQEAAAALLTE5MjA4NDY5NDkDAAAAAzE2MAIAAAAEMjE2MAQAAAABMAcAAAAIMy82LzIwMjYIAAAACTkvMzAvMjAyNQkAAAABMNaKMObNe94IAD/XOM573gg5Q0lRLk5ZU0U6SUJNLklRX0NIQU5HRV9VTkVBUk5fUkVWLjE5OTkuMDYvMDMvMjAyNi4uLlVTRC5IAQAAAN62AQADAAAAAADWijDmzXveCAA/1zjOe94IOUNJUS5OWVNFOklCTS5JUV9TVE9DS19CQVNFRF9PVEhFUi4xOTk5LjA2LzAzLzIwMjYuLi5VU0QuSAEAAADetgEAAwAAAAAA1oow5s173ggAP9c4znveCDdDSVEuTllTRTpJQk0uSVFfU1RPQ0tfQkFTRURfU0dBLjE5OTkuMDYvMDMvMjAyNi4uLlVTRC5IAQAAAN62AQACAAAAAzg3MwEIAAAABQAAAAExAQAAAAstMTkyMDg0Njk0OQMAAAADMTYwAgAAAAUyMjY3OQQAAAABMAcAAAAIMy82LzIwMjYIAAAACTkvMzAvMjAyNQkAAAABMNaKMObNe94IR2bXOM573gg2Q0lRLk5ZU0U6SUJNLklRX1NUT0NLX0JBU0VEX1NNLjE5OTkuMDYvMDMvMjAyNi4uLlVTRC5IAQAA</t>
  </si>
  <si>
    <t>AN62AQADAAAAAADWijDmzXveCEdm1zjOe94IPUNJUS5OWVNFOklCTS5JUV9OUFBFX0VYQ0xfT1BFUl9MRUFTRVMuMTk5OS4wNi8wMy8yMDI2Li4uVVNELkgBAAAA3rYBAAIAAAAENTg1MQEIAAAABQAAAAExAQAAAAstMTkyMDg0Njk0OQMAAAADMTYwAgAAAAU0ODk3NgQAAAABMAcAAAAIMy82LzIwMjYIAAAACTkvMzAvMjAyNQkAAAABMNaKMObNe94IR2bXOM573ghAQ0lRLk5ZU0U6SUJNLklRX09QRVJBVElOR19MRUFTRV9QQVlNRU5UUy4xOTk5LjA2LzAzLzIwMjYuLi5VU0QuSAEAAADetgEAAwAAAAAAFldA5s173ghHZtc4znveCC9DSVEuTllTRTpJQk0uSVFfUEVSSU9ETEVOR1RIX0NGLjE5OTkuMDYvMDMvMjAyNgEAAADetgEAAQAAAAIxMgAWV0DmzXveCEdm1zjOe94INkNJUS5OWVNFOklCTS5JUV9TUEVDSUFMX0RJVl9DRi4xOTk5LjA2LzAzLzIwMjYuLi5VU0QuSAEAAADetgEAAwAAAAAAFldA5s173ghHZtc4znveCDVDSVEuTllTRTpJQk0uSVFfQ09NTU9OX0lTU1VFRC4xOTk5LjA2LzAzLzIwMjYuLi5VU0QuSAEAAADetgEAAgAAAAM2NDMBCAAAAAUAAAABMQEAAAALLTE5MjA4NDY5NDkDAAAAAzE2MAIAAAAEMjE2OQQAAAABMAcAAAAIMy82LzIwMjYIAAAACTkvMzAvMjAyNQkAAAABMBZXQObNe94IR2bXOM573gg4Q0lRLk5ZU0U6SUJNLklRX1NUT0NLX0JBU0VEX0NPR1MuMTk5OS4wNi8wMy8y</t>
  </si>
  <si>
    <t>MDI2Li4uVVNELkgBAAAA3rYBAAIAAAADMjU3AQgAAAAFAAAAATEBAAAACy0xOTIwODQ2OTQ5AwAAAAMxNjACAAAABTIyNjc0BAAAAAEwBwAAAAgzLzYvMjAyNggAAAAJOS8zMC8yMDI1CQAAAAEwFldA5s173ghHZtc4znveCDhDSVEuTllTRTpJQk0uSVFfR0FJTl9CQVJHQUlOX0FDUS4xOTk5LjA2LzAzLzIwMjYuLi5VU0QuSAEAAADetgEAAwAAAAAAFldA5s173ghHZtc4znveCD1DSVEuTllTRTpJQk0uSVFfR1BQRV9FWENMX09QRVJfTEVBU0VTLjE5OTkuMDYvMDMvMjAyNi4uLlVTRC5IAQAAAN62AQACAAAABTE4MDU4AQgAAAAFAAAAATEBAAAACy0xOTIwODQ2OTQ5AwAAAAMxNjACAAAABTQ4OTc0BAAAAAEwBwAAAAgzLzYvMjAyNggAAAAJOS8zMC8yMDI1CQAAAAEwFldA5s173ghHZtc4znveCDVDSVEuTllTRTpJQk0uSVFfRE9fRklOQU5DRV9DRi4xOTk5LjA2LzAzLzIwMjYuLi5VU0QuSAEAAADetgEAAwAAAAAAFldA5s173ghTjdc4znveCDtDSVEuTllTRTpJQk0uSVFfU0FMRV9SRUFMX0VTVEFURV9DRi4xOTk5LjA2LzAzLzIwMjYuLi5VU0QuSAEAAADetgEAAwAAAAAAFldA5s173ghTjdc4znveCDZDSVEuTllTRTpJQk0uSVFfT1RIRVJfT1BFUl9BQ1QuMTk5OS4wNi8wMy8yMDI2Li4uVVNELkgBAAAA3rYBAAIAAAAFLTE5NDIBCAAAAAUAAAABMQEAAAALLTE5MjA4NDY5NDkDAAAAAzE2MAIAAAAE</t>
  </si>
  <si>
    <t>MjA0NwQAAAABMAcAAAAIMy82LzIwMjYIAAAACTkvMzAvMjAyNQkAAAABMBZXQObNe94IU43XOM573gg9Q0lRLk5ZU0U6SUJNLklRX1RBWF9CRU5FRklUX0NGX05PX0VYUC4xOTk4LjA2LzAzLzIwMjYuLi5VU0QuSAEAAADetgEAAwAAAAAAFldA5s173gglUdw4znveCDxDSVEuTllTRTpJQk0uSVFfU1RPQ0tfQkFTRURfQ09NUF9UQVguMTk5OS4wNi8wMy8yMDI2Li4uVVNELkgBAAAA3rYBAAIAAAAELTY5NAAWV0DmzXveCEdm1zjOe94IPkNJUS5OWVNFOklCTS5JUV9BU1NFVF9XUklURURPV05fU1VQUExFLjE5OTkuMDYvMDMvMjAyNi4uLlVTRC5IAQAAAN62AQADAAAAAAAXfkDmzXveCFON1zjOe94INkNJUS5OWVNFOklCTS5JUV9TVF9ERUJUX1JFUEFJRC4xOTk5LjA2LzAzLzIwMjYuLi5VU0QuSAEAAADetgEAAwAAAAAAF35A5s173ghTjdc4znveCDpDSVEuTllTRTpJQk0uSVFfU1RPQ0tfT1BUSU9OU19DT01QLjE5OTkuMDYvMDMvMjAyNi4uLlVTRC5IAQAAAN62AQADAAAAAAAXfkDmzXveCFON1zjOe94INkNJUS5OWVNFOklCTS5JUV9TVE9DS19CQVNFRF9HQS4xOTk5LjA2LzAzLzIwMjYuLi5VU0QuSAEAAADetgEAAwAAAAAAF35A5s173ghTjdc4znveCD9DSVEuTllTRTpJQk0uSVFfRVhQTE9SRV9EUklMTF9FWFBfVE9UQUwuMTk5OS4wNi8wMy8yMDI2Li4uVVNELkgBAAAA3rYBAAMAAAAAABd+QObN</t>
  </si>
  <si>
    <t>e94Ia7TXOM573gg9Q0lRLk5ZU0U6SUJNLklRX05FVF9SRU5UQUxfRVhQX1NVUFBMRS4xOTk5LjA2LzAzLzIwMjYuLi5VU0QuSAEAAADetgEAAwAAAAAAF35A5s173ghrtNc4znveCCxDSVEuTllTRTpJQk0uSVFfUEFZT1VUX1JBVElPLjE5OTkuMDYvMDMvMjAyNgEAAADetgEAAgAAAAY3OC43NTMBCAAAAAUAAAABMQEAAAALLTE5MjA4NDY5NDkDAAAAAzE2MAIAAAAENDM3NwQAAAABMAcAAAAIMy82LzIwMjYIAAAACTkvMzAvMjAyNQkAAAABMBd+QObNe94Ia7TXOM573gg5Q0lRLk5ZU0U6SUJNLklRX0RJU1RSSUJVVEFCTEVfQ0FTSF9QQVlPVVQuMTk5OS4wNi8wMy8yMDI2AQAAAN62AQADAAAAAAAXfkDmzXveCFON1zjOe94IL0NJUS5OWVNFOklCTS5JUV9OSV9OT1JNLjE5OTkuMDYvMDMvMjAyNi4uLlVTRC5IAQAAAN62AQACAAAABzY0ODMuNzUBCAAAAAUAAAABMQEAAAALLTE5MjA4NDY5NDkDAAAAAzE2MAIAAAAENDM3OAQAAAABMAcAAAAIMy82LzIwMjYIAAAACTkvMzAvMjAyNQkAAAABMBd+QObNe94IU43XOM573gg0Q0lRLk5ZU0U6SUJNLklRX0FNT1JUX0RJQ19DRi4xOTk5LjA2LzAzLzIwMjYuLi5VU0QuSAEAAADetgEAAwAAAAAAF35A5s173ghrtNc4znveCDJDSVEuTllTRTpJQk0uSVFfQ0FTSF9GSU5BTi4xOTk5LjA2LzAzLzIwMjYuLi5VU0QuSAEAAADetgEAAgAAAAUtMjA5OQEIAAAABQAA</t>
  </si>
  <si>
    <t>AAExAQAAAAstMTkyMDg0Njk0OQMAAAADMTYwAgAAAAQyMDA0BAAAAAEwBwAAAAgzLzYvMjAyNggAAAAJOS8zMC8yMDI1CQAAAAEwF35A5s173ghrtNc4znveCEFDSVEuTllTRTpJQk0uSVFfU1RPQ0tfT1BUSU9OU19DT01QX1BSRVRBWC4xOTk5LjA2LzAzLzIwMjYuLi5VU0QuSAEAAADetgEAAwAAAAAAF35A5s173ghrtNc4znveCD9DSVEuTllTRTpJQk0uSVFfR0FJTl9CQVJHQUlOX0FDUV9TVVBQTEUuMTk5OS4wNi8wMy8yMDI2Li4uVVNELkgBAAAA3rYBAAMAAAAAABd+QObNe94Ia7TXOM573ggyQ0lRLk5ZU0U6SUJNLklRX05FVF9DSEFOR0UuMTk5OS4wNi8wMy8yMDI2Li4uVVNELkgBAAAA3rYBAAIAAAAFLTE2MTQBCAAAAAUAAAABMQEAAAALLTE5MjA4NDY5NDkDAAAAAzE2MAIAAAAEMjA5MwQAAAABMAcAAAAIMy82LzIwMjYIAAAACTkvMzAvMjAyNQkAAAABMBd+QObNe94Ia7TXOM573gg5Q0lRLk5ZU0U6SUJNLklRX1RPVEFMX0RFQlRfUkVQQUlELjE5OTkuMDYvMDMvMjAyNi4uLlVTRC5IAQAAAN62AQACAAAABS0zODMyAQgAAAAFAAAAATEBAAAACy0xOTIwODQ2OTQ5AwAAAAMxNjACAAAABDIxNjYEAAAAATAHAAAACDMvNi8yMDI2CAAAAAk5LzMwLzIwMjUJAAAAATAXfkDmzXveCJbb1zjOe94IPkNJUS5OWVNFOklCTS5JUV9PVEhFUl9JTlZFU1RfQUNUX1NVUFBMLjE5OTkuMDYvMDMvMjAyNi4u</t>
  </si>
  <si>
    <t>LlVTRC5IAQAAAN62AQADAAAAAAAXfkDmzXveCJbb1zjOe94IPENJUS5OWVNFOklCTS5JUV9NSU5PUklUWV9JTlRFUkVTVF9DRi4xOTk5LjA2LzAzLzIwMjYuLi5VU0QuSAEAAADetgEAAwAAAAAAF35A5s173ghrtNc4znveCDZDSVEuTllTRTpJQk0uSVFfU1RPQ0tfQkFTRURfUkQuMTk5OS4wNi8wMy8yMDI2Li4uVVNELkgBAAAA3rYBAAIAAAADNTAxAQgAAAAFAAAAATEBAAAACy0xOTIwODQ2OTQ5AwAAAAMxNjACAAAABTIyNjc4BAAAAAEwBwAAAAgzLzYvMjAyNggAAAAJOS8zMC8yMDI1CQAAAAEwF35A5s173ghrtNc4znveCCxDSVEuTllTRTpJQk0uSVFfQ0FMQ19UWVBFX0lTLjE5OTkuMDYvMDMvMjAyNgEAAADetgEAAwAAAANMVE0AF35A5s173ghrtNc4znveCDRDSVEuTllTRTpJQk0uSVFfT1RIRVJfRVFVSVRZLjE5OTkuMDYvMDMvMjAyNi4uLlVTRC5IAQAAAN62AQACAAAABi0xNTk4MwEIAAAABQAAAAExAQAAAAstMTkyMDg0Njk0OQMAAAADMTYwAgAAAAQxMDI4BAAAAAEwBwAAAAgzLzYvMjAyNggAAAAJOS8zMC8yMDI1CQAAAAEwF35A5s173giW29c4znveCDZDSVEuTllTRTpJQk0uSVFfVFJBRElOR19BU1NFVFMuMTk5OS4wNi8wMy8yMDI2Li4uVVNELkgBAAAA3rYBAAMAAAAAABd+QObNe94IltvXOM573gg2Q0lRLk5ZU0U6SUJNLklRX09USEVSX0NMX1NVUFBMLjE5OTkuMDYvMDMvMjAyNi4u</t>
  </si>
  <si>
    <t>LlVTRC5IAQAAAN62AQACAAAAAzM2NgEIAAAABQAAAAExAQAAAAstMTkyMDg0Njk0OQMAAAADMTYwAgAAAAQxMDU3BAAAAAEwBwAAAAgzLzYvMjAyNggAAAAJOS8zMC8yMDI1CQAAAAEwF35A5s173giW29c4znveCENDSVEuTllTRTpJQk0uSVFfU0FMRV9QUk9DRUVEU19SRU5UQUxfQVNTRVRTLjE5OTkuMDYvMDMvMjAyNi4uLlVTRC5IAQAAAN62AQADAAAAAAAXfkDmzXveCJbb1zjOe94IKkNJUS5OWVNFOklCTS5JUV9SRS4xOTk5LjA2LzAzLzIwMjYuLi5VU0QuSAEAAADetgEAAgAAAAYxNTE1ODEBCAAAAAUAAAABMQEAAAALLTE5MjA4NDY5NDkDAAAAAzE2MAIAAAAEMTIyMgQAAAABMAcAAAAIMy82LzIwMjYIAAAACTkvMzAvMjAyNQkAAAABMBd+QObNe94IltvXOM573gg+Q0lRLk5ZU0U6SUJNLklRX0ZJTl9ESVZfQVNTRVRTX0NVUlJFTlQuMTk5OS4wNi8wMy8yMDI2Li4uVVNELkgBAAAA3rYBAAIAAAADNzQ1AQgAAAAFAAAAATEBAAAACy0xOTIwODQ2OTQ5AwAAAAMxNjACAAAABDEwMjkEAAAAATAHAAAACDMvNi8yMDI2CAAAAAk5LzMwLzIwMjUJAAAAATAXfkDmzXveCI4C2DjOe94IMkNJUS5OWVNFOklCTS5JUV9DQVNIX1RBWEVTLjE5OTkuMDYvMDMvMjAyNi4uLlVTRC5IAQAAAN62AQACAAAABDE3MjMBCAAAAAUAAAABMQEAAAALLTE5MjA4NDY5NDkDAAAAAzE2MAIAAAAEMzA1MwQAAAABMAcAAAAI</t>
  </si>
  <si>
    <t>My82LzIwMjYIAAAACTkvMzAvMjAyNQkAAAABMBd+QObNe94IjgLYOM573ghEQ0lRLk5ZU0U6SUJNLklRX0NIQU5HRV9PVEhFUl9ORVRfT1BFUl9BU1NFVFMuMTk5OS4wNi8wMy8yMDI2Li4uVVNELkgBAAAA3rYBAAIAAAAEMTY2OQEIAAAABQAAAAExAQAAAAstMTkyMDg0Njk0OQMAAAADMTYwAgAAAAQyMDQ1BAAAAAEwBwAAAAgzLzYvMjAyNggAAAAJOS8zMC8yMDI1CQAAAAEwF35A5s173giW29c4znveCDpDSVEuTllTRTpJQk0uSVFfQVNTRVRfV1JJVEVET1dOX0NGLjE5OTkuMDYvMDMvMjAyNi4uLlVTRC5IAQAAAN62AQADAAAAAAAXfkDmzXveCJbb1zjOe94ILkNJUS5OWVNFOklCTS5JUV9SRVNUQVRFTUVOVF9JUy4xOTk5LjA2LzAzLzIwMjYBAAAA3rYBAAMAAAABTwAXfkDmzXveCJbb1zjOe94IOkNJUS5OWVNFOklCTS5JUV9VTkVBUk5fUkVWX0NVUlJFTlQuMTk5OS4wNi8wMy8yMDI2Li4uVVNELkgBAAAA3rYBAAIAAAAFMTM4NzgBCAAAAAUAAAABMQEAAAALLTE5MjA4NDY5NDkDAAAAAzE2MAIAAAAEMTA3NAQAAAABMAcAAAAIMy82LzIwMjYIAAAACTkvMzAvMjAyNQkAAAABMBd+QObNe94IQRbYOM573gg4Q0lRLk5ZU0U6SUJNLklRX0ZJTl9ESVZfTE9BTlNfTFQuMTk5OS4wNi8wMy8yMDI2Li4uVVNELkgBAAAA3rYBAAIAAAAENjI1OAEIAAAABQAAAAExAQAAAAstMTkyMDg0Njk0OQMAAAADMTYw</t>
  </si>
  <si>
    <t>AgAAAAQxMDMzBAAAAAEwBwAAAAgzLzYvMjAyNggAAAAJOS8zMC8yMDI1CQAAAAEwF35A5s173ghBFtg4znveCC1DSVEuTllTRTpJQk0uSVFfQ0FQRVguMTk5OS4wNi8wMy8yMDI2Li4uVVNELkgBAAAA3rYBAAIAAAAFLTEwMTIBCAAAAAUAAAABMQEAAAALLTE5MjA4NDY5NDkDAAAAAzE2MAIAAAAEMjAyMQQAAAABMAcAAAAIMy82LzIwMjYIAAAACTkvMzAvMjAyNQkAAAABMBd+QObNe94IjgLYOM573ggyQ0lRLk5ZU0U6SUJNLklRX1BSRUZfT1RIRVIuMTk5OS4wNi8wMy8yMDI2Li4uVVNELkgBAAAA3rYBAAMAAAAAABd+QObNe94IjgLYOM573ggqQ0lRLk5ZU0U6SUJNLklRX0ZYLjE5OTkuMDYvMDMvMjAyNi4uLlVTRC5IAQAAAN62AQACAAAAAjk5AQgAAAAFAAAAATEBAAAACy0xOTIwODQ2OTQ5AwAAAAMxNjACAAAABDIxNDQEAAAAATAHAAAACDMvNi8yMDI2CAAAAAk5LzMwLzIwMjUJAAAAATAXfkDmzXveCEEW2DjOe94IN0NJUS5OWVNFOklCTS5JUV9DQVNIX0FDUVVJUkVfQ0YuMTk5OS4wNi8wMy8yMDI2Li4uVVNELkgBAAAA3rYBAAIAAAAFLTg0NDQBCAAAAAUAAAABMQEAAAALLTE5MjA4NDY5NDkDAAAAAzE2MAIAAAAEMjA1NwQAAAABMAcAAAAIMy82LzIwMjYIAAAACTkvMzAvMjAyNQkAAAABMBd+QObNe94IQRbYOM573gg8Q0lRLk5ZU0U6SUJNLklRX09USEVSX1VOVVNVQUxfU1VQUExFLjE5OTku</t>
  </si>
  <si>
    <t>MDYvMDMvMjAyNi4uLlVTRC5IAQAAAN62AQADAAAAAAAXfkDmzXveCEEW2DjOe94IPUNJUS5OWVNFOklCTS5JUV9JTVBVVF9PUEVSX0xFQVNFX0RFUFIuMTk5OS4wNi8wMy8yMDI2Li4uVVNELkgBAAAA3rYBAAMAAAAAABd+QObNe94IQRbYOM573ggxQ0lRLk5ZU0U6SUJNLklRX1JEX0VYUF9GTi4xOTk5LjA2LzAzLzIwMjYuLi5VU0QuSAEAAADetgEAAgAAAAQ4MDk2AQgAAAAFAAAAATEBAAAACy0xOTIwODQ2OTQ5AwAAAAMxNjACAAAABDMxNjgEAAAAATAHAAAACDMvNi8yMDI2CAAAAAk5LzMwLzIwMjUJAAAAATAXfkDmzXveCEEW2DjOe94IMUNJUS5OWVNFOklCTS5JUV9NQVJLRVRJTkcuMTk5OS4wNi8wMy8yMDI2Li4uVVNELkgBAAAA3rYBAAMAAAAAABd+QObNe94Ikj3YOM573gg/Q0lRLk5ZU0U6SUJNLklRX0RJU1RSSUJVVEFCTEVfQ0FTSF9TSEFSRVNfQkFTSUMuMTk5OS4wNi8wMy8yMDI2AQAAAN62AQADAAAAAAAXfkDmzXveCAs82TjOe94IPkNJUS5OWVNFOklCTS5JUV9ERUZFUlJFRF9GT1JFSUdOX1RBWEVTLjE5OTkuMDYvMDMvMjAyNi4uLlVTRC5IAQAAAN62AQACAAAAAzIwMwEIAAAABQAAAAExAQAAAAstMTkyMDg0Njk0OQMAAAADMTYwAgAAAAQzMDU1BAAAAAEwBwAAAAgzLzYvMjAyNggAAAAJOS8zMC8yMDI1CQAAAAEwF35A5s173ghBFtg4znveCC9DSVEuTllTRTpJQk0uSVFfREVQX1JV</t>
  </si>
  <si>
    <t>QS4xOTk5LjA2LzAzLzIwMjYuLi5VU0QuSAEAAADetgEAAgAAAAM4MDABCAAAAAUAAAABMQEAAAALLTE5MjA4NDY5NDkDAAAAAzE2MAIAAAAFNDgzNTcEAAAAATAHAAAACDMvNi8yMDI2CAAAAAk5LzMwLzIwMjUJAAAAATAXfkDmzXveCEEW2DjOe94INkNJUS5OWVNFOklCTS5JUV9MVF9ERUJUX0lTU1VFRC4xOTk5LjA2LzAzLzIwMjYuLi5VU0QuSAEAAADetgEAAwAAAAAAF35A5s173ghBFtg4znveCD9DSVEuTllTRTpJQk0uSVFfRVhDSVNFX1RBWEVTX0lOQ0xfU0FMRVMuMTk5OS4wNi8wMy8yMDI2Li4uVVNELkgBAAAA3rYBAAMAAAAAABd+QObNe94Ikj3YOM573gg0Q0lRLk5ZU0U6SUJNLklRX0VCSVREQV9DQVBFWC4xOTk5LjA2LzAzLzIwMjYuLi5VU0QuSAEAAADetgEAAgAAAAUxNDAzMAEIAAAABQAAAAExAQAAAAstMTkyMDg0Njk0OQMAAAADMTYwAgAAAAUzNTM3OQQAAAABMAcAAAAIMy82LzIwMjYIAAAACTkvMzAvMjAyNQkAAAABMBd+QObNe94Ikj3YOM573gg0Q0lRLk5ZU0U6SUJNLklRX0xFR0FMX1NFVFRMRS4xOTk5LjA2LzAzLzIwMjYuLi5VU0QuSAEAAADetgEAAwAAAAAAF35A5s173giSPdg4znveCCxDSVEuTllTRTpJQk0uSVFfQ09HUy4xOTk5LjA2LzAzLzIwMjYuLi5VU0QuSAEAAADetgEAAgAAAAUyNzIwMwEIAAAABQAAAAExAQAAAAstMTkyMDg0Njk0OQMAAAADMTYwAgAAAAIzNAQA</t>
  </si>
  <si>
    <t>AAABMAcAAAAIMy82LzIwMjYIAAAACTkvMzAvMjAyNQkAAAABMBd+QObNe94Ikj3YOM573gg2Q0lRLk5ZU0U6SUJNLklRX1NUT0NLX0JBU0VEX0FULjE5OTkuMDYvMDMvMjAyNi4uLlVTRC5IAQAAAN62AQADAAAAAAAXfkDmzXveCJI92DjOe94IP0NJUS5OWVNFOklCTS5JUV9ERUZFUlJFRF9ET01FU1RJQ19UQVhFUy4xOTk5LjA2LzAzLzIwMjYuLi5VU0QuSAEAAADetgEAAgAAAAUtMjUzOQEIAAAABQAAAAExAQAAAAstMTkyMDg0Njk0OQMAAAADMTYwAgAAAAQzMDU0BAAAAAEwBwAAAAgzLzYvMjAyNggAAAAJOS8zMC8yMDI1CQAAAAEwF35A5s173giSPdg4znveCDlDSVEuTllTRTpJQk0uSVFfSU5WRVNUTUVOVF9JTkNPTUUuMTk5OS4wNi8wMy8yMDI2Li4uVVNELkgBAAAA3rYBAAMAAAAAABd+QObNe94Ikj3YOM573gg/Q0lRLk5ZU0U6SUJNLklRX0VCSVREQVJfRVFfSU5DX0VYQ0xfU0JDLjE5OTkuMDYvMDMvMjAyNi4uLlVTRC5IAQAAAN62AQADAAAAAAAXfkDmzXveCJI92DjOe94INkNJUS5OWVNFOklCTS5JUV9DUkVESVRfTE9TU19DRi4xOTk5LjA2LzAzLzIwMjYuLi5VU0QuSAEAAADetgEAAwAAAAAAF35A5s173giSPdg4znveCC9DSVEuTllTRTpJQk0uSVFfRUJJVERBUi4xOTk5LjA2LzAzLzIwMjYuLi5VU0QuSAEAAADetgEAAwAAAAAAF35A5s173giSPdg4znveCD1DSVEuTllTRTpJQk0uSVFf</t>
  </si>
  <si>
    <t>RUJJVERBX0xFQVNFX0FESlVTVEVELjE5OTkuMDYvMDMvMjAyNi4uLlVTRC5IAQAAAN62AQACAAAACDE2MzYzLjc1AQgAAAAFAAAAATEBAAAACy0xOTIwODQ2OTQ5AwAAAAMxNjACAAAABTQ4OTkzBAAAAAEwBwAAAAgzLzYvMjAyNggAAAAJOS8zMC8yMDI1CQAAAAEwF35A5s173giSPdg4znveCDNDSVEuTllTRTpJQk0uSVFfUkVTVFJVQ1RVUkUuMTk5OS4wNi8wMy8yMDI2Li4uVVNELkgBAAAA3rYBAAIAAAAELTM3MgEIAAAABQAAAAExAQAAAAstMTkyMDg0Njk0OQMAAAADMTYwAgAAAAI5OAQAAAABMAcAAAAIMy82LzIwMjYIAAAACTkvMzAvMjAyNQkAAAABMBd+QObNe94Ikj3YOM573gg2Q0lRLk5ZU0U6SUJNLklRX1BST1ZfQkFEX0RFQlRTLjE5OTkuMDYvMDMvMjAyNi4uLlVTRC5IAQAAAN62AQADAAAAAAAXfkDmzXveCJI92DjOe94IM0NJUS5OWVNFOklCTS5JUV9JTlNfRElWX1JFVi4xOTk5LjA2LzAzLzIwMjYuLi5VU0QuSAEAAADetgEAAwAAAAAAF35A5s173giSPdg4znveCDFDSVEuTllTRTpJQk0uSVFfQ0FTSF9PUEVSLjE5OTkuMDYvMDMvMjAyNi4uLlVTRC5IAQAAAN62AQACAAAABTEzNDgzAQgAAAAFAAAAATEBAAAACy0xOTIwODQ2OTQ5AwAAAAMxNjACAAAABDIwMDYEAAAAATAHAAAACDMvNi8yMDI2CAAAAAk5LzMwLzIwMjUJAAAAATAXfkDmzXveCJI92DjOe94ILUNJUS5OWVNFOklCTS5J</t>
  </si>
  <si>
    <t>UV9FQklUQS4xOTk5LjA2LzAzLzIwMjYuLi5VU0QuSAEAAADetgEAAgAAAAUxMzYyMAEIAAAABQAAAAExAQAAAAstMTkyMDg0Njk0OQMAAAADMTYwAgAAAAYxMDA2ODkEAAAAATAHAAAACDMvNi8yMDI2CAAAAAk5LzMwLzIwMjUJAAAAATAXfkDmzXveCGR42DjOe94IPkNJUS5OWVNFOklCTS5JUV9FQklUREFfRVFfSU5DX0VYQ0xfU0JDLjE5OTkuMDYvMDMvMjAyNi4uLlVTRC5IAQAAAN62AQACAAAABTE2NjczAQgAAAAFAAAAATEBAAAACy0xOTIwODQ2OTQ5AwAAAAMxNjACAAAABTI0MTMxBAAAAAEwBwAAAAgzLzYvMjAyNggAAAAJOS8zMC8yMDI1CQAAAAEwF35A5s173ghkeNg4znveCDVDSVEuTllTRTpJQk0uSVFfTklfQVZBSUxfSU5DTC4xOTk5LjA2LzAzLzIwMjYuLi5VU0QuSAEAAADetgEAAgAAAAQ3OTA3AQgAAAAFAAAAATEBAAAACy0xOTIwODQ2OTQ5AwAAAAMxNjACAAAAAjE2BAAAAAEwBwAAAAgzLzYvMjAyNggAAAAJOS8zMC8yMDI1CQAAAAEwF35A5s173giSPdg4znveCCpDSVEuTllTRTpJQk0uSVFfTkkuMTk5OS4wNi8wMy8yMDI2Li4uVVNELkgBAAAA3rYBAAIAAAAENzkwNwEIAAAABQAAAAExAQAAAAstMTkyMDg0Njk0OQMAAAADMTYwAgAAAAIxNQQAAAABMAcAAAAIMy82LzIwMjYIAAAACTkvMzAvMjAyNQkAAAABMBd+QObNe94Ikj3YOM573ggsQ0lRLk5ZU0U6SUJNLklRX0lQUkQuMTk5</t>
  </si>
  <si>
    <t>OS4wNi8wMy8yMDI2Li4uVVNELkgBAAAA3rYBAAMAAAAAABd+QObNe94Ikj3YOM573gg7Q0lRLk5ZU0U6SUJNLklRX09USEVSX1VOVVNVQUxfU1VQUEwuMTk5OS4wNi8wMy8yMDI2Li4uVVNELkgBAAAA3rYBAAIAAAAELTM4OAEIAAAABQAAAAExAQAAAAstMTkyMDg0Njk0OQMAAAADMTYwAgAAAAI4NwQAAAABMAcAAAAIMy82LzIwMjYIAAAACTkvMzAvMjAyNQkAAAABMBd+QObNe94IZHjYOM573ghAQ0lRLk5ZU0U6SUJNLklRX09USEVSX05PTl9PUEVSX0VYUF9TVVBQTC4xOTk5LjA2LzAzLzIwMjYuLi5VU0QuSAEAAADetgEAAgAAAAMxMzgBCAAAAAUAAAABMQEAAAALLTE5MjA4NDY5NDkDAAAAAzE2MAIAAAACODUEAAAAATAHAAAACDMvNi8yMDI2CAAAAAk5LzMwLzIwMjUJAAAAATAXfkDmzXveCGR42DjOe94IOUNJUS5OWVNFOklCTS5JUV9QUk9WX0JBRF9ERUJUU19DRi4xOTk5LjA2LzAzLzIwMjYuLi5VU0QuSAEAAADetgEAAwAAAAAAF35A5s173ghkeNg4znveCDBDSVEuTllTRTpJQk0uSVFfTE9BTlNfQ0YuMTk5OS4wNi8wMy8yMDI2Li4uVVNELkgBAAAA3rYBAAMAAAAAABd+QObNe94IZHjYOM573ghCQ0lRLk5ZU0U6SUJNLklRX0RFUFJFQ0lBVElPTl9SRU5UQUxfQVNTRVRTLjE5OTkuMDYvMDMvMjAyNi4uLlVTRC5IAQAAAN62AQADAAAAAAAXfkDmzXveCGR42DjOe94INkNJUS5OWVNFOklCTS5J</t>
  </si>
  <si>
    <t>UV9NSU5JTVVNX1JFTlRBTC4xOTk5LjA2LzAzLzIwMjYuLi5VU0QuSAEAAADetgEAAwAAAAAAF35A5s173ghkeNg4znveCC1DSVEuTllTRTpJQk0uSVFfRklMSU5HREFURV9JUy4xOTk5LjA2LzAzLzIwMjYBAAAA3rYBAAUAAAAKMjMvMTAvMjAyNQAXfkDmzXveCGR42DjOe94IOUNJUS5OWVNFOklCTS5JUV9TUEVDSUFMX0RJVl9TSEFSRS4xOTk5LjA2LzAzLzIwMjYuLi5VU0QuSAEAAADetgEAAwAAAAAAF35A5s173ghkeNg4znveCExDSVEuTllTRTpJQk0uSVFfRElTVFJJQlVUQUJMRV9DQVNIX1BFUl9TSEFSRV9ESUxVVEVELjE5OTkuMDYvMDMvMjAyNi4uLlVTRC5IAQAAAN62AQADAAAAAAAXfkDmzXveCGR42DjOe94IMENJUS5OWVNFOklCTS5JUV9PUEVSX0lOQy4xOTk5LjA2LzAzLzIwMjYuLi5VU0QuSAEAAADetgEAAgAAAAUxMTUzMwEIAAAABQAAAAExAQAAAAstMTkyMDg0Njk0OQMAAAADMTYwAgAAAAIyMQQAAAABMAcAAAAIMy82LzIwMjYIAAAACTkvMzAvMjAyNQkAAAABMBd+QObNe94IZHjYOM573ggzQ0lRLk5ZU0U6SUJNLklRX0ZJTl9ESVZfRVhQLjE5OTkuMDYvMDMvMjAyNi4uLlVTRC5IAQAAAN62AQACAAAAAzM5MQEIAAAABQAAAAExAQAAAAstMTkyMDg0Njk0OQMAAAADMTYwAgAAAAI1MQQAAAABMAcAAAAIMy82LzIwMjYIAAAACTkvMzAvMjAyNQkAAAABMBd+QObNe94Im5/YOM573gg6</t>
  </si>
  <si>
    <t>Q0lRLk5ZU0U6SUJNLklRX0RJU1RSSUJVVEFCTEVfQ0FTSC4xOTk5LjA2LzAzLzIwMjYuLi5VU0QuSAEAAADetgEAAwAAAAAAF35A5s173gibn9g4znveCDBDSVEuTllTRTpJQk0uSVFfRVBTX05PUk0uMTk5OS4wNi8wMy8yMDI2Li4uVVNELkgBAAAA3rYBAAIAAAAHNi45NzM4OQEIAAAABQAAAAExAQAAAAstMTkyMDg0Njk0OQMAAAADMTYwAgAAAAQ0Mzc5BAAAAAEwBwAAAAgzLzYvMjAyNggAAAAJOS8zMC8yMDI1CQAAAAEwF35A5s173gibn9g4znveCDVDSVEuTllTRTpJQk0uSVFfVU5MRVZFUkVEX0ZDRi4xOTk5LjA2LzAzLzIwMjYuLi5VU0QuSAEAAADetgEAAgAAAAkxMjkzMy4xMjUBCAAAAAUAAAABMQEAAAALLTE5MjA4NDY5NDkDAAAAAzE2MAIAAAAENDQyMwQAAAABMAcAAAAIMy82LzIwMjYIAAAACTkvMzAvMjAyNQkAAAABMBd+QObNe94Im5/YOM573gg4Q0lRLk5ZU0U6SUJNLklRX1NUT0NLX0JBU0VEX0NPTVAuMTk5OS4wNi8wMy8yMDI2Li4uVVNELkgBAAAA3rYBAAIAAAADOTM2ABd+QObNe94Im5/YOM573gg8Q0lRLk5ZU0U6SUJNLklRX05FR0FUSVZFX0dXX0FNT1JUX0FULjE5OTkuMDYvMDMvMjAyNi4uLlVTRC5IAQAAAN62AQADAAAAAAAXfkDmzXveCJuf2DjOe94IMkNJUS5OWVNFOklCTS5JUV9OSV9DT01QQU5ZLjE5OTkuMDYvMDMvMjAyNi4uLlVTRC5IAQAAAN62AQACAAAABDc5MDcB</t>
  </si>
  <si>
    <t>CAAAAAUAAAABMQEAAAALLTE5MjA4NDY5NDkDAAAAAzE2MAIAAAAFNDE1NzEEAAAAATAHAAAACDMvNi8yMDI2CAAAAAk5LzMwLzIwMjUJAAAAATAXfkDmzXveCJuf2DjOe94IM0NJUS5OWVNFOklCTS5JUV9TVE9DS19CQVNFRC4xOTk5LjA2LzAzLzIwMjYuLi5VU0QuSAEAAADetgEAAwAAAAAAF35A5s173gibn9g4znveCDFDSVEuTllTRTpJQk0uSVFfU0dBX1NVUFBMLjE5OTkuMDYvMDMvMjAyNi4uLlVTRC5IAQAAAN62AQACAAAABTE5MTcwAQgAAAAFAAAAATEBAAAACy0xOTIwODQ2OTQ5AwAAAAMxNjACAAAAAzEwMgQAAAABMAcAAAAIMy82LzIwMjYIAAAACTkvMzAvMjAyNQkAAAABMBd+QObNe94Im5/YOM573ggrQ0lRLk5ZU0U6SUJNLklRX1JFVi4xOTk5LjA2LzAzLzIwMjYuLi5VU0QuSAEAAADetgEAAgAAAAU2NDY3OAEIAAAABQAAAAExAQAAAAstMTkyMDg0Njk0OQMAAAADMTYwAgAAAAMxMTIEAAAAATAHAAAACDMvNi8yMDI2CAAAAAk5LzMwLzIwMjUJAAAAATAXfkDmzXveCMzG2DjOe94INkNJUS5OWVNFOklCTS5JUV9NSVNDX0FESlVTVF9DRi4xOTk5LjA2LzAzLzIwMjYuLi5VU0QuSAEAAADetgEAAgAAAAExAQgAAAAFAAAAATEBAAAACy0xOTIwODQ2OTQ5AwAAAAMxNjACAAAABDIxNDkEAAAAATAHAAAACDMvNi8yMDI2CAAAAAk5LzMwLzIwMjUJAAAAATAXfkDmzXveCMzG2DjOe94IM0NJUS5O</t>
  </si>
  <si>
    <t>WVNFOklCTS5JUV9QUkVGX0RJVl9DRi4xOTk5LjA2LzAzLzIwMjYuLi5VU0QuSAEAAADetgEAAwAAAAAAF35A5s173gibn9g4znveCDtDSVEuTllTRTpJQk0uSVFfVEFYX0JFTkVGSVRfT1BUSU9OUy4xOTk5LjA2LzAzLzIwMjYuLi5VU0QuSAEAAADetgEAAwAAAAAAF35A5s173gibn9g4znveCDpDSVEuTllTRTpJQk0uSVFfUkVTVFJVQ1RVUkVfU1VQUExFLjE5OTkuMDYvMDMvMjAyNi4uLlVTRC5IAQAAAN62AQADAAAAAAAXfkDmzXveCJuf2DjOe94IL0NJUS5OWVNFOklCTS5JUV9FRkZFQ1RfVEFYX1JBVEUuMTk5OS4wNi8wMy8yMDI2AQAAAN62AQACAAAABjE2LjU2MwEIAAAABQAAAAExAQAAAAstMTkyMDg0Njk0OQMAAAADMTYwAgAAAAQ0Mzc2BAAAAAEwBwAAAAgzLzYvMjAyNggAAAAJOS8zMC8yMDI1CQAAAAEwF35A5s173gjMxtg4znveCDZDSVEuTllTRTpJQk0uSVFfRElMVVRfRVBTX0VYQ0wuMTk5OS4wNi8wMy8yMDI2Li4uVVNELkgBAAAA3rYBAAIAAAAIOC4zNzMzNjQBCAAAAAUAAAABMQEAAAALLTE5MjA4NDY5NDkDAAAAAzE2MAIAAAADMTQyBAAAAAEwBwAAAAgzLzYvMjAyNggAAAAJOS8zMC8yMDI1CQAAAAEwF35A5s173gjMxtg4znveCDJDSVEuTllTRTpJQk0uSVFfT1RIRVJfT1BFUi4xOTk5LjA2LzAzLzIwMjYuLi5VU0QuSAEAAADetgEAAgAAAAQtOTg3AQgAAAAFAAAAATEBAAAACy0x</t>
  </si>
  <si>
    <t>OTIwODQ2OTQ5AwAAAAMxNjACAAAAAzI2MAQAAAABMAcAAAAIMy82LzIwMjYIAAAACTkvMzAvMjAyNQkAAAABMBd+QObNe94IzMbYOM573ggzQ0lRLk5ZU0U6SUJNLklRX0xFVkVSRURfRkNGLjE5OTkuMDYvMDMvMjAyNi4uLlVTRC5IAQAAAN62AQACAAAABzExNzU3LjUBCAAAAAUAAAABMQEAAAALLTE5MjA4NDY5NDkDAAAAAzE2MAIAAAAENDQyMgQAAAABMAcAAAAIMy82LzIwMjYIAAAACTkvMzAvMjAyNQkAAAABMBd+QObNe94IzMbYOM573ggxQ0lRLk5ZU0U6SUJNLklRX0RJVkVTVF9DRi4xOTk5LjA2LzAzLzIwMjYuLi5VU0QuSAEAAADetgEAAgAAAAItOAEIAAAABQAAAAExAQAAAAstMTkyMDg0Njk0OQMAAAADMTYwAgAAAAQyMDc3BAAAAAEwBwAAAAgzLzYvMjAyNggAAAAJOS8zMC8yMDI1CQAAAAEwF35A5s173gjMxtg4znveCDNDSVEuTllTRTpJQk0uSVFfSU5UX0VYUF9MVEQuMTk5OS4wNi8wMy8yMDI2Li4uVVNELkgBAAAA3rYBAAMAAAAAABd+QObNe94IzMbYOM573gg3Q0lRLk5ZU0U6SUJNLklRX0lOVEVSRVNUX0lOQ09NRS4xOTk5LjA2LzAzLzIwMjYuLi5VU0QuSAEAAADetgEAAgAAAAM2NjMBCAAAAAUAAAABMQEAAAALLTE5MjA4NDY5NDkDAAAAAzE2MAIAAAADMjEwBAAAAAEwBwAAAAgzLzYvMjAyNggAAAAJOS8zMC8yMDI1CQAAAAEwF35A5s173gjMxtg4znveCEFDSVEuTllTRTpJQk0u</t>
  </si>
  <si>
    <t>SVFfRUFSTklOR19QQVJFTlRfRVhDTF9FWFRSQS4xOTk5LjA2LzAzLzIwMjYuLi5VU0QuSAEAAADetgEAAgAAAAQ3OTE5AQgAAAAFAAAAATEBAAAACy0xOTIwODQ2OTQ5AwAAAAMxNjACAAAABTQxNTk2BAAAAAEwBwAAAAgzLzYvMjAyNggAAAAJOS8zMC8yMDI1CQAAAAEwF35A5s173gjMxtg4znveCDpDSVEuTllTRTpJQk0uSVFfQVNfUkVQT1JURURfRUJJVERBLjE5OTkuMDYvMDMvMjAyNi4uLlVTRC5IAQAAAN62AQADAAAAAAAXfkDmzXveCMzG2DjOe94ILENJUS5OWVNFOklCTS5JUV9CQVNJQ19XRUlHSFQuMTk5OS4wNi8wMy8yMDI2AQAAAN62AQACAAAACjkyOS43MTc4MzQAF35A5s173gjMxtg4znveCDJDSVEuTllTRTpJQk0uSVFfSU5TX1NFVFRMRS4xOTk5LjA2LzAzLzIwMjYuLi5VU0QuSAEAAADetgEAAwAAAAAAF35A5s173gju7dg4znveCDJDSVEuTllTRTpJQk0uSVFfSU5DX0VRVUlUWS4xOTk5LjA2LzAzLzIwMjYuLi5VU0QuSAEAAADetgEAAwAAAAAAF35A5s173gju7dg4znveCDFDSVEuTllTRTpJQk0uSVFfVE9UQUxfUkVWLjE5OTkuMDYvMDMvMjAyNi4uLlVTRC5IAQAAAN62AQACAAAABTY1NDAyAQgAAAAFAAAAATEBAAAACy0xOTIwODQ2OTQ5AwAAAAMxNjACAAAAAjI4BAAAAAEwBwAAAAgzLzYvMjAyNggAAAAJOS8zMC8yMDI1CQAAAAEwF35A5s173gju7dg4znveCDVDSVEuTllTRTpJ</t>
  </si>
  <si>
    <t>Qk0uSVFfQ09NTU9OX0RJVl9DRi4xOTk5LjA2LzAzLzIwMjYuLi5VU0QuSAEAAADetgEAAgAAAAUtNjIyNwEIAAAABQAAAAExAQAAAAstMTkyMDg0Njk0OQMAAAADMTYwAgAAAAQyMDc0BAAAAAEwBwAAAAgzLzYvMjAyNggAAAAJOS8zMC8yMDI1CQAAAAEwF35A5s173gju7dg4znveCDNDSVEuTllTRTpJQk0uSVFfT1RIRVJfQU1PUlQuMTk5OS4wNi8wMy8yMDI2Li4uVVNELkgBAAAA3rYBAAIAAAADNTI5AQgAAAAFAAAAATEBAAAACy0xOTIwODQ2OTQ5AwAAAAMxNjACAAAABDIwMTQEAAAAATAHAAAACDMvNi8yMDI2CAAAAAk5LzMwLzIwMjUJAAAAATAXfkDmzXveCMzG2DjOe94INENJUS5OWVNFOklCTS5JUV9NQUlOVF9SRVBBSVIuMTk5OS4wNi8wMy8yMDI2Li4uVVNELkgBAAAA3rYBAAMAAAAAABd+QObNe94I7u3YOM573gg4Q0lRLk5ZU0U6SUJNLklRX0lOVF9FWFBfSU5DTF9DQVAuMTk5OS4wNi8wMy8yMDI2Li4uVVNELkgBAAAA3rYBAAIAAAAEMTg4OAEIAAAABQAAAAExAQAAAAstMTkyMDg0Njk0OQMAAAADMTYwAgAAAAUyMTg2MQQAAAABMAcAAAAIMy82LzIwMjYIAAAACTkvMzAvMjAyNQkAAAABMBd+QObNe94I7u3YOM573gg8Q0lRLk5ZU0U6SUJNLklRX0RFRkVSUkVEX1RBWEVTX1RPVEFMLjE5OTkuMDYvMDMvMjAyNi4uLlVTRC5IAQAAAN62AQACAAAABS0yMzM2AQgAAAAFAAAAATEBAAAACy0x</t>
  </si>
  <si>
    <t>OTIwODQ2OTQ5AwAAAAMxNjACAAAABTM1Mzg1BAAAAAEwBwAAAAgzLzYvMjAyNggAAAAJOS8zMC8yMDI1CQAAAAEwF35A5s173gju7dg4znveCCpDSVEuTllTRTpJQk0uSVFfU0FNRV9TVE9SRS4xOTk5LjA2LzAzLzIwMjYBAAAA3rYBAAMAAAAAABd+QObNe94I7u3YOM573gg2Q0lRLk5ZU0U6SUJNLklRX0VCSVRBX0VYQ0xfU0JDLjE5OTkuMDYvMDMvMjAyNi4uLlVTRC5IAQAAAN62AQACAAAABTE1MjUxAQgAAAAFAAAAATEBAAAACy0xOTIwODQ2OTQ5AwAAAAMxNjACAAAABTI0MTM2BAAAAAEwBwAAAAgzLzYvMjAyNggAAAAJOS8zMC8yMDI1CQAAAAEwF35A5s173gju7dg4znveCDRDSVEuTllTRTpJQk0uSVFfRUJJVEFfRVFfSU5DLjE5OTkuMDYvMDMvMjAyNi4uLlVTRC5IAQAAAN62AQACAAAABTEzNjIwAQgAAAAFAAAAATEBAAAACy0xOTIwODQ2OTQ5AwAAAAMxNjACAAAABTIxNjc2BAAAAAEwBwAAAAgzLzYvMjAyNggAAAAJOS8zMC8yMDI1CQAAAAEwF35A5s173gj3FNk4znveCDVDSVEuTllTRTpJQk0uSVFfRUJJVF9FWENMX1NCQy4xOTk5LjA2LzAzLzIwMjYuLi5VU0QuSAEAAADetgEAAgAAAAUxMzE2NAEIAAAABQAAAAExAQAAAAstMTkyMDg0Njk0OQMAAAADMTYwAgAAAAUyNDEzNAQAAAABMAcAAAAIMy82LzIwMjYIAAAACTkvMzAvMjAyNQkAAAABMBd+QObNe94I9xTZOM573gg2Q0lRLk5ZU0U6</t>
  </si>
  <si>
    <t>SUJNLklRX0JBU0lDX0VQU19JTkNMLjE5OTkuMDYvMDMvMjAyNi4uLlVTRC5IAQAAAN62AQACAAAABzguNTA0NzMBCAAAAAUAAAABMQEAAAALLTE5MjA4NDY5NDkDAAAAAzE2MAIAAAABOQQAAAABMAcAAAAIMy82LzIwMjYIAAAACTkvMzAvMjAyNQkAAAABMBd+QObNe94I9xTZOM573ggqQ0lRLk5ZU0U6SUJNLklRX0RPLjE5OTkuMDYvMDMvMjAyNi4uLlVTRC5IAQAAAN62AQACAAAAAy0xMgEIAAAABQAAAAExAQAAAAstMTkyMDg0Njk0OQMAAAADMTYwAgAAAAI0MAQAAAABMAcAAAAIMy82LzIwMjYIAAAACTkvMzAvMjAyNQkAAAABMBd+QObNe94I7u3YOM573gg2Q0lRLk5ZU0U6SUJNLklRX0dXX0lOVEFOX0FNT1JULjE5OTkuMDYvMDMvMjAyNi4uLlVTRC5IAQAAAN62AQADAAAAAAAXfkDmzXveCO7t2DjOe94IO0NJUS5OWVNFOklCTS5JUV9JTlRFUkVTVF9JTlZFU1RfSU5DLjE5OTkuMDYvMDMvMjAyNi4uLlVTRC5IAQAAAN62AQACAAAAAzY2MwEIAAAABQAAAAExAQAAAAstMTkyMDg0Njk0OQMAAAADMTYwAgAAAAI2NQQAAAABMAcAAAAIMy82LzIwMjYIAAAACTkvMzAvMjAyNQkAAAABMBd+QObNe94I9xTZOM573gg3Q0lRLk5ZU0U6SUJNLklRX0ZJTl9ESVZfSU5UX0VYUC4xOTk5LjA2LzAzLzIwMjYuLi5VU0QuSAEAAADetgEAAwAAAAAAF35A5s173gj3FNk4znveCDhDSVEuTllTRTpJQk0uSVFfVE9U</t>
  </si>
  <si>
    <t>QUxfT1RIRVJfT1BFUi4xOTk5LjA2LzAzLzIwMjYuLi5VU0QuSAEAAADetgEAAgAAAAUyNjI3NQEIAAAABQAAAAExAQAAAAstMTkyMDg0Njk0OQMAAAADMTYwAgAAAAMzODAEAAAAATAHAAAACDMvNi8yMDI2CAAAAAk5LzMwLzIwMjUJAAAAATAXfkDmzXveCPcU2TjOe94INUNJUS5OWVNFOklCTS5JUV9JTVBBSVJNRU5UX0dXLjE5OTkuMDYvMDMvMjAyNi4uLlVTRC5IAQAAAN62AQADAAAAAAAXfkDmzXveCPcU2TjOe94IPENJUS5OWVNFOklCTS5JUV9NSU5PUklUWV9JTlRFUkVTVF9JUy4xOTk5LjA2LzAzLzIwMjYuLi5VU0QuSAEAAADetgEAAwAAAAAAF35A5s173gj3FNk4znveCCxDSVEuTllTRTpJQk0uSVFfRElMVVRfV0VJR0hULjE5OTkuMDYvMDMvMjAyNgEAAADetgEAAgAAAAo5NDYuMTYxMjI0ABd+QObNe94I9xTZOM573gg6Q0lRLk5ZU0U6SUJNLklRX0NVUlJfRk9SRUlHTl9UQVhFUy4xOTk5LjA2LzAzLzIwMjYuLi5VU0QuSAEAAADetgEAAgAAAAQyMzAxAQgAAAAFAAAAATEBAAAACy0xOTIwODQ2OTQ5AwAAAAMxNjACAAAABDMwMzAEAAAAATAHAAAACDMvNi8yMDI2CAAAAAk5LzMwLzIwMjUJAAAAATAXfkDmzXveCPcU2TjOe94INENJUS5OWVNFOklCTS5JUV9PVEhFUl9SRU5UQUwuMTk5OS4wNi8wMy8yMDI2Li4uVVNELkgBAAAA3rYBAAMAAAAAABd+QObNe94I9xTZOM573gg3Q0lRLk5ZU0U6</t>
  </si>
  <si>
    <t>SUJNLklRX0dBSU5fSU5WRVNUX1JFVi4xOTk5LjA2LzAzLzIwMjYuLi5VU0QuSAEAAADetgEAAwAAAAAAF35A5s173gj3FNk4znveCDVDSVEuTllTRTpJQk0uSVFfUFJFX09QRU5fQ09TVC4xOTk5LjA2LzAzLzIwMjYuLi5VU0QuSAEAAADetgEAAwAAAAAAF35A5s173gj3FNk4znveCCtDSVEuTllTRTpJQk0uSVFfRUJULjE5OTkuMDYvMDMvMjAyNi4uLlVTRC5IAQAAAN62AQACAAAABDk0OTEBCAAAAAUAAAABMQEAAAALLTE5MjA4NDY5NDkDAAAAAzE2MAIAAAADMTM5BAAAAAEwBwAAAAgzLzYvMjAyNggAAAAJOS8zMC8yMDI1CQAAAAEwF35A5s173ggLPNk4znveCDlDSVEuTllTRTpJQk0uSVFfSU5TX1NFVFRMRV9TVVBQTEUuMTk5OS4wNi8wMy8yMDI2Li4uVVNELkgBAAAA3rYBAAMAAAAAABd+QObNe94ICzzZOM573gg2Q0lRLk5ZU0U6SUJNLklRX1BSRUZfRElWX09USEVSLjE5OTkuMDYvMDMvMjAyNi4uLlVTRC5IAQAAAN62AQADAAAAAAAXfkDmzXveCAs82TjOe94INkNJUS5OWVNFOklCTS5JUV9ESUxVVF9FUFNfTk9STS4xOTk5LjA2LzAzLzIwMjYuLi5VU0QuSAEAAADetgEAAgAAAAc2Ljg1MjY5AQgAAAAFAAAAATEBAAAACy0xOTIwODQ2OTQ5AwAAAAMxNjACAAAABDQzODAEAAAAATAHAAAACDMvNi8yMDI2CAAAAAk5LzMwLzIwMjUJAAAAATAXfkDmzXveCAs82TjOe94IMUNJUS5OWVNFOklCTS5J</t>
  </si>
  <si>
    <t>UV9ESVZfU0hBUkUuMTk5OS4wNi8wMy8yMDI2Li4uVVNELkgBAAAA3rYBAAIAAAADNi43AQgAAAAFAAAAATEBAAAACy0xOTIwODQ2OTQ5AwAAAAMxNjACAAAABDMwNTgEAAAAATAHAAAACDMvNi8yMDI2CAAAAAk5LzMwLzIwMjUJAAAAATAXfkDmzXveCAs82TjOe94IMENJUS5OWVNFOklCTS5JUV9ESUxVVF9OSS4xOTk5LjA2LzAzLzIwMjYuLi5VU0QuSAEAAADetgEAAgAAAAs3OTIyLjU1MzA1OAEIAAAABQAAAAExAQAAAAstMTkyMDg0Njk0OQMAAAADMTYwAgAAAAQzNTIyBAAAAAEwBwAAAAgzLzYvMjAyNggAAAAJOS8zMC8yMDI1CQAAAAEwF35A5s173ggLPNk4znveCCdDSVEuTllTRTpJQk0uSVFfR0FBUF9JUy4xOTk5LjA2LzAzLzIwMjYBAAAA3rYBAAMAAAAAABd+QObNe94ICzzZOM573gg4Q0lRLk5ZU0U6SUJNLklRX1JFU1RSX1NUT0NLX0NPTVAuMTk5OS4wNi8wMy8yMDI2Li4uVVNELkgBAAAA3rYBAAMAAAAAABd+QObNe94ICzzZOM573gg/Q0lRLk5ZU0U6SUJNLklRX1NUT0NLX0JBU0VEX0NPTVBfUFJFVEFYLjE5OTkuMDYvMDMvMjAyNi4uLlVTRC5IAQAAAN62AQACAAAABDE2MzEAF35A5s173ggLPNk4znveCDJDSVEuTllTRTpJQk0uSVFfQ09NTU9OX1JFUC4xOTk5LjA2LzAzLzIwMjYuLi5VU0QuSAEAAADetgEAAgAAAAQtOTYzAQgAAAAFAAAAATEBAAAACy0xOTIwODQ2OTQ5AwAAAAMxNjAC</t>
  </si>
  <si>
    <t>AAAABDIxNjQEAAAAATAHAAAACDMvNi8yMDI2CAAAAAk5LzMwLzIwMjUJAAAAATAXfkDmzXveCAs82TjOe94IM0NJUS5OWVNFOklCTS5JUV9JTlNfRElWX0VYUC4xOTk5LjA2LzAzLzIwMjYuLi5VU0QuSAEAAADetgEAAwAAAAAAF35A5s173ggSY9k4znveCDRDSVEuTllTRTpJQk0uSVFfSU5URVJFU1RfRVhQLjE5OTkuMDYvMDMvMjAyNi4uLlVTRC5IAQAAAN62AQACAAAABS0xODgxAQgAAAAFAAAAATEBAAAACy0xOTIwODQ2OTQ5AwAAAAMxNjACAAAAAjgyBAAAAAEwBwAAAAgzLzYvMjAyNggAAAAJOS8zMC8yMDI1CQAAAAEwF35A5s173ggSY9k4znveCDNDSVEuTllTRTpJQk0uSVFfR0FJTl9BU1NFVFMuMTk5OS4wNi8wMy8yMDI2Li4uVVNELkgBAAAA3rYBAAIAAAACMTMBCAAAAAUAAAABMQEAAAALLTE5MjA4NDY5NDkDAAAAAzE2MAIAAAACNTYEAAAAATAHAAAACDMvNi8yMDI2CAAAAAk5LzMwLzIwMjUJAAAAATAXfkDmzXveCBJj2TjOe94IN0NJUS5OWVNFOklCTS5JUV9UT1RBTF9SRVZfU0hBUkUuMTk5OS4wNi8wMy8yMDI2Li4uVVNELkgBAAAA3rYBAAIAAAAJNzAuMzQ2MDc0AQgAAAAFAAAAATEBAAAACy0xOTIwODQ2OTQ5AwAAAAMxNjACAAAABDQzODIEAAAAATAHAAAACDMvNi8yMDI2CAAAAAk5LzMwLzIwMjUJAAAAATDCkUDmzXveCAs82TjOe94INUNJUS5OWVNFOklCTS5JUV9FQklUREFfRVFf</t>
  </si>
  <si>
    <t>SU5DLjE5OTkuMDYvMDMvMjAyNi4uLlVTRC5IAQAAAN62AQACAAAACDE2MzYzLjc1AQgAAAAFAAAAATEBAAAACy0xOTIwODQ2OTQ5AwAAAAMxNjACAAAABTIxNjc3BAAAAAEwBwAAAAgzLzYvMjAyNggAAAAJOS8zMC8yMDI1CQAAAAEwwpFA5s173gjAdtk4znveCD9DSVEuTllTRTpJQk0uSVFfTEVBU0VfQURKVVNUTUVOVF9FQklUREEuMTk5OS4wNi8wMy8yMDI2Li4uVVNELkgBAAAA3rYBAAIAAAAHMTMyMS43NQDCkUDmzXveCMB22TjOe94IQUNJUS5OWVNFOklCTS5JUV9OT05SRUNVUlJJTkdfSU5DT01FX1RBWEVTLjE5OTkuMDYvMDMvMjAyNi4uLlVTRC5IAQAAAN62AQACAAAABS0xMTk2AQgAAAAFAAAAATEBAAAACy0xOTIwODQ2OTQ5AwAAAAMxNjACAAAABTQ4ODM5BAAAAAEwBwAAAAgzLzYvMjAyNggAAAAJOS8zMC8yMDI1CQAAAAEwwpFA5s173ggSY9k4znveCDtDSVEuTllTRTpJQk0uSVFfTk9OQ0FTSF9QRU5TSU9OX0VYUC4xOTk5LjA2LzAzLzIwMjYuLi5VU0QuSAEAAADetgEAAwAAAAAAwpFA5s173ggSY9k4znveCDdDSVEuTllTRTpJQk0uSVFfU0FMRVNfTUFSS0VUSU5HLjE5OTkuMDYvMDMvMjAyNi4uLlVTRC5IAQAAAN62AQACAAAABDExMTkBCAAAAAUAAAABMQEAAAALLTE5MjA4NDY5NDkDAAAAAzE2MAIAAAAFMjE1NjEEAAAAATAHAAAACDMvNi8yMDI2CAAAAAk5LzMwLzIwMjUJAAAAATDC</t>
  </si>
  <si>
    <t>kUDmzXveCBJj2TjOe94IMENJUS5OWVNFOklCTS5JUV9EQV9TVVBQTC4xOTk5LjA2LzAzLzIwMjYuLi5VU0QuSAEAAADetgEAAwAAAAAAwpFA5s173gjAdtk4znveCDJDSVEuTllTRTpJQk0uSVFfRUFSTklOR19DTy4xOTk5LjA2LzAzLzIwMjYuLi5VU0QuSAEAAADetgEAAgAAAAQ3OTE5AQgAAAAFAAAAATEBAAAACy0xOTIwODQ2OTQ5AwAAAAMxNjACAAAAATcEAAAAATAHAAAACDMvNi8yMDI2CAAAAAk5LzMwLzIwMjUJAAAAATDCkUDmzXveCMB22TjOe94INUNJUS5OWVNFOklCTS5JUV9OSV9BVkFJTF9FWENMLjE5OTkuMDYvMDMvMjAyNi4uLlVTRC5IAQAAAN62AQACAAAABDc5MTkBCAAAAAUAAAABMQEAAAALLTE5MjA4NDY5NDkDAAAAAzE2MAIAAAADMzc5BAAAAAEwBwAAAAgzLzYvMjAyNggAAAAJOS8zMC8yMDI1CQAAAAEwwpFA5s173gjAdtk4znveCDdDSVEuTllTRTpJQk0uSVFfRUJJVERBX0VYQ0xfU0JDLjE5OTkuMDYvMDMvMjAyNi4uLlVTRC5IAQAAAN62AQACAAAABTE2NjczAQgAAAAFAAAAATEBAAAACy0xOTIwODQ2OTQ5AwAAAAMxNjACAAAABTI0MTM1BAAAAAEwBwAAAAgzLzYvMjAyNggAAAAJOS8zMC8yMDI1CQAAAAEwwpFA5s173gjAdtk4znveCCxDSVEuTllTRTpJQk0uSVFfRUJJVC4xOTk5LjA2LzAzLzIwMjYuLi5VU0QuSAEAAADetgEAAgAAAAUxMTUzMwEIAAAABQAAAAExAQAAAAst</t>
  </si>
  <si>
    <t>MTkyMDg0Njk0OQMAAAADMTYwAgAAAAM0MDAEAAAAATAHAAAACDMvNi8yMDI2CAAAAAk5LzMwLzIwMjUJAAAAATDCkUDmzXveCMB22TjOe94IPENJUS5OWVNFOklCTS5JUV9FQklUX0VRX0lOQ19FWENMX1NCQy4xOTk5LjA2LzAzLzIwMjYuLi5VU0QuSAEAAADetgEAAgAAAAUxMzE2NAEIAAAABQAAAAExAQAAAAstMTkyMDg0Njk0OQMAAAADMTYwAgAAAAUyNDEzMAQAAAABMAcAAAAIMy82LzIwMjYIAAAACTkvMzAvMjAyNQkAAAABMMKRQObNe94IwHbZOM573gg4Q0lRLk5ZU0U6SUJNLklRX0VCSVREQVJfRVhDTF9TQkMuMTk5OS4wNi8wMy8yMDI2Li4uVVNELkgBAAAA3rYBAAMAAAAAAMKRQObNe94IwHbZOM573ggzQ0lRLk5ZU0U6SUJNLklRX0lQUkRfU1VQUExFLjE5OTkuMDYvMDMvMjAyNi4uLlVTRC5IAQAAAN62AQADAAAAAADCkUDmzXveCMB22TjOe94ILkNJUS5OWVNFOklCTS5JUV9NRVJHRVIuMTk5OS4wNi8wMy8yMDI2Li4uVVNELkgBAAAA3rYBAAIAAAAELTEzNAEIAAAABQAAAAExAQAAAAstMTkyMDg0Njk0OQMAAAADMTYwAgAAAAI4MAQAAAABMAcAAAAIMy82LzIwMjYIAAAACTkvMzAvMjAyNQkAAAABMMKRQObNe94IwHbZOM573gg2Q0lRLk5ZU0U6SUJNLklRX0VCSVREQVJfRVFfSU5DLjE5OTkuMDYvMDMvMjAyNi4uLlVTRC5IAQAAAN62AQADAAAAAADCkUDmzXveCMB22TjOe94IOUNJUS5O</t>
  </si>
  <si>
    <t>WVNFOklCTS5JUV9GRUVTX09USEVSX0lOQ09NRS4xOTk5LjA2LzAzLzIwMjYuLi5VU0QuSAEAAADetgEAAwAAAAAAwpFA5s173gj6ndk4znveCD1DSVEuTllTRTpJQk0uSVFfVE9UQUxfUkVWX0FTX1JFUE9SVEVELjE5OTkuMDYvMDMvMjAyNi4uLlVTRC5IAQAAAN62AQACAAAABTY1NDAzAQgAAAAFAAAAATEBAAAACy0xOTIwODQ2OTQ5AwAAAAMxNjACAAAAAzMzOQQAAAABMAcAAAAIMy82LzIwMjYIAAAACTkvMzAvMjAyNQkAAAABMMKRQObNe94I+p3ZOM573gg7Q0lRLk5ZU0U6SUJNLklRX0NVUlJfRE9NRVNUSUNfVEFYRVMuMTk5OS4wNi8wMy8yMDI2Li4uVVNELkgBAAAA3rYBAAIAAAAELTE4MwEIAAAABQAAAAExAQAAAAstMTkyMDg0Njk0OQMAAAADMTYwAgAAAAQzMDI3BAAAAAEwBwAAAAgzLzYvMjAyNggAAAAJOS8zMC8yMDI1CQAAAAEwwpFA5s173gj6ndk4znveCDlDSVEuTllTRTpJQk0uSVFfTkVUX1JFTlRBTF9FWFBfRk4uMTk5OS4wNi8wMy8yMDI2Li4uVVNELkgBAAAA3rYBAAMAAAAAAMKRQObNe94I+p3ZOM573gg1Q0lRLk5ZU0U6SUJNLklRX0lOQ19FUVVJVFlfQ0YuMTk5OS4wNi8wMy8yMDI2Li4uVVNELkgBAAAA3rYBAAMAAAAAAMKRQObNe94IwHbZOM573gg2Q0lRLk5ZU0U6SUJNLklRX0NIQU5HRV9JTkNfVEFYLjE5OTkuMDYvMDMvMjAyNi4uLlVTRC5IAQAAAN62AQADAAAAAADCkUDm</t>
  </si>
  <si>
    <t>zXveCPqd2TjOe94IM0NJUS5OWVNFOklCTS5JUV9TQUxFX1BQRV9DRi4xOTk5LjA2LzAzLzIwMjYuLi5VU0QuSAEAAADetgEAAgAAAAMxMzkBCAAAAAUAAAABMQEAAAALLTE5MjA4NDY5NDkDAAAAAzE2MAIAAAAEMjA0MgQAAAABMAcAAAAIMy82LzIwMjYIAAAACTkvMzAvMjAyNQkAAAABMMKRQObNe94I+p3ZOM573gg3Q0lRLk5ZU0U6SUJNLklRX0dBSU5fQVNTRVRTX1JFVi4xOTk5LjA2LzAzLzIwMjYuLi5VU0QuSAEAAADetgEAAwAAAAAAwpFA5s173gj6ndk4znveCDdDSVEuTllTRTpJQk0uSVFfT1RIRVJfUkVWX1NVUFBMLjE5OTkuMDYvMDMvMjAyNi4uLlVTRC5IAQAAAN62AQADAAAAAADCkUDmzXveCPqd2TjOe94IOENJUS5OWVNFOklCTS5JUV9ORVRfSU5URVJFU1RfRVhQLjE5OTkuMDYvMDMvMjAyNi4uLlVTRC5IAQAAAN62AQACAAAABS0xMjE4AQgAAAAFAAAAATEBAAAACy0xOTIwODQ2OTQ5AwAAAAMxNjACAAAAAzM2OAQAAAABMAcAAAAIMy82LzIwMjYIAAAACTkvMzAvMjAyNQkAAAABMMKRQObNe94I+p3ZOM573gg2Q0lRLk5ZU0U6SUJNLklRX0JBU0lDX0VQU19FWENMLjE5OTkuMDYvMDMvMjAyNi4uLlVTRC5IAQAAAN62AQACAAAACDguNTE3NjM4AQgAAAAFAAAAATEBAAAACy0xOTIwODQ2OTQ5AwAAAAMxNjACAAAABDMwNjQEAAAAATAHAAAACDMvNi8yMDI2CAAAAAk5LzMwLzIwMjUJAAAA</t>
  </si>
  <si>
    <t>ATDCkUDmzXveCEXF2TjOe94ISkNJUS5OWVNFOklCTS5JUV9QUk9WX0JBRF9ERUJUU19QQVRJRU5UX1NFUlZJQ0VfUkVWLjE5OTkuMDYvMDMvMjAyNi4uLlVTRC5IAQAAAN62AQADAAAAAADCkUDmzXveCEXF2TjOe94IMkNJUS5OWVNFOklCTS5JUV9DVVJSX1RBWEVTLjE5OTkuMDYvMDMvMjAyNi4uLlVTRC5IAQAAAN62AQACAAAABDIxMTgBCAAAAAUAAAABMQEAAAALLTE5MjA4NDY5NDkDAAAAAzE2MAIAAAAFMzUzODMEAAAAATAHAAAACDMvNi8yMDI2CAAAAAk5LzMwLzIwMjUJAAAAATDCkUDmzXveCPqd2TjOe94IQUNJUS5OWVNFOklCTS5JUV9ESVNUUklCVVRBQkxFX0NBU0hfU0hBUkVTX0RJTFVURUQuMTk5OS4wNi8wMy8yMDI2AQAAAN62AQADAAAAAADCkUDmzXveCGoq2jjOe94IM0NJUS5OWVNFOklCTS5JUV9BRFZFUlRJU0lORy4xOTk5LjA2LzAzLzIwMjYuLi5VU0QuSAEAAADetgEAAwAAAAAAwpFA5s173gj6ndk4znveCDtDSVEuTllTRTpJQk0uSVFfTEVHQUxfU0VUVExFX1NVUFBMRS4xOTk5LjA2LzAzLzIwMjYuLi5VU0QuSAEAAADetgEAAwAAAAAAwpFA5s173ghFxdk4znveCEFDSVEuTllTRTpJQk0uSVFfU1RPQ0tfQkFTRURfRVhQTE9SRV9EUklMTC4xOTk5LjA2LzAzLzIwMjYuLi5VU0QuSAEAAADetgEAAwAAAAAAwpFA5s173ghFxdk4znveCC1DSVEuTllTRTpJQk0uSVFfTklfQ0YuMTk5</t>
  </si>
  <si>
    <t>OS4wNi8wMy8yMDI2Li4uVVNELkgBAAAA3rYBAAIAAAAENzkwNwEIAAAABQAAAAExAQAAAAstMTkyMDg0Njk0OQMAAAADMTYwAgAAAAQyMTUwBAAAAAEwBwAAAAgzLzYvMjAyNggAAAAJOS8zMC8yMDI1CQAAAAEwwpFA5s173ghFxdk4znveCDdDSVEuTllTRTpJQk0uSVFfSU5WRVNUX0xPQU5TX0NGLjE5OTkuMDYvMDMvMjAyNi4uLlVTRC5IAQAAAN62AQADAAAAAADCkUDmzXveCEXF2TjOe94IJ0NJUS5OWVNFOklCTS5JUV9HQUFQX0NGLjE5OTkuMDYvMDMvMjAyNgEAAADetgEAAwAAAAAAwpFA5s173ghFxdk4znveCDJDSVEuTllTRTpJQk0uSVFfSU1QQUlSX09JTC4xOTk5LjA2LzAzLzIwMjYuLi5VU0QuSAEAAADetgEAAwAAAAAAwpFA5s173ghFxdk4znveCDNDSVEuTllTRTpJQk0uSVFfR0FJTl9JTlZFU1QuMTk5OS4wNi8wMy8yMDI2Li4uVVNELkgBAAAA3rYBAAIAAAACLTIBCAAAAAUAAAABMQEAAAALLTE5MjA4NDY5NDkDAAAAAzE2MAIAAAACNjIEAAAAATAHAAAACDMvNi8yMDI2CAAAAAk5LzMwLzIwMjUJAAAAATDCkUDmzXveCEXF2TjOe94IN0NJUS5OWVNFOklCTS5JUV9FWFRSQV9BQ0NfSVRFTVMuMTk5OS4wNi8wMy8yMDI2Li4uVVNELkgBAAAA3rYBAAMAAAAAAMKRQObNe94IRcXZOM573gg8Q0lRLk5ZU0U6SUJNLklRX0NBUElUQUxJWkVEX0lOVEVSRVNULjE5OTkuMDYvMDMvMjAyNi4uLlVT</t>
  </si>
  <si>
    <t>RC5IAQAAAN62AQADAAAAAADCkUDmzXveCEXF2TjOe94IR0NJUS5OWVNFOklCTS5JUV9ESVNUUklCVVRBQkxFX0NBU0hfU1RBTkRBUkRJWkVELjE5OTkuMDYvMDMvMjAyNi4uLlVTRC5IAQAAAN62AQADAAAAAADCkUDmzXveCEXF2TjOe94INUNJUS5OWVNFOklCTS5JUV9BSVJDUkFGVF9SRU5ULjE5OTkuMDYvMDMvMjAyNi4uLlVTRC5IAQAAAN62AQADAAAAAADCkUDmzXveCBoA2jjOe94IOUNJUS5OWVNFOklCTS5JUV9TVE9DS19CQVNFRF9UT1RBTC4xOTk5LjA2LzAzLzIwMjYuLi5VU0QuSAEAAADetgEAAgAAAAQxNjMxAQgAAAAFAAAAATEBAAAACy0xOTIwODQ2OTQ5AwAAAAMxNjACAAAABTI0MDM0BAAAAAEwBwAAAAgzLzYvMjAyNggAAAAJOS8zMC8yMDI1CQAAAAEwwpFA5s173ggaANo4znveCDZDSVEuTllTRTpJQk0uSVFfU1RPQ0tfQkFTRURfQ0YuMTk5OS4wNi8wMy8yMDI2Li4uVVNELkgBAAAA3rYBAAIAAAAEMTYzMAEIAAAABQAAAAExAQAAAAstMTkyMDg0Njk0OQMAAAADMTYwAgAAAAQyMTI3BAAAAAEwBwAAAAgzLzYvMjAyNggAAAAJOS8zMC8yMDI1CQAAAAEwwpFA5s173ghFxdk4znveCDtDSVEuTllTRTpJQk0uSVFfREFfU1VQUExfUEFSVElBTF9DRi4xOTk5LjA2LzAzLzIwMjYuLi5VU0QuSAEAAADetgEAAwAAAAAAwpFA5s173ghFxdk4znveCDVDSVEuTllTRTpJQk0uSVFfQ1VSUkVOQ1lf</t>
  </si>
  <si>
    <t>R0FJTi4xOTk5LjA2LzAzLzIwMjYuLi5VU0QuSAEAAADetgEAAgAAAAMtNzkBCAAAAAUAAAABMQEAAAALLTE5MjA4NDY5NDkDAAAAAzE2MAIAAAACMzgEAAAAATAHAAAACDMvNi8yMDI2CAAAAAk5LzMwLzIwMjUJAAAAATDCkUDmzXveCEXF2TjOe94INkNJUS5OWVNFOklCTS5JUV9ESUxVVF9FUFNfSU5DTC4xOTk5LjA2LzAzLzIwMjYuLi5VU0QuSAEAAADetgEAAgAAAAg4LjM2MDY4MQEIAAAABQAAAAExAQAAAAstMTkyMDg0Njk0OQMAAAADMTYwAgAAAAE4BAAAAAEwBwAAAAgzLzYvMjAyNggAAAAJOS8zMC8yMDI1CQAAAAEwwpFA5s173gg/FNo4znveCC5DSVEuTllTRTpJQk0uSVFfR0FfRVhQLjE5OTkuMDYvMDMvMjAyNi4uLlVTRC5IAQAAAN62AQADAAAAAADCkUDmzXveCBoA2jjOe94IL0NJUS5OWVNFOklCTS5JUV9JTkNfVEFYLjE5OTkuMDYvMDMvMjAyNi4uLlVTRC5IAQAAAN62AQACAAAABDE1NzIBCAAAAAUAAAABMQEAAAALLTE5MjA4NDY5NDkDAAAAAzE2MAIAAAACNzUEAAAAATAHAAAACDMvNi8yMDI2CAAAAAk5LzMwLzIwMjUJAAAAATDCkUDmzXveCBoA2jjOe94IMkNJUS5OWVNFOklCTS5JUV9DT01NT05fRElWLjE5OTkuMDYvMDMvMjAyNi4uLlVTRC5IAQAAAN62AQACAAAABDYyMjcAwpFA5s173ggaANo4znveCDZDSVEuTllTRTpJQk0uSVFfTkVUX1JFTlRBTF9FWFAuMTk5OS4wNi8wMy8y</t>
  </si>
  <si>
    <t>MDI2Li4uVVNELkgBAAAA3rYBAAMAAAAAAMKRQObNe94IGgDaOM573gg/Q0lRLk5ZU0U6SUJNLklRX1NBTEFSSUVTX09USEVSX0JFTkVGSVRTLjE5OTkuMDYvMDMvMjAyNi4uLlVTRC5IAQAAAN62AQADAAAAAADCkUDmzXveCGoq2jjOe94IPENJUS5OWVNFOklCTS5JUV9JTVBBSVJNRU5UX0dXX1NVUFBMRS4xOTk5LjA2LzAzLzIwMjYuLi5VU0QuSAEAAADetgEAAwAAAAAAwpFA5s173ghqKto4znveCDlDSVEuTllTRTpJQk0uSVFfTkVHQVRJVkVfR1dfQU1PUlQuMTk5OS4wNi8wMy8yMDI2Li4uVVNELkgBAAAA3rYBAAMAAAAAAMKRQObNe94IairaOM573ghBQ0lRLk5ZU0U6SUJNLklRX0dXX0lOVEFOX0FNT1JUX1BBUlRJQUxfQ0YuMTk5OS4wNi8wMy8yMDI2Li4uVVNELkgBAAAA3rYBAAMAAAAAAMKRQObNe94IPxTaOM573gg3Q0lRLk5ZU0U6SUJNLklRX0FTU0VUX1dSSVRFRE9XTi4xOTk5LjA2LzAzLzIwMjYuLi5VU0QuSAEAAADetgEAAwAAAAAAwpFA5s173gg/FNo4znveCEBDSVEuTllTRTpJQk0uSVFfRElTVFJJQlVUQUJMRV9DQVNIX1NIQVJFLjE5OTkuMDYvMDMvMjAyNi4uLlVTRC5IAQAAAN62AQADAAAAAADCkUDmzXveCGoq2jjOe94ISUNJUS5OWVNFOklCTS5JUV9FQklUREFfRVFfSU5DX0VYQ0xfT1BFUl9MRUFTRV9BREouMTk5OS4wNi8wMy8yMDI2Li4uVVNELkgBAAAA3rYBAAIAAAAFMTUw</t>
  </si>
  <si>
    <t>NDIBCAAAAAUAAAABMQEAAAALLTE5MjA4NDY5NDkDAAAAAzE2MAIAAAAFNDg5ODcEAAAAATAHAAAACDMvNi8yMDI2CAAAAAk5LzMwLzIwMjUJAAAAATDCkUDmzXveCGoq2jjOe94IM0NJUS5OWVNFOklCTS5JUV9JTlRfSU5WX0lOQy4xOTk5LjA2LzAzLzIwMjYuLi5VU0QuSAEAAADetgEAAwAAAAAAwpFA5s173ghqKto4znveCC5DSVEuTllTRTpJQk0uSVFfUkRfRVhQLjE5OTkuMDYvMDMvMjAyNi4uLlVTRC5IAQAAAN62AQACAAAABDgwOTIBCAAAAAUAAAABMQEAAAALLTE5MjA4NDY5NDkDAAAAAzE2MAIAAAADMTAwBAAAAAEwBwAAAAgzLzYvMjAyNggAAAAJOS8zMC8yMDI1CQAAAAEwwpFA5s173ghqKto4znveCDBDSVEuTllTRTpJQk0uSVFfRFJfUkFUSU9fUFJJTUFSWS4xOTk5LjA2LzAzLzIwMjYBAAAA3rYBAAIAAAABMQDCkUDmzXveCKlR2jjOe94INUNJUS5OWVNFOklCTS5JUV9FWFBMT1JFX0RSSUxMLjE5OTkuMDYvMDMvMjAyNi4uLlVTRC5IAQAAAN62AQADAAAAAADCkUDmzXveCKlR2jjOe94IMENJUS5OWVNFOklCTS5JUV9FQlRfRVhDTC4xOTk5LjA2LzAzLzIwMjYuLi5VU0QuSAEAAADetgEAAgAAAAUxMDM3NAEIAAAABQAAAAExAQAAAAstMTkyMDg0Njk0OQMAAAADMTYwAgAAAAE0BAAAAAEwBwAAAAgzLzYvMjAyNggAAAAJOS8zMC8yMDI1CQAAAAEwwpFA5s173gipUdo4znveCC9DSVEuTllT</t>
  </si>
  <si>
    <t>RTpJQk0uSVFfUEVSSU9ETEVOR1RIX0lTLjE5OTkuMDYvMDMvMjAyNgEAAADetgEAAQAAAAIxMgDCkUDmzXveCKlR2jjOe94IM0NJUS5OWVNFOklCTS5JUV9FQklUX0VRX0lOQy4xOTk5LjA2LzAzLzIwMjYuLi5VU0QuSAEAAADetgEAAgAAAAUxMTUzMwEIAAAABQAAAAExAQAAAAstMTkyMDg0Njk0OQMAAAADMTYwAgAAAAUyMTY3NQQAAAABMAcAAAAIMy82LzIwMjYIAAAACTkvMzAvMjAyNQkAAAABMMKRQObNe94II4vaOM573ggxQ0lRLk5ZU0U6SUJNLklRX0RBX0VCSVREQS4xOTk5LjA2LzAzLzIwMjYuLi5VU0QuSAEAAADetgEAAgAAAAQzNTA5AQgAAAAFAAAAATEBAAAACy0xOTIwODQ2OTQ5AwAAAAMxNjACAAAABDIyMDYEAAAAATAHAAAACDMvNi8yMDI2CAAAAAk5LzMwLzIwMjUJAAAAATDCkUDmzXveCGx32jjOe94IPkNJUS5OWVNFOklCTS5JUV9BTk5VX0RJU1RSSUJVVElPTl9VTklULjE5OTkuMDYvMDMvMjAyNi4uLlVTRC5IAQAAAN62AQADAAAAAADCkUDmzXveCGx32jjOe94IM0NJUS5OWVNFOklCTS5JUV9EQV9TVVBQTF9DRi4xOTk5LjA2LzAzLzIwMjYuLi5VU0QuSAEAAADetgEAAgAAAAQyMjIyAQgAAAAFAAAAATEBAAAACy0xOTIwODQ2OTQ5AwAAAAMxNjACAAAABDIxNzEEAAAAATAHAAAACDMvNi8yMDI2CAAAAAk5LzMwLzIwMjUJAAAAATDCkUDmzXveCGx32jjOe94IKkNJUS5OWVNFOklC</t>
  </si>
  <si>
    <t>TS5JUV9HUC4xOTk5LjA2LzAzLzIwMjYuLi5VU0QuSAEAAADetgEAAgAAAAUzNzgwOAEIAAAABQAAAAExAQAAAAstMTkyMDg0Njk0OQMAAAADMTYwAgAAAAIxMAQAAAABMAcAAAAIMy82LzIwMjYIAAAACTkvMzAvMjAyNQkAAAABMMKRQObNe94II4vaOM573ggzQ0lRLk5ZU0U6SUJNLklRX0ZJTl9ESVZfUkVWLjE5OTkuMDYvMDMvMjAyNi4uLlVTRC5IAQAAAN62AQACAAAAAzcyNAEIAAAABQAAAAExAQAAAAstMTkyMDg0Njk0OQMAAAADMTYwAgAAAAI1MgQAAAABMAcAAAAIMy82LzIwMjYIAAAACTkvMzAvMjAyNQkAAAABMMKRQObNe94II4vaOM573ggqQ0lRLk5ZU0U6SUJNLklRX1BFUklPRERBVEUuMTk5OC4wNi8wMy8yMDI2AQAAAN62AQAFAAAACjMwLzA2LzIwMjUAFoai58173gjDges4znveCDZDSVEuTllTRTpJQk0uSVFfVE9UQUxfUkVWXzNZUl9BTk5fQ0FHUi4xOTk4LjA2LzAzLzIwMjYBAAAA3rYBAAIAAAAGMi4zNzkzAQgAAAAFAAAAATEBAAAACy0xOTM0ODYwMTI1AwAAAAMxNjACAAAABDQyMjAEAAAAATAHAAAACDMvNi8yMDI2CAAAAAk2LzMwLzIwMjUJAAAAATDCkUDmzXveCELG2jjOe94IQENJUS5OWVNFOklCTS5JUV9ORVRfREVCVF9FQklUREFfRVhDTF9PUEVSX0xFQVNFUy4xOTk4LjA2LzAzLzIwMjYBAAAA3rYBAAIAAAAIMy42ODU1MzkBCAAAAAUAAAABMQEAAAALLTE5MzQ4NjAxMjUD</t>
  </si>
  <si>
    <t>AAAAAzE2MAIAAAAFNDkxNzUEAAAAATAHAAAACDMvNi8yMDI2CAAAAAk2LzMwLzIwMjUJAAAAATDCkUDmzXveCPkA2zjOe94IMUNJUS5OWVNFOklCTS5JUV9UT1RBTF9ERUJUX0VRVUlUWS4xOTk4LjA2LzAzLzIwMjYBAAAA3rYBAAIAAAAIMjQ1LjQ2NTQBCAAAAAUAAAABMQEAAAALLTE5MzQ4NjAxMjUDAAAAAzE2MAIAAAAENDAzNAQAAAABMAcAAAAIMy82LzIwMjYIAAAACTYvMzAvMjAyNQkAAAABMMKRQObNe94I+QDbOM573ggyQ0lRLk5ZU0U6SUJNLklRX0RBWVNfSU5WRU5UT1JZX09VVC4xOTk4LjA2LzAzLzIwMjYBAAAA3rYBAAIAAAAIMTYuOTI1MDUBCAAAAAUAAAABMQEAAAALLTE5MzQ4NjAxMjUDAAAAAzE2MAIAAAAENDAzNQQAAAABMAcAAAAIMy82LzIwMjYIAAAACTYvMzAvMjAyNQkAAAABMMKRQObNe94I+QDbOM573ggsQ0lRLk5ZU0U6SUJNLklRX0dST1NTX01BUkdJTi4xOTk4LjA2LzAzLzIwMjYBAAAA3rYBAAIAAAAHNTcuNTcwMgEIAAAABQAAAAExAQAAAAstMTkzNDg2MDEyNQMAAAADMTYwAgAAAAQ0MDc0BAAAAAEwBwAAAAgzLzYvMjAyNggAAAAJNi8zMC8yMDI1CQAAAAEwwpFA5s173ghCxto4znveCEtDSVEuTllTRTpJQk0uSVFfSU5URVJFU1RfUEVOQUxUSUVTX1JFQ09HX0lTX1BSRV9UQVguMTk5OC4wNi8wMy8yMDI2Li4uVVNELkgBAAAA3rYBAAMAAAAAAMKRQObNe94IQsbaOM57</t>
  </si>
  <si>
    <t>3ggvQ0lRLk5ZU0U6SUJNLklRX0dQXzVZUl9BTk5fQ0FHUi4xOTk4LjA2LzAzLzIwMjYBAAAA3rYBAAIAAAAGMC40NDU4AQgAAAAFAAAAATEBAAAACy0xOTM0ODYwMTI1AwAAAAMxNjACAAAABDQyMzQEAAAAATAHAAAACDMvNi8yMDI2CAAAAAk2LzMwLzIwMjUJAAAAATDCkUDmzXveCPkA2zjOe94IOENJUS5OWVNFOklCTS5JUV9UT1RBTF9SRVZfMVlSX0FOTl9HUk9XVEguMTk5OC4wNi8wMy8yMDI2AQAAAN62AQACAAAABjIuNjg3NAEIAAAABQAAAAExAQAAAAstMTkzNDg2MDEyNQMAAAADMTYwAgAAAAQ0MTk0BAAAAAEwBwAAAAgzLzYvMjAyNggAAAAJNi8zMC8yMDI1CQAAAAEwwpFA5s173gj5ANs4znveCEZDSVEuTllTRTpJQk0uSVFfTkVUX0RFQlRfRUJJVERBX0VYQ0xfT1BFUl9MRUFTRVNfQ0FQRVguMTk5OC4wNi8wMy8yMDI2AQAAAN62AQACAAAACDMuOTc4MDgyAQgAAAAFAAAAATEBAAAACy0xOTM0ODYwMTI1AwAAAAMxNjACAAAABTQ5MTgyBAAAAAEwBwAAAAgzLzYvMjAyNggAAAAJNi8zMC8yMDI1CQAAAAEwwpFA5s173gj5ANs4znveCDdDSVEuTllTRTpJQk0uSVFfVE9UQUxfTElBQl9UT1RBTF9BU1NFVFMuMTk5OC4wNi8wMy8yMDI2AQAAAN62AQACAAAABzgxLjQzMjgBCAAAAAUAAAABMQEAAAALLTE5MzQ4NjAxMjUDAAAAAzE2MAIAAAAENDE4OAQAAAABMAcAAAAIMy82LzIwMjYIAAAACTYv</t>
  </si>
  <si>
    <t>MzAvMjAyNQkAAAABMMKRQObNe94I+QDbOM573ggoQ0lRLk5ZU0U6SUJNLklRX0FSX1RVUk5TLjE5OTguMDYvMDMvMjAyNgEAAADetgEAAgAAAAg5LjkxMzEzMQEIAAAABQAAAAExAQAAAAstMTkzNDg2MDEyNQMAAAADMTYwAgAAAAQ0MDAxBAAAAAEwBwAAAAgzLzYvMjAyNggAAAAJNi8zMC8yMDI1CQAAAAEwwpFA5s173gj5ANs4znveCDBDSVEuTllTRTpJQk0uSVFfRVBTXzVZUl9BTk5fQ0FHUi4xOTk4LjA2LzAzLzIwMjYBAAAA3rYBAAIAAAAHLTYuNzgxMwEIAAAABQAAAAExAQAAAAstMTkzNDg2MDEyNQMAAAADMTYwAgAAAAQ0MjM5BAAAAAEwBwAAAAgzLzYvMjAyNggAAAAJNi8zMC8yMDI1CQAAAAEwwpFA5s173gjrPts4znveCDFDSVEuTllTRTpJQk0uSVFfTklfMVlSX0FOTl9HUk9XVEguMTk5OC4wNi8wMy8yMDI2AQAAAN62AQACAAAACC0zMC44MDY3AQgAAAAFAAAAATEBAAAACy0xOTM0ODYwMTI1AwAAAAMxNjACAAAABDQxOTkEAAAAATAHAAAACDMvNi8yMDI2CAAAAAk2LzMwLzIwMjUJAAAAATDCkUDmzXveCOs+2zjOe94IQkNJUS5OWVNFOklCTS5JUV9UT1RBTF9ERUJUX0VCSVREQV9FWENMX09QRVJfTEVBU0VTLjE5OTguMDYvMDMvMjAyNgEAAADetgEAAgAAAAg0Ljc3NDY1OQEIAAAABQAAAAExAQAAAAstMTkzNDg2MDEyNQMAAAADMTYwAgAAAAU0ODk5NAQAAAABMAcAAAAIMy82LzIwMjYI</t>
  </si>
  <si>
    <t>AAAACTYvMzAvMjAyNQkAAAABMMKRQObNe94I+QDbOM573ggwQ0lRLk5ZU0U6SUJNLklRX0RBWVNfUEFZQUJMRV9PVVQuMTk5OC4wNi8wMy8yMDI2AQAAAN62AQACAAAABzUxLjc2NDMBCAAAAAUAAAABMQEAAAALLTE5MzQ4NjAxMjUDAAAAAzE2MAIAAAAENDE4MwQAAAABMAcAAAAIMy82LzIwMjYIAAAACTYvMzAvMjAyNQkAAAABMMKRQObNe94I+QDbOM573ggtQ0lRLk5ZU0U6SUJNLklRX0VCSVREQV9NQVJHSU4uMTk5OC4wNi8wMy8yMDI2AQAAAN62AQACAAAABjIyLjE0NwEIAAAABQAAAAExAQAAAAstMTkzNDg2MDEyNQMAAAADMTYwAgAAAAQ0MDQ3BAAAAAEwBwAAAAgzLzYvMjAyNggAAAAJNi8zMC8yMDI1CQAAAAEwwpFA5s173gj5ANs4znveCC1DSVEuTllTRTpJQk0uSVFfUkVUVVJOX0VRVUlUWS4xOTk4LjA2LzAzLzIwMjYBAAAA3rYBAAIAAAAHMjIuNjY1NAEIAAAABQAAAAExAQAAAAstMTkzNDg2MDEyNQMAAAADMTYwAgAAAAQ0MTI4BAAAAAEwBwAAAAgzLzYvMjAyNggAAAAJNi8zMC8yMDI1CQAAAAEwwpFA5s173gjrPts4znveCEZDSVEuTllTRTpJQk0uSVFfVU5SRUNPR19UQVhfQkVORUZJVF9FTkRfUEVSSU9ELjE5OTguMDYvMDMvMjAyNi4uLlVTRC5IAQAAAN62AQADAAAAAADCkUDmzXveCOs+2zjOe94ISkNJUS5OWVNFOklCTS5JUV9UUkFOU19JTVBBQ1RfRklOXzQ4X0NVUlJFTlRfQVNT</t>
  </si>
  <si>
    <t>RVRTLjE5OTguMDYvMDMvMjAyNi4uLlVTRC5IAQAAAN62AQADAAAAAADCkUDmzXveCOs+2zjOe94IPkNJUS5OWVNFOklCTS5JUV9DQVBfTE9TU19DRl9BRlRFUl9GSVZFLjE5OTguMDYvMDMvMjAyNi4uLlVTRC5IAQAAAN62AQADAAAAAADCkUDmzXveCOs+2zjOe94IMkNJUS5OWVNFOklCTS5JUV9OT0xfQ0ZfMllSLjE5OTguMDYvMDMvMjAyNi4uLlVTRC5IAQAAAN62AQADAAAAAADCkUDmzXveCOs+2zjOe94IRkNJUS5OWVNFOklCTS5JUV9DQVBJVEFMSVpFRF9JTlRFUkVTVF9PVEhFUl9BREouMTk5OC4wNi8wMy8yMDI2Li4uVVNELkgBAAAA3rYBAAMAAAAAAMKRQObNe94IHGbbOM573ggzQ0lRLk5ZU0U6SUJNLklRX09SR0FOSUNfR1JPV1RIX1JBVEUuMTk5OC4wNi8wMy8yMDI2AQAAAN62AQADAAAAAADCkUDmzXveCBxm2zjOe94IPUNJUS5OWVNFOklCTS5JUV9BVU1fT1RIRVJfQURKVVNUTUVOVFMuMTk5OC4wNi8wMy8yMDI2Li4uVVNELkgBAAAA3rYBAAMAAAAAAMKRQObNe94IHGbbOM573gg7Q0lRLk5ZU0U6SUJNLklRX0FVTV9OT05fRkVFX0VBUk5JTkcuMTk5OC4wNi8wMy8yMDI2Li4uVVNELkgBAAAA3rYBAAMAAAAAAMKRQObNe94IHGbbOM573gg+Q0lRLk5ZU0U6SUJNLklRX0FVTV9GSVhFRF9JTkNPTUVfRlVORFMuMTk5OC4wNi8wMy8yMDI2Li4uVVNELkgBAAAA3rYBAAMAAAAAAMKRQObNe94I</t>
  </si>
  <si>
    <t>HGbbOM573ghGQ0lRLk5ZU0U6SUJNLklRX09QRUJfSEVBTFRIX0NPU1RfVFJFTkRfSU5JVElBTF9GT1JFSUdOLjE5OTguMDYvMDMvMjAyNgEAAADetgEAAwAAAAAAwpFA5s173ggmjds4znveCEFDSVEuTllTRTpJQk0uSVFfT1BFQl9JTlRBTl9BU1NFVFNfRk9SRUlHTi4xOTk4LjA2LzAzLzIwMjYuLi5VU0QuSAEAAADetgEAAwAAAAAAwpFA5s173ggmjds4znveCENDSVEuTllTRTpJQk0uSVFfT1BFQl9BTVRfUkVDT0dfTkVYVF9GT1JFSUdOLjE5OTguMDYvMDMvMjAyNi4uLlVTRC5IAQAAAN62AQADAAAAAADCkUDmzXveCCaN2zjOe94IQENJUS5OWVNFOklCTS5JUV9PUEVCX0JSRUFLRE9XTl9QQ1RfT1RIRVJfRk9SRUlHTi4xOTk4LjA2LzAzLzIwMjYBAAAA3rYBAAMAAAAAAMKRQObNe94IJo3bOM573ggwQ0lRLk5ZU0U6SUJNLklRX0VQU18zWVJfQU5OX0NBR1IuMTk5OC4wNi8wMy8yMDI2AQAAAN62AQACAAAABjAuMDYzOQEIAAAABQAAAAExAQAAAAstMTkzNDg2MDEyNQMAAAADMTYwAgAAAAQ0MjI2BAAAAAEwBwAAAAgzLzYvMjAyNggAAAAJNi8zMC8yMDI1CQAAAAEwwpFA5s173ggcZts4znveCDJDSVEuTllTRTpJQk0uSVFfRVBTXzFZUl9BTk5fR1JPV1RILjE5OTguMDYvMDMvMjAyNgEAAADetgEAAgAAAAgtMzEuMzc0OAEIAAAABQAAAAExAQAAAAstMTkzNDg2MDEyNQMAAAADMTYwAgAAAAQ0MjAw</t>
  </si>
  <si>
    <t>BAAAAAEwBwAAAAgzLzYvMjAyNggAAAAJNi8zMC8yMDI1CQAAAAEwwpFA5s173gjDoNs4znveCDVDSVEuTllTRTpJQk0uSVFfRUJJVERBXzFZUl9BTk5fR1JPV1RILjE5OTguMDYvMDMvMjAyNgEAAADetgEAAgAAAAcxMS4zNzAyAQgAAAAFAAAAATEBAAAACy0xOTM0ODYwMTI1AwAAAAMxNjACAAAABDQxOTYEAAAAATAHAAAACDMvNi8yMDI2CAAAAAk2LzMwLzIwMjUJAAAAATDCkUDmzXveCMOg2zjOe94IQUNJUS5OWVNFOklCTS5JUV9FQklUREFfRVhDTF9PUEVSX0xFQVNFU19DQVBFWF9JTlQuMTk5OC4wNi8wMy8yMDI2AQAAAN62AQACAAAACDcuMjI3NzIyAQgAAAAFAAAAATEBAAAACy0xOTM0ODYwMTI1AwAAAAMxNjACAAAABTQ5MTc0BAAAAAEwBwAAAAgzLzYvMjAyNggAAAAJNi8zMC8yMDI1CQAAAAEwwpFA5s173gjDoNs4znveCC5DSVEuTllTRTpJQk0uSVFfREFZU19TQUxFU19PVVQuMTk5OC4wNi8wMy8yMDI2AQAAAN62AQACAAAACDM2LjgxOTc0AQgAAAAFAAAAATEBAAAACy0xOTM0ODYwMTI1AwAAAAMxNjACAAAABDQwNDIEAAAAATAHAAAACDMvNi8yMDI2CAAAAAk2LzMwLzIwMjUJAAAAATDCkUDmzXveCMOg2zjOe94INENJUS5OWVNFOklCTS5JUV9SRVRVUk5fQ09NTU9OX0VRVUlUWS4xOTk4LjA2LzAzLzIwMjYBAAAA3rYBAAIAAAAGMjIuNzM0AQgAAAAFAAAAATEBAAAACy0xOTM0ODYwMTI1</t>
  </si>
  <si>
    <t>AwAAAAMxNjACAAAABTMzMzIwBAAAAAEwBwAAAAgzLzYvMjAyNggAAAAJNi8zMC8yMDI1CQAAAAEwwpFA5s173gjDoNs4znveCEdDSVEuTllTRTpJQk0uSVFfQUNDT1VOVF9DT0RFX0lOVEVSRVNUX1BFTkFMVElFUy4xOTk4LjA2LzAzLzIwMjYuLi5VU0QuSAEAAADetgEAAwAAAAAAwpFA5s173gj2x9s4znveCEFDSVEuTllTRTpJQk0uSVFfTEFQU0VfU1RBVFVURV9MSU1JVEFUSU9OUy4xOTk4LjA2LzAzLzIwMjYuLi5VU0QuSAEAAADetgEAAwAAAAAAwpFA5s173gjDoNs4znveCDxDSVEuTllTRTpJQk0uSVFfVEFYX0JFTkVGSVRfQ0ZfVE9UQUwuMTk5OC4wNi8wMy8yMDI2Li4uVVNELkgBAAAA3rYBAAMAAAAAAMKRQObNe94Iw6DbOM573gg3Q0lRLk5ZU0U6SUJNLklRX0NBUF9MT1NTX0NGXzRZUi4xOTk4LjA2LzAzLzIwMjYuLi5VU0QuSAEAAADetgEAAwAAAAAAwpFA5s173gjDoNs4znveCEBDSVEuTllTRTpJQk0uSVFfQ0FQSVRBTElaRURfSU5URVJFU1RfRU9QLjE5OTguMDYvMDMvMjAyNi4uLlVTRC5IAQAAAN62AQADAAAAAADCkUDmzXveCMOg2zjOe94IPUNJUS5OWVNFOklCTS5JUV9ORVRfTkVXX0NMSUVOVF9BU1NFVFMuMTk5OC4wNi8wMy8yMDI2Li4uVVNELkgBAAAA3rYBAAMAAAAAAMKRQObNe94I9sfbOM573ggkQ0lRLk5ZU0U6SUJNLklRX0RBUlQuMTk5OC4wNi8wMy8yMDI2AQAAAN62AQAD</t>
  </si>
  <si>
    <t>AAAAAADCkUDmzXveCPbH2zjOe94ITENJUS5OWVNFOklCTS5JUV9BVU1fTUFSS0VUX0FQUFJFQ0lBVElPTl9ERVBSRUNJQVRJT04uMTk5OC4wNi8wMy8yMDI2Li4uVVNELkgBAAAA3rYBAAMAAAAAAMKRQObNe94I9sfbOM573ggzQ0lRLk5ZU0U6SUJNLklRX0FVTV9GT1JFSUdOLjE5OTguMDYvMDMvMjAyNi4uLlVTRC5IAQAAAN62AQADAAAAAADCkUDmzXveCPbH2zjOe94IVUNJUS5OWVNFOklCTS5JUV9PUEVCX0RFQ1JFQVNFX0VGRkVDVF9TRVJWSUNFX0lOVF9DT1NUX0ZPUkVJR04uMTk5OC4wNi8wMy8yMDI2Li4uVVNELkgBAAAA3rYBAAMAAAAAAMKRQObNe94IFO/bOM573ggxQ0lRLk5ZU0U6SUJNLklRX0VCSVRfM1lSX0FOTl9DQUdSLjE5OTguMDYvMDMvMjAyNgEAAADetgEAAgAAAAcxOC4xNTY0AQgAAAAFAAAAATEBAAAACy0xOTM0ODYwMTI1AwAAAAMxNjACAAAABDQyMjMEAAAAATAHAAAACDMvNi8yMDI2CAAAAAk2LzMwLzIwMjUJAAAAATDCkUDmzXveCPbH2zjOe94INUNJUS5OWVNFOklCTS5JUV9ORVRfREVCVF9FQklUREFfQ0FQRVguMTk5OC4wNi8wMy8yMDI2AQAAAN62AQACAAAACDMuNjE1NTYyAQgAAAAFAAAAATEBAAAACy0xOTM0ODYwMTI1AwAAAAMxNjACAAAABTIzMzE0BAAAAAEwBwAAAAgzLzYvMjAyNggAAAAJNi8zMC8yMDI1CQAAAAEwwpFA5s173gj2x9s4znveCC9DSVEuTllTRTpJ</t>
  </si>
  <si>
    <t>Qk0uSVFfTFRfREVCVF9DQVBJVEFMLjE5OTguMDYvMDMvMjAyNgEAAADetgEAAgAAAAc2MC44MDc3AQgAAAAFAAAAATEBAAAACy0xOTM0ODYwMTI1AwAAAAMxNjACAAAABDQxODcEAAAAATAHAAAACDMvNi8yMDI2CAAAAAk2LzMwLzIwMjUJAAAAATDCkUDmzXveCPbH2zjOe94IMUNJUS5OWVNFOklCTS5JUV9GSVhFRF9BU1NFVF9UVVJOUy4xOTk4LjA2LzAzLzIwMjYBAAAA3rYBAAIAAAAINy4xMjA2OTgBCAAAAAUAAAABMQEAAAALLTE5MzQ4NjAxMjUDAAAAAzE2MAIAAAAENDA2NgQAAAABMAcAAAAIMy82LzIwMjYIAAAACTYvMzAvMjAyNQkAAAABMMKRQObNe94I9sfbOM573ggpQ0lRLk5ZU0U6SUJNLklRX05JX01BUkdJTi4xOTk4LjA2LzAzLzIwMjYBAAAA3rYBAAIAAAAGOS4xMDgzAQgAAAAFAAAAATEBAAAACy0xOTM0ODYwMTI1AwAAAAMxNjACAAAABDQwOTQEAAAAATAHAAAACDMvNi8yMDI2CAAAAAk2LzMwLzIwMjUJAAAAATDCkUDmzXveCBTv2zjOe94ITUNJUS5OWVNFOklCTS5JUV9JTlRFUkVTVF9QRU5BTFRJRVNfUkVDT0dfQlNfQUZURVJfVEFYLjE5OTguMDYvMDMvMjAyNi4uLlVTRC5IAQAAAN62AQADAAAAAADCkUDmzXveCBTv2zjOe94IL0NJUS5OWVNFOklCTS5JUV9OSV81WVJfQU5OX0NBR1IuMTk5OC4wNi8wMy8yMDI2AQAAAN62AQACAAAABy01LjgzMzgBCAAAAAUAAAABMQEAAAALLTE5</t>
  </si>
  <si>
    <t>MzQ4NjAxMjUDAAAAAzE2MAIAAAAENDIzOAQAAAABMAcAAAAIMy82LzIwMjYIAAAACTYvMzAvMjAyNQkAAAABMMKRQObNe94IFO/bOM573ggzQ0lRLk5ZU0U6SUJNLklRX0VCSVRfMVlSX0FOTl9HUk9XVEguMTk5OC4wNi8wMy8yMDI2AQAAAN62AQACAAAABjguNzA3MwEIAAAABQAAAAExAQAAAAstMTkzNDg2MDEyNQMAAAADMTYwAgAAAAQ0MTk3BAAAAAEwBwAAAAgzLzYvMjAyNggAAAAJNi8zMC8yMDI1CQAAAAEwwpFA5s173ggU79s4znveCDFDSVEuTllTRTpJQk0uSVFfVE9UQUxfREVCVF9FQklUREEuMTk5OC4wNi8wMy8yMDI2AQAAAN62AQACAAAACDQuMzY4ODI2AQgAAAAFAAAAATEBAAAACy0xOTM0ODYwMTI1AwAAAAMxNjACAAAABDQxOTIEAAAAATAHAAAACDMvNi8yMDI2CAAAAAk2LzMwLzIwMjUJAAAAATDCkUDmzXveCBTv2zjOe94IO0NJUS5OWVNFOklCTS5JUV9FQklUREFfRVhDTF9PUEVSX0xFQVNFU19JTlQuMTk5OC4wNi8wMy8yMDI2AQAAAN62AQACAAAABzcuODAxNDMBCAAAAAUAAAABMQEAAAALLTE5MzQ4NjAxMjUDAAAAAzE2MAIAAAAFNDkxNzMEAAAAATAHAAAACDMvNi8yMDI2CAAAAAk2LzMwLzIwMjUJAAAAATDCkUDmzXveCL0C3DjOe94IK0NJUS5OWVNFOklCTS5JUV9RVUlDS19SQVRJTy4xOTk4LjA2LzAzLzIwMjYBAAAA3rYBAAIAAAAIMC43NTk3OTQBCAAAAAUAAAABMQEAAAAL</t>
  </si>
  <si>
    <t>LTE5MzQ4NjAxMjUDAAAAAzE2MAIAAAAENDEyMQQAAAABMAcAAAAIMy82LzIwMjYIAAAACTYvMzAvMjAyNQkAAAABMMKRQObNe94IvQLcOM573gguQ0lRLk5ZU0U6SUJNLklRX1JFVFVSTl9DQVBJVEFMLjE5OTguMDYvMDMvMjAyNgEAAADetgEAAgAAAAU3LjU4MwEIAAAABQAAAAExAQAAAAstMTkzNDg2MDEyNQMAAAADMTYwAgAAAAQ0MzYzBAAAAAEwBwAAAAgzLzYvMjAyNggAAAAJNi8zMC8yMDI1CQAAAAEwwpFA5s173gi9Atw4znveCEVDSVEuTllTRTpJQk0uSVFfVU5SRUNPR19UQVhfQkVORUZJVF9PVEhFUl9BREouMTk5OC4wNi8wMy8yMDI2Li4uVVNELkgBAAAA3rYBAAMAAAAAAMKRQObNe94IvQLcOM573gg3Q0lRLk5ZU0U6SUJNLklRX1RBWF9CRU5FRklUX0NGX01BWF9ZRUFSLjE5OTguMDYvMDMvMjAyNgEAAADetgEAAwAAAAAAwpFA5s173gi9Atw4znveCEFDSVEuTllTRTpJQk0uSVFfVEFYX0JFTkVGSVRfQ0ZfQUZURVJfRklWRS4xOTk4LjA2LzAzLzIwMjYuLi5VU0QuSAEAAADetgEAAwAAAAAAwpFA5s173gi9Atw4znveCDdDSVEuTllTRTpJQk0uSVFfQ0FQX0xPU1NfQ0ZfMllSLjE5OTguMDYvMDMvMjAyNi4uLlVTRC5IAQAAAN62AQADAAAAAADCkUDmzXveCL0C3DjOe94IL0NJUS5OWVNFOklCTS5JUV9OSV8zWVJfQU5OX0NBR1IuMTk5OC4wNi8wMy8yMDI2AQAAAN62AQACAAAABjEuNDQw</t>
  </si>
  <si>
    <t>NgEIAAAABQAAAAExAQAAAAstMTkzNDg2MDEyNQMAAAADMTYwAgAAAAQ0MjI1BAAAAAEwBwAAAAgzLzYvMjAyNggAAAAJNi8zMC8yMDI1CQAAAAEwwpFA5s173gi9Atw4znveCC9DSVEuTllTRTpJQk0uSVFfR1BfM1lSX0FOTl9DQUdSLjE5OTguMDYvMDMvMjAyNgEAAADetgEAAgAAAAY0LjU4MDIBCAAAAAUAAAABMQEAAAALLTE5MzQ4NjAxMjUDAAAAAzE2MAIAAAAENDIyMQQAAAABMAcAAAAIMy82LzIwMjYIAAAACTYvMzAvMjAyNQkAAAABMMKRQObNe94IvQLcOM573gg3Q0lRLk5ZU0U6SUJNLklRX1RPVEFMX0RFQlRfRUJJVERBX0NBUEVYLjE5OTguMDYvMDMvMjAyNgEAAADetgEAAgAAAAg0LjY4NDAwNAEIAAAABQAAAAExAQAAAAstMTkzNDg2MDEyNQMAAAADMTYwAgAAAAUyMzMxMwQAAAABMAcAAAAIMy82LzIwMjYIAAAACTYvMzAvMjAyNQkAAAABMMKRQObNe94IvQLcOM573ggyQ0lRLk5ZU0U6SUJNLklRX1RPVEFMX0RFQlRfQ0FQSVRBTC4xOTk4LjA2LzAzLzIwMjYBAAAA3rYBAAIAAAAHNzEuMDUzNQEIAAAABQAAAAExAQAAAAstMTkzNDg2MDEyNQMAAAADMTYwAgAAAAQ0MTg2BAAAAAEwBwAAAAgzLzYvMjAyNggAAAAJNi8zMC8yMDI1CQAAAAEwwpFA5s173gjrKdw4znveCC1DSVEuTllTRTpJQk0uSVFfQ0FQRVhfUENUX1JFVi4xOTk4LjA2LzAzLzIwMjYBAAAA3rYBAAIAAAAGMS42Mjg2AQgA</t>
  </si>
  <si>
    <t>AAAFAAAAATEBAAAACy0xOTM0ODYwMTI1AwAAAAMxNjACAAAABTM1MzgwBAAAAAEwBwAAAAgzLzYvMjAyNggAAAAJNi8zMC8yMDI1CQAAAAEwwpFA5s173gjrKdw4znveCEtDSVEuTllTRTpJQk0uSVFfQ0hBTkdFX1VOUkVDT0dfVEFYX0JFTkVGSVRfMV9ZUl9NSU4uMTk5OC4wNi8wMy8yMDI2Li4uVVNELkgBAAAA3rYBAAMAAAAAAMKRQObNe94I6yncOM573ghNQ0lRLk5ZU0U6SUJNLklRX0lOVEVSRVNUX1BFTkFMVElFU19SRUNPR19JU19BRlRFUl9UQVguMTk5OC4wNi8wMy8yMDI2Li4uVVNELkgBAAAA3rYBAAMAAAAAAMKRQObNe94IvQLcOM573ghTQ0lRLk5ZU0U6SUJNLklRX1RSQU5TX0lNUEFDVF9GSU5fNDhfTk9OX0NVUlJFTlRfTElBQklMSVRJRVMuMTk5OC4wNi8wMy8yMDI2Li4uVVNELkgBAAAA3rYBAAMAAAAAAMKRQObNe94IvQLcOM573gg0Q0lRLk5ZU0U6SUJNLklRX0NBUF9MT1NTX0NGX01BWF9ZRUFSLjE5OTguMDYvMDMvMjAyNgEAAADetgEAAwAAAAAAwpFA5s173gjrKdw4znveCDJDSVEuTllTRTpJQk0uSVFfTk9MX0NGXzVZUi4xOTk4LjA2LzAzLzIwMjYuLi5VU0QuSAEAAADetgEAAwAAAAAAwpFA5s173gjrKdw4znveCD1DSVEuTllTRTpJQk0uSVFfQVNTRVRTX0NBUF9MRUFTRV9ERVBSLjE5OTguMDYvMDMvMjAyNi4uLlVTRC5IAQAAAN62AQADAAAAAADCkUDmzXveCOsp3DjOe94I</t>
  </si>
  <si>
    <t>Q0NJUS5OWVNFOklCTS5JUV9BU1NFVFNfVU5ERVJfQURNSU5JU1RSQVRJT04uMTk5OC4wNi8wMy8yMDI2Li4uVVNELkgBAAAA3rYBAAMAAAAAAMKRQObNe94I6yncOM573ggzQ0lRLk5ZU0U6SUJNLklRX0VCSVREQV81WVJfQU5OX0NBR1IuMTk5OC4wNi8wMy8yMDI2AQAAAN62AQACAAAABy0xLjg1NjMBCAAAAAUAAAABMQEAAAALLTE5MzQ4NjAxMjUDAAAAAzE2MAIAAAAENDIzNQQAAAABMAcAAAAIMy82LzIwMjYIAAAACTYvMzAvMjAyNQkAAAABMMKRQObNe94I6yncOM573ggxQ0lRLk5ZU0U6SUJNLklRX0dQXzFZUl9BTk5fR1JPV1RILjE5OTguMDYvMDMvMjAyNgEAAADetgEAAgAAAAY1LjM5MTMBCAAAAAUAAAABMQEAAAALLTE5MzQ4NjAxMjUDAAAAAzE2MAIAAAAENDE5NQQAAAABMAcAAAAIMy82LzIwMjYIAAAACTYvMzAvMjAyNQkAAAABMMKRQObNe94I6yncOM573ggwQ0lRLk5ZU0U6SUJNLklRX0VCSVREQV9DQVBFWF9JTlQuMTk5OC4wNi8wMy8yMDI2AQAAAN62AQACAAAABzcuOTUyNDIBCAAAAAUAAAABMQEAAAALLTE5MzQ4NjAxMjUDAAAAAzE2MAIAAAAENDE5MQQAAAABMAcAAAAIMy82LzIwMjYIAAAACTYvMzAvMjAyNQkAAAABMMKRQObNe94I6yncOM573ggwQ0lRLk5ZU0U6SUJNLklRX0NGT19DVVJSRU5UX0xJQUIuMTk5OC4wNi8wMy8yMDI2AQAAAN62AQACAAAACDAuMzUyMDY0AQgAAAAF</t>
  </si>
  <si>
    <t>AAAAATEBAAAACy0xOTM0ODYwMTI1AwAAAAMxNjACAAAABDQxODUEAAAAATAHAAAACDMvNi8yMDI2CAAAAAk2LzMwLzIwMjUJAAAAATDCkUDmzXveCOsp3DjOe94IL0NJUS5OWVNFOklCTS5JUV9JTlZFTlRPUllfVFVSTlMuMTk5OC4wNi8wMy8yMDI2AQAAAN62AQACAAAACTIxLjU2NTM5MgEIAAAABQAAAAExAQAAAAstMTkzNDg2MDEyNQMAAAADMTYwAgAAAAQ0MDgyBAAAAAEwBwAAAAgzLzYvMjAyNggAAAAJNi8zMC8yMDI1CQAAAAEwwpFA5s173gjrKdw4znveCENDSVEuTllTRTpJQk0uSVFfU0VUVExFTUVOVFNfVEFYX0FVVEhPUklUSUVTLjE5OTguMDYvMDMvMjAyNi4uLlVTRC5IAQAAAN62AQADAAAAAADCkUDmzXveCCVR3DjOe94IN0NJUS5OWVNFOklCTS5JUV9DQVBfTE9TU19DRl8zWVIuMTk5OC4wNi8wMy8yMDI2Li4uVVNELkgBAAAA3rYBAAMAAAAAABZXQObNe94IJVHcOM573ggvQ0lRLk5ZU0U6SUJNLklRX05PTF9DRl9NQVhfWUVBUi4xOTk4LjA2LzAzLzIwMjYBAAAA3rYBAAMAAAAAAEu+T+bNe94IJVHcOM573ghAQ0lRLk5ZU0U6SUJNLklRX0NBUElUQUxJWkVEX0lOVEVSRVNUX0JPUC4xOTk4LjA2LzAzLzIwMjYuLi5VU0QuSAEAAADetgEAAwAAAAAAS75P5s173gglUdw4znveCDNDSVEuTllTRTpJQk0uSVFfRUJJVERBXzNZUl9BTk5fQ0FHUi4xOTk4LjA2LzAzLzIwMjYBAAAA3rYBAAIA</t>
  </si>
  <si>
    <t>AAAGNS4yNjY1AQgAAAAFAAAAATEBAAAACy0xOTM0ODYwMTI1AwAAAAMxNjACAAAABDQyMjIEAAAAATAHAAAACDMvNi8yMDI2CAAAAAk2LzMwLzIwMjUJAAAAATBLvk/mzXveCCVR3DjOe94ISENJUS5OWVNFOklCTS5JUV9UT1RBTF9ERUJUX0VCSVREQV9FWENMX09QRVJfTEVBU0VTX0NBUEVYLjE5OTguMDYvMDMvMjAyNgEAAADetgEAAgAAAAg1LjE1MzY1MgEIAAAABQAAAAExAQAAAAstMTkzNDg2MDEyNQMAAAADMTYwAgAAAAU0OTE4MwQAAAABMAcAAAAIMy82LzIwMjYIAAAACTYvMzAvMjAyNQkAAAABMEu+T+bNe94IJVHcOM573ggvQ0lRLk5ZU0U6SUJNLklRX05FVF9ERUJUX0VCSVREQS4xOTk4LjA2LzAzLzIwMjYBAAAA3rYBAAIAAAAIMy4zNzIyNzgBCAAAAAUAAAABMQEAAAALLTE5MzQ4NjAxMjUDAAAAAzE2MAIAAAAENDE5MwQAAAABMAcAAAAIMy82LzIwMjYIAAAACTYvMzAvMjAyNQkAAAABMEu+T+bNe94IJVHcOM573ggvQ0lRLk5ZU0U6SUJNLklRX0NBU0hfQ09OVkVSU0lPTi4xOTk4LjA2LzAzLzIwMjYBAAAA3rYBAAIAAAAHMS45ODA0OQEIAAAABQAAAAExAQAAAAstMTkzNDg2MDEyNQMAAAADMTYwAgAAAAQ0MTg0BAAAAAEwBwAAAAgzLzYvMjAyNggAAAAJNi8zMC8yMDI1CQAAAAEwS75P5s173gglUdw4znveCCtDSVEuTllTRTpJQk0uSVFfRUJJVF9NQVJHSU4uMTk5OC4wNi8wMy8yMDI2</t>
  </si>
  <si>
    <t>AQAAAN62AQACAAAABTE2Ljk4AQgAAAAFAAAAATEBAAAACy0xOTM0ODYwMTI1AwAAAAMxNjACAAAABDQwNTMEAAAAATAHAAAACDMvNi8yMDI2CAAAAAk2LzMwLzIwMjUJAAAAATBLvk/mzXveCCVR3DjOe94IS0NJUS5OWVNFOklCTS5JUV9JTlRFUkVTVF9QRU5BTFRJRVNfUkVDT0dfQlNfUFJFX1RBWC4xOTk4LjA2LzAzLzIwMjYuLi5VU0QuSAEAAADetgEAAwAAAAAAS75P5s173ggkeNw4znveCE1DSVEuTllTRTpJQk0uSVFfVFJBTlNfSU1QQUNUX0ZJTl80OF9SRVRBSU5FRF9FQVJOSU5HUy4xOTk4LjA2LzAzLzIwMjYuLi5VU0QuSAEAAADetgEAAwAAAAAAS75P5s173ggkeNw4znveCEVDSVEuTllTRTpJQk0uSVFfVFJBTlNfSU1QQUNUX0ZJTl80OF9MVF9BU1NFVFMuMTk5OC4wNi8wMy8yMDI2Li4uVVNELkgBAAAA3rYBAAMAAAAAAEu+T+bNe94IJHjcOM573gg6Q0lRLk5ZU0U6SUJNLklRX0NBUF9MT1NTX0NGX05PX0VYUC4xOTk4LjA2LzAzLzIwMjYuLi5VU0QuSAEAAADetgEAAwAAAAAAS75P5s173gglUdw4znveCDJDSVEuTllTRTpJQk0uSVFfTk9MX0NGXzNZUi4xOTk4LjA2LzAzLzIwMjYuLi5VU0QuSAEAAADetgEAAwAAAAAAS75P5s173gglUdw4znveCD1DSVEuTllTRTpJQk0uSVFfVkFMVUVfQ1VTVE9NRVJfQVNTRVRTLjE5OTguMDYvMDMvMjAyNi4uLlVTRC5IAQAAAN62AQADAAAAAABLvk/m</t>
  </si>
  <si>
    <t>zXveCCR43DjOe94IN0NJUS5OWVNFOklCTS5JUV9NVVRVQUxfRlVORF9CT1AuMTk5OC4wNi8wMy8yMDI2Li4uVVNELkgBAAAA3rYBAAMAAAAAAEu+T+bNe94IJHjcOM573ggvQ0lRLk5ZU0U6SUJNLklRX0FVTV9FT1AuMTk5OC4wNi8wMy8yMDI2Li4uVVNELkgBAAAA3rYBAAMAAAAAAEu+T+bNe94IJHjcOM573ggxQ0lRLk5ZU0U6SUJNLklRX0VCSVRfNVlSX0FOTl9DQUdSLjE5OTguMDYvMDMvMjAyNgEAAADetgEAAgAAAAYzLjk4NTIBCAAAAAUAAAABMQEAAAALLTE5MzQ4NjAxMjUDAAAAAzE2MAIAAAAENDIzNgQAAAABMAcAAAAIMy82LzIwMjYIAAAACTYvMzAvMjAyNQkAAAABMEu+T+bNe94IJHjcOM573gg2Q0lRLk5ZU0U6SUJNLklRX1RPVEFMX1JFVl81WVJfQU5OX0NBR1IuMTk5OC4wNi8wMy8yMDI2AQAAAN62AQACAAAABy0zLjIzODEBCAAAAAUAAAABMQEAAAALLTE5MzQ4NjAxMjUDAAAAAzE2MAIAAAAENDIzMwQAAAABMAcAAAAIMy82LzIwMjYIAAAACTYvMzAvMjAyNQkAAAABMEu+T+bNe94IJHjcOM573ggnQ0lRLk5ZU0U6SUJNLklRX1pfU0NPUkUuMTk5OC4wNi8wMy8yMDI2AQAAAN62AQACAAAABzMuMTI0NjUBCAAAAAUAAAABMQEAAAALLTE5MzQ4NjAxMjUDAAAAAzE2MAIAAAAGMTAwMTIzBAAAAAEwBwAAAAgzLzYvMjAyNggAAAAJNi8zMC8yMDI1CQAAAAEwS75P5s173ggkeNw4znveCCpD</t>
  </si>
  <si>
    <t>SVEuTllTRTpJQk0uSVFfRUJJVERBX0lOVC4xOTk4LjA2LzAzLzIwMjYBAAAA3rYBAAIAAAAIOC41MjYxMjcBCAAAAAUAAAABMQEAAAALLTE5MzQ4NjAxMjUDAAAAAzE2MAIAAAAENDE5MAQAAAABMAcAAAAIMy82LzIwMjYIAAAACTYvMzAvMjAyNQkAAAABMEu+T+bNe94IJHjcOM573gg+Q0lRLk5ZU0U6SUJNLklRX09QRUJfQkVORUZJVF9JTkZPX0RBVEVfRk9SRUlHTi4xOTk4LjA2LzAzLzIwMjYBAAAA3rYBAAMAAAAAAEu+T+bNe94IJHjcOM573gg5Q0lRLk5ZU0U6SUJNLklRX0FVTV9PVEhFUl9DTElFTlRTLjE5OTguMDYvMDMvMjAyNi4uLlVTRC5IAQAAAN62AQADAAAAAABLvk/mzXveCCR43DjOe94IPkNJUS5OWVNFOklCTS5JUV9PUEVCX0xUX0FTU0VUU19GT1JFSUdOLjE5OTguMDYvMDMvMjAyNi4uLlVTRC5IAQAAAN62AQADAAAAAABLvk/mzXveCCmf3DjOe94IR0NJUS5OWVNFOklCTS5JUV9PUEVCX0VTVF9CRU5FRklUX0FGVEVSNV9GT1JFSUdOLjE5OTguMDYvMDMvMjAyNi4uLlVTRC5IAQAAAN62AQADAAAAAABLvk/mzXveCCmf3DjOe94IRUNJUS5OWVNFOklCTS5JUV9PUEVCX0NJX1BSSU9SX1NFUlZJQ0VfRk9SRUlHTi4xOTk4LjA2LzAzLzIwMjYuLi5VU0QuSAEAAADetgEAAwAAAAAAS75P5s173ggpn9w4znveCFJDSVEuTllTRTpJQk0uSVFfT1BFQl9BU1NFVFNfRU1QTE9ZRVJfQ09OVFJJ</t>
  </si>
  <si>
    <t>QlVUSU9OU19GT1JFSUdOLjE5OTguMDYvMDMvMjAyNi4uLlVTRC5IAQAAAN62AQADAAAAAABLvk/mzXveCCmf3DjOe94IS0NJUS5OWVNFOklCTS5JUV9DSEFOR0VfVU5SRUNPR19UQVhfQkVORUZJVF8xX1lSX01BWC4xOTk4LjA2LzAzLzIwMjYuLi5VU0QuSAEAAADetgEAAwAAAAAAS75P5s173ggpn9w4znveCDpDSVEuTllTRTpJQk0uSVFfVEFYX0JFTkVGSVRfQ0ZfMVlSLjE5OTguMDYvMDMvMjAyNi4uLlVTRC5IAQAAAN62AQADAAAAAABLvk/mzXveCEzG3DjOe94IOUNJUS5OWVNFOklCTS5JUV9OT0xfQ0ZfQUZURVJfRklWRS4xOTk4LjA2LzAzLzIwMjYuLi5VU0QuSAEAAADetgEAAwAAAAAAS75P5s173ggpn9w4znveCD9DSVEuTllTRTpJQk0uSVFfQVNTRVRTX09QRVJfTEVBU0VfR1JPU1MuMTk5OC4wNi8wMy8yMDI2Li4uVVNELkgBAAAA3rYBAAMAAAAAAEu+T+bNe94IKZ/cOM573ghIQ0lRLk5ZU0U6SUJNLklRX09QRUJfREVDUkVBU0VfRUZGRUNUX1BCT19GT1JFSUdOLjE5OTguMDYvMDMvMjAyNi4uLlVTRC5IAQAAAN62AQADAAAAAABLvk/mzXveCCmf3DjOe94IRENJUS5OWVNFOklCTS5JUV9PUEVCX0VTVF9CRU5FRklUXzNZUl9GT1JFSUdOLjE5OTguMDYvMDMvMjAyNi4uLlVTRC5IAQAAAN62AQADAAAAAABLvk/mzXveCCmf3DjOe94ISkNJUS5OWVNFOklCTS5JUV9PUEVCX0FTU0VUU19PVEhF</t>
  </si>
  <si>
    <t>Ul9QTEFOX0FESl9GT1JFSUdOLjE5OTguMDYvMDMvMjAyNi4uLlVTRC5IAQAAAN62AQADAAAAAABLvk/mzXveCFLt3DjOe94INENJUS5OWVNFOklCTS5JUV9BVU1fT1VURkxPV1MuMTk5OC4wNi8wMy8yMDI2Li4uVVNELkgBAAAA3rYBAAMAAAAAAEu+T+bNe94ITMbcOM573gg3Q0lRLk5ZU0U6SUJNLklRX0FVTV9GRUVfRUFSTklORy4xOTk4LjA2LzAzLzIwMjYuLi5VU0QuSAEAAADetgEAAwAAAAAAS75P5s173ghMxtw4znveCDdDSVEuTllTRTpJQk0uSVFfQVVNX1JFQUxfRVNUQVRFLjE5OTguMDYvMDMvMjAyNi4uLlVTRC5IAQAAAN62AQADAAAAAABLvk/mzXveCEzG3DjOe94IQUNJUS5OWVNFOklCTS5JUV9PUEVCX0FDQ1JVRURfTElBQl9GT1JFSUdOLjE5OTguMDYvMDMvMjAyNi4uLlVTRC5IAQAAAN62AQADAAAAAABLvk/mzXveCEzG3DjOe94IRUNJUS5OWVNFOklCTS5JUV9PUEVCX1BCT19BU1NVTUVEX1JBVEVfUkVUX01BWF9GT1JFSUdOLjE5OTguMDYvMDMvMjAyNgEAAADetgEAAwAAAAAAS75P5s173ghS7dw4znveCEZDSVEuTllTRTpJQk0uSVFfT1BFQl9DSV9PVEhFUl9NSVNDX0FESl9GT1JFSUdOLjE5OTguMDYvMDMvMjAyNi4uLlVTRC5IAQAAAN62AQADAAAAAABLvk/mzXveCFLt3DjOe94IPENJUS5OWVNFOklCTS5JUV9PUEVCX0xUX0xJQUJfRk9SRUlHTi4xOTk4LjA2LzAzLzIwMjYuLi5V</t>
  </si>
  <si>
    <t>U0QuSAEAAADetgEAAwAAAAAAS75P5s173ghS7dw4znveCEdDSVEuTllTRTpJQk0uSVFfT1BFQl9QUklPUl9TRVJWSUNFX05FWFRfRk9SRUlHTi4xOTk4LjA2LzAzLzIwMjYuLi5VU0QuSAEAAADetgEAAwAAAAAAS75P5s173ghS7dw4znveCD9DSVEuTllTRTpJQk0uSVFfT1BFQl9BU1NFVFNfQkVHX0ZPUkVJR04uMTk5OC4wNi8wMy8yMDI2Li4uVVNELkgBAAAA3rYBAAMAAAAAAEu+T+bNe94IUu3cOM573gg/Q0lRLk5ZU0U6SUJNLklRX09QRUJfVE9UQUxfQ09TVF9GT1JFSUdOLjE5OTguMDYvMDMvMjAyNi4uLlVTRC5IAQAAAN62AQADAAAAAABLvk/mzXveCH8U3TjOe94IKENJUS5OWVNFOklCTS5JUV9FQklUX0lOVC4xOTk4LjA2LzAzLzIwMjYBAAAA3rYBAAIAAAAINS45ODEyOTgBCAAAAAUAAAABMQEAAAALLTE5MzQ4NjAxMjUDAAAAAzE2MAIAAAAENDE4OQQAAAABMAcAAAAIMy82LzIwMjYIAAAACTYvMzAvMjAyNQkAAAABMEu+T+bNe94IfxTdOM573gg2Q0lRLk5ZU0U6SUJNLklRX05VTUJFUl9UUkFERVNfRVhFQ1VURUQuMTk5OC4wNi8wMy8yMDI2AQAAAN62AQADAAAAAABLvk/mzXveCH8U3TjOe94IVUNJUS5OWVNFOklCTS5JUV9PUEVCX0lOQ1JFQVNFX0VGRkVDVF9TRVJWSUNFX0lOVF9DT1NUX0ZPUkVJR04uMTk5OC4wNi8wMy8yMDI2Li4uVVNELkgBAAAA3rYBAAMAAAAAAEu+T+bNe94IUu3c</t>
  </si>
  <si>
    <t>OM573gg7Q0lRLk5ZU0U6SUJNLklRX09QRUJfQ0lfQUNUX0ZPUkVJR04uMTk5OC4wNi8wMy8yMDI2Li4uVVNELkgBAAAA3rYBAAMAAAAAAEu+T+bNe94IUu3cOM573ghBQ0lRLk5ZU0U6SUJNLklRX09QRUJfQlJFQUtET1dOX1JFX0ZPUkVJR04uMTk5OC4wNi8wMy8yMDI2Li4uVVNELkgBAAAA3rYBAAMAAAAAAEu+T+bNe94IfxTdOM573ghBQ0lRLk5ZU0U6SUJNLklRX09QRUJfQlJFQUtET1dOX0VRX0ZPUkVJR04uMTk5OC4wNi8wMy8yMDI2Li4uVVNELkgBAAAA3rYBAAMAAAAAAEu+T+bNe94IfxTdOM573gg9Q0lRLk5ZU0U6SUJNLklRX09QRUJfQlJFQUtET1dOX1BDVF9SRV9GT1JFSUdOLjE5OTguMDYvMDMvMjAyNgEAAADetgEAAwAAAAAAS75P5s173gh/FN04znveCD1DSVEuTllTRTpJQk0uSVFfT1BFQl9CUkVBS0RPV05fUENUX0VRX0ZPUkVJR04uMTk5OC4wNi8wMy8yMDI2AQAAAN62AQADAAAAAABLvk/mzXveCH8U3TjOe94IP0NJUS5OWVNFOklCTS5JUV9PUEVCX0FTU0VUU19BQ1FfRk9SRUlHTi4xOTk4LjA2LzAzLzIwMjYuLi5VU0QuSAEAAADetgEAAwAAAAAAS75P5s173gh/FN04znveCDlDSVEuTllTRTpJQk0uSVFfQ0FQX0xPU1NfQ0ZfVE9UQUwuMTk5OC4wNi8wMy8yMDI2Li4uVVNELkgBAAAA3rYBAAMAAAAAAEu+T+bNe94IcUDdOM573ghNQ0lRLk5ZU0U6SUJNLklRX01VVFVBTF9GVU5E</t>
  </si>
  <si>
    <t>X0FQUFJFQ0lBVElPTl9ERVBSRUNJQVRJT04uMTk5OC4wNi8wMy8yMDI2Li4uVVNELkgBAAAA3rYBAAMAAAAAAEu+T+bNe94IcUDdOM573gg6Q0lRLk5ZU0U6SUJNLklRX0FVTV9ISUdIX05FVF9XT1JUSC4xOTk4LjA2LzAzLzIwMjYuLi5VU0QuSAEAAADetgEAAwAAAAAAS75P5s173ghxQN04znveCEdDSVEuTllTRTpJQk0uSVFfT1BFQl9IRUFMVEhfQ09TVF9UUkVORF9VTFRJTUFURV9GT1JFSUdOLjE5OTguMDYvMDMvMjAyNgEAAADetgEAAwAAAAAAS75P5s173ghxQN04znveCC5DSVEuTllTRTpJQk0uSVFfTFRfREVCVF9FUVVJVFkuMTk5OC4wNi8wMy8yMDI2AQAAAN62AQACAAAACDIxMC4wNjk1AQgAAAAFAAAAATEBAAAACy0xOTM0ODYwMTI1AwAAAAMxNjACAAAABDQwODUEAAAAATAHAAAACDMvNi8yMDI2CAAAAAk2LzMwLzIwMjUJAAAAATBLvk/mzXveCH8U3TjOe94ISENJUS5OWVNFOklCTS5JUV9SRURVQ1RJT05fVEFYX1BPU0lUSU9OX1BSSU9SX1lSUy4xOTk4LjA2LzAzLzIwMjYuLi5VU0QuSAEAAADetgEAAwAAAAAAS75P5s173giYat04znveCDdDSVEuTllTRTpJQk0uSVFfQ0FQX0xPU1NfQ0ZfMVlSLjE5OTguMDYvMDMvMjAyNi4uLlVTRC5IAQAAAN62AQADAAAAAABLvk/mzXveCBNU3TjOe94IM0NJUS5OWVNFOklCTS5JUV9BVU1fSU5GTE9XUy4xOTk4LjA2LzAzLzIwMjYuLi5VU0QuSAEA</t>
  </si>
  <si>
    <t>AADetgEAAwAAAAAAS75P5s173ggTVN04znveCDFDSVEuTllTRTpJQk0uSVFfQVVNX09USEVSLjE5OTguMDYvMDMvMjAyNi4uLlVTRC5IAQAAAN62AQADAAAAAABLvk/mzXveCBNU3TjOe94IT0NJUS5OWVNFOklCTS5JUV9UUkFOU19JTVBBQ1RfRklOXzQ4X0NVUlJFTlRfTElBQklMSVRJRVMuMTk5OC4wNi8wMy8yMDI2Li4uVVNELkgBAAAA3rYBAAMAAAAAAEu+T+bNe94IE1TdOM573gg+Q0lRLk5ZU0U6SUJNLklRX0FTU0VUU19PUEVSX0xFQVNFX0RFUFIuMTk5OC4wNi8wMy8yMDI2Li4uVVNELkgBAAAA3rYBAAMAAAAAAEu+T+bNe94ImGrdOM573gg7Q0lRLk5ZU0U6SUJNLklRX09QRUJfQVNTRVRTX0ZPUkVJR04uMTk5OC4wNi8wMy8yMDI2Li4uVVNELkgBAAAA3rYBAAMAAAAAAEu+T+bNe94ImGrdOM573gg6Q0lRLk5ZU0U6SUJNLklRX1RBWF9CRU5FRklUX0NGXzVZUi4xOTk4LjA2LzAzLzIwMjYuLi5VU0QuSAEAAADetgEAAwAAAAAAS75P5s173giYat04znveCDhDSVEuTllTRTpJQk0uSVFfQVVNX0VRVUlUWV9GVU5EUy4xOTk4LjA2LzAzLzIwMjYuLi5VU0QuSAEAAADetgEAAwAAAAAAS75P5s173giYat04znveCDJDSVEuTllTRTpJQk0uSVFfTk9MX0NGXzRZUi4xOTk4LjA2LzAzLzIwMjYuLi5VU0QuSAEAAADetgEAAwAAAAAAS75P5s173giYat04znveCD1DSVEuTllTRTpJQk0uSVFfTVVUVUFM</t>
  </si>
  <si>
    <t>X0ZVTkRfTkVUX1NBTEVTLjE5OTguMDYvMDMvMjAyNi4uLlVTRC5IAQAAAN62AQADAAAAAABLvk/mzXveCNyR3TjOe94IQENJUS5OWVNFOklCTS5JUV9BVU1fQ0FTSF9GTE9XU19ESVZJREVORFMuMTk5OC4wNi8wMy8yMDI2Li4uVVNELkgBAAAA3rYBAAMAAAAAAEu+T+bNe94I3JHdOM573gg0Q0lRLk5ZU0U6SUJNLklRX0FVTV9SRVRBSUxfQ1VTVE9NRVJTLjE5OTguMDYvMDMvMjAyNgEAAADetgEAAwAAAAAAS75P5s173gjckd04znveCD1DSVEuTllTRTpJQk0uSVFfT1BFQl9CUkVBS0RPV05fUENUX0ZJX0ZPUkVJR04uMTk5OC4wNi8wMy8yMDI2AQAAAN62AQADAAAAAABLvk/mzXveCNyR3TjOe94IQ0NJUS5OWVNFOklCTS5JUV9PUEVCX0FTU0VUU19DVVJUQUlMX0ZPUkVJR04uMTk5OC4wNi8wMy8yMDI2Li4uVVNELkgBAAAA3rYBAAMAAAAAAEu+T+bNe94ImGrdOM573ghHQ0lRLk5ZU0U6SUJNLklRX09QRUJfT0JMSUdBVElPTl9DVVJUQUlMX0ZPUkVJR04uMTk5OC4wNi8wMy8yMDI2Li4uVVNELkgBAAAA3rYBAAMAAAAAAEu+T+bNe94IJrndOM573ghNQ0lRLk5ZU0U6SUJNLklRX09QRUJfT0JMSUdBVElPTl9JTlRFUkVTVF9DT1NUX0ZPUkVJR04uMTk5OC4wNi8wMy8yMDI2Li4uVVNELkgBAAAA3rYBAAMAAAAAAEu+T+bNe94IJrndOM573ghHQ0lRLk5ZU0U6SUJNLklRX1BFTlNJT05fTkVUX0FTU0VU</t>
  </si>
  <si>
    <t>X1JFQ09HX0ZPUkVJR04uMTk5OC4wNi8wMy8yMDI2Li4uVVNELkgBAAAA3rYBAAMAAAAAAEu+T+bNe94I3JHdOM573gg9Q0lRLk5ZU0U6SUJNLklRX1BFTlNJT05fT1RIRVJfRk9SRUlHTi4xOTk4LjA2LzAzLzIwMjYuLi5VU0QuSAEAAADetgEAAwAAAAAAS75P5s173gjckd04znveCEdDSVEuTllTRTpJQk0uSVFfUEVOU0lPTl9FU1RfQkVORUZJVF8xWVJfRk9SRUlHTi4xOTk4LjA2LzAzLzIwMjYuLi5VU0QuSAEAAADetgEAAwAAAAAAS75P5s173gjckd04znveCENDSVEuTllTRTpJQk0uSVFfQUREX1RBWF9QT1NJVElPTlNfUFJJT1JfWVJTLjE5OTguMDYvMDMvMjAyNi4uLlVTRC5IAQAAAN62AQADAAAAAABLvk/mzXveCCa53TjOe94IPkNJUS5OWVNFOklCTS5JUV9BU1NFVFNfQ0FQX0xFQVNFX0dST1NTLjE5OTguMDYvMDMvMjAyNi4uLlVTRC5IAQAAAN62AQADAAAAAABLvk/mzXveCCa53TjOe94IM0NJUS5OWVNFOklCTS5JUV9BVU1fT1RIRVJfQ1VTVE9NRVJTLjE5OTguMDYvMDMvMjAyNgEAAADetgEAAwAAAAAAS75P5s173ggmud04znveCDpDSVEuTllTRTpJQk0uSVFfVEFYX0JFTkVGSVRfQ0ZfNFlSLjE5OTguMDYvMDMvMjAyNi4uLlVTRC5IAQAAAN62AQADAAAAAABLvk/mzXveCCa53TjOe94IRkNJUS5OWVNFOklCTS5JUV9DQVBJVEFMSVpFRF9JTlRFUkVTVF9XUklURV9PRkYuMTk5OC4wNi8w</t>
  </si>
  <si>
    <t>My8yMDI2Li4uVVNELkgBAAAA3rYBAAMAAAAAAEu+T+bNe94IJrndOM573gg5Q0lRLk5ZU0U6SUJNLklRX0FWR19SRVZfUEVSX1RSQURFLjE5OTguMDYvMDMvMjAyNi4uLlVTRC5IAQAAAN62AQADAAAAAABLvk/mzXveCCa53TjOe94INENJUS5OWVNFOklCTS5JUV9BVU1fRE9NRVNUSUMuMTk5OC4wNi8wMy8yMDI2Li4uVVNELkgBAAAA3rYBAAMAAAAAAEu+T+bNe94IJrndOM573ghEQ0lRLk5ZU0U6SUJNLklRX09QRUJfRVNUX0JFTkVGSVRfNVlSX0ZPUkVJR04uMTk5OC4wNi8wMy8yMDI2Li4uVVNELkgBAAAA3rYBAAMAAAAAAEu+T+bNe94IJrndOM573ggtQ0lRLk5ZU0U6SUJNLklRX1JFVFVSTl9BU1NFVFMuMTk5OC4wNi8wMy8yMDI2AQAAAN62AQACAAAABjQuODEyNgEIAAAABQAAAAExAQAAAAstMTkzNDg2MDEyNQMAAAADMTYwAgAAAAQ0MTc4BAAAAAEwBwAAAAgzLzYvMjAyNggAAAAJNi8zMC8yMDI1CQAAAAEwS75P5s173ggmud04znveCElDSVEuTllTRTpJQk0uSVFfUkVEVUNUSU9OX1RBWF9QT1NJVElPTl9DVVJSRU5UX1lSLjE5OTguMDYvMDMvMjAyNi4uLlVTRC5IAQAAAN62AQADAAAAAABLvk/mzXveCCa53TjOe94ILUNJUS5OWVNFOklCTS5JUV9DVVJSRU5UX1JBVElPLjE5OTguMDYvMDMvMjAyNgEAAADetgEAAgAAAAgwLjkwNzk0MQEIAAAABQAAAAExAQAAAAstMTkzNDg2MDEyNQMAAAAD</t>
  </si>
  <si>
    <t>MTYwAgAAAAQ0MDMwBAAAAAEwBwAAAAgzLzYvMjAyNggAAAAJNi8zMC8yMDI1CQAAAAEwS75P5s173gj/3904znveCEJDSVEuTllTRTpJQk0uSVFfT1BFQl9VTlJFQ09HX1BSSU9SX0ZPUkVJR04uMTk5OC4wNi8wMy8yMDI2Li4uVVNELkgBAAAA3rYBAAMAAAAAAEu+T+bNe94I/9/dOM573ghBQ0lRLk5ZU0U6SUJNLklRX09QRUJfUFJFUEFJRF9DT1NUX0ZPUkVJR04uMTk5OC4wNi8wMy8yMDI2Li4uVVNELkgBAAAA3rYBAAMAAAAAAEu+T+bNe94I/9/dOM573ghSQ0lRLk5ZU0U6SUJNLklRX09QRUJfQVNTRVRTX1BBUlRJQ0lQX0NPTlRSSUJVVElPTlNfRk9SRUlHTi4xOTk4LjA2LzAzLzIwMjYuLi5VU0QuSAEAAADetgEAAwAAAAAAS75P5s173gj/3904znveCDRDSVEuTllTRTpJQk0uSVFfTk9MX0NGX1RPVEFMLjE5OTguMDYvMDMvMjAyNi4uLlVTRC5IAQAAAN62AQADAAAAAABLvk/mzXveCP/f3TjOe94INkNJUS5OWVNFOklCTS5JUV9BVU1fTkVUX0NIQU5HRS4xOTk4LjA2LzAzLzIwMjYuLi5VU0QuSAEAAADetgEAAwAAAAAAS75P5s173gj/3904znveCEJDSVEuTllTRTpJQk0uSVFfQVVNX0FDUVVJU0lUSU9OU19UUkFOU0ZFUlMuMTk5OC4wNi8wMy8yMDI2Li4uVVNELkgBAAAA3rYBAAMAAAAAAEu+T+bNe94I/9/dOM573ghFQ0lRLk5ZU0U6SUJNLklRX09QRUJfUEJPX0FTU1VNRURfUkFURV9SRVRf</t>
  </si>
  <si>
    <t>TUlOX0ZPUkVJR04uMTk5OC4wNi8wMy8yMDI2AQAAAN62AQADAAAAAABLvk/mzXveCP/f3TjOe94IQkNJUS5OWVNFOklCTS5JUV9PUEVCX0NJX1RSQU5TSVRJT05fRk9SRUlHTi4xOTk4LjA2LzAzLzIwMjYuLi5VU0QuSAEAAADetgEAAwAAAAAAS75P5s173gj/3904znveCDpDSVEuTllTRTpJQk0uSVFfT1BFQl9ESVNDX1JBVEVfTUFYX0ZPUkVJR04uMTk5OC4wNi8wMy8yMDI2AQAAAN62AQADAAAAAABLvk/mzXveCP/f3TjOe94IQkNJUS5OWVNFOklCTS5JUV9PUEVCX0lOVEVSRVNUX0NPU1RfRk9SRUlHTi4xOTk4LjA2LzAzLzIwMjYuLi5VU0QuSAEAAADetgEAAwAAAAAAS75P5s173ghUB944znveCFRDSVEuTllTRTpJQk0uSVFfUEVOU0lPTl9RVUFSVF9FTVBMT1lFUl9DT05UUklCVVRJT05TX0ZPUkVJR04uMTk5OC4wNi8wMy8yMDI2Li4uVVNELkgBAAAA3rYBAAMAAAAAAEu+T+bNe94IVAfeOM573gg6Q0lRLk5ZU0U6SUJNLklRX1RBWF9CRU5FRklUX0NGXzNZUi4xOTk4LjA2LzAzLzIwMjYuLi5VU0QuSAEAAADetgEAAwAAAAAAS75P5s173gj/3904znveCDdDSVEuTllTRTpJQk0uSVFfTVVUVUFMX0ZVTkRfRU9QLjE5OTguMDYvMDMvMjAyNi4uLlVTRC5IAQAAAN62AQADAAAAAABLvk/mzXveCP/f3TjOe94IN0NJUS5OWVNFOklCTS5JUV9DQVBfTE9TU19DRl81WVIuMTk5OC4wNi8wMy8yMDI2Li4u</t>
  </si>
  <si>
    <t>VVNELkgBAAAA3rYBAAMAAAAAAEu+T+bNe94I/9/dOM573gg1Q0lRLk5ZU0U6SUJNLklRX05PTF9DRl9OT19FWFAuMTk5OC4wNi8wMy8yMDI2Li4uVVNELkgBAAAA3rYBAAMAAAAAAEu+T+bNe94IVAfeOM573ghEQ0lRLk5ZU0U6SUJNLklRX09QRUJfTkVUX0FTU0VUX1JFQ09HX0ZPUkVJR04uMTk5OC4wNi8wMy8yMDI2Li4uVVNELkgBAAAA3rYBAAMAAAAAAEu+T+bNe94IVAfeOM573gg9Q0lRLk5ZU0U6SUJNLklRX09QRUJfQUNUX05FWFRfRk9SRUlHTi4xOTk4LjA2LzAzLzIwMjYuLi5VU0QuSAEAAADetgEAAwAAAAAAS75P5s173ghUB944znveCElDSVEuTllTRTpJQk0uSVFfT1BFQl9BU1NFVFNfQUNUVUFMX1JFVFVSTl9GT1JFSUdOLjE5OTguMDYvMDMvMjAyNi4uLlVTRC5IAQAAAN62AQADAAAAAABLvk/mzXveCFQH3jjOe94ITENJUS5OWVNFOklCTS5JUV9PUEVCX09CTElHQVRJT05fU0VSVklDRV9DT1NUX0ZPUkVJR04uMTk5OC4wNi8wMy8yMDI2Li4uVVNELkgBAAAA3rYBAAMAAAAAAEu+T+bNe94IVAfeOM573ghMQ0lRLk5ZU0U6SUJNLklRX09QRUJfU1VQUExFX1BMQU5TX1RPVEFMX0NPU1RfRk9SRUlHTi4xOTk4LjA2LzAzLzIwMjYuLi5VU0QuSAEAAADetgEAAwAAAAAAS75P5s173ghUB944znveCD9DSVEuTllTRTpJQk0uSVFfUEVOU0lPTl9MVF9MSUFCX0ZPUkVJR04uMTk5OC4wNi8wMy8y</t>
  </si>
  <si>
    <t>MDI2Li4uVVNELkgBAAAA3rYBAAMAAAAAAEu+T+bNe94IVAfeOM573ghKQ0lRLk5ZU0U6SUJNLklRX1BFTlNJT05fUEJPX1JBVEVfQ09NUF9JTkNSRUFTRV9NQVhfRk9SRUlHTi4xOTk4LjA2LzAzLzIwMjYBAAAA3rYBAAMAAAAAAEu+T+bNe94IVAfeOM573ghHQ0lRLk5ZU0U6SUJNLklRX1BFTlNJT05fQlJFQUtET1dOX09USEVSX0ZPUkVJR04uMTk5OC4wNi8wMy8yMDI2Li4uVVNELkgBAAAA3rYBAAMAAAAAAEu+T+bNe94IVAfeOM573ghEQ0lRLk5ZU0U6SUJNLklRX1BFTlNJT05fQlJFQUtET1dOX0VRX0ZPUkVJR04uMTk5OC4wNi8wMy8yMDI2Li4uVVNELkgBAAAA3rYBAAMAAAAAABrST+bNe94IVAfeOM573ghCQ0lRLk5ZU0U6SUJNLklRX1BFTlNJT05fRVhQX1JFVFVSTl9GT1JFSUdOLjE5OTguMDYvMDMvMjAyNi4uLlVTRC5IAQAAAN62AQADAAAAAAAa0k/mzXveCFMu3jjOe94IUUNJUS5OWVNFOklCTS5JUV9QRU5TSU9OX09CTElHQVRJT05fT1RIRVJfUExBTl9BREpfRk9SRUlHTi4xOTk4LjA2LzAzLzIwMjYuLi5VU0QuSAEAAADetgEAAwAAAAAAGtJP5s173ghTLt44znveCE1DSVEuTllTRTpJQk0uSVFfUEVOU0lPTl9PQkxJR0FUSU9OX09USEVSX0NPU1RfRk9SRUlHTi4xOTk4LjA2LzAzLzIwMjYuLi5VU0QuSAEAAADetgEAAwAAAAAAGtJP5s173ghTLt44znveCENDSVEuTllTRTpJQk0uSVFf</t>
  </si>
  <si>
    <t>T1BFQl9IRUFMVEhfQ09TVF9UUkVORF9VTFRJTUFURV9ET00uMTk5OC4wNi8wMy8yMDI2AQAAAN62AQADAAAAAAAa0k/mzXveCFMu3jjOe94IP0NJUS5OWVNFOklCTS5JUV9PUEVCX0FDQ1VNX09USEVSX0NJX0RPTS4xOTk4LjA2LzAzLzIwMjYuLi5VU0QuSAEAAADetgEAAwAAAAAAGtJP5s173ghTLt44znveCEFDSVEuTllTRTpJQk0uSVFfT1BFQl9QQk9fQVNTVU1FRF9SQVRFX1JFVF9NSU5fRE9NLjE5OTguMDYvMDMvMjAyNgEAAADetgEAAwAAAAAAGtJP5s173ghTLt44znveCERDSVEuTllTRTpJQk0uSVFfQUREX1RBWF9QT1NJVElPTlNfQ1VSUkVOVF9ZUi4xOTk4LjA2LzAzLzIwMjYuLi5VU0QuSAEAAADetgEAAwAAAAAAGtJP5s173ghTLt44znveCDpDSVEuTllTRTpJQk0uSVFfVEFYX0JFTkVGSVRfQ0ZfMllSLjE5OTguMDYvMDMvMjAyNi4uLlVTRC5IAQAAAN62AQADAAAAAAAa0k/mzXveCFMu3jjOe94IRkNJUS5OWVNFOklCTS5JUV9VTlJFQ09HX1RBWF9CRU5FRklUX0JFR19QRVJJT0QuMTk5OC4wNi8wMy8yMDI2Li4uVVNELkgBAAAA3rYBAAMAAAAAABrST+bNe94IUy7eOM573ggyQ0lRLk5ZU0U6SUJNLklRX05PTF9DRl8xWVIuMTk5OC4wNi8wMy8yMDI2Li4uVVNELkgBAAAA3rYBAAMAAAAAABrST+bNe94IUy7eOM573ghGQ0lRLk5ZU0U6SUJNLklRX01VVFVBTF9GVU5EX0FDUVVJU0lUSU9O</t>
  </si>
  <si>
    <t>U19PVEhFUi4xOTk4LjA2LzAzLzIwMjYuLi5VU0QuSAEAAADetgEAAwAAAAAAGtJP5s173ghVVd44znveCDtDSVEuTllTRTpJQk0uSVFfQVVNX0lOU1RJVFVUSU9OQUxfQ1VTVE9NRVJTLjE5OTguMDYvMDMvMjAyNgEAAADetgEAAwAAAAAAGtJP5s173ghVVd44znveCEhDSVEuTllTRTpJQk0uSVFfT1BFQl9JTkNSRUFTRV9FRkZFQ1RfUEJPX0ZPUkVJR04uMTk5OC4wNi8wMy8yMDI2Li4uVVNELkgBAAAA3rYBAAMAAAAAABrST+bNe94IVVXeOM573ggrQ0lRLk5ZU0U6SUJNLklRX0FTU0VUX1RVUk5TLjE5OTguMDYvMDMvMjAyNgEAAADetgEAAgAAAAgwLjQ1MzQ4OAEIAAAABQAAAAExAQAAAAstMTkzNDg2MDEyNQMAAAADMTYwAgAAAAQ0MTc3BAAAAAEwBwAAAAgzLzYvMjAyNggAAAAJNi8zMC8yMDI1CQAAAAEwGtJP5s173ghTLt44znveCFBDSVEuTllTRTpJQk0uSVFfSU1QQUNUX1VOUkVDT0dfVEFYX0JFTkVGSVRfRUZGRUNUSVZFX1RBWC4xOTk4LjA2LzAzLzIwMjYuLi5VU0QuSAEAAADetgEAAwAAAAAAGtJP5s173ghTLt44znveCEBDSVEuTllTRTpJQk0uSVFfQVVNX05FVF9JTkZMT1dTX09VVEZMT1dTLjE5OTguMDYvMDMvMjAyNi4uLlVTRC5IAQAAAN62AQADAAAAAAAa0k/mzXveCFVV3jjOe94IQUNJUS5OWVNFOklCTS5JUV9PUEVCX0JSRUFLRE9XTl9GSV9GT1JFSUdOLjE5OTguMDYvMDMvMjAy</t>
  </si>
  <si>
    <t>Ni4uLlVTRC5IAQAAAN62AQADAAAAAAAa0k/mzXveCFVV3jjOe94IQENJUS5OWVNFOklCTS5JUV9QRU5TSU9OX0FDVF9ORVhUX0ZPUkVJR04uMTk5OC4wNi8wMy8yMDI2Li4uVVNELkgBAAAA3rYBAAMAAAAAABrST+bNe94IVVXeOM573ghNQ0lRLk5ZU0U6SUJNLklRX1BFTlNJT05fQVNTRVRTX09USEVSX1BMQU5fQURKX0ZPUkVJR04uMTk5OC4wNi8wMy8yMDI2Li4uVVNELkgBAAAA3rYBAAMAAAAAABrST+bNe94IVVXeOM573gg6Q0lRLk5ZU0U6SUJNLklRX09QRUJfTFRfQVNTRVRTX0RPTS4xOTk4LjA2LzAzLzIwMjYuLi5VU0QuSAEAAADetgEAAwAAAAAAGtJP5s173ghVVd44znveCENDSVEuTllTRTpJQk0uSVFfT1BFQl9QQk9fUkFURV9DT01QX0lOQ1JFQVNFX01BWF9ET00uMTk5OC4wNi8wMy8yMDI2AQAAAN62AQADAAAAAAAa0k/mzXveCFVV3jjOe94IPENJUS5OWVNFOklCTS5JUV9PUEVCX0JSRUFLRE9XTl9QQ1RfT1RIRVJfRE9NLjE5OTguMDYvMDMvMjAyNgEAAADetgEAAwAAAAAAGtJP5s173ghVVd44znveCDtDSVEuTllTRTpJQk0uSVFfT1BFQl9BU1NFVFNfQUNRX0RPTS4xOTk4LjA2LzAzLzIwMjYuLi5VU0QuSAEAAADetgEAAwAAAAAAGtJP5s173ghVVd44znveCEBDSVEuTllTRTpJQk0uSVFfT1BFQl9PQkxJR0FUSU9OX1BBSURfRE9NLjE5OTguMDYvMDMvMjAyNi4uLlVTRC5IAQAAAN62</t>
  </si>
  <si>
    <t>AQADAAAAAAAa0k/mzXveCFVV3jjOe94IUENJUS5OWVNFOklCTS5JUV9QRU5TSU9OX1FVQVJUX0FERExfQ09OVFJJQlVUSU9OU19FWFBfRE9NLjE5OTguMDYvMDMvMjAyNi4uLlVTRC5IAQAAAN62AQADAAAAAAAa0k/mzXveCFVV3jjOe94IQ0NJUS5OWVNFOklCTS5JUV9QRU5TSU9OX05FVF9BU1NFVF9SRUNPR19ET00uMTk5OC4wNi8wMy8yMDI2Li4uVVNELkgBAAAA3rYBAAMAAAAAABrST+bNe94INIreOM573ghDQ0lRLk5ZU0U6SUJNLklRX1BFTlNJT05fRVNUX0JFTkVGSVRfNFlSX0RPTS4xOTk4LjA2LzAzLzIwMjYuLi5VU0QuSAEAAADetgEAAwAAAAAAGtJP5s173ghVVd44znveCEdDSVEuTllTRTpJQk0uSVFfT1BFQl9QQk9fUkFURV9DT01QX0lOQ1JFQVNFX01JTl9GT1JFSUdOLjE5OTguMDYvMDMvMjAyNgEAAADetgEAAwAAAAAAGtJP5s173ghVVd44znveCEFDSVEuTllTRTpJQk0uSVFfT1BFQl9TRVJWSUNFX0NPU1RfRk9SRUlHTi4xOTk4LjA2LzAzLzIwMjYuLi5VU0QuSAEAAADetgEAAwAAAAAAGtJP5s173ghVVd44znveCEdDSVEuTllTRTpJQk0uSVFfUEVOU0lPTl9FU1RfQkVORUZJVF80WVJfRk9SRUlHTi4xOTk4LjA2LzAzLzIwMjYuLi5VU0QuSAEAAADetgEAAwAAAAAAGtJP5s173ghVVd44znveCEBDSVEuTllTRTpJQk0uSVFfUEVOU0lPTl9CUkVBS0RPV05fUENUX0VRX0ZPUkVJR04u</t>
  </si>
  <si>
    <t>MTk5OC4wNi8wMy8yMDI2AQAAAN62AQADAAAAAAAa0k/mzXveCDSK3jjOe94ISUNJUS5OWVNFOklCTS5JUV9QRU5TSU9OX09CTElHQVRJT05fRlhfQURKX0ZPUkVJR04uMTk5OC4wNi8wMy8yMDI2Li4uVVNELkgBAAAA3rYBAAMAAAAAABrST+bNe94INIreOM573ghGQ0lRLk5ZU0U6SUJNLklRX1BFTlNJT05fT0JMSUdBVElPTl9ST0FfRk9SRUlHTi4xOTk4LjA2LzAzLzIwMjYuLi5VU0QuSAEAAADetgEAAwAAAAAAGtJP5s173gg0it44znveCEBDSVEuTllTRTpJQk0uSVFfT1BFQl9ORVRfQVNTRVRfUkVDT0dfRE9NLjE5OTguMDYvMDMvMjAyNi4uLlVTRC5IAQAAAN62AQADAAAAAAAa0k/mzXveCDSK3jjOe94IQENJUS5OWVNFOklCTS5JUV9PUEVCX0VYUF9SQVRFX1JFVFVSTl9NQVhfRk9SRUlHTi4xOTk4LjA2LzAzLzIwMjYBAAAA3rYBAAMAAAAAABrST+bNe94INIreOM573ghEQ0lRLk5ZU0U6SUJNLklRX1BFTlNJT05fQUNDUlVFRF9MSUFCX0ZPUkVJR04uMTk5OC4wNi8wMy8yMDI2Li4uVVNELkgBAAAA3rYBAAMAAAAAABrST+bNe94INIreOM573ghKQ0lRLk5ZU0U6SUJNLklRX1BFTlNJT05fRVNUX0JFTkVGSVRfQUZURVI1X0ZPUkVJR04uMTk5OC4wNi8wMy8yMDI2Li4uVVNELkgBAAAA3rYBAAMAAAAAABrST+bNe94INIreOM573ghEQ0lRLk5ZU0U6SUJNLklRX1BFTlNJT05fQlJFQUtET1dOX1JF</t>
  </si>
  <si>
    <t>X0ZPUkVJR04uMTk5OC4wNi8wMy8yMDI2Li4uVVNELkgBAAAA3rYBAAMAAAAAABrST+bNe94INIreOM573ghAQ0lRLk5ZU0U6SUJNLklRX1BFTlNJT05fUkFURV9DT01QX0dST1dUSF9GT1JFSUdOLjE5OTguMDYvMDMvMjAyNgEAAADetgEAAwAAAAAAGtJP5s173gg0it44znveCEJDSVEuTllTRTpJQk0uSVFfUEVOU0lPTl9BU1NFVFNfQkVHX0ZPUkVJR04uMTk5OC4wNi8wMy8yMDI2Li4uVVNELkgBAAAA3rYBAAMAAAAAABrST+bNe94INIreOM573ghBQ0lRLk5ZU0U6SUJNLklRX09QRUJfQ0lfTkVUX0FNVF9SRUNPR19ET00uMTk5OC4wNi8wMy8yMDI2Li4uVVNELkgBAAAA3rYBAAMAAAAAABrST+bNe94IgbHeOM573gg/Q0lRLk5ZU0U6SUJNLklRX09QRUJfUkFURV9DT01QX0lOQ1JFQVNFX01BWF9ET00uMTk5OC4wNi8wMy8yMDI2AQAAAN62AQADAAAAAAAa0k/mzXveCIGx3jjOe94IOkNJUS5OWVNFOklCTS5JUV9PUEVCX09USEVSX0ZPUkVJR04uMTk5OC4wNi8wMy8yMDI2Li4uVVNELkgBAAAA3rYBAAMAAAAAABrST+bNe94IgbHeOM573ghIQ0lRLk5ZU0U6SUJNLklRX1BFTlNJT05fUEJPX0FTU1VNRURfUkFURV9SRVRfTUlOX0ZPUkVJR04uMTk5OC4wNi8wMy8yMDI2AQAAAN62AQADAAAAAAAa0k/mzXveCDSK3jjOe94IQ0NJUS5OWVNFOklCTS5JUV9QRU5TSU9OX0VYUF9SQVRFX1JFVFVSTl9NSU5f</t>
  </si>
  <si>
    <t>Rk9SRUlHTi4xOTk4LjA2LzAzLzIwMjYBAAAA3rYBAAMAAAAAABrST+bNe94INIreOM573ghWQ0lRLk5ZU0U6SUJNLklRX1BFTlNJT05fT0JMSUdBVElPTl9TVVBQTEVfUExBTlNfVE9UQUxfQ09TVF9ET00uMTk5OC4wNi8wMy8yMDI2Li4uVVNELkgBAAAA3rYBAAMAAAAAAHr5T+bNe94Ih1fjOM573gg9Q0lRLk5ZU0U6SUJNLklRX09QRUJfSU5UQU5fQVNTRVRTX0RPTS4xOTk4LjA2LzAzLzIwMjYuLi5VU0QuSAEAAADetgEAAwAAAAAAGtJP5s173giBsd44znveCEFDSVEuTllTRTpJQk0uSVFfT1BFQl9QQk9fQVNTVU1FRF9SQVRFX1JFVF9NQVhfRE9NLjE5OTguMDYvMDMvMjAyNgEAAADetgEAAwAAAAAAGtJP5s173giBsd44znveCD1DSVEuTllTRTpJQk0uSVFfUEVOU0lPTl9CRU5FRklUX0lORk9fREFURV9ET00uMTk5OC4wNi8wMy8yMDI2AQAAAN62AQADAAAAAAAa0k/mzXveCIGx3jjOe94IL0NJUS5OWVNFOklCTS5JUV9BVU1fQk9QLjE5OTguMDYvMDMvMjAyNi4uLlVTRC5IAQAAAN62AQADAAAAAAAa0k/mzXveCIGx3jjOe94IMkNJUS5OWVNFOklCTS5JUV9BVU1fUkVUQUlMLjE5OTguMDYvMDMvMjAyNi4uLlVTRC5IAQAAAN62AQADAAAAAAAa0k/mzXveCIGx3jjOe94IU0NJUS5OWVNFOklCTS5JUV9PUEVCX09CTElHQVRJT05fQUNUVUFSSUFMX0dBSU5fTE9TU19GT1JFSUdOLjE5OTguMDYvMDMv</t>
  </si>
  <si>
    <t>MjAyNi4uLlVTRC5IAQAAAN62AQADAAAAAAAa0k/mzXveCIGx3jjOe94IVkNJUS5OWVNFOklCTS5JUV9QRU5TSU9OX09CTElHQVRJT05fQUNUVUFSSUFMX0dBSU5fTE9TU19GT1JFSUdOLjE5OTguMDYvMDMvMjAyNi4uLlVTRC5IAQAAAN62AQADAAAAAAAa0k/mzXveCIGx3jjOe94IPkNJUS5OWVNFOklCTS5JUV9PUEVCX1VOUkVDT0dfUFJJT1JfRE9NLjE5OTguMDYvMDMvMjAyNi4uLlVTRC5IAQAAAN62AQADAAAAAAAa0k/mzXveCIGx3jjOe94IPUNJUS5OWVNFOklCTS5JUV9PUEVCX0JSRUFLRE9XTl9FUV9ET00uMTk5OC4wNi8wMy8yMDI2Li4uVVNELkgBAAAA3rYBAAMAAAAAABrST+bNe94In9jeOM573gg/Q0lRLk5ZU0U6SUJNLklRX09QRUJfQVNTRVRTX0NVUlRBSUxfRE9NLjE5OTguMDYvMDMvMjAyNi4uLlVTRC5IAQAAAN62AQADAAAAAAAa0k/mzXveCJ/Y3jjOe94IRUNJUS5OWVNFOklCTS5JUV9PUEVCX0FTU0VUU19CRU5FRklUU19QQUlEX0RPTS4xOTk4LjA2LzAzLzIwMjYuLi5VU0QuSAEAAADetgEAAwAAAAAAGtJP5s173gif2N44znveCFJDSVEuTllTRTpJQk0uSVFfT1BFQl9PQkxJR0FUSU9OX0VNUExPWUVFX0NPTlRSSUJVVElPTlNfRE9NLjE5OTguMDYvMDMvMjAyNi4uLlVTRC5IAQAAAN62AQADAAAAAAAa0k/mzXveCJ/Y3jjOe94ITENJUS5OWVNFOklCTS5JUV9QRU5TSU9OX0VTVF9D</t>
  </si>
  <si>
    <t>T05UUklCVVRJT05TX05FWFRZUl9ET00uMTk5OC4wNi8wMy8yMDI2Li4uVVNELkgBAAAA3rYBAAMAAAAAABrST+bNe94IgbHeOM573ghDQ0lRLk5ZU0U6SUJNLklRX1BFTlNJT05fRVNUX0JFTkVGSVRfNVlSX0RPTS4xOTk4LjA2LzAzLzIwMjYuLi5VU0QuSAEAAADetgEAAwAAAAAAGtJP5s173gho7N44znveCENDSVEuTllTRTpJQk0uSVFfT1BFQl9PQkxJR0FUSU9OX0FDUV9GT1JFSUdOLjE5OTguMDYvMDMvMjAyNi4uLlVTRC5IAQAAAN62AQADAAAAAAAa0k/mzXveCGjs3jjOe94IOkNJUS5OWVNFOklCTS5JUV9QRU5TSU9OX0NMX0ZPUkVJR04uMTk5OC4wNi8wMy8yMDI2Li4uVVNELkgBAAAA3rYBAAMAAAAAABrST+bNe94IaOzeOM573ghGQ0lRLk5ZU0U6SUJNLklRX1BFTlNJT05fQUNDVU1fT1RIRVJfQ0lfRk9SRUlHTi4xOTk4LjA2LzAzLzIwMjYuLi5VU0QuSAEAAADetgEAAwAAAAAAGtJP5s173gif2N44znveCEdDSVEuTllTRTpJQk0uSVFfUEVOU0lPTl9UUkFOU0lUSU9OX05FWFRfRk9SRUlHTi4xOTk4LjA2LzAzLzIwMjYuLi5VU0QuSAEAAADetgEAAwAAAAAAGtJP5s173gif2N44znveCD5DSVEuTllTRTpJQk0uSVFfUEVOU0lPTl9BU1NFVFNfRk9SRUlHTi4xOTk4LjA2LzAzLzIwMjYuLi5VU0QuSAEAAADetgEAAwAAAAAAGtJP5s173gho7N44znveCExDSVEuTllTRTpJQk0uSVFfUEVOU0lP</t>
  </si>
  <si>
    <t>Tl9PQkxJR0FUSU9OX1BST0pFQ1RFRF9GT1JFSUdOLjE5OTguMDYvMDMvMjAyNi4uLlVTRC5IAQAAAN62AQADAAAAAAAa0k/mzXveCGjs3jjOe94IM0NJUS5OWVNFOklCTS5JUV9BVU1fVE9UQUxfQ1VTVE9NRVJTLjE5OTguMDYvMDMvMjAyNgEAAADetgEAAwAAAAAAGtJP5s173gho7N44znveCD9DSVEuTllTRTpJQk0uSVFfTVVUVUFMX0ZVTkRfUkVERU1QVElPTlMuMTk5OC4wNi8wMy8yMDI2Li4uVVNELkgBAAAA3rYBAAMAAAAAABrST+bNe94IaOzeOM573gg5Q0lRLk5ZU0U6SUJNLklRX0FVTV9JTlNUSVRVVElPTkFMLjE5OTguMDYvMDMvMjAyNi4uLlVTRC5IAQAAAN62AQADAAAAAAAa0k/mzXveCGjs3jjOe94IOUNJUS5OWVNFOklCTS5JUV9NVVRVQUxfRlVORF9TQUxFUy4xOTk4LjA2LzAzLzIwMjYuLi5VU0QuSAEAAADetgEAAwAAAAAAGtJP5s173gho7N44znveCDFDSVEuTllTRTpJQk0uSVFfQVVNX1NNRV9DVVNUT01FUlMuMTk5OC4wNi8wMy8yMDI2AQAAAN62AQADAAAAAAAa0k/mzXveCGjs3jjOe94IP0NJUS5OWVNFOklCTS5JUV9PUEVCX0VYUF9SRVRVUk5fRk9SRUlHTi4xOTk4LjA2LzAzLzIwMjYuLi5VU0QuSAEAAADetgEAAwAAAAAAGtJP5s173gho7N44znveCEFDSVEuTllTRTpJQk0uSVFfUEVOU0lPTl9CRU5FRklUX0lORk9fREFURV9GT1JFSUdOLjE5OTguMDYvMDMvMjAyNgEAAADe</t>
  </si>
  <si>
    <t>tgEAAwAAAAAAGtJP5s173gho7N44znveCEpDSVEuTllTRTpJQk0uSVFfUEVOU0lPTl9QUklPUl9TRVJWSUNFX05FWFRfRk9SRUlHTi4xOTk4LjA2LzAzLzIwMjYuLi5VU0QuSAEAAADetgEAAwAAAAAAGtJP5s173gjCE984znveCEZDSVEuTllTRTpJQk0uSVFfUEVOU0lPTl9BU1NFVFNfQ1VSVEFJTF9GT1JFSUdOLjE5OTguMDYvMDMvMjAyNi4uLlVTRC5IAQAAAN62AQADAAAAAAAa0k/mzXveCMIT3zjOe94IRUNJUS5OWVNFOklCTS5JUV9QRU5TSU9OX0lOVEVSRVNUX0NPU1RfRk9SRUlHTi4xOTk4LjA2LzAzLzIwMjYuLi5VU0QuSAEAAADetgEAAwAAAAAAGtJP5s173gjCE984znveCENDSVEuTllTRTpJQk0uSVFfT1BFQl9QQk9fUkFURV9DT01QX0lOQ1JFQVNFX01JTl9ET00uMTk5OC4wNi8wMy8yMDI2AQAAAN62AQADAAAAAAAa0k/mzXveCGjs3jjOe94IOUNJUS5OWVNFOklCTS5JUV9PUEVCX0JSRUFLRE9XTl9QQ1RfUkVfRE9NLjE5OTguMDYvMDMvMjAyNgEAAADetgEAAwAAAAAAGtJP5s173gho7N44znveCD5DSVEuTllTRTpJQk0uSVFfT1BFQl9BU1NFVFNfRlhfQURKX0RPTS4xOTk4LjA2LzAzLzIwMjYuLi5VU0QuSAEAAADetgEAAwAAAAAAGtJP5s173gjCE984znveCE9DSVEuTllTRTpJQk0uSVFfT1BFQl9PQkxJR0FUSU9OX0FDVFVBUklBTF9HQUlOX0xPU1NfRE9NLjE5OTguMDYvMDMvMjAy</t>
  </si>
  <si>
    <t>Ni4uLlVTRC5IAQAAAN62AQADAAAAAAAa0k/mzXveCMIT3zjOe94IOkNJUS5OWVNFOklCTS5JUV9BVU1fUFJJVkFURV9FUVVJVFkuMTk5OC4wNi8wMy8yMDI2Li4uVVNELkgBAAAA3rYBAAMAAAAAABrST+bNe94IwhPfOM573gg3Q0lRLk5ZU0U6SUJNLklRX09QRUJfQ0xfRk9SRUlHTi4xOTk4LjA2LzAzLzIwMjYuLi5VU0QuSAEAAADetgEAAwAAAAAAGtJP5s173gjCE984znveCERDSVEuTllTRTpJQk0uSVFfUEVOU0lPTl9QUkVQQUlEX0NPU1RfRk9SRUlHTi4xOTk4LjA2LzAzLzIwMjYuLi5VU0QuSAEAAADetgEAAwAAAAAAGtJP5s173gjCE984znveCEdDSVEuTllTRTpJQk0uSVFfUEVOU0lPTl9FU1RfQkVORUZJVF81WVJfRk9SRUlHTi4xOTk4LjA2LzAzLzIwMjYuLi5VU0QuSAEAAADetgEAAwAAAAAAGtJP5s173gg9Pt84znveCEdDSVEuTllTRTpJQk0uSVFfUEVOU0lPTl9FU1RfQkVORUZJVF8zWVJfRk9SRUlHTi4xOTk4LjA2LzAzLzIwMjYuLi5VU0QuSAEAAADetgEAAwAAAAAAGtJP5s173gg9Pt84znveCERDSVEuTllTRTpJQk0uSVFfUEVOU0lPTl9CUkVBS0RPV05fRklfRk9SRUlHTi4xOTk4LjA2LzAzLzIwMjYuLi5VU0QuSAEAAADetgEAAwAAAAAAGtJP5s173gg9Pt84znveCD1DSVEuTllTRTpJQk0uSVFfUEVOU0lPTl9ESVNDX1JBVEVfTUFYX0ZPUkVJR04uMTk5OC4wNi8wMy8yMDI2AQAA</t>
  </si>
  <si>
    <t>AN62AQADAAAAAAAa0k/mzXveCD0+3zjOe94IRkNJUS5OWVNFOklCTS5JUV9QRU5TSU9OX09CTElHQVRJT05fQkVHX0ZPUkVJR04uMTk5OC4wNi8wMy8yMDI2Li4uVVNELkgBAAAA3rYBAAMAAAAAABrST+bNe94IPT7fOM573gg6Q0lRLk5ZU0U6SUJNLklRX09QRUJfT1RIRVJfQURKX0RPTS4xOTk4LjA2LzAzLzIwMjYuLi5VU0QuSAEAAADetgEAAwAAAAAAGtJP5s173gg9Pt84znveCEBDSVEuTllTRTpJQk0uSVFfT1BFQl9FU1RfQkVORUZJVF81WVJfRE9NLjE5OTguMDYvMDMvMjAyNi4uLlVTRC5IAQAAAN62AQADAAAAAAAa0k/mzXveCD0+3zjOe94IQkNJUS5OWVNFOklCTS5JUV9PUEVCX0NJX09USEVSX01JU0NfQURKX0RPTS4xOTk4LjA2LzAzLzIwMjYuLi5VU0QuSAEAAADetgEAAwAAAAAAGtJP5s173gg9Pt84znveCERDSVEuTllTRTpJQk0uSVFfT1BFQl9FU1RfQkVORUZJVF80WVJfRk9SRUlHTi4xOTk4LjA2LzAzLzIwMjYuLi5VU0QuSAEAAADetgEAAwAAAAAAGtJP5s173gg9Pt84znveCEJDSVEuTllTRTpJQk0uSVFfT1BFQl9BU1NFVFNfRlhfQURKX0ZPUkVJR04uMTk5OC4wNi8wMy8yMDI2Li4uVVNELkgBAAAA3rYBAAMAAAAAABrST+bNe94IPT7fOM573ghJQ0lRLk5ZU0U6SUJNLklRX09QRUJfT0JMSUdBVElPTl9QUk9KRUNURURfRk9SRUlHTi4xOTk4LjA2LzAzLzIwMjYuLi5VU0QuSAEA</t>
  </si>
  <si>
    <t>AADetgEAAwAAAAAAGtJP5s173gg2ed84znveCEpDSVEuTllTRTpJQk0uSVFfUEVOU0lPTl9QQk9fUkFURV9DT01QX0lOQ1JFQVNFX01JTl9GT1JFSUdOLjE5OTguMDYvMDMvMjAyNgEAAADetgEAAwAAAAAAGtJP5s173gg2ed84znveCElDSVEuTllTRTpJQk0uSVFfUEVOU0lPTl9DSV9PVEhFUl9NSVNDX0FESl9GT1JFSUdOLjE5OTguMDYvMDMvMjAyNi4uLlVTRC5IAQAAAN62AQADAAAAAAAa0k/mzXveCDZ53zjOe94ITkNJUS5OWVNFOklCTS5JUV9QRU5TSU9OX0FDQ1VNVUxBVEVEX09CTElHQVRJT05fRk9SRUlHTi4xOTk4LjA2LzAzLzIwMjYuLi5VU0QuSAEAAADetgEAAwAAAAAAGtJP5s173gg2ed84znveCEJDSVEuTllTRTpJQk0uSVFfT1BFQl9IRUFMVEhfQ09TVF9UUkVORF9JTklUSUFMX0RPTS4xOTk4LjA2LzAzLzIwMjYBAAAA3rYBAAMAAAAAABrST+bNe94IPT7fOM573gg/Q0lRLk5ZU0U6SUJNLklRX09QRUJfUkFURV9DT01QX0lOQ1JFQVNFX01JTl9ET00uMTk5OC4wNi8wMy8yMDI2AQAAAN62AQADAAAAAAAa0k/mzXveCDZ53zjOe94IN0NJUS5OWVNFOklCTS5JUV9PUEVCX0FTU0VUU19ET00uMTk5OC4wNi8wMy8yMDI2Li4uVVNELkgBAAAA3rYBAAMAAAAAABrST+bNe94INnnfOM573ghDQ0lRLk5ZU0U6SUJNLklRX09QRUJfT0JMSUdBVElPTl9DVVJUQUlMX0RPTS4xOTk4LjA2LzAzLzIw</t>
  </si>
  <si>
    <t>MjYuLi5VU0QuSAEAAADetgEAAwAAAAAAGtJP5s173gg2ed84znveCDtDSVEuTllTRTpJQk0uSVFfT1BFQl9FWFBfUkVUVVJOX0RPTS4xOTk4LjA2LzAzLzIwMjYuLi5VU0QuSAEAAADetgEAAwAAAAAAGtJP5s173gg2ed84znveCEJDSVEuTllTRTpJQk0uSVFfUEVOU0lPTl9BQ0NVTV9PVEhFUl9DSV9ET00uMTk5OC4wNi8wMy8yMDI2Li4uVVNELkgBAAAA3rYBAAMAAAAAABrST+bNe94INnnfOM573ghAQ0lRLk5ZU0U6SUJNLklRX1BFTlNJT05fUFJFUEFJRF9DT1NUX0RPTS4xOTk4LjA2LzAzLzIwMjYuLi5VU0QuSAEAAADetgEAAwAAAAAAGtJP5s173gidoN84znveCDxDSVEuTllTRTpJQk0uSVFfUEVOU0lPTl9BQ1RfTkVYVF9ET00uMTk5OC4wNi8wMy8yMDI2Li4uVVNELkgBAAAA3rYBAAMAAAAAABrST+bNe94InaDfOM573gg8Q0lRLk5ZU0U6SUJNLklRX1BFTlNJT05fQlJFQUtET1dOX1BDVF9GSV9ET00uMTk5OC4wNi8wMy8yMDI2AQAAAN62AQADAAAAAAAa0k/mzXveCJ2g3zjOe94IM0NJUS5OWVNFOklCTS5JUV9BVU1fQVZFUkFHRS4xOTk4LjA2LzAzLzIwMjYuLi5VU0QuSAEAAADetgEAAwAAAAAAGtJP5s173gg2ed84znveCEZDSVEuTllTRTpJQk0uSVFfT1BFQl9PQkxJR0FUSU9OX0ZYX0FESl9GT1JFSUdOLjE5OTguMDYvMDMvMjAyNi4uLlVTRC5IAQAAAN62AQADAAAAAAAa0k/mzXveCDZ5</t>
  </si>
  <si>
    <t>3zjOe94IK0NJUS5OWVNFOklCTS5JUV9BVU0uMTk5OC4wNi8wMy8yMDI2Li4uVVNELkgBAAAA3rYBAAMAAAAAABrST+bNe94IsLTfOM573ghEQ0lRLk5ZU0U6SUJNLklRX09QRUJfVFJBTlNJVElPTl9ORVhUX0ZPUkVJR04uMTk5OC4wNi8wMy8yMDI2Li4uVVNELkgBAAAA3rYBAAMAAAAAABrST+bNe94InaDfOM573ghOQ0lRLk5ZU0U6SUJNLklRX09QRUJfT0JMSUdBVElPTl9PVEhFUl9QTEFOX0FESl9GT1JFSUdOLjE5OTguMDYvMDMvMjAyNi4uLlVTRC5IAQAAAN62AQADAAAAAAAa0k/mzXveCJ2g3zjOe94IQ0NJUS5OWVNFOklCTS5JUV9PUEVCX09CTElHQVRJT05fQkVHX0ZPUkVJR04uMTk5OC4wNi8wMy8yMDI2Li4uVVNELkgBAAAA3rYBAAMAAAAAABrST+bNe94InaDfOM573ghIQ0lRLk5ZU0U6SUJNLklRX1BFTlNJT05fQ0lfUFJJT1JfU0VSVklDRV9GT1JFSUdOLjE5OTguMDYvMDMvMjAyNi4uLlVTRC5IAQAAAN62AQADAAAAAAAa0k/mzXveCJ2g3zjOe94IUUNJUS5OWVNFOklCTS5JUV9PUEVCX0RFQ1JFQVNFX0VGRkVDVF9TRVJWSUNFX0lOVF9DT1NUX0RPTS4xOTk4LjA2LzAzLzIwMjYuLi5VU0QuSAEAAADetgEAAwAAAAAAGtJP5s173giwtN84znveCEBDSVEuTllTRTpJQk0uSVFfT1BFQl9UUkFOU0lUSU9OX05FWFRfRE9NLjE5OTguMDYvMDMvMjAyNi4uLlVTRC5IAQAAAN62AQADAAAAAAAa</t>
  </si>
  <si>
    <t>0k/mzXveCLC03zjOe94IQ0NJUS5OWVNFOklCTS5JUV9PUEVCX1JBVEVfQ09NUF9JTkNSRUFTRV9NQVhfRk9SRUlHTi4xOTk4LjA2LzAzLzIwMjYBAAAA3rYBAAMAAAAAABrST+bNe94IsLTfOM573ghJQ0lRLk5ZU0U6SUJNLklRX09QRUJfQVNTRVRTX0JFTkVGSVRTX1BBSURfRk9SRUlHTi4xOTk4LjA2LzAzLzIwMjYuLi5VU0QuSAEAAADetgEAAwAAAAAAGtJP5s173giwtN84znveCFZDSVEuTllTRTpJQk0uSVFfT1BFQl9PQkxJR0FUSU9OX0VNUExPWUVFX0NPTlRSSUJVVElPTlNfRk9SRUlHTi4xOTk4LjA2LzAzLzIwMjYuLi5VU0QuSAEAAADetgEAAwAAAAAAGtJP5s173giwtN84znveCD1DSVEuTllTRTpJQk0uSVFfUEVOU0lPTl9ESVNDT1VOVF9SQVRFX0ZPUkVJR04uMTk5OC4wNi8wMy8yMDI2AQAAAN62AQADAAAAAAAa0k/mzXveCLC03zjOe94IVUNJUS5OWVNFOklCTS5JUV9QRU5TSU9OX0FTU0VUU19QQVJUSUNJUF9DT05UUklCVVRJT05TX0ZPUkVJR04uMTk5OC4wNi8wMy8yMDI2Li4uVVNELkgBAAAA3rYBAAMAAAAAABrST+bNe94IsLTfOM573ghPQ0lRLk5ZU0U6SUJNLklRX1BFTlNJT05fT0JMSUdBVElPTl9TRVJWSUNFX0NPU1RfRk9SRUlHTi4xOTk4LjA2LzAzLzIwMjYuLi5VU0QuSAEAAADetgEAAwAAAAAAGtJP5s173giwtN84znveCENDSVEuTllTRTpJQk0uSVFfT1BFQl9FU1RfQkVO</t>
  </si>
  <si>
    <t>RUZJVF9BRlRFUjVfRE9NLjE5OTguMDYvMDMvMjAyNi4uLlVTRC5IAQAAAN62AQADAAAAAAAa0k/mzXveCLC03zjOe94INkNJUS5OWVNFOklCTS5JUV9PUEVCX0RJU0NfUkFURV9NSU5fRE9NLjE5OTguMDYvMDMvMjAyNgEAAADetgEAAwAAAAAAGtJP5s173giwtN84znveCEpDSVEuTllTRTpJQk0uSVFfT1BFQl9PQkxJR0FUSU9OX09USEVSX1BMQU5fQURKX0RPTS4xOTk4LjA2LzAzLzIwMjYuLi5VU0QuSAEAAADetgEAAwAAAAAAGtJP5s173gjl2984znveCEJDSVEuTllTRTpJQk0uSVFfT1BFQl9PQkxJR0FUSU9OX0ZYX0FESl9ET00uMTk5OC4wNi8wMy8yMDI2Li4uVVNELkgBAAAA3rYBAAMAAAAAABrST+bNe94I5dvfOM573gg9Q0lRLk5ZU0U6SUJNLklRX09QRUJfU0VSVklDRV9DT1NUX0RPTS4xOTk4LjA2LzAzLzIwMjYuLi5VU0QuSAEAAADetgEAAwAAAAAAGtJP5s173gjl2984znveCEpDSVEuTllTRTpJQk0uSVFfUEVOU0lPTl9VTkZVTkRFRF9BRERMX01JTl9MSUFCX0RPTS4xOTk4LjA2LzAzLzIwMjYuLi5VU0QuSAEAAADetgEAAwAAAAAAGtJP5s173gjl2984znveCEBDSVEuTllTRTpJQk0uSVFfUEVOU0lPTl9BQ0NSVUVEX0xJQUJfRE9NLjE5OTguMDYvMDMvMjAyNi4uLlVTRC5IAQAAAN62AQADAAAAAAAa0k/mzXveCLC03zjOe94IPkNJUS5OWVNFOklCTS5JUV9BVU1fTU9ORVlfTUFSS0VU</t>
  </si>
  <si>
    <t>X0ZVTkRTLjE5OTguMDYvMDMvMjAyNi4uLlVTRC5IAQAAAN62AQADAAAAAAAa0k/mzXveCOXb3zjOe94IQ0NJUS5OWVNFOklCTS5JUV9PUEVCX0FDQ1VNX09USEVSX0NJX0ZPUkVJR04uMTk5OC4wNi8wMy8yMDI2Li4uVVNELkgBAAAA3rYBAAMAAAAAABrST+bNe94I5dvfOM573ghEQ0lRLk5ZU0U6SUJNLklRX09QRUJfRVNUX0JFTkVGSVRfMllSX0ZPUkVJR04uMTk5OC4wNi8wMy8yMDI2Li4uVVNELkgBAAAA3rYBAAMAAAAAABrST+bNe94I5dvfOM573ghEQ0lRLk5ZU0U6SUJNLklRX09QRUJfQlJFQUtET1dOX09USEVSX0ZPUkVJR04uMTk5OC4wNi8wMy8yMDI2Li4uVVNELkgBAAAA3rYBAAMAAAAAABrST+bNe94I5dvfOM573ghOQ0lRLk5ZU0U6SUJNLklRX1BFTlNJT05fVU5GVU5ERURfQURETF9NSU5fTElBQl9GT1JFSUdOLjE5OTguMDYvMDMvMjAyNi4uLlVTRC5IAQAAAN62AQADAAAAAAAa0k/mzXveCOXb3zjOe94IQUNJUS5OWVNFOklCTS5JUV9QRU5TSU9OX09USEVSX0FESl9GT1JFSUdOLjE5OTguMDYvMDMvMjAyNi4uLlVTRC5IAQAAAN62AQADAAAAAAAa0k/mzXveCOXb3zjOe94IR0NJUS5OWVNFOklCTS5JUV9QRU5TSU9OX0VTVF9CRU5FRklUXzJZUl9GT1JFSUdOLjE5OTguMDYvMDMvMjAyNi4uLlVTRC5IAQAAAN62AQADAAAAAAAa0k/mzXveCOXb3zjOe94ISENJUS5OWVNFOklCTS5JUV9Q</t>
  </si>
  <si>
    <t>RU5TSU9OX0NJX05FVF9BTVRfUkVDT0dfRk9SRUlHTi4xOTk4LjA2LzAzLzIwMjYuLi5VU0QuSAEAAADetgEAAwAAAAAAGtJP5s173gjl2984znveCEBDSVEuTllTRTpJQk0uSVFfUEVOU0lPTl9CUkVBS0RPV05fUENUX0ZJX0ZPUkVJR04uMTk5OC4wNi8wMy8yMDI2AQAAAN62AQADAAAAAAAa0k/mzXveCOXb3zjOe94IRkNJUS5OWVNFOklCTS5JUV9QRU5TSU9OX09CTElHQVRJT05fQUNRX0ZPUkVJR04uMTk5OC4wNi8wMy8yMDI2Li4uVVNELkgBAAAA3rYBAAMAAAAAABrST+bNe94I5dvfOM573ghAQ0lRLk5ZU0U6SUJNLklRX0NBUElUQUxJWkVEX0lOVEVSRVNUX0VYUC4xOTk4LjA2LzAzLzIwMjYuLi5VU0QuSAEAAADetgEAAwAAAAAAGtJP5s173gjQFuA4znveCEJDSVEuTllTRTpJQk0uSVFfUEVOU0lPTl9BU1NFVFNfQUNRX0ZPUkVJR04uMTk5OC4wNi8wMy8yMDI2Li4uVVNELkgBAAAA3rYBAAMAAAAAABrST+bNe94I0BbgOM573ghEQ0lRLk5ZU0U6SUJNLklRX1BFTlNJT05fU0VSVklDRV9DT1NUX0ZPUkVJR04uMTk5OC4wNi8wMy8yMDI2Li4uVVNELkgBAAAA3rYBAAMAAAAAABrST+bNe94I0BbgOM573ghRQ0lRLk5ZU0U6SUJNLklRX09QRUJfSU5DUkVBU0VfRUZGRUNUX1NFUlZJQ0VfSU5UX0NPU1RfRE9NLjE5OTguMDYvMDMvMjAyNi4uLlVTRC5IAQAAAN62AQADAAAAAAAa0k/mzXveCOXb3zjO</t>
  </si>
  <si>
    <t>e94IQENJUS5OWVNFOklCTS5JUV9PUEVCX0VTVF9CRU5FRklUXzRZUl9ET00uMTk5OC4wNi8wMy8yMDI2Li4uVVNELkgBAAAA3rYBAAMAAAAAABrST+bNe94I5dvfOM573ghDQ0lRLk5ZU0U6SUJNLklRX09QRUJfUFJJT1JfU0VSVklDRV9ORVhUX0RPTS4xOTk4LjA2LzAzLzIwMjYuLi5VU0QuSAEAAADetgEAAwAAAAAAGtJP5s173ghFPuA4znveCDlDSVEuTllTRTpJQk0uSVFfT1BFQl9CUkVBS0RPV05fUENUX0ZJX0RPTS4xOTk4LjA2LzAzLzIwMjYBAAAA3rYBAAMAAAAAABrST+bNe94IRT7gOM573gg8Q0lRLk5ZU0U6SUJNLklRX09QRUJfRVhQX1JBVEVfUkVUVVJOX01JTl9ET00uMTk5OC4wNi8wMy8yMDI2AQAAAN62AQADAAAAAAAa0k/mzXveCNAW4DjOe94IP0NJUS5OWVNFOklCTS5JUV9PUEVCX09USEVSX0NPU1RfRk9SRUlHTi4xOTk4LjA2LzAzLzIwMjYuLi5VU0QuSAEAAADetgEAAwAAAAAAGtJP5s173gjQFuA4znveCFBDSVEuTllTRTpJQk0uSVFfUEVOU0lPTl9FU1RfQ09OVFJJQlVUSU9OU19ORVhUWVJfRk9SRUlHTi4xOTk4LjA2LzAzLzIwMjYuLi5VU0QuSAEAAADetgEAAwAAAAAAGtJP5s173gjQFuA4znveCERDSVEuTllTRTpJQk0uSVFfT1BFQl9FU1RfQkVORUZJVF8xWVJfRk9SRUlHTi4xOTk4LjA2LzAzLzIwMjYuLi5VU0QuSAEAAADetgEAAwAAAAAAGtJP5s173ghFPuA4znveCFFD</t>
  </si>
  <si>
    <t>SVEuTllTRTpJQk0uSVFfT1BFQl9UT1RBTF9DT1NUX0lOQ0xfU1VQUExFX1BMQU5TX0ZPUkVJR04uMTk5OC4wNi8wMy8yMDI2Li4uVVNELkgBAAAA3rYBAAMAAAAAABrST+bNe94IRT7gOM573ghFQ0lRLk5ZU0U6SUJNLklRX1BFTlNJT05fQ0lfVFJBTlNJVElPTl9GT1JFSUdOLjE5OTguMDYvMDMvMjAyNi4uLlVTRC5IAQAAAN62AQADAAAAAAAa0k/mzXveCEU+4DjOe94IOkNJUS5OWVNFOklCTS5JUV9UT1RBTF9SRVZfRU1QTE9ZRUUuMTk5OC4wNi8wMy8yMDI2Li4uVVNELkgBAAAA3rYBAAMAAAAAABrST+bNe94IRT7gOM573ghDQ0lRLk5ZU0U6SUJNLklRX09QRUJfUkFURV9DT01QX0lOQ1JFQVNFX01JTl9GT1JFSUdOLjE5OTguMDYvMDMvMjAyNgEAAADetgEAAwAAAAAAGtJP5s173ghFPuA4znveCDlDSVEuTllTRTpJQk0uSVFfQVNTRVRfTUFOQUdFRF9HUk9XVEhfUkFURS4xOTk4LjA2LzAzLzIwMjYBAAAA3rYBAAMAAAAAABrST+bNe94IRT7gOM573gg+Q0lRLk5ZU0U6SUJNLklRX09QRUJfT1RIRVJfQURKX0ZPUkVJR04uMTk5OC4wNi8wMy8yMDI2Li4uVVNELkgBAAAA3rYBAAMAAAAAABrST+bNe94IRT7gOM573ghGQ0lRLk5ZU0U6SUJNLklRX1BFTlNJT05fUkFURV9DT01QX0lOQ1JFQVNFX01JTl9GT1JFSUdOLjE5OTguMDYvMDMvMjAyNgEAAADetgEAAwAAAAAAGtJP5s173ghFPuA4znveCEpD</t>
  </si>
  <si>
    <t>SVEuTllTRTpJQk0uSVFfUEVOU0lPTl9PQkxJR0FUSU9OX0NVUlRBSUxfRk9SRUlHTi4xOTk4LjA2LzAzLzIwMjYuLi5VU0QuSAEAAADetgEAAwAAAAAAGtJP5s173ghFPuA4znveCFlDSVEuTllTRTpJQk0uSVFfUEVOU0lPTl9PQkxJR0FUSU9OX0VNUExPWUVFX0NPTlRSSUJVVElPTlNfRk9SRUlHTi4xOTk4LjA2LzAzLzIwMjYuLi5VU0QuSAEAAADetgEAAwAAAAAAGtJP5s173ghFPuA4znveCEtDSVEuTllTRTpJQk0uSVFfT1BFQl9PQkxJR0FUSU9OX0FDQ1VNVUxBVEVEX0ZPUkVJR04uMTk5OC4wNi8wMy8yMDI2Li4uVVNELkgBAAAA3rYBAAMAAAAAABrST+bNe94Ic2XgOM573ghFQ0lRLk5ZU0U6SUJNLklRX1BFTlNJT05fVU5SRUNPR19QUklPUl9GT1JFSUdOLjE5OTguMDYvMDMvMjAyNi4uLlVTRC5IAQAAAN62AQADAAAAAAAa0k/mzXveCHNl4DjOe94IPUNJUS5OWVNFOklCTS5JUV9PUEVCX1BSRVBBSURfQ09TVF9ET00uMTk5OC4wNi8wMy8yMDI2Li4uVVNELkgBAAAA3rYBAAMAAAAAABrST+bNe94Ic2XgOM573ghEQ0lRLk5ZU0U6SUJNLklRX1BFTlNJT05fUEJPX0FTU1VNRURfUkFURV9SRVRfTUFYX0RPTS4xOTk4LjA2LzAzLzIwMjYBAAAA3rYBAAMAAAAAABrST+bNe94Ic2XgOM573ghAQ0lRLk5ZU0U6SUJNLklRX1BFTlNJT05fQlJFQUtET1dOX1JFX0RPTS4xOTk4LjA2LzAzLzIwMjYuLi5V</t>
  </si>
  <si>
    <t>U0QuSAEAAADetgEAAwAAAAAAGtJP5s173ghFPuA4znveCElDSVEuTllTRTpJQk0uSVFfUEVOU0lPTl9BU1NFVFNfT1RIRVJfUExBTl9BREpfRE9NLjE5OTguMDYvMDMvMjAyNi4uLlVTRC5IAQAAAN62AQADAAAAAAAa0k/mzXveCHNl4DjOe94IRkNJUS5OWVNFOklCTS5JUV9QRU5TSU9OX0FNVF9SRUNPR19ORVhUX0ZPUkVJR04uMTk5OC4wNi8wMy8yMDI2Li4uVVNELkgBAAAA3rYBAAMAAAAAABrST+bNe94Ic2XgOM573gg9Q0lRLk5ZU0U6SUJNLklRX09QRUJfQlJFQUtET1dOX0ZJX0RPTS4xOTk4LjA2LzAzLzIwMjYuLi5VU0QuSAEAAADetgEAAwAAAAAAGtJP5s173ghzZeA4znveCDZDSVEuTllTRTpJQk0uSVFfT1BFQl9ESVNDX1JBVEVfTUFYX0RPTS4xOTk4LjA2LzAzLzIwMjYBAAAA3rYBAAMAAAAAABrST+bNe94Ic2XgOM573ghJQ0lRLk5ZU0U6SUJNLklRX09QRUJfT0JMSUdBVElPTl9JTlRFUkVTVF9DT1NUX0RPTS4xOTk4LjA2LzAzLzIwMjYuLi5VU0QuSAEAAADetgEAAwAAAAAAGtJP5s173ghzZeA4znveCD5DSVEuTllTRTpJQk0uSVFfT1BFQl9JTlRFUkVTVF9DT1NUX0RPTS4xOTk4LjA2LzAzLzIwMjYuLi5VU0QuSAEAAADetgEAAwAAAAAAGtJP5s173ghzZeA4znveCDZDSVEuTllTRTpJQk0uSVFfUEVOU0lPTl9DTF9ET00uMTk5OC4wNi8wMy8yMDI2Li4uVVNELkgBAAAA3rYBAAMAAAAA</t>
  </si>
  <si>
    <t>ABrST+bNe94Ic2XgOM573ghCQ0lRLk5ZU0U6SUJNLklRX1BFTlNJT05fQU1UX1JFQ09HX05FWFRfRE9NLjE5OTguMDYvMDMvMjAyNi4uLlVTRC5IAQAAAN62AQADAAAAAAAa0k/mzXveCHNl4DjOe94IR0NJUS5OWVNFOklCTS5JUV9PUEVCX1BCT19SQVRFX0NPTVBfSU5DUkVBU0VfTUFYX0ZPUkVJR04uMTk5OC4wNi8wMy8yMDI2AQAAAN62AQADAAAAAAAa0k/mzXveCHNl4DjOe94IRUNJUS5OWVNFOklCTS5JUV9QRU5TSU9OX0FTU0VUU19GWF9BREpfRk9SRUlHTi4xOTk4LjA2LzAzLzIwMjYuLi5VU0QuSAEAAADetgEAAwAAAAAAGtJP5s173ghzZeA4znveCEdDSVEuTllTRTpJQk0uSVFfT1BFQl9PQkxJR0FUSU9OX0FDQ1VNVUxBVEVEX0RPTS4xOTk4LjA2LzAzLzIwMjYuLi5VU0QuSAEAAADetgEAAwAAAAAAGtJP5s173ghzZeA4znveCEBDSVEuTllTRTpJQk0uSVFfUEVOU0lPTl9CUkVBS0RPV05fRVFfRE9NLjE5OTguMDYvMDMvMjAyNi4uLlVTRC5IAQAAAN62AQADAAAAAAAa0k/mzXveCHNl4DjOe94IQkNJUS5OWVNFOklCTS5JUV9QRU5TSU9OX1JBVEVfQ09NUF9JTkNSRUFTRV9NSU5fRE9NLjE5OTguMDYvMDMvMjAyNgEAAADetgEAAwAAAAAAGtJP5s173ghzZeA4znveCDZDSVEuTllTRTpJQk0uSVFfT1BFQl9PVEhFUl9ET00uMTk5OC4wNi8wMy8yMDI2Li4uVVNELkgBAAAA3rYBAAMAAAAAABrS</t>
  </si>
  <si>
    <t>T+bNe94Ic2XgOM573ghAQ0lRLk5ZU0U6SUJNLklRX09QRUJfRVNUX0JFTkVGSVRfM1lSX0RPTS4xOTk4LjA2LzAzLzIwMjYuLi5VU0QuSAEAAADetgEAAwAAAAAAGtJP5s173ghzZeA4znveCE1DSVEuTllTRTpJQk0uSVFfT1BFQl9UT1RBTF9DT1NUX0lOQ0xfU1VQUExFX1BMQU5TX0RPTS4xOTk4LjA2LzAzLzIwMjYuLi5VU0QuSAEAAADetgEAAwAAAAAAGtJP5s173ghuoOA4znveCEVDSVEuTllTRTpJQk0uSVFfT1BFQl9DSV9ORVRfQU1UX1JFQ09HX0ZPUkVJR04uMTk5OC4wNi8wMy8yMDI2Li4uVVNELkgBAAAA3rYBAAMAAAAAABrST+bNe94IbqDgOM573ghMQ0lRLk5ZU0U6SUJNLklRX1BFTlNJT05fQVNTRVRTX0JFTkVGSVRTX1BBSURfRk9SRUlHTi4xOTk4LjA2LzAzLzIwMjYuLi5VU0QuSAEAAADetgEAAwAAAAAAGtJP5s173ghuoOA4znveCFBDSVEuTllTRTpJQk0uSVFfUEVOU0lPTl9RVUFSVF9FTVBMT1lFUl9DT05UUklCVVRJT05TX0RPTS4xOTk4LjA2LzAzLzIwMjYuLi5VU0QuSAEAAADetgEAAwAAAAAAGtJP5s173ghuoOA4znveCDlDSVEuTllTRTpJQk0uSVFfUEVOU0lPTl9PVEhFUl9ET00uMTk5OC4wNi8wMy8yMDI2Li4uVVNELkgBAAAA3rYBAAMAAAAAABrST+bNe94IbqDgOM573ghDQ0lRLk5ZU0U6SUJNLklRX1BFTlNJT05fRVNUX0JFTkVGSVRfMllSX0RPTS4xOTk4LjA2LzAzLzIw</t>
  </si>
  <si>
    <t>MjYuLi5VU0QuSAEAAADetgEAAwAAAAAAGtJP5s173ghuoOA4znveCERDSVEuTllTRTpJQk0uSVFfT1BFQl9PQkxJR0FUSU9OX1BBSURfRk9SRUlHTi4xOTk4LjA2LzAzLzIwMjYuLi5VU0QuSAEAAADetgEAAwAAAAAAGtJP5s173ghuoOA4znveCERDSVEuTllTRTpJQk0uSVFfT1BFQl9ERUNSRUFTRV9FRkZFQ1RfUEJPX0RPTS4xOTk4LjA2LzAzLzIwMjYuLi5VU0QuSAEAAADetgEAAwAAAAAAGtJP5s173ghuoOA4znveCDdDSVEuTllTRTpJQk0uSVFfT1BFQl9DSV9BQ1RfRE9NLjE5OTguMDYvMDMvMjAyNi4uLlVTRC5IAQAAAN62AQADAAAAAAAa0k/mzXveCG6g4DjOe94IRUNJUS5OWVNFOklCTS5JUV9PUEVCX0FTU0VUU19BQ1RVQUxfUkVUVVJOX0RPTS4xOTk4LjA2LzAzLzIwMjYuLi5VU0QuSAEAAADetgEAAwAAAAAAGtJP5s173ghuoOA4znveCD9DSVEuTllTRTpJQk0uSVFfT1BFQl9PQkxJR0FUSU9OX0FDUV9ET00uMTk5OC4wNi8wMy8yMDI2Li4uVVNELkgBAAAA3rYBAAMAAAAAABrST+bNe94IxsfgOM573gg5Q0lRLk5ZU0U6SUJNLklRX1BFTlNJT05fRElTQ19SQVRFX01BWF9ET00uMTk5OC4wNi8wMy8yMDI2AQAAAN62AQADAAAAAAAa0k/mzXveCMbH4DjOe94IPkNJUS5OWVNFOklCTS5JUV9QRU5TSU9OX0FTU0VUU19CRUdfRE9NLjE5OTguMDYvMDMvMjAyNi4uLlVTRC5IAQAAAN62AQADAAAA</t>
  </si>
  <si>
    <t>AAAa0k/mzXveCG6g4DjOe94IUENJUS5OWVNFOklCTS5JUV9QRU5TSU9OX09CTElHQVRJT05fSU5URVJFU1RfQ09TVF9GT1JFSUdOLjE5OTguMDYvMDMvMjAyNi4uLlVTRC5IAQAAAN62AQADAAAAAAAa0k/mzXveCG6g4DjOe94IQENJUS5OWVNFOklCTS5JUV9PUEVCX0VTVF9CRU5FRklUXzJZUl9ET00uMTk5OC4wNi8wMy8yMDI2Li4uVVNELkgBAAAA3rYBAAMAAAAAABrST+bNe94IbqDgOM573ghFQ0lRLk5ZU0U6SUJNLklRX09QRUJfT0JMSUdBVElPTl9QUk9KRUNURURfRE9NLjE5OTguMDYvMDMvMjAyNi4uLlVTRC5IAQAAAN62AQADAAAAAAAa0k/mzXveCMbH4DjOe94IRkNJUS5OWVNFOklCTS5JUV9QRU5TSU9OX0VTVF9CRU5FRklUX0FGVEVSNV9ET00uMTk5OC4wNi8wMy8yMDI2Li4uVVNELkgBAAAA3rYBAAMAAAAAABrST+bNe94IxsfgOM573ghDQ0lRLk5ZU0U6SUJNLklRX1BFTlNJT05fRVhQX1JBVEVfUkVUVVJOX01BWF9GT1JFSUdOLjE5OTguMDYvMDMvMjAyNgEAAADetgEAAwAAAAAAGtJP5s173gjGx+A4znveCD1DSVEuTllTRTpJQk0uSVFfUEVOU0lPTl9PVEhFUl9BREpfRE9NLjE5OTguMDYvMDMvMjAyNi4uLlVTRC5IAQAAAN62AQADAAAAAAAa0k/mzXveCMbH4DjOe94IPUNJUS5OWVNFOklCTS5JUV9QRU5TSU9OX0xUX0FTU0VUU19ET00uMTk5OC4wNi8wMy8yMDI2Li4uVVNELkgBAAAA</t>
  </si>
  <si>
    <t>3rYBAAMAAAAAABrST+bNe94IxsfgOM573ghDQ0lRLk5ZU0U6SUJNLklRX1BFTlNJT05fVFJBTlNJVElPTl9ORVhUX0RPTS4xOTk4LjA2LzAzLzIwMjYuLi5VU0QuSAEAAADetgEAAwAAAAAAGtJP5s173gjGx+A4znveCEBDSVEuTllTRTpJQk0uSVFfUEVOU0lPTl9CUkVBS0RPV05fRklfRE9NLjE5OTguMDYvMDMvMjAyNi4uLlVTRC5IAQAAAN62AQADAAAAAAAa0k/mzXveCMbH4DjOe94IQkNJUS5OWVNFOklCTS5JUV9QRU5TSU9OX0FTU0VUU19DVVJUQUlMX0RPTS4xOTk4LjA2LzAzLzIwMjYuLi5VU0QuSAEAAADetgEAAwAAAAAAGtJP5s173gjGx+A4znveCEVDSVEuTllTRTpJQk0uSVFfUEVOU0lPTl9PQkxJR0FUSU9OX0ZYX0FESl9ET00uMTk5OC4wNi8wMy8yMDI2Li4uVVNELkgBAAAA3rYBAAMAAAAAABrST+bNe94IxsfgOM573ghVQ0lRLk5ZU0U6SUJNLklRX1BFTlNJT05fT0JMSUdBVElPTl9FTVBMT1lFRV9DT05UUklCVVRJT05TX0RPTS4xOTk4LjA2LzAzLzIwMjYuLi5VU0QuSAEAAADetgEAAwAAAAAAGtJP5s173gjGx+A4znveCE1DSVEuTllTRTpJQk0uSVFfT1BFQl9ERUNSRUFTRV9FRkZFQ1RfU0VSVklDRV9JTlRfQ09TVC4xOTk4LjA2LzAzLzIwMjYuLi5VU0QuSAEAAADetgEAAwAAAAAAGtJP5s173gjGx+A4znveCDlDSVEuTllTRTpJQk0uSVFfT1BFQl9QUkVQQUlEX0NPU1QuMTk5OC4w</t>
  </si>
  <si>
    <t>Ni8wMy8yMDI2Li4uVVNELkgBAAAA3rYBAAMAAAAAABrST+bNe94IxsfgOM573ghUQ0lRLk5ZU0U6SUJNLklRX1BFTlNJT05fUVVBUlRfQURETF9DT05UUklCVVRJT05TX0VYUF9GT1JFSUdOLjE5OTguMDYvMDMvMjAyNi4uLlVTRC5IAQAAAN62AQADAAAAAAAa0k/mzXveCMbH4DjOe94IQENJUS5OWVNFOklCTS5JUV9PUEVCX0VYUF9SQVRFX1JFVFVSTl9NSU5fRk9SRUlHTi4xOTk4LjA2LzAzLzIwMjYBAAAA3rYBAAMAAAAAABrST+bNe94IxsfgOM573ghBQ0lRLk5ZU0U6SUJNLklRX1BFTlNJT05fTFRfQVNTRVRTX0ZPUkVJR04uMTk5OC4wNi8wMy8yMDI2Li4uVVNELkgBAAAA3rYBAAMAAAAAABrST+bNe94IxsfgOM573ghDQ0lRLk5ZU0U6SUJNLklRX1BFTlNJT05fQlJFQUtET1dOX1BDVF9PVEhFUl9GT1JFSUdOLjE5OTguMDYvMDMvMjAyNgEAAADetgEAAwAAAAAAGtJP5s173gjXAuE4znveCE1DSVEuTllTRTpJQk0uSVFfUEVOU0lPTl9PQkxJR0FUSU9OX1RPVEFMX0NPU1RfRk9SRUlHTi4xOTk4LjA2LzAzLzIwMjYuLi5VU0QuSAEAAADetgEAAwAAAAAAGtJP5s173gjGx+A4znveCD1DSVEuTllTRTpJQk0uSVFfUEVOU0lPTl9ESVNDX1JBVEVfTUlOX0ZPUkVJR04uMTk5OC4wNi8wMy8yMDI2AQAAAN62AQADAAAAAAAa0k/mzXveCMbH4DjOe94IOkNJUS5OWVNFOklCTS5JUV9PUEVCX0JFTkVGSVRf</t>
  </si>
  <si>
    <t>SU5GT19EQVRFX0RPTS4xOTk4LjA2LzAzLzIwMjYBAAAA3rYBAAMAAAAAABrST+bNe94IxsfgOM573gg4Q0lRLk5ZU0U6SUJNLklRX09QRUJfTFRfTElBQl9ET00uMTk5OC4wNi8wMy8yMDI2Li4uVVNELkgBAAAA3rYBAAMAAAAAABrST+bNe94I1wLhOM573gg5Q0lRLk5ZU0U6SUJNLklRX09QRUJfQlJFQUtET1dOX1BDVF9FUV9ET00uMTk5OC4wNi8wMy8yMDI2AQAAAN62AQADAAAAAAAa0k/mzXveCNcC4TjOe94IPkNJUS5OWVNFOklCTS5JUV9QRU5TSU9OX0NJX0FDVF9GT1JFSUdOLjE5OTguMDYvMDMvMjAyNi4uLlVTRC5IAQAAAN62AQADAAAAAAAa0k/mzXveCNcC4TjOe94IOkNJUS5OWVNFOklCTS5JUV9PUEVCX0RJU0NfUkFURV9NSU5fRk9SRUlHTi4xOTk4LjA2LzAzLzIwMjYBAAAA3rYBAAMAAAAAABrST+bNe94I1wLhOM573ghIQ0lRLk5ZU0U6SUJNLklRX1BFTlNJT05fUEJPX0FTU1VNRURfUkFURV9SRVRfTUFYX0ZPUkVJR04uMTk5OC4wNi8wMy8yMDI2AQAAAN62AQADAAAAAAAa0k/mzXveCNcC4TjOe94IQENJUS5OWVNFOklCTS5JUV9QRU5TSU9OX0JSRUFLRE9XTl9QQ1RfUkVfRk9SRUlHTi4xOTk4LjA2LzAzLzIwMjYBAAAA3rYBAAMAAAAAABrST+bNe94I1wLhOM573ghGQ0lRLk5ZU0U6SUJNLklRX1BFTlNJT05fUkFURV9DT01QX0lOQ1JFQVNFX01BWF9GT1JFSUdOLjE5OTguMDYvMDMv</t>
  </si>
  <si>
    <t>MjAyNgEAAADetgEAAwAAAAAAGtJP5s173gjXAuE4znveCEdDSVEuTllTRTpJQk0uSVFfUEVOU0lPTl9PQkxJR0FUSU9OX1BBSURfRk9SRUlHTi4xOTk4LjA2LzAzLzIwMjYuLi5VU0QuSAEAAADetgEAAwAAAAAAGtJP5s173gjXAuE4znveCDNDSVEuTllTRTpJQk0uSVFfT1BFQl9DTF9ET00uMTk5OC4wNi8wMy8yMDI2Li4uVVNELkgBAAAA3rYBAAMAAAAAABrST+bNe94I1wLhOM573gg9Q0lRLk5ZU0U6SUJNLklRX09QRUJfQlJFQUtET1dOX1JFX0RPTS4xOTk4LjA2LzAzLzIwMjYuLi5VU0QuSAEAAADetgEAAwAAAAAAGtJP5s173gjXAuE4znveCEhDSVEuTllTRTpJQk0uSVFfT1BFQl9TVVBQTEVfUExBTlNfVE9UQUxfQ09TVF9ET00uMTk5OC4wNi8wMy8yMDI2Li4uVVNELkgBAAAA3rYBAAMAAAAAABrST+bNe94IXSrhOM573ghDQ0lRLk5ZU0U6SUJNLklRX1BFTlNJT05fQlJFQUtET1dOX09USEVSX0RPTS4xOTk4LjA2LzAzLzIwMjYuLi5VU0QuSAEAAADetgEAAwAAAAAAGtJP5s173ghdKuE4znveCFVDSVEuTllTRTpJQk0uSVFfUEVOU0lPTl9BU1NFVFNfRU1QTE9ZRVJfQ09OVFJJQlVUSU9OU19GT1JFSUdOLjE5OTguMDYvMDMvMjAyNi4uLlVTRC5IAQAAAN62AQADAAAAAAAa0k/mzXveCF0q4TjOe94IP0NJUS5OWVNFOklCTS5JUV9PUEVCX0FNVF9SRUNPR19ORVhUX0RPTS4xOTk4LjA2LzAzLzIw</t>
  </si>
  <si>
    <t>MjYuLi5VU0QuSAEAAADetgEAAwAAAAAAGtJP5s173gjXAuE4znveCDxDSVEuTllTRTpJQk0uSVFfT1BFQl9FWFBfUkFURV9SRVRVUk5fTUFYX0RPTS4xOTk4LjA2LzAzLzIwMjYBAAAA3rYBAAMAAAAAABrST+bNe94I1wLhOM573ghBQ0lRLk5ZU0U6SUJNLklRX09QRUJfQ0lfUFJJT1JfU0VSVklDRV9ET00uMTk5OC4wNi8wMy8yMDI2Li4uVVNELkgBAAAA3rYBAAMAAAAAABrST+bNe94IXSrhOM573ghOQ0lRLk5ZU0U6SUJNLklRX09QRUJfQVNTRVRTX0VNUExPWUVSX0NPTlRSSUJVVElPTlNfRE9NLjE5OTguMDYvMDMvMjAyNi4uLlVTRC5IAQAAAN62AQADAAAAAAAa0k/mzXveCF0q4TjOe94IP0NJUS5OWVNFOklCTS5JUV9PUEVCX09CTElHQVRJT05fQkVHX0RPTS4xOTk4LjA2LzAzLzIwMjYuLi5VU0QuSAEAAADetgEAAwAAAAAAGtJP5s173ghdKuE4znveCDxDSVEuTllTRTpJQk0uSVFfUEVOU0lPTl9CUkVBS0RPV05fUENUX0VRX0RPTS4xOTk4LjA2LzAzLzIwMjYBAAAA3rYBAAMAAAAAABrST+bNe94IXSrhOM573ghDQ0lRLk5ZU0U6SUJNLklRX1BFTlNJT05fRVhQX1JFVFVSTl9ET01FU1RJQy4xOTk4LjA2LzAzLzIwMjYuLi5VU0QuSAEAAADetgEAAwAAAAAAGtJP5s173ghdKuE4znveCERDSVEuTllTRTpJQk0uSVFfUEVOU0lPTl9JTlRBTl9BU1NFVFNfRk9SRUlHTi4xOTk4LjA2LzAzLzIwMjYu</t>
  </si>
  <si>
    <t>Li5VU0QuSAEAAADetgEAAwAAAAAAGtJP5s173ghZUeE4znveCExDSVEuTllTRTpJQk0uSVFfUEVOU0lPTl9BU1NFVFNfQUNUVUFMX1JFVFVSTl9GT1JFSUdOLjE5OTguMDYvMDMvMjAyNi4uLlVTRC5IAQAAAN62AQADAAAAAAAa0k/mzXveCFlR4TjOe94IPUNJUS5OWVNFOklCTS5JUV9PUEVCX0FDQ1JVRURfTElBQl9ET00uMTk5OC4wNi8wMy8yMDI2Li4uVVNELkgBAAAA3rYBAAMAAAAAABrST+bNe94IXSrhOM573ghBQ0lRLk5ZU0U6SUJNLklRX1BFTlNJT05fQ0lfVFJBTlNJVElPTl9ET00uMTk5OC4wNi8wMy8yMDI2Li4uVVNELkgBAAAA3rYBAAMAAAAAABrST+bNe94IXSrhOM573ghfQ0lRLk5ZU0U6SUJNLklRX1BFTlNJT05fT0JMSUdBVElPTl9UT1RBTF9DT1NUX0lOQ0xfU1VQUExFX1BMQU5TX0ZPUkVJR04uMTk5OC4wNi8wMy8yMDI2Li4uVVNELkgBAAAA3rYBAAMAAAAAABrST+bNe94IXSrhOM573ghEQ0lRLk5ZU0U6SUJNLklRX09QRUJfSU5DUkVBU0VfRUZGRUNUX1BCT19ET00uMTk5OC4wNi8wMy8yMDI2Li4uVVNELkgBAAAA3rYBAAMAAAAAABrST+bNe94IWVHhOM573ghGQ0lRLk5ZU0U6SUJNLklRX09QRUJfQVNTRVRTX09USEVSX1BMQU5fQURKX0RPTS4xOTk4LjA2LzAzLzIwMjYuLi5VU0QuSAEAAADetgEAAwAAAAAAGtJP5s173ghZUeE4znveCDtDSVEuTllTRTpJQk0uSVFfT1BFQl9U</t>
  </si>
  <si>
    <t>T1RBTF9DT1NUX0RPTS4xOTk4LjA2LzAzLzIwMjYuLi5VU0QuSAEAAADetgEAAwAAAAAAGtJP5s173ghZUeE4znveCEhDSVEuTllTRTpJQk0uSVFfUEVOU0lPTl9PQkxJR0FUSU9OX1BST0pFQ1RFRF9ET00uMTk5OC4wNi8wMy8yMDI2Li4uVVNELkgBAAAA3rYBAAMAAAAAABrST+bNe94IWVHhOM573ghCQ0lRLk5ZU0U6SUJNLklRX1BFTlNJT05fT0JMSUdBVElPTl9CRUdfRE9NLjE5OTguMDYvMDMvMjAyNi4uLlVTRC5IAQAAAN62AQADAAAAAAAa0k/mzXveCFlR4TjOe94IPUNJUS5OWVNFOklCTS5JUV9PUEVCX1BCT19BU1NVTUVEX1JBVEVfUkVUX01JTi4xOTk4LjA2LzAzLzIwMjYBAAAA3rYBAAMAAAAAABrST+bNe94IWVHhOM573gg3Q0lRLk5ZU0U6SUJNLklRX09QRUJfQVNTRVRTX0FDUS4xOTk4LjA2LzAzLzIwMjYuLi5VU0QuSAEAAADetgEAAwAAAAAAGtJP5s173ghZUeE4znveCDlDSVEuTllTRTpJQk0uSVFfT1BFQl9TRVJWSUNFX0NPU1QuMTk5OC4wNi8wMy8yMDI2Li4uVVNELkgBAAAA3rYBAAMAAAAAABrST+bNe94IWVHhOM573gg+Q0lRLk5ZU0U6SUJNLklRX09QRUJfQ0lfVFJBTlNJVElPTl9ET00uMTk5OC4wNi8wMy8yMDI2Li4uVVNELkgBAAAA3rYBAAMAAAAAABrST+bNe94IWVHhOM573ghIQ0lRLk5ZU0U6SUJNLklRX1BFTlNJT05fQVNTRVRTX0FDVFVBTF9SRVRVUk5fRE9NLjE5OTgu</t>
  </si>
  <si>
    <t>MDYvMDMvMjAyNi4uLlVTRC5IAQAAAN62AQADAAAAAAAa0k/mzXveCFlR4TjOe94IPENJUS5OWVNFOklCTS5JUV9PUEVCX0JSRUFLRE9XTl9PVEhFUi4xOTk4LjA2LzAzLzIwMjYuLi5VU0QuSAEAAADetgEAAwAAAAAAGtJP5s173ghneOE4znveCDtDSVEuTllTRTpJQk0uSVFfT1BFQl9SQVRFX0NPTVBfSU5DUkVBU0VfTUlOLjE5OTguMDYvMDMvMjAyNgEAAADetgEAAwAAAAAAGtJP5s173ghneOE4znveCDdDSVEuTllTRTpJQk0uSVFfUE9TVF9SRVRJUkVfRVhQLjE5OTguMDYvMDMvMjAyNi4uLlVTRC5IAQAAAN62AQADAAAAAAAa0k/mzXveCGd44TjOe94IN0NJUS5OWVNFOklCTS5JUV9QRU5TSU9OX0xUX0xJQUIuMTk5OC4wNi8wMy8yMDI2Li4uVVNELkgBAAAA3rYBAAMAAAAAABrST+bNe94IZ3jhOM573ghCQ0lRLk5ZU0U6SUJNLklRX1BFTlNJT05fUEJPX1JBVEVfQ09NUF9JTkNSRUFTRV9NQVguMTk5OC4wNi8wMy8yMDI2AQAAAN62AQADAAAAAAAa0k/mzXveCFlR4TjOe94IP0NJUS5OWVNFOklCTS5JUV9QRU5TSU9OX0JSRUFLRE9XTl9PVEhFUi4xOTk4LjA2LzAzLzIwMjYuLi5VU0QuSAEAAADetgEAAwAAAAAAGtJP5s173ghneOE4znveCDVDSVEuTllTRTpJQk0uSVFfUEVOU0lPTl9ESVNDX1JBVEVfTUlOLjE5OTguMDYvMDMvMjAyNgEAAADetgEAAwAAAAAAGtJP5s173ghneOE4znveCD5DSVEu</t>
  </si>
  <si>
    <t>TllTRTpJQk0uSVFfUEVOU0lPTl9BU1NFVFNfQ1VSVEFJTC4xOTk4LjA2LzAzLzIwMjYuLi5VU0QuSAEAAADetgEAAwAAAAAAGtJP5s173ghneOE4znveCEFDSVEuTllTRTpJQk0uSVFfUEVOU0lPTl9PQkxJR0FUSU9OX0ZYX0FESi4xOTk4LjA2LzAzLzIwMjYuLi5VU0QuSAEAAADetgEAAwAAAAAAGtJP5s173ghneOE4znveCD1DSVEuTllTRTpJQk0uSVFfUEVOU0lPTl9JTlRFUkVTVF9DT1NULjE5OTguMDYvMDMvMjAyNi4uLlVTRC5IAQAAAN62AQADAAAAAAAa0k/mzXveCGd44TjOe94IMUNJUS5OWVNFOklCTS5JUV9JTlRBTl9ORVQuMTk5OC4wNi8wMy8yMDI2Li4uVVNELkgBAAAA3rYBAAIAAAAFMTIyNTMBCAAAAAUAAAABMQEAAAALLTE5MzQ4NjAxMjUDAAAAAzE2MAIAAAAFNDg5NjIEAAAAATAHAAAACDMvNi8yMDI2CAAAAAk2LzMwLzIwMjUJAAAAATAa0k/mzXveCH2f4TjOe94IQENJUS5OWVNFOklCTS5JUV9PUEVCX0JSRUFLRE9XTl9PVEhFUl9ET00uMTk5OC4wNi8wMy8yMDI2Li4uVVNELkgBAAAA3rYBAAMAAAAAABrST+bNe94IfZ/hOM573ghMQ0lRLk5ZU0U6SUJNLklRX1BFTlNJT05fT0JMSUdBVElPTl9JTlRFUkVTVF9DT1NUX0RPTS4xOTk4LjA2LzAzLzIwMjYuLi5VU0QuSAEAAADetgEAAwAAAAAAGtJP5s173gh9n+E4znveCDlDSVEuTllTRTpJQk0uSVFfT1BFQl9JTlRBTl9BU1NFVFMu</t>
  </si>
  <si>
    <t>MTk5OC4wNi8wMy8yMDI2Li4uVVNELkgBAAAA3rYBAAMAAAAAABrST+bNe94IfZ/hOM573gg8Q0lRLk5ZU0U6SUJNLklRX09QRUJfVFJBTlNJVElPTl9ORVhULjE5OTguMDYvMDMvMjAyNi4uLlVTRC5IAQAAAN62AQADAAAAAAAa0k/mzXveCGd44TjOe94IQUNJUS5OWVNFOklCTS5JUV9PUEVCX09CTElHQVRJT05fUFJPSkVDVEVELjE5OTguMDYvMDMvMjAyNi4uLlVTRC5IAQAAAN62AQADAAAAAAAa0k/mzXveCCqz4TjOe94IO0NJUS5OWVNFOklCTS5JUV9PUEVCX09USEVSX0NPU1RfRE9NLjE5OTguMDYvMDMvMjAyNi4uLlVTRC5IAQAAAN62AQADAAAAAAAa0k/mzXveCCqz4TjOe94IQkNJUS5OWVNFOklCTS5JUV9QRU5TSU9OX09CTElHQVRJT05fQUNRX0RPTS4xOTk4LjA2LzAzLzIwMjYuLi5VU0QuSAEAAADetgEAAwAAAAAAGtJP5s173ggqs+E4znveCEBDSVEuTllTRTpJQk0uSVFfUEVOU0lPTl9TRVJWSUNFX0NPU1RfRE9NLjE5OTguMDYvMDMvMjAyNi4uLlVTRC5IAQAAAN62AQADAAAAAAAa0k/mzXveCH2f4TjOe94IPENJUS5OWVNFOklCTS5JUV9PUEVCX0VTVF9CRU5FRklUXzVZUi4xOTk4LjA2LzAzLzIwMjYuLi5VU0QuSAEAAADetgEAAwAAAAAAGtJP5s173gh9n+E4znveCD9DSVEuTllTRTpJQk0uSVFfT1BFQl9QUklPUl9TRVJWSUNFX05FWFQuMTk5OC4wNi8wMy8yMDI2Li4uVVNELkgBAAAA</t>
  </si>
  <si>
    <t>3rYBAAMAAAAAABrST+bNe94I2MnhOM573gg4Q0lRLk5ZU0U6SUJNLklRX09QRUJfRVhQX1JBVEVfUkVUVVJOX01BWC4xOTk4LjA2LzAzLzIwMjYBAAAA3rYBAAMAAAAAABrST+bNe94I2MnhOM573ghBQ0lRLk5ZU0U6SUJNLklRX09QRUJfQVNTRVRTX0JFTkVGSVRTX1BBSUQuMTk5OC4wNi8wMy8yMDI2Li4uVVNELkgBAAAA3rYBAAMAAAAAABrST+bNe94I2MnhOM573ghFQ0lRLk5ZU0U6SUJNLklRX09QRUJfT0JMSUdBVElPTl9JTlRFUkVTVF9DT1NULjE5OTguMDYvMDMvMjAyNi4uLlVTRC5IAQAAAN62AQADAAAAAAAa0k/mzXveCNjJ4TjOe94IRkNJUS5OWVNFOklCTS5JUV9QRU5TSU9OX1BCT19SQVRFX0NPTVBfSU5DUkVBU0VfTUlOX0RPTS4xOTk4LjA2LzAzLzIwMjYBAAAA3rYBAAMAAAAAABrST+bNe94IKrPhOM573ghEQ0lRLk5ZU0U6SUJNLklRX1BFTlNJT05fQ0lfUFJJT1JfU0VSVklDRV9ET00uMTk5OC4wNi8wMy8yMDI2Li4uVVNELkgBAAAA3rYBAAMAAAAAABrST+bNe94I2MnhOM573gg/Q0lRLk5ZU0U6SUJNLklRX1BFTlNJT05fRVhQX1JBVEVfUkVUVVJOX01BWF9ET00uMTk5OC4wNi8wMy8yMDI2AQAAAN62AQADAAAAAAAa0k/mzXveCNjJ4TjOe94INkNJUS5OWVNFOklCTS5JUV9PUEVCX09USEVSX0FESi4xOTk4LjA2LzAzLzIwMjYuLi5VU0QuSAEAAADetgEAAwAAAAAAGtJP5s173gjY</t>
  </si>
  <si>
    <t>yeE4znveCDxDSVEuTllTRTpJQk0uSVFfT1BFQl9FU1RfQkVORUZJVF8zWVIuMTk5OC4wNi8wMy8yMDI2Li4uVVNELkgBAAAA3rYBAAMAAAAAABrST+bNe94I2MnhOM573gg5Q0lRLk5ZU0U6SUJNLklRX09QRUJfQlJFQUtET1dOX0ZJLjE5OTguMDYvMDMvMjAyNi4uLlVTRC5IAQAAAN62AQADAAAAAAAa0k/mzXveCNjJ4TjOe94IRkNJUS5OWVNFOklCTS5JUV9QRU5TSU9OX1BSSU9SX1NFUlZJQ0VfTkVYVF9ET00uMTk5OC4wNi8wMy8yMDI2Li4uVVNELkgBAAAA3rYBAAMAAAAAABrST+bNe94IXfHhOM573gg/Q0lRLk5ZU0U6SUJNLklRX1BFTlNJT05fQlJFQUtET1dOX1BDVF9PVEhFUl9ET00uMTk5OC4wNi8wMy8yMDI2AQAAAN62AQADAAAAAAAa0k/mzXveCF3x4TjOe94IUkNJUS5OWVNFOklCTS5JUV9QRU5TSU9OX09CTElHQVRJT05fQUNUVUFSSUFMX0dBSU5fTE9TU19ET00uMTk5OC4wNi8wMy8yMDI2Li4uVVNELkgBAAAA3rYBAAMAAAAAABrST+bNe94IXfHhOM573ghJQ0lRLk5ZU0U6SUJNLklRX1BFTlNJT05fT0JMSUdBVElPTl9UT1RBTF9DT1NUX0RPTS4xOTk4LjA2LzAzLzIwMjYuLi5VU0QuSAEAAADetgEAAwAAAAAAGtJP5s173gjYyeE4znveCEJDSVEuTllTRTpJQk0uSVFfUEVOU0lPTl9PQkxJR0FUSU9OX1JPQV9ET00uMTk5OC4wNi8wMy8yMDI2Li4uVVNELkgBAAAA3rYBAAMAAAAAABrS</t>
  </si>
  <si>
    <t>T+bNe94I2MnhOM573ghNQ0lRLk5ZU0U6SUJNLklRX09QRUJfSU5DUkVBU0VfRUZGRUNUX1NFUlZJQ0VfSU5UX0NPU1QuMTk5OC4wNi8wMy8yMDI2Li4uVVNELkgBAAAA3rYBAAMAAAAAABrST+bNe94IXfHhOM573gg+Q0lRLk5ZU0U6SUJNLklRX09QRUJfQ0lfT1RIRVJfTUlTQ19BREouMTk5OC4wNi8wMy8yMDI2Li4uVVNELkgBAAAA3rYBAAMAAAAAABrST+bNe94IXfHhOM573gg/Q0lRLk5ZU0U6SUJNLklRX09QRUJfT0JMSUdBVElPTl9DVVJUQUlMLjE5OTguMDYvMDMvMjAyNi4uLlVTRC5IAQAAAN62AQADAAAAAAAa0k/mzXveCF3x4TjOe94INUNJUS5OWVNFOklCTS5JUV9QRU5TSU9OX09USEVSLjE5OTguMDYvMDMvMjAyNi4uLlVTRC5IAQAAAN62AQADAAAAAAAa0k/mzXveCF3x4TjOe94IOUNJUS5OWVNFOklCTS5JUV9QRU5TSU9OX0xUX0FTU0VUUy4xOTk4LjA2LzAzLzIwMjYuLi5VU0QuSAEAAADetgEAAwAAAAAAGtJP5s173ghd8eE4znveCEBDSVEuTllTRTpJQk0uSVFfUEVOU0lPTl9QQk9fQVNTVU1FRF9SQVRFX1JFVF9NQVguMTk5OC4wNi8wMy8yMDI2AQAAAN62AQADAAAAAAAa0k/mzXveCF3x4TjOe94IPENJUS5OWVNFOklCTS5JUV9QRU5TSU9OX0JSRUFLRE9XTl9GSS4xOTk4LjA2LzAzLzIwMjYuLi5VU0QuSAEAAADetgEAAwAAAAAAGtJP5s173ghd8eE4znveCEVDSVEuTllTRTpJQk0u</t>
  </si>
  <si>
    <t>SVFfUEVOU0lPTl9BU1NFVFNfT1RIRVJfUExBTl9BREouMTk5OC4wNi8wMy8yMDI2Li4uVVNELkgBAAAA3rYBAAMAAAAAABrST+bNe94IXfHhOM573gg7Q0lRLk5ZU0U6SUJNLklRX09QRUJfQVNTRVRTX0JFR19ET00uMTk5OC4wNi8wMy8yMDI2Li4uVVNELkgBAAAA3rYBAAMAAAAAABrST+bNe94IXfHhOM573ghNQ0lRLk5ZU0U6SUJNLklRX1BFTlNJT05fT0JMSUdBVElPTl9PVEhFUl9QTEFOX0FESl9ET00uMTk5OC4wNi8wMy8yMDI2Li4uVVNELkgBAAAA3rYBAAMAAAAAABrST+bNe94IXfHhOM573gg+Q0lRLk5ZU0U6SUJNLklRX09QRUJfSEVBTFRIX0NPU1RfVFJFTkRfSU5JVElBTC4xOTk4LjA2LzAzLzIwMjYBAAAA3rYBAAMAAAAAABrST+bNe94IYSziOM573gg8Q0lRLk5ZU0U6SUJNLklRX09QRUJfRVNUX0JFTkVGSVRfMVlSLjE5OTguMDYvMDMvMjAyNi4uLlVTRC5IAQAAAN62AQADAAAAAAAa0k/mzXveCGEs4jjOe94IO0NJUS5OWVNFOklCTS5JUV9PUEVCX1JBVEVfQ09NUF9JTkNSRUFTRV9NQVguMTk5OC4wNi8wMy8yMDI2AQAAAN62AQADAAAAAAAa0k/mzXveCF3x4TjOe94ISkNJUS5OWVNFOklCTS5JUV9PUEVCX0FTU0VUU19FTVBMT1lFUl9DT05UUklCVVRJT05TLjE5OTguMDYvMDMvMjAyNi4uLlVTRC5IAQAAAN62AQADAAAAAAAa0k/mzXveCF3x4TjOe94IO0NJUS5OWVNFOklCTS5JUV9P</t>
  </si>
  <si>
    <t>UEVCX09CTElHQVRJT05fQkVHLjE5OTguMDYvMDMvMjAyNi4uLlVTRC5IAQAAAN62AQADAAAAAAAa0k/mzXveCF3x4TjOe94IQ0NJUS5OWVNFOklCTS5JUV9QRU5TSU9OX0VTVF9CRU5FRklUXzNZUl9ET00uMTk5OC4wNi8wMy8yMDI2Li4uVVNELkgBAAAA3rYBAAMAAAAAABrST+bNe94IYSziOM573gg6Q0lRLk5ZU0U6SUJNLklRX1BFTlNJT05fQ0lfQUNUX0RPTS4xOTk4LjA2LzAzLzIwMjYuLi5VU0QuSAEAAADetgEAAwAAAAAAGtJP5s173ghhLOI4znveCDpDSVEuTllTRTpJQk0uSVFfUEVOU0lPTl9BU1NFVFNfRE9NLjE5OTguMDYvMDMvMjAyNi4uLlVTRC5IAQAAAN62AQADAAAAAAAa0k/mzXveCGEs4jjOe94IUUNJUS5OWVNFOklCTS5JUV9QRU5TSU9OX0FTU0VUU19QQVJUSUNJUF9DT05UUklCVVRJT05TX0RPTS4xOTk4LjA2LzAzLzIwMjYuLi5VU0QuSAEAAADetgEAAwAAAAAAGtJP5s173ghhLOI4znveCFtDSVEuTllTRTpJQk0uSVFfUEVOU0lPTl9PQkxJR0FUSU9OX1RPVEFMX0NPU1RfSU5DTF9TVVBQTEVfUExBTlNfRE9NLjE5OTguMDYvMDMvMjAyNi4uLlVTRC5IAQAAAN62AQADAAAAAAAa0k/mzXveCGEs4jjOe94IOENJUS5OWVNFOklCTS5JUV9PUEVCX0JSRUFLRE9XTl9QQ1RfT1RIRVIuMTk5OC4wNi8wMy8yMDI2AQAAAN62AQADAAAAAAAa0k/mzXveCGEs4jjOe94IPkNJUS5OWVNFOklC</t>
  </si>
  <si>
    <t>TS5JUV9PUEVCX09CTElHQVRJT05fRlhfQURKLjE5OTguMDYvMDMvMjAyNi4uLlVTRC5IAQAAAN62AQADAAAAAAAa0k/mzXveCGEs4jjOe94IN0NJUS5OWVNFOklCTS5JUV9QRU5TSU9OX1VWX0xJQUIuMTk5OC4wNi8wMy8yMDI2Li4uVVNELkgBAAAA3rYBAAMAAAAAABrST+bNe94IYSziOM573gg/Q0lRLk5ZU0U6SUJNLklRX1BFTlNJT05fRVNUX0JFTkVGSVRfNVlSLjE5OTguMDYvMDMvMjAyNi4uLlVTRC5IAQAAAN62AQADAAAAAAAa0k/mzXveCGEs4jjOe94IQENJUS5OWVNFOklCTS5JUV9QRU5TSU9OX0NJX05FVF9BTVRfUkVDT0cuMTk5OC4wNi8wMy8yMDI2Li4uVVNELkgBAAAA3rYBAAMAAAAAABrST+bNe94IYSziOM573gg7Q0lRLk5ZU0U6SUJNLklRX1BFTlNJT05fRVhQX1JBVEVfUkVUVVJOX01BWC4xOTk4LjA2LzAzLzIwMjYBAAAA3rYBAAMAAAAAABrST+bNe94IxlPiOM573gg+Q0lRLk5ZU0U6SUJNLklRX1BFTlNJT05fUkFURV9DT01QX0lOQ1JFQVNFX01JTi4xOTk4LjA2LzAzLzIwMjYBAAAA3rYBAAMAAAAAABrST+bNe94IxlPiOM573ghGQ0lRLk5ZU0U6SUJNLklRX1BFTlNJT05fQUNDVU1VTEFURURfT0JMSUdBVElPTi4xOTk4LjA2LzAzLzIwMjYuLi5VU0QuSAEAAADetgEAAwAAAAAAGtJP5s173gjGU+I4znveCEdDSVEuTllTRTpJQk0uSVFfUEVOU0lPTl9DT05UUklCVVRJT05fVE9U</t>
  </si>
  <si>
    <t>QUxfQ09TVC4xOTk4LjA2LzAzLzIwMjYuLi5VU0QuSAEAAADetgEAAwAAAAAAGtJP5s173gjGU+I4znveCC9DSVEuTllTRTpJQk0uSVFfRklMSU5HX0NVUlJFTkNZLjE5OTguMDYvMDMvMjAyNgEAAADetgEAAwAAAANVU0QAFz9Q5s173gij8Ok4znveCDpDSVEuTllTRTpJQk0uSVFfR1JPU1NfSU5UQU5fQVNTRVRTLjE5OTguMDYvMDMvMjAyNi4uLlVTRC5IAQAAAN62AQACAAAABTIwNzI1AQgAAAAFAAAAATEBAAAACy0xOTM0ODYwMTI1AwAAAAMxNjACAAAABTI0MjkzBAAAAAEwBwAAAAgzLzYvMjAyNggAAAAJNi8zMC8yMDI1CQAAAAEwGtJP5s173gjXZ+I4znveCEFDSVEuTllTRTpJQk0uSVFfREVSSVZBVElWRV9UUkFESU5HX0FTU0VUUy4xOTk4LjA2LzAzLzIwMjYuLi5VU0QuSAEAAADetgEAAwAAAAAAGtJP5s173gjXZ+I4znveCD9DSVEuTllTRTpJQk0uSVFfUEVOU0lPTl9FWFBfUkFURV9SRVRVUk5fTUlOX0RPTS4xOTk4LjA2LzAzLzIwMjYBAAAA3rYBAAMAAAAAABrST+bNe94I12fiOM573gg+Q0lRLk5ZU0U6SUJNLklRX1BFTlNJT05fQVNTRVRTX0FDUV9ET00uMTk5OC4wNi8wMy8yMDI2Li4uVVNELkgBAAAA3rYBAAMAAAAAABrST+bNe94I12fiOM573gg6Q0lRLk5ZU0U6SUJNLklRX09QRUJfQVNTRVRTX0ZYX0FESi4xOTk4LjA2LzAzLzIwMjYuLi5VU0QuSAEAAADetgEAAwAAAAAAevlP5s17</t>
  </si>
  <si>
    <t>3gjXZ+I4znveCEBDSVEuTllTRTpJQk0uSVFfT1BFQl9FU1RfQkVORUZJVF8xWVJfRE9NLjE5OTguMDYvMDMvMjAyNi4uLlVTRC5IAQAAAN62AQADAAAAAAB6+U/mzXveCNdn4jjOe94IQENJUS5OWVNFOklCTS5JUV9QRU5TSU9OX0lOVEFOX0FTU0VUU19ET00uMTk5OC4wNi8wMy8yMDI2Li4uVVNELkgBAAAA3rYBAAMAAAAAAHr5T+bNe94I12fiOM573ghLQ0lRLk5ZU0U6SUJNLklRX1BFTlNJT05fT0JMSUdBVElPTl9TRVJWSUNFX0NPU1RfRE9NLjE5OTguMDYvMDMvMjAyNi4uLlVTRC5IAQAAAN62AQADAAAAAAB6+U/mzXveCNdn4jjOe94INUNJUS5OWVNFOklCTS5JUV9PUEVCX0FDVF9ORVhULjE5OTguMDYvMDMvMjAyNi4uLlVTRC5IAQAAAN62AQADAAAAAAB6+U/mzXveCNdn4jjOe94IMkNJUS5OWVNFOklCTS5JUV9PUEVCX0RJU0NfUkFURV9NQVguMTk5OC4wNi8wMy8yMDI2AQAAAN62AQADAAAAAAB6+U/mzXveCNdn4jjOe94IRENJUS5OWVNFOklCTS5JUV9PUEVCX1NVUFBMRV9QTEFOU19UT1RBTF9DT1NULjE5OTguMDYvMDMvMjAyNi4uLlVTRC5IAQAAAN62AQADAAAAAAB6+U/mzXveCNdn4jjOe94IMkNJUS5OWVNFOklCTS5JUV9QRU5TSU9OX0NMLjE5OTguMDYvMDMvMjAyNi4uLlVTRC5IAQAAAN62AQADAAAAAAB6+U/mzXveCNdn4jjOe94IQkNJUS5OWVNFOklCTS5JUV9QRU5TSU9OX1BCT19S</t>
  </si>
  <si>
    <t>QVRFX0NPTVBfSU5DUkVBU0VfTUlOLjE5OTguMDYvMDMvMjAyNgEAAADetgEAAwAAAAAAevlP5s173gjXZ+I4znveCEBDSVEuTllTRTpJQk0uSVFfUEVOU0lPTl9BTVRfUkVDT0dfUEVSSU9ELjE5OTguMDYvMDMvMjAyNi4uLlVTRC5IAQAAAN62AQADAAAAAAB6+U/mzXveCNdn4jjOe94IO0NJUS5OWVNFOklCTS5JUV9QRU5TSU9OX0JSRUFLRE9XTl9QQ1RfT1RIRVIuMTk5OC4wNi8wMy8yMDI2AQAAAN62AQADAAAAAAB6+U/mzXveCNdn4jjOe94IOkNJUS5OWVNFOklCTS5JUV9QRU5TSU9OX0FTU0VUU19BQ1EuMTk5OC4wNi8wMy8yMDI2Li4uVVNELkgBAAAA3rYBAAMAAAAAAHr5T+bNe94Iy6LiOM573gg/Q0lRLk5ZU0U6SUJNLklRX1BFTlNJT05fT0JMSUdBVElPTl9QQUlELjE5OTguMDYvMDMvMjAyNi4uLlVTRC5IAQAAAN62AQADAAAAAAB6+U/mzXveCMui4jjOe94INENJUS5OWVNFOklCTS5JUV9PUEVCX0xUX0xJQUIuMTk5OC4wNi8wMy8yMDI2Li4uVVNELkgBAAAA3rYBAAMAAAAAAHr5T+bNe94Iy6LiOM573gg2Q0lRLk5ZU0U6SUJNLklRX09QRUJfTFRfQVNTRVRTLjE5OTguMDYvMDMvMjAyNi4uLlVTRC5IAQAAAN62AQADAAAAAAB6+U/mzXveCNdn4jjOe94IPENJUS5OWVNFOklCTS5JUV9PUEVCX0VTVF9CRU5FRklUXzRZUi4xOTk4LjA2LzAzLzIwMjYuLi5VU0QuSAEAAADetgEAAwAAAAAAevlP</t>
  </si>
  <si>
    <t>5s173gjXZ+I4znveCDVDSVEuTllTRTpJQk0uSVFfT1BFQl9CUkVBS0RPV05fUENUX0ZJLjE5OTguMDYvMDMvMjAyNgEAAADetgEAAwAAAAAAevlP5s173gjLouI4znveCEpDSVEuTllTRTpJQk0uSVFfT1BFQl9BU1NFVFNfUEFSVElDSVBfQ09OVFJJQlVUSU9OUy4xOTk4LjA2LzAzLzIwMjYuLi5VU0QuSAEAAADetgEAAwAAAAAAevlP5s173gjLouI4znveCEtDSVEuTllTRTpJQk0uSVFfT1BFQl9PQkxJR0FUSU9OX0FDVFVBUklBTF9HQUlOX0xPU1MuMTk5OC4wNi8wMy8yMDI2Li4uVVNELkgBAAAA3rYBAAMAAAAAAHr5T+bNe94Iy6LiOM573ghJQ0lRLk5ZU0U6SUJNLklRX1BFTlNJT05fT0JMSUdBVElPTl9PVEhFUl9DT1NUX0RPTS4xOTk4LjA2LzAzLzIwMjYuLi5VU0QuSAEAAADetgEAAwAAAAAAevlP5s173gjLouI4znveCEFDSVEuTllTRTpJQk0uSVFfUEVOU0lPTl9JTlRFUkVTVF9DT1NUX0RPTS4xOTk4LjA2LzAzLzIwMjYuLi5VU0QuSAEAAADetgEAAwAAAAAAevlP5s173gjLouI4znveCDxDSVEuTllTRTpJQk0uSVFfT1BFQl9ORVRfQVNTRVRfUkVDT0cuMTk5OC4wNi8wMy8yMDI2Li4uVVNELkgBAAAA3rYBAAMAAAAAAHr5T+bNe94Iy6LiOM573gg6Q0lRLk5ZU0U6SUJNLklRX09QRUJfVU5SRUNPR19QUklPUi4xOTk4LjA2LzAzLzIwMjYuLi5VU0QuSAEAAADetgEAAwAAAAAAevlP5s173gjL</t>
  </si>
  <si>
    <t>ouI4znveCEFDSVEuTllTRTpJQk0uSVFfUEVOU0lPTl9VTlJFQ09HX1BSSU9SX0RPTS4xOTk4LjA2LzAzLzIwMjYuLi5VU0QuSAEAAADetgEAAwAAAAAAevlP5s173gjLouI4znveCERDSVEuTllTRTpJQk0uSVFfUEVOU0lPTl9DSV9ORVRfQU1UX1JFQ09HX0RPTS4xOTk4LjA2LzAzLzIwMjYuLi5VU0QuSAEAAADetgEAAwAAAAAAevlP5s173gjLouI4znveCFFDSVEuTllTRTpJQk0uSVFfUEVOU0lPTl9BU1NFVFNfRU1QTE9ZRVJfQ09OVFJJQlVUSU9OU19ET00uMTk5OC4wNi8wMy8yMDI2Li4uVVNELkgBAAAA3rYBAAMAAAAAAHr5T+bNe94Iy6LiOM573ghPQ0lRLk5ZU0U6SUJNLklRX1BFTlNJT05fQUNDVU1VTEFURURfT0JMSUdBVElPTl9ET01FU1RJQy4xOTk4LjA2LzAzLzIwMjYuLi5VU0QuSAEAAADetgEAAwAAAAAAevlP5s173gjLouI4znveCDZDSVEuTllTRTpJQk0uSVFfT1BFQl9CRU5FRklUX0lORk9fREFURS4xOTk4LjA2LzAzLzIwMjYBAAAA3rYBAAMAAAAAAHr5T+bNe94Iy6LiOM573ghAQ0lRLk5ZU0U6SUJNLklRX09QRUJfSU5DUkVBU0VfRUZGRUNUX1BCTy4xOTk4LjA2LzAzLzIwMjYuLi5VU0QuSAEAAADetgEAAwAAAAAAevlP5s173gjLouI4znveCDxDSVEuTllTRTpJQk0uSVFfT1BFQl9FU1RfQkVORUZJVF8yWVIuMTk5OC4wNi8wMy8yMDI2Li4uVVNELkgBAAAA3rYBAAMAAAAAAHr5</t>
  </si>
  <si>
    <t>T+bNe94Iy6LiOM573gg5Q0lRLk5ZU0U6SUJNLklRX09QRUJfQlJFQUtET1dOX0VRLjE5OTguMDYvMDMvMjAyNi4uLlVTRC5IAQAAAN62AQADAAAAAAB6+U/mzXveCOzg4jjOe94ISENJUS5OWVNFOklCTS5JUV9PUEVCX09CTElHQVRJT05fU0VSVklDRV9DT1NUX0RPTS4xOTk4LjA2LzAzLzIwMjYuLi5VU0QuSAEAAADetgEAAwAAAAAAevlP5s173gjs4OI4znveCDxDSVEuTllTRTpJQk0uSVFfUEVOU0lPTl9CUkVBS0RPV05fUENUX1JFX0RPTS4xOTk4LjA2LzAzLzIwMjYBAAAA3rYBAAMAAAAAAHr5T+bNe94I7ODiOM573ghBQ0lRLk5ZU0U6SUJNLklRX1BFTlNJT05fQVNTRVRTX0ZYX0FESl9ET00uMTk5OC4wNi8wMy8yMDI2Li4uVVNELkgBAAAA3rYBAAMAAAAAAHr5T+bNe94I7ODiOM573gg/Q0lRLk5ZU0U6SUJNLklRX09QRUJfUEJPX1JBVEVfQ09NUF9JTkNSRUFTRV9NQVguMTk5OC4wNi8wMy8yMDI2AQAAAN62AQADAAAAAAB6+U/mzXveCMui4jjOe94IOkNJUS5OWVNFOklCTS5JUV9PUEVCX0NJX1RSQU5TSVRJT04uMTk5OC4wNi8wMy8yMDI2Li4uVVNELkgBAAAA3rYBAAMAAAAAAHr5T+bNe94I7ODiOM573ghBQ0lRLk5ZU0U6SUJNLklRX09QRUJfQVNTRVRTX0FDVFVBTF9SRVRVUk4uMTk5OC4wNi8wMy8yMDI2Li4uVVNELkgBAAAA3rYBAAMAAAAAAHr5T+bNe94I7ODiOM573gg+Q0lRLk5ZU0U6</t>
  </si>
  <si>
    <t>SUJNLklRX1BFTlNJT05fQUNDVU1fT1RIRVJfQ0kuMTk5OC4wNi8wMy8yMDI2Li4uVVNELkgBAAAA3rYBAAMAAAAAAHr5T+bNe94I7ODiOM573ghEQ0lRLk5ZU0U6SUJNLklRX1BFTlNJT05fUEJPX0FTU1VNRURfUkFURV9SRVRfTUlOX0RPTS4xOTk4LjA2LzAzLzIwMjYBAAAA3rYBAAMAAAAAAHr5T+bNe94I7ODiOM573gg5Q0lRLk5ZU0U6SUJNLklRX1BFTlNJT05fRElTQ19SQVRFX01JTl9ET00uMTk5OC4wNi8wMy8yMDI2AQAAAN62AQADAAAAAAB6+U/mzXveCOzg4jjOe94IO0NJUS5OWVNFOklCTS5JUV9PUEVCX0FTU0VUU19DVVJUQUlMLjE5OTguMDYvMDMvMjAyNi4uLlVTRC5IAQAAAN62AQADAAAAAAB6+U/mzXveCF4I4zjOe94IOUNJUS5OWVNFOklCTS5JUV9PUEVCX0FDVF9ORVhUX0RPTS4xOTk4LjA2LzAzLzIwMjYuLi5VU0QuSAEAAADetgEAAwAAAAAAevlP5s173gheCOM4znveCENDSVEuTllTRTpJQk0uSVFfUEVOU0lPTl9FU1RfQkVORUZJVF8xWVJfRE9NLjE5OTguMDYvMDMvMjAyNi4uLlVTRC5IAQAAAN62AQADAAAAAAB6+U/mzXveCOzg4jjOe94IPUNJUS5OWVNFOklCTS5JUV9PUEVCX1BCT19BU1NVTUVEX1JBVEVfUkVUX01BWC4xOTk4LjA2LzAzLzIwMjYBAAAA3rYBAAMAAAAAAHr5T+bNe94I7ODiOM573gg1Q0lRLk5ZU0U6SUJNLklRX09QRUJfQlJFQUtET1dOX1BDVF9SRS4xOTk4</t>
  </si>
  <si>
    <t>LjA2LzAzLzIwMjYBAAAA3rYBAAMAAAAAAHr5T+bNe94I7ODiOM573ghFQ0lRLk5ZU0U6SUJNLklRX1BFTlNJT05fQ0lfT1RIRVJfTUlTQ19BREpfRE9NLjE5OTguMDYvMDMvMjAyNi4uLlVTRC5IAQAAAN62AQADAAAAAAB6+U/mzXveCCcc4zjOe94IQkNJUS5OWVNFOklCTS5JUV9QRU5TSU9OX1JBVEVfQ09NUF9JTkNSRUFTRV9NQVhfRE9NLjE5OTguMDYvMDMvMjAyNgEAAADetgEAAwAAAAAAevlP5s173ggnHOM4znveCDNDSVEuTllTRTpJQk0uSVFfT1BFQl9DSV9BQ1QuMTk5OC4wNi8wMy8yMDI2Li4uVVNELkgBAAAA3rYBAAMAAAAAAHr5T+bNe94IXgjjOM573ggyQ0lRLk5ZU0U6SUJNLklRX09QRUJfRElTQ19SQVRFX01JTi4xOTk4LjA2LzAzLzIwMjYBAAAA3rYBAAMAAAAAAHr5T+bNe94IXgjjOM573ghDQ0lRLk5ZU0U6SUJNLklRX09QRUJfT0JMSUdBVElPTl9BQ0NVTVVMQVRFRC4xOTk4LjA2LzAzLzIwMjYuLi5VU0QuSAEAAADetgEAAwAAAAAAevlP5s173gheCOM4znveCDJDSVEuTllTRTpJQk0uSVFfT1BFQl9PVEhFUi4xOTk4LjA2LzAzLzIwMjYuLi5VU0QuSAEAAADetgEAAwAAAAAAevlP5s173gg5MOM4znveCC9DSVEuTllTRTpJQk0uSVFfT1BFQl9DTC4xOTk4LjA2LzAzLzIwMjYuLi5VU0QuSAEAAADetgEAAwAAAAAAevlP5s173ggnHOM4znveCDtDSVEuTllTRTpJQk0uSVFfT1BFQl9B</t>
  </si>
  <si>
    <t>Q0NVTV9PVEhFUl9DSS4xOTk4LjA2LzAzLzIwMjYuLi5VU0QuSAEAAADetgEAAwAAAAAAevlP5s173ggnHOM4znveCDtDSVEuTllTRTpJQk0uSVFfT1BFQl9BTVRfUkVDT0dfTkVYVC4xOTk4LjA2LzAzLzIwMjYuLi5VU0QuSAEAAADetgEAAwAAAAAAevlP5s173ggnHOM4znveCDVDSVEuTllTRTpJQk0uSVFfT1BFQl9CUkVBS0RPV05fUENUX0VRLjE5OTguMDYvMDMvMjAyNgEAAADetgEAAwAAAAAAevlP5s173ggnHOM4znveCDdDSVEuTllTRTpJQk0uSVFfT1BFQl9UT1RBTF9DT1NULjE5OTguMDYvMDMvMjAyNi4uLlVTRC5IAQAAAN62AQADAAAAAAB6+U/mzXveCDkw4zjOe94ITENJUS5OWVNFOklCTS5JUV9QRU5TSU9OX1FVQVJUX0FERExfQ09OVFJJQlVUSU9OU19FWFAuMTk5OC4wNi8wMy8yMDI2Li4uVVNELkgBAAAA3rYBAAMAAAAAAHr5T+bNe94IOTDjOM573gg8Q0lRLk5ZU0U6SUJNLklRX1BFTlNJT05fQUNDUlVFRF9MSUFCLjE5OTguMDYvMDMvMjAyNi4uLlVTRC5IAQAAAN62AQADAAAAAAB6+U/mzXveCDkw4zjOe94IP0NJUS5OWVNFOklCTS5JUV9QRU5TSU9OX1RSQU5TSVRJT05fTkVYVC4xOTk4LjA2LzAzLzIwMjYuLi5VU0QuSAEAAADetgEAAwAAAAAAevlP5s173gg5MOM4znveCDtDSVEuTllTRTpJQk0uSVFfUEVOU0lPTl9MVF9MSUFCX0RPTS4xOTk4LjA2LzAzLzIwMjYuLi5VU0QuSAEA</t>
  </si>
  <si>
    <t>AADetgEAAwAAAAAAevlP5s173gg5MOM4znveCEhDSVEuTllTRTpJQk0uSVFfUEVOU0lPTl9BU1NFVFNfQkVORUZJVFNfUEFJRF9ET00uMTk5OC4wNi8wMy8yMDI2Li4uVVNELkgBAAAA3rYBAAMAAAAAAHr5T+bNe94IOTDjOM573gg5Q0lRLk5ZU0U6SUJNLklRX09QRUJfQUNDUlVFRF9MSUFCLjE5OTguMDYvMDMvMjAyNi4uLlVTRC5IAQAAAN62AQADAAAAAAB6+U/mzXveCDkw4zjOe94IP0NJUS5OWVNFOklCTS5JUV9PUEVCX0VTVF9CRU5FRklUX0FGVEVSNS4xOTk4LjA2LzAzLzIwMjYuLi5VU0QuSAEAAADetgEAAwAAAAAAevlP5s173gg5MOM4znveCE5DSVEuTllTRTpJQk0uSVFfT1BFQl9PQkxJR0FUSU9OX0VNUExPWUVFX0NPTlRSSUJVVElPTlMuMTk5OC4wNi8wMy8yMDI2Li4uVVNELkgBAAAA3rYBAAMAAAAAAHr5T+bNe94IOTDjOM573ghGQ0lRLk5ZU0U6SUJNLklRX1BFTlNJT05fUEJPX1JBVEVfQ09NUF9JTkNSRUFTRV9NQVhfRE9NLjE5OTguMDYvMDMvMjAyNgEAAADetgEAAwAAAAAAevlP5s173gg5MOM4znveCEZDSVEuTllTRTpJQk0uSVFfUEVOU0lPTl9PQkxJR0FUSU9OX0NVUlRBSUxfRE9NLjE5OTguMDYvMDMvMjAyNi4uLlVTRC5IAQAAAN62AQADAAAAAAB6+U/mzXveCIdX4zjOe94IOUNJUS5OWVNFOklCTS5JUV9PUEVCX0JSRUFLRE9XTl9SRS4xOTk4LjA2LzAzLzIwMjYuLi5VU0Qu</t>
  </si>
  <si>
    <t>SAEAAADetgEAAwAAAAAAevlP5s173giHV+M4znveCEJDSVEuTllTRTpJQk0uSVFfT1BFQl9BU1NFVFNfT1RIRVJfUExBTl9BREouMTk5OC4wNi8wMy8yMDI2Li4uVVNELkgBAAAA3rYBAAMAAAAAAHr5T+bNe94Ih1fjOM573ghGQ0lRLk5ZU0U6SUJNLklRX09QRUJfT0JMSUdBVElPTl9PVEhFUl9QTEFOX0FESi4xOTk4LjA2LzAzLzIwMjYuLi5VU0QuSAEAAADetgEAAwAAAAAAevlP5s173gg5MOM4znveCD1DSVEuTllTRTpJQk0uSVFfUEVOU0lPTl9VTlJFQ09HX1BSSU9SLjE5OTguMDYvMDMvMjAyNi4uLlVTRC5IAQAAAN62AQADAAAAAAB6+U/mzXveCDkw4zjOe94IP0NJUS5OWVNFOklCTS5JUV9QRU5TSU9OX0VTVF9CRU5FRklUXzJZUi4xOTk4LjA2LzAzLzIwMjYuLi5VU0QuSAEAAADetgEAAwAAAAAAevlP5s173giHV+M4znveCE5DSVEuTllTRTpJQk0uSVFfT1BFQl9BU1NFVFNfUEFSVElDSVBfQ09OVFJJQlVUSU9OU19ET00uMTk5OC4wNi8wMy8yMDI2Li4uVVNELkgBAAAA3rYBAAMAAAAAAHr5T+bNe94Ih1fjOM573gg4Q0lRLk5ZU0U6SUJNLklRX09QRUJfRVhQX1JBVEVfUkVUVVJOX01JTi4xOTk4LjA2LzAzLzIwMjYBAAAA3rYBAAMAAAAAAHr5T+bNe94Ih1fjOM573gg3Q0lRLk5ZU0U6SUJNLklRX09QRUJfRVhQX1JFVFVSTi4xOTk4LjA2LzAzLzIwMjYuLi5VU0QuSAEAAADetgEAAwAAAAAA</t>
  </si>
  <si>
    <t>evlP5s173giHV+M4znveCD5DSVEuTllTRTpJQk0uSVFfUEVOU0lPTl9ESVNDT1VOVF9SQVRFX0RPTUVTVElDLjE5OTguMDYvMDMvMjAyNgEAAADetgEAAwAAAAAAevlP5s173giHV+M4znveCEFDSVEuTllTRTpJQk0uSVFfUEVOU0lPTl9SQVRFX0NPTVBfR1JPV1RIX0RPTUVTVElDLjE5OTguMDYvMDMvMjAyNgEAAADetgEAAwAAAAAAevlP5s173giHV+M4znveCENDSVEuTllTRTpJQk0uSVFfUEVOU0lPTl9PQkxJR0FUSU9OX1BBSURfRE9NLjE5OTguMDYvMDMvMjAyNi4uLlVTRC5IAQAAAN62AQADAAAAAAB6+U/mzXveCIdX4zjOe94IP0NJUS5OWVNFOklCTS5JUV9PUEVCX0hFQUxUSF9DT1NUX1RSRU5EX1VMVElNQVRFLjE5OTguMDYvMDMvMjAyNgEAAADetgEAAwAAAAAAevlP5s173giHV+M4znveCEBDSVEuTllTRTpJQk0uSVFfT1BFQl9ERUNSRUFTRV9FRkZFQ1RfUEJPLjE5OTguMDYvMDMvMjAyNi4uLlVTRC5IAQAAAN62AQADAAAAAAB6+U/mzXveCIdX4zjOe94IP0NJUS5OWVNFOklCTS5JUV9PUEVCX1BCT19SQVRFX0NPTVBfSU5DUkVBU0VfTUlOLjE5OTguMDYvMDMvMjAyNgEAAADetgEAAwAAAAAAevlP5s173giyfuM4znveCD1DSVEuTllTRTpJQk0uSVFfT1BFQl9DSV9QUklPUl9TRVJWSUNFLjE5OTguMDYvMDMvMjAyNi4uLlVTRC5IAQAAAN62AQADAAAAAAB6+U/mzXveCLJ+4zjOe94IN0NJ</t>
  </si>
  <si>
    <t>US5OWVNFOklCTS5JUV9PUEVCX0FTU0VUU19CRUcuMTk5OC4wNi8wMy8yMDI2Li4uVVNELkgBAAAA3rYBAAMAAAAAAHr5T+bNe94Isn7jOM573ghEQ0lRLk5ZU0U6SUJNLklRX09QRUJfT0JMSUdBVElPTl9TRVJWSUNFX0NPU1QuMTk5OC4wNi8wMy8yMDI2Li4uVVNELkgBAAAA3rYBAAMAAAAAAHr5T+bNe94Isn7jOM573ghGQ0lRLk5ZU0U6SUJNLklRX1BFTlNJT05fVU5GVU5ERURfQURETF9NSU5fTElBQi4xOTk4LjA2LzAzLzIwMjYuLi5VU0QuSAEAAADetgEAAwAAAAAAevlP5s173giHV+M4znveCDxDSVEuTllTRTpJQk0uSVFfUEVOU0lPTl9JTlRBTl9BU1NFVFMuMTk5OC4wNi8wMy8yMDI2Li4uVVNELkgBAAAA3rYBAAMAAAAAAHr5T+bNe94Isn7jOM573ghCQ0lRLk5ZU0U6SUJNLklRX1BFTlNJT05fRVNUX0JFTkVGSVRfQUZURVI1LjE5OTguMDYvMDMvMjAyNi4uLlVTRC5IAQAAAN62AQADAAAAAAB6+U/mzXveCLJ+4zjOe94IQkNJUS5OWVNFOklCTS5JUV9QRU5TSU9OX1BSSU9SX1NFUlZJQ0VfTkVYVC4xOTk4LjA2LzAzLzIwMjYuLi5VU0QuSAEAAADetgEAAwAAAAAAevlP5s173giyfuM4znveCDhDSVEuTllTRTpJQk0uSVFfUEVOU0lPTl9CUkVBS0RPV05fUENUX0VRLjE5OTguMDYvMDMvMjAyNgEAAADetgEAAwAAAAAAevlP5s173giyfuM4znveCEBDSVEuTllTRTpJQk0uSVFfUEVOU0lPTl9D</t>
  </si>
  <si>
    <t>SV9QUklPUl9TRVJWSUNFLjE5OTguMDYvMDMvMjAyNi4uLlVTRC5IAQAAAN62AQADAAAAAAB6+U/mzXveCLJ+4zjOe94IRENJUS5OWVNFOklCTS5JUV9QRU5TSU9OX0FTU0VUU19CRU5FRklUU19QQUlELjE5OTguMDYvMDMvMjAyNi4uLlVTRC5IAQAAAN62AQADAAAAAAB6+U/mzXveCKql4zjOe94IRUNJUS5OWVNFOklCTS5JUV9DVVJSRU5UX1BPUlRfREVCVF9ERVJJVkFUSVZFUy4xOTk4LjA2LzAzLzIwMjYuLi5VU0QuSAEAAADetgEAAwAAAAAAevlP5s173giyfuM4znveCDpDSVEuTllTRTpJQk0uSVFfT1BFQl9JTlRFUkVTVF9DT1NULjE5OTguMDYvMDMvMjAyNi4uLlVTRC5IAQAAAN62AQADAAAAAAB6+U/mzXveCLJ+4zjOe94IQENJUS5OWVNFOklCTS5JUV9QRU5TSU9OX1BCT19BU1NVTUVEX1JBVEVfUkVUX01JTi4xOTk4LjA2LzAzLzIwMjYBAAAA3rYBAAMAAAAAAHr5T+bNe94Isn7jOM573ghFQ0lRLk5ZU0U6SUJNLklRX1BFTlNJT05fT0JMSUdBVElPTl9UT1RBTF9DT1NULjE5OTguMDYvMDMvMjAyNi4uLlVTRC5IAQAAAN62AQADAAAAAAB6+U/mzXveCLJ+4zjOe94ILENJUS5OWVNFOklCTS5JUV9BVURJVE9SX05BTUUuMTk5OC4wNi8wMy8yMDI2AQAAAN62AQADAAAAAAB6+U/mzXveCKql4zjOe94IPUNJUS5OWVNFOklCTS5JUV9GSU5fRElWX0xUX0RFQlRfVE9UQUwuMTk5OC4wNi8wMy8yMDI2</t>
  </si>
  <si>
    <t>Li4uVVNELkgBAAAA3rYBAAIAAAAFMTE3MzEBCAAAAAUAAAABMQEAAAALLTE5MzQ4NjAxMjUDAAAAAzE2MAIAAAAFMjQ1MTUEAAAAATAHAAAACDMvNi8yMDI2CAAAAAk2LzMwLzIwMjUJAAAAATB6+U/mzXveCKql4zjOe94IO0NJUS5OWVNFOklCTS5JUV9MSUFCSUxJVElFU19MRVZFTF8xLjE5OTguMDYvMDMvMjAyNi4uLlVTRC5IAQAAAN62AQADAAAAAAB6+U/mzXveCKql4zjOe94INkNJUS5OWVNFOklCTS5JUV9BU1NFVFNfTEVWRUxfMy4xOTk4LjA2LzAzLzIwMjYuLi5VU0QuSAEAAADetgEAAwAAAAAAevlP5s173giqpeM4znveCENDSVEuTllTRTpJQk0uSVFfRklOX0RJVl9NSU5PUklUWV9JTlRfUkVERUVNLjE5OTguMDYvMDMvMjAyNi4uLlVTRC5IAQAAAN62AQADAAAAAAB6+U/mzXveCKql4zjOe94ILUNJUS5OWVNFOklCTS5JUV9MSUZPUi4xOTk4LjA2LzAzLzIwMjYuLi5VU0QuSAEAAADetgEAAwAAAAAAevlP5s173ginueM4znveCDJDSVEuTllTRTpJQk0uSVFfQ0FTSF9TSEFSRS4xOTk4LjA2LzAzLzIwMjYuLi5VU0QuSAEAAADetgEAAgAAAAkxMi44MjA5OTEBCAAAAAUAAAABMQEAAAALLTE5MzQ4NjAxMjUDAAAAAzE2MAIAAAAENDM4MQQAAAABMAcAAAAIMy82LzIwMjYIAAAACTYvMzAvMjAyNQkAAAABMHr5T+bNe94Ip7njOM573gg8Q0lRLk5ZU0U6SUJNLklRX1BFTlNJT05fQlJFQUtET1dO</t>
  </si>
  <si>
    <t>X1JFLjE5OTguMDYvMDMvMjAyNi4uLlVTRC5IAQAAAN62AQADAAAAAAB6+U/mzXveCKe54zjOe94IOENJUS5OWVNFOklCTS5JUV9QRU5TSU9OX0JSRUFLRE9XTl9QQ1RfUkUuMTk5OC4wNi8wMy8yMDI2AQAAAN62AQADAAAAAAB6+U/mzXveCKe54zjOe94IUUNJUS5OWVNFOklCTS5JUV9QRU5TSU9OX09CTElHQVRJT05fRU1QTE9ZRUVfQ09OVFJJQlVUSU9OUy4xOTk4LjA2LzAzLzIwMjYuLi5VU0QuSAEAAADetgEAAwAAAAAAevlP5s173ginueM4znveCD1DSVEuTllTRTpJQk0uSVFfQURWQU5DRVNfRk9SX1NVUFBMSUVTLjE5OTguMDYvMDMvMjAyNi4uLlVTRC5IAQAAAN62AQADAAAAAAB6+U/mzXveCATS4zjOe94INkNJUS5OWVNFOklCTS5JUV9BQ0NVTV9BTU9SVF9HVy4xOTk4LjA2LzAzLzIwMjYuLi5VU0QuSAEAAADetgEAAwAAAAAAevlP5s173ggE0uM4znveCD9DSVEuTllTRTpJQk0uSVFfUEVOU0lPTl9ORVRfQVNTRVRfUkVDT0cuMTk5OC4wNi8wMy8yMDI2Li4uVVNELkgBAAAA3rYBAAMAAAAAAHr5T+bNe94IBNLjOM573ghEQ0lRLk5ZU0U6SUJNLklRX1BFTlNJT05fQVNTRVRTX0FDVFVBTF9SRVRVUk4uMTk5OC4wNi8wMy8yMDI2Li4uVVNELkgBAAAA3rYBAAMAAAAAAHr5T+bNe94IBNLjOM573ghCQ0lRLk5ZU0U6SUJNLklRX1BFTlNJT05fT0JMSUdBVElPTl9DVVJUQUlMLjE5OTguMDYvMDMv</t>
  </si>
  <si>
    <t>MjAyNi4uLlVTRC5IAQAAAN62AQADAAAAAAB6+U/mzXveCATS4zjOe94IQENJUS5OWVNFOklCTS5JUV9BQ0NVTV9BTU9SVF9JTlRBTl9BU1NFVFMuMTk5OC4wNi8wMy8yMDI2Li4uVVNELkgBAAAA3rYBAAIAAAAFLTkzNTcBCAAAAAUAAAABMQEAAAALLTE5MzQ4NjAxMjUDAAAAAzE2MAIAAAAFMjQzMzEEAAAAATAHAAAACDMvNi8yMDI2CAAAAAk2LzMwLzIwMjUJAAAAATB6+U/mzXveCJT54zjOe94IPENJUS5OWVNFOklCTS5JUV9XQVJSQU5UWV9MSUFCSUxJVElFUy4xOTk4LjA2LzAzLzIwMjYuLi5VU0QuSAEAAADetgEAAwAAAAAAevlP5s173giU+eM4znveCC5DSVEuTllTRTpJQk0uSVFfQ09TVF9CT1JST1dJTkcuMTk5OC4wNi8wMy8yMDI2AQAAAN62AQACAAAABjIuODUwNAEIAAAABQAAAAExAQAAAAstMTkzNDg2MDEyNQMAAAADMTYwAgAAAAUyMTY4MQQAAAABMAcAAAAIMy82LzIwMjYIAAAACTYvMzAvMjAyNQkAAAABMHr5T+bNe94IlPnjOM573gg5Q0lRLk5ZU0U6SUJNLklRX0ZJTl9ESVZfU1RfSU5WRVNULjE5OTguMDYvMDMvMjAyNi4uLlVTRC5IAQAAAN62AQADAAAAAAB6+U/mzXveCATS4zjOe94IPkNJUS5OWVNFOklCTS5JUV9MSUFCSUxJVElFU19GQUlSX1ZBTFVFLjE5OTguMDYvMDMvMjAyNi4uLlVTRC5IAQAAAN62AQACAAAABTUzNzg4AHr5T+bNe94IBNLjOM573ghGQ0lRLk5ZU0U6SUJN</t>
  </si>
  <si>
    <t>LklRX1RPVEFMX0dFTkVSQUxfUEFSVE5FUl9JTlRFUkVTVC4xOTk4LjA2LzAzLzIwMjYuLi5VU0QuSAEAAADetgEAAwAAAAAAevlP5s173giU+eM4znveCDFDSVEuTllTRTpJQk0uSVFfTUFDSElORVJZLjE5OTguMDYvMDMvMjAyNi4uLlVTRC5IAQAAAN62AQADAAAAAAB6+U/mzXveCJT54zjOe94IM0NJUS5OWVNFOklCTS5JUV9XT1JLSU5HX0NBUC4xOTk4LjA2LzAzLzIwMjYuLi5VU0QuSAEAAADetgEAAgAAAAUtMzQ3MwEIAAAABQAAAAExAQAAAAstMTkzNDg2MDEyNQMAAAADMTYwAgAAAAQ0MTY1BAAAAAEwBwAAAAgzLzYvMjAyNggAAAAJNi8zMC8yMDI1CQAAAAEwevlP5s173giU+eM4znveCDBDSVEuTllTRTpJQk0uSVFfTkVUX0RFQlQuMTk5OC4wNi8wMy8yMDI2Li4uVVNELkgBAAAA3rYBAAIAAAAFNTIyNzIBCAAAAAUAAAABMQEAAAALLTE5MzQ4NjAxMjUDAAAAAzE2MAIAAAAENDM2NAQAAAABMAcAAAAIMy82LzIwMjYIAAAACTYvMzAvMjAyNQkAAAABMHr5T+bNe94IlPnjOM573ggtQ0lRLk5ZU0U6SUJNLklRX0ZJTElOR0RBVEVfQlMuMTk5OC4wNi8wMy8yMDI2AQAAAN62AQAFAAAACjI0LzA3LzIwMjUAevlP5s173giU+eM4znveCD1DSVEuTllTRTpJQk0uSVFfTlBQRV9FWENMX09QRVJfTEVBU0VTLjE5OTguMDYvMDMvMjAyNi4uLlVTRC5IAQAAAN62AQACAAAABDU5NDIBCAAAAAUAAAABMQEA</t>
  </si>
  <si>
    <t>AAALLTE5MzQ4NjAxMjUDAAAAAzE2MAIAAAAFNDg5NzYEAAAAATAHAAAACDMvNi8yMDI2CAAAAAk2LzMwLzIwMjUJAAAAATB6+U/mzXveCJ0g5DjOe94INENJUS5OWVNFOklCTS5JUV9UT1RBTF9FUVVJVFkuMTk5OC4wNi8wMy8yMDI2Li4uVVNELkgBAAAA3rYBAAIAAAAFMjc1ODgBCAAAAAUAAAABMQEAAAALLTE5MzQ4NjAxMjUDAAAAAzE2MAIAAAAEMTI3NQQAAAABMAcAAAAIMy82LzIwMjYIAAAACTYvMzAvMjAyNQkAAAABMHr5T+bNe94InSDkOM573ggyQ0lRLk5ZU0U6SUJNLklRX1RPVEFMX0xJQUIuMTk5OC4wNi8wMy8yMDI2Li4uVVNELkgBAAAA3rYBAAIAAAAGMTIwOTk3AQgAAAAFAAAAATEBAAAACy0xOTM0ODYwMTI1AwAAAAMxNjACAAAABDEyNzYEAAAAATAHAAAACDMvNi8yMDI2CAAAAAk2LzMwLzIwMjUJAAAAATB6+U/mzXveCJ0g5DjOe94IL0NJUS5OWVNFOklCTS5JUV9QRU5TSU9OLjE5OTguMDYvMDMvMjAyNi4uLlVTRC5IAQAAAN62AQACAAAABDk4ODIBCAAAAAUAAAABMQEAAAALLTE5MzQ4NjAxMjUDAAAAAzE2MAIAAAAEMTIxMwQAAAABMAcAAAAIMy82LzIwMjYIAAAACTYvMzAvMjAyNQkAAAABMHr5T+bNe94InSDkOM573gg7Q0lRLk5ZU0U6SUJNLklRX0NVUlJFTlRfUE9SVF9MRUFTRVMuMTk5OC4wNi8wMy8yMDI2Li4uVVNELkgBAAAA3rYBAAIAAAADODIwAQgAAAAFAAAAATEBAAAA</t>
  </si>
  <si>
    <t>Cy0xOTM0ODYwMTI1AwAAAAMxNjACAAAABDEwOTAEAAAAATAHAAAACDMvNi8yMDI2CAAAAAk2LzMwLzIwMjUJAAAAATB6+U/mzXveCJ0g5DjOe94IM0NJUS5OWVNFOklCTS5JUV9PVEhFUl9JTlRBTi4xOTk4LjA2LzAzLzIwMjYuLi5VU0QuSAEAAADetgEAAgAAAAUxMjI1MwEIAAAABQAAAAExAQAAAAstMTkzNDg2MDEyNQMAAAADMTYwAgAAAAQxMDQwBAAAAAEwBwAAAAgzLzYvMjAyNggAAAAJNi8zMC8yMDI1CQAAAAEwevlP5s173ghtR+Q4znveCD9DSVEuTllTRTpJQk0uSVFfUEVOU0lPTl9FU1RfQkVORUZJVF8xWVIuMTk5OC4wNi8wMy8yMDI2Li4uVVNELkgBAAAA3rYBAAMAAAAAAHr5T+bNe94IbUfkOM573gg7Q0lRLk5ZU0U6SUJNLklRX0lOVEVSQ09NUEFOWV9OT05fQ0wuMTk5OC4wNi8wMy8yMDI2Li4uVVNELkgBAAAA3rYBAAMAAAAAAHr5T+bNe94InSDkOM573gg8Q0lRLk5ZU0U6SUJNLklRX0RFUklWQVRJVkVfQVNTRVRTX0xULjE5OTguMDYvMDMvMjAyNi4uLlVTRC5IAQAAAN62AQACAAAAAzMzOAEIAAAABQAAAAExAQAAAAstMTkzNDg2MDEyNQMAAAADMTYwAgAAAAQxMTEwBAAAAAEwBwAAAAgzLzYvMjAyNggAAAAJNi8zMC8yMDI1CQAAAAEwevlP5s173gidIOQ4znveCDlDSVEuTllTRTpJQk0uSVFfUEVOU0lPTl9CRU5FRklUX0lORk9fREFURS4xOTk4LjA2LzAzLzIwMjYBAAAA3rYBAAMA</t>
  </si>
  <si>
    <t>AAAAAHr5T+bNe94IiG7kOM573ghEQ0lRLk5ZU0U6SUJNLklRX1BFTlNJT05fT0JMSUdBVElPTl9QUk9KRUNURUQuMTk5OC4wNi8wMy8yMDI2Li4uVVNELkgBAAAA3rYBAAMAAAAAAHr5T+bNe94IbUfkOM573gg+Q0lRLk5ZU0U6SUJNLklRX1BFTlNJT05fT0JMSUdBVElPTl9CRUcuMTk5OC4wNi8wMy8yMDI2Li4uVVNELkgBAAAA3rYBAAMAAAAAAHr5T+bNe94IbUfkOM573ggyQ0lRLk5ZU0U6SUJNLklRX0FWR19URU1QX0VNUExPWUVFUy4xOTk4LjA2LzAzLzIwMjYBAAAA3rYBAAMAAAAAAHr5T+bNe94IbUfkOM573ghIQ0lRLk5ZU0U6SUJNLklRX0FTU0VUU19ORVRUSU5HX09USEVSX0FESlVTVE1FTlRTLjE5OTguMDYvMDMvMjAyNi4uLlVTRC5IAQAAAN62AQADAAAAAAB6+U/mzXveCIhu5DjOe94IP0NJUS5OWVNFOklCTS5JUV9NSU5PUklUWV9JTlRfUkVERUVNX1RPVC4xOTk4LjA2LzAzLzIwMjYuLi5VU0QuSAEAAADetgEAAwAAAAAAevlP5s173giIbuQ4znveCD1DSVEuTllTRTpJQk0uSVFfTEVBU0VIT0xEX0lNUFJPVkVNRU5ULjE5OTguMDYvMDMvMjAyNi4uLlVTRC5IAQAAAN62AQADAAAAAAB6+U/mzXveCIhu5DjOe94IM0NJUS5OWVNFOklCTS5JUV9BUl9VTkJJTExFRC4xOTk4LjA2LzAzLzIwMjYuLi5VU0QuSAEAAADetgEAAgAAAAM0OTUBCAAAAAUAAAABMQEAAAALLTE5MzQ4NjAxMjUDAAAA</t>
  </si>
  <si>
    <t>AzE2MAIAAAAFNDU0MjAEAAAAATAHAAAACDMvNi8yMDI2CAAAAAk2LzMwLzIwMjUJAAAAATB6+U/mzXveCIhu5DjOe94INkNJUS5OWVNFOklCTS5JUV9QRU5TSU9OX0FTU0VUUy4xOTk4LjA2LzAzLzIwMjYuLi5VU0QuSAEAAADetgEAAwAAAAAAevlP5s173giIbuQ4znveCDVDSVEuTllTRTpJQk0uSVFfT1JERVJfQkFDS0xPRy4xOTk4LjA2LzAzLzIwMjYuLi5VU0QuSAEAAADetgEAAwAAAAAAevlP5s173ghUqeQ4znveCD1DSVEuTllTRTpJQk0uSVFfT1BFQl9DSV9ORVRfQU1UX1JFQ09HLjE5OTguMDYvMDMvMjAyNi4uLlVTRC5IAQAAAN62AQADAAAAAAB6+U/mzXveCIhu5DjOe94ITUNJUS5OWVNFOklCTS5JUV9QRU5TSU9OX0FTU0VUU19QQVJUSUNJUF9DT05UUklCVVRJT05TLjE5OTguMDYvMDMvMjAyNi4uLlVTRC5IAQAAAN62AQADAAAAAAB6+U/mzXveCIhu5DjOe94ILkNJUS5OWVNFOklCTS5JUV9SRVNUQVRFTUVOVF9CUy4xOTk4LjA2LzAzLzIwMjYBAAAA3rYBAAMAAAABTwB6+U/mzXveCIhu5DjOe94IOkNJUS5OWVNFOklCTS5JUV9ERUJUX0VRVUlWX05FVF9QQk8uMTk5OC4wNi8wMy8yMDI2Li4uVVNELkgBAAAA3rYBAAMAAAAAAHr5T+bNe94IiG7kOM573ghHQ0lRLk5ZU0U6SUJNLklRX0ZBSVJfVkFMVUVfQ0hBTkdFX0lOQ0xfRUFSTklOR1MuMTk5OC4wNi8wMy8yMDI2Li4uVVNELkgBAAAA</t>
  </si>
  <si>
    <t>3rYBAAMAAAAAAHr5T+bNe94IVKnkOM573gg7Q0lRLk5ZU0U6SUJNLklRX0xJQUJJTElUSUVTX0xFVkVMXzMuMTk5OC4wNi8wMy8yMDI2Li4uVVNELkgBAAAA3rYBAAMAAAAAAHr5T+bNe94IVKnkOM573ghDQ0lRLk5ZU0U6SUJNLklRX0dFTkVSQUxfUEFSVE5FUl9QUkVGX0VRVUlUWS4xOTk4LjA2LzAzLzIwMjYuLi5VU0QuSAEAAADetgEAAwAAAAAAevlP5s173ghUqeQ4znveCDlDSVEuTllTRTpJQk0uSVFfUEVOU0lPTl9PVEhFUl9BREouMTk5OC4wNi8wMy8yMDI2Li4uVVNELkgBAAAA3rYBAAMAAAAAAHr5T+bNe94IVKnkOM573gg/Q0lRLk5ZU0U6SUJNLklRX1BFTlNJT05fRVNUX0JFTkVGSVRfNFlSLjE5OTguMDYvMDMvMjAyNi4uLlVTRC5IAQAAAN62AQADAAAAAAB6+U/mzXveCFSp5DjOe94IOkNJUS5OWVNFOklCTS5JUV9QRU5TSU9OX0FTU0VUU19CRUcuMTk5OC4wNi8wMy8yMDI2Li4uVVNELkgBAAAA3rYBAAMAAAAAAHr5T+bNe94IsNDkOM573ghFQ0lRLk5ZU0U6SUJNLklRX1BFTlNJT05fT0JMSUdBVElPTl9PVEhFUl9DT1NULjE5OTguMDYvMDMvMjAyNi4uLlVTRC5IAQAAAN62AQADAAAAAAB6+U/mzXveCLDQ5DjOe94IJ0NJUS5OWVNFOklCTS5JUV9HQUFQX0JTLjE5OTguMDYvMDMvMjAyNgEAAADetgEAAwAAAAdVUyBHQUFQAHr5T+bNe94IsNDkOM573gg2Q0lRLk5ZU0U6SUJNLklRX1BF</t>
  </si>
  <si>
    <t>TlNJT05fQ0lfQUNULjE5OTguMDYvMDMvMjAyNi4uLlVTRC5IAQAAAN62AQADAAAAAAB6+U/mzXveCLDQ5DjOe94IPkNJUS5OWVNFOklCTS5JUV9QRU5TSU9OX09CTElHQVRJT05fQUNRLjE5OTguMDYvMDMvMjAyNi4uLlVTRC5IAQAAAN62AQADAAAAAAB6+U/mzXveCFSp5DjOe94ISENJUS5OWVNFOklCTS5JUV9QRU5TSU9OX09CTElHQVRJT05fSU5URVJFU1RfQ09TVC4xOTk4LjA2LzAzLzIwMjYuLi5VU0QuSAEAAADetgEAAwAAAAAAevlP5s173gjG9+Q4znveCFJDSVEuTllTRTpJQk0uSVFfUEVOU0lPTl9PQkxJR0FUSU9OX1NVUFBMRV9QTEFOU19UT1RBTF9DT1NULjE5OTguMDYvMDMvMjAyNi4uLlVTRC5IAQAAAN62AQADAAAAAAB6+U/mzXveCMb35DjOe94IN0NJUS5OWVNFOklCTS5JUV9JTlRFUkNPTVBBTllfQ0EuMTk5OC4wNi8wMy8yMDI2Li4uVVNELkgBAAAA3rYBAAMAAAAAAHr5T+bNe94IsNDkOM573gg9Q0lRLk5ZU0U6SUJNLklRX1JFU1RSSUNURURfQ0FTSF9UT1RBTC4xOTk4LjA2LzAzLzIwMjYuLi5VU0QuSAEAAADetgEAAgAAAAI4MwEIAAAABQAAAAExAQAAAAstMTkzNDg2MDEyNQMAAAADMTYwAgAAAAUyNDE5MgQAAAABMAcAAAAIMy82LzIwMjYIAAAACTYvMzAvMjAyNQkAAAABMHr5T+bNe94IsNDkOM573gg/Q0lRLk5ZU0U6SUJNLklRX0VNUExPWUVFU19VTkRFUl9VTklPTl9DT05U</t>
  </si>
  <si>
    <t>UkFDVFMuMTk5OC4wNi8wMy8yMDI2AQAAAN62AQADAAAAAAB6+U/mzXveCLDQ5DjOe94INkNJUS5OWVNFOklCTS5JUV9BU1NFVFNfTEVWRUxfMi4xOTk4LjA2LzAzLzIwMjYuLi5VU0QuSAEAAADetgEAAgAAAAUxMDgyNAB6+U/mzXveCO0Q5TjOe94IO0NJUS5OWVNFOklCTS5JUV9NSU5PUklUWV9JTlRfUkVERUVNLjE5OTguMDYvMDMvMjAyNi4uLlVTRC5IAQAAAN62AQADAAAAAAB6+U/mzXveCO0Q5TjOe94IKkNJUS5OWVNFOklCTS5JUV9JTlZfTUVUSE9ELjE5OTguMDYvMDMvMjAyNgEAAADetgEAAwAAAAAAevlP5s173gjtEOU4znveCDhDSVEuTllTRTpJQk0uSVFfQUxMT1dfRE9VQlRfQUNDVC4xOTk4LjA2LzAzLzIwMjYuLi5VU0QuSAEAAADetgEAAgAAAAMxMDkBCAAAAAUAAAABMQEAAAALLTE5MzQ4NjAxMjUDAAAAAzE2MAIAAAAEMzAxMgQAAAABMAcAAAAIMy82LzIwMjYIAAAACTYvMzAvMjAyNQkAAAABMHr5T+bNe94IxvfkOM573ggxQ0lRLk5ZU0U6SUJNLklRX1RCVl9TSEFSRS4xOTk4LjA2LzAzLzIwMjYuLi5VU0QuSAEAAADetgEAAgAAAAotNTYuMDkxMTY1AQgAAAAFAAAAATEBAAAACy0xOTM0ODYwMTI1AwAAAAMxNjACAAAABDQxNTYEAAAAATAHAAAACDMvNi8yMDI2CAAAAAk2LzMwLzIwMjUJAAAAATB6+U/mzXveCMb35DjOe94ISUNJUS5OWVNFOklCTS5JUV9MVF9QT1JUSU9OX09QRVJf</t>
  </si>
  <si>
    <t>TEVBU0VfTElBQklMSVRJRVMuMTk5OC4wNi8wMy8yMDI2Li4uVVNELkgBAAAA3rYBAAIAAAAEMjczNQEIAAAABQAAAAExAQAAAAstMTkzNDg2MDEyNQMAAAADMTYwAgAAAAU0ODM4MwQAAAABMAcAAAAIMy82LzIwMjYIAAAACTYvMzAvMjAyNQkAAAABMHr5T+bNe94I7RDlOM573gg/Q0lRLk5ZU0U6SUJNLklRX1JVQV9DQVBJVEFMX0xFQVNFX0dST1NTLjE5OTguMDYvMDMvMjAyNi4uLlVTRC5IAQAAAN62AQADAAAAAAB6+U/mzXveCO0Q5TjOe94IM0NJUS5OWVNFOklCTS5JUV9QUkVGX0VRVUlUWS4xOTk4LjA2LzAzLzIwMjYuLi5VU0QuSAEAAADetgEAAwAAAAAAevlP5s173gjtEOU4znveCDdDSVEuTllTRTpJQk0uSVFfUFJFRl9OT05fUkVERUVNLjE5OTguMDYvMDMvMjAyNi4uLlVTRC5IAQAAAN62AQADAAAAAAB6+U/mzXveCO0Q5TjOe94IPENJUS5OWVNFOklCTS5JUV9ERUZfVEFYX0xJQUJfQ1VSUkVOVC4xOTk4LjA2LzAzLzIwMjYuLi5VU0QuSAEAAADetgEAAwAAAAAAevlP5s173gjtEOU4znveCDxDSVEuTllTRTpJQk0uSVFfUEVOU0lPTl9CUkVBS0RPV05fRVEuMTk5OC4wNi8wMy8yMDI2Li4uVVNELkgBAAAA3rYBAAMAAAAAAHr5T+bNe94IfEzlOM573gg1Q0lRLk5ZU0U6SUJNLklRX1BFTlNJT05fRElTQ19SQVRFX01BWC4xOTk4LjA2LzAzLzIwMjYBAAAA3rYBAAMAAAAAAHr5T+bNe94IfEzl</t>
  </si>
  <si>
    <t>OM573gg9Q0lRLk5ZU0U6SUJNLklRX1BFTlNJT05fQVNTRVRTX0ZYX0FESi4xOTk4LjA2LzAzLzIwMjYuLi5VU0QuSAEAAADetgEAAwAAAAAAevlP5s173gjtEOU4znveCC9DSVEuTllTRTpJQk0uSVFfQVVESVRPUl9PUElOSU9OLjE5OTguMDYvMDMvMjAyNgEAAADetgEAAwAAAAAAevlP5s173gjtEOU4znveCDdDSVEuTllTRTpJQk0uSVFfSU5URVJDT01QQU5ZX0NMLjE5OTguMDYvMDMvMjAyNi4uLlVTRC5IAQAAAN62AQADAAAAAAB6+U/mzXveCO0Q5TjOe94ILkNJUS5OWVNFOklCTS5JUV9HV19ORVQuMTk5OC4wNi8wMy8yMDI2Li4uVVNELkgBAAAA3rYBAAIAAAAFNjc1MDYBCAAAAAUAAAABMQEAAAALLTE5MzQ4NjAxMjUDAAAAAzE2MAIAAAAFNDg5NjAEAAAAATAHAAAACDMvNi8yMDI2CAAAAAk2LzMwLzIwMjUJAAAAATB6+U/mzXveCHxM5TjOe94IPkNJUS5OWVNFOklCTS5JUV9DT05USU5HRU5UX0xJQUJJTElUSUVTLjE5OTguMDYvMDMvMjAyNi4uLlVTRC5IAQAAAN62AQADAAAAAAB6+U/mzXveCHxM5TjOe94IO0NJUS5OWVNFOklCTS5JUV9QRU5TSU9OX0VYUF9SQVRFX1JFVFVSTl9NSU4uMTk5OC4wNi8wMy8yMDI2AQAAAN62AQADAAAAAAB6+U/mzXveCHxM5TjOe94IPENJUS5OWVNFOklCTS5JUV9QRU5TSU9OX1NFUlZJQ0VfQ09TVC4xOTk4LjA2LzAzLzIwMjYuLi5VU0QuSAEAAADetgEAAwAA</t>
  </si>
  <si>
    <t>AAAAevlP5s173gh8TOU4znveCEFDSVEuTllTRTpJQk0uSVFfREVSSVZBVElWRV9BU1NFVFNfQ1VSUkVOVC4xOTk4LjA2LzAzLzIwMjYuLi5VU0QuSAEAAADetgEAAgAAAAMzMjkBCAAAAAUAAAABMQEAAAALLTE5MzQ4NjAxMjUDAAAAAzE2MAIAAAAEMTEwOQQAAAABMAcAAAAIMy82LzIwMjYIAAAACTYvMzAvMjAyNQkAAAABMHr5T+bNe94IfEzlOM573ghDQ0lRLk5ZU0U6SUJNLklRX0RFUklWQVRJVkVfTElBQl9OT05fQ1VSUkVOVC4xOTk4LjA2LzAzLzIwMjYuLi5VU0QuSAEAAADetgEAAgAAAAMyNjIBCAAAAAUAAAABMQEAAAALLTE5MzQ4NjAxMjUDAAAAAzE2MAIAAAAFNDA0MTkEAAAAATAHAAAACDMvNi8yMDI2CAAAAAk2LzMwLzIwMjUJAAAAATB6+U/mzXveCP5z5TjOe94IOENJUS5OWVNFOklCTS5JUV9QRU5TSU9OX0JSRUFLRE9XTl9QQ1RfRkkuMTk5OC4wNi8wMy8yMDI2AQAAAN62AQADAAAAAAB6+U/mzXveCP5z5TjOe94IO0NJUS5OWVNFOklCTS5JUV9UT1RBTF9ERUJUX0VYQ0xfRklOLjE5OTguMDYvMDMvMjAyNi4uLlVTRC5IAQAAAN62AQACAAAABTY3NzE5AQgAAAAFAAAAATEBAAAACy0xOTM0ODYwMTI1AwAAAAMxNjACAAAABTIxODYwBAAAAAEwBwAAAAgzLzYvMjAyNggAAAAJNi8zMC8yMDI1CQAAAAEwevlP5s173gj+c+U4znveCC1DSVEuTllTRTpJQk0uSVFfQVZHX0VNUExPWUVFUy4x</t>
  </si>
  <si>
    <t>OTk4LjA2LzAzLzIwMjYBAAAA3rYBAAMAAAAAAHr5T+bNe94I/nPlOM573ggpQ0lRLk5ZU0U6SUJNLklRX1BBUlRfVElNRS4xOTk4LjA2LzAzLzIwMjYBAAAA3rYBAAMAAAAAAHr5T+bNe94I/nPlOM573gg7Q0lRLk5ZU0U6SUJNLklRX09QRUJfT0JMSUdBVElPTl9BQ1EuMTk5OC4wNi8wMy8yMDI2Li4uVVNELkgBAAAA3rYBAAMAAAAAAHr5T+bNe94I+JrlOM573ghMQ0lRLk5ZU0U6SUJNLklRX1BFTlNJT05fUVVBUlRfRU1QTE9ZRVJfQ09OVFJJQlVUSU9OUy4xOTk4LjA2LzAzLzIwMjYuLi5VU0QuSAEAAADetgEAAwAAAAAAevlP5s173gj4muU4znveCD9DSVEuTllTRTpJQk0uSVFfUEVOU0lPTl9FU1RfQkVORUZJVF8zWVIuMTk5OC4wNi8wMy8yMDI2Li4uVVNELkgBAAAA3rYBAAMAAAAAAHr5T+bNe94I+JrlOM573ghBQ0lRLk5ZU0U6SUJNLklRX1BFTlNJT05fQ0lfT1RIRVJfTUlTQ19BREouMTk5OC4wNi8wMy8yMDI2Li4uVVNELkgBAAAA3rYBAAMAAAAAAHr5T+bNe94I/nPlOM573ggsQ0lRLk5ZU0U6SUJNLklRX0NBTENfVFlQRV9CUy4xOTk4LjA2LzAzLzIwMjYBAAAA3rYBAAMAAAADUkVQAHr5T+bNe94I/nPlOM573gg7Q0lRLk5ZU0U6SUJNLklRX0xUX0RFQlRfREVSSVZBVElWRVMuMTk5OC4wNi8wMy8yMDI2Li4uVVNELkgBAAAA3rYBAAMAAAAAAHr5T+bNe94IBMLlOM573gg+Q0lRLk5ZU0U6</t>
  </si>
  <si>
    <t>SUJNLklRX1BFTlNJT05fUkFURV9DT01QX0lOQ1JFQVNFX01BWC4xOTk4LjA2LzAzLzIwMjYBAAAA3rYBAAMAAAAAAHr5T+bNe94I+JrlOM573ghIQ0lRLk5ZU0U6SUJNLklRX1BFTlNJT05fRVNUX0NPTlRSSUJVVElPTlNfTkVYVFlSLjE5OTguMDYvMDMvMjAyNi4uLlVTRC5IAQAAAN62AQADAAAAAAB6+U/mzXveCPia5TjOe94IOENJUS5OWVNFOklCTS5JUV9QRU5TSU9OX0FDVF9ORVhULjE5OTguMDYvMDMvMjAyNi4uLlVTRC5IAQAAAN62AQADAAAAAAB6+U/mzXveCPia5TjOe94IN0NJUS5OWVNFOklCTS5JUV9PUEVCX09USEVSX0NPU1QuMTk5OC4wNi8wMy8yMDI2Li4uVVNELkgBAAAA3rYBAAMAAAAAAHr5T+bNe94I+JrlOM573gg9Q0lRLk5ZU0U6SUJNLklRX1BFTlNJT05fQ0lfVFJBTlNJVElPTi4xOTk4LjA2LzAzLzIwMjYuLi5VU0QuSAEAAADetgEAAwAAAAAAevlP5s173ggEwuU4znveCDtDSVEuTllTRTpJQk0uSVFfSU5URVJDT01QQU5ZX05PTl9DQS4xOTk4LjA2LzAzLzIwMjYuLi5VU0QuSAEAAADetgEAAwAAAAAAevlP5s173ggEwuU4znveCDRDSVEuTllTRTpJQk0uSVFfR1dfSU5UQU5fTkVULjE5OTguMDYvMDMvMjAyNi4uLlVTRC5IAQAAAN62AQADAAAAAAB6+U/mzXveCATC5TjOe94IOkNJUS5OWVNFOklCTS5JUV9MVF9NQVJLX1NFQ1VSSVRJRVMuMTk5OC4wNi8wMy8yMDI2Li4uVVNE</t>
  </si>
  <si>
    <t>LkgBAAAA3rYBAAMAAAAAAHr5T+bNe94IBMLlOM573gg7Q0lRLk5ZU0U6SUJNLklRX1NUX0RFQlRfREVSSVZBVElWRVMuMTk5OC4wNi8wMy8yMDI2Li4uVVNELkgBAAAA3rYBAAMAAAAAAHr5T+bNe94IBMLlOM573ghDQ0lRLk5ZU0U6SUJNLklRX1JFU1RSSUNURURfQ0FTSF9OT05fQ1VSUkVOVC4xOTk4LjA2LzAzLzIwMjYuLi5VU0QuSAEAAADetgEAAwAAAAAAevlP5s173ghB6eU4znveCC9DSVEuTllTRTpJQk0uSVFfVE9UQUxfRU1QTE9ZRUVTLjE5OTguMDYvMDMvMjAyNgEAAADetgEAAwAAAAAAevlP5s173ghB6eU4znveCDZDSVEuTllTRTpJQk0uSVFfQVNTRVRTX0xFVkVMXzEuMTk5OC4wNi8wMy8yMDI2Li4uVVNELkgBAAAA3rYBAAIAAAADNTY0AHr5T+bNe94IQenlOM573gg8Q0lRLk5ZU0U6SUJNLklRX1BFTlNJT05fUFJFUEFJRF9DT1NULjE5OTguMDYvMDMvMjAyNi4uLlVTRC5IAQAAAN62AQADAAAAAAB6+U/mzXveCEHp5TjOe94ISUNJUS5OWVNFOklCTS5JUV9QRU5TSU9OX09CTElHQVRJT05fT1RIRVJfUExBTl9BREouMTk5OC4wNi8wMy8yMDI2Li4uVVNELkgBAAAA3rYBAAMAAAAAAHr5T+bNe94IBMLlOM573ggwQ0lRLk5ZU0U6SUJNLklRX0dST1NTX0dXLjE5OTguMDYvMDMvMjAyNi4uLlVTRC5IAQAAAN62AQADAAAAAAB6+U/mzXveCCAX5jjOe94IM0NJUS5OWVNFOklCTS5JUV9PUEVC</t>
  </si>
  <si>
    <t>X0FTU0VUUy4xOTk4LjA2LzAzLzIwMjYuLi5VU0QuSAEAAADetgEAAwAAAAAAevlP5s173ghB6eU4znveCDxDSVEuTllTRTpJQk0uSVFfT1BFQl9PQkxJR0FUSU9OX1BBSUQuMTk5OC4wNi8wMy8yMDI2Li4uVVNELkgBAAAA3rYBAAMAAAAAAHr5T+bNe94IQenlOM573ghNQ0lRLk5ZU0U6SUJNLklRX1BFTlNJT05fQVNTRVRTX0VNUExPWUVSX0NPTlRSSUJVVElPTlMuMTk5OC4wNi8wMy8yMDI2Li4uVVNELkgBAAAA3rYBAAMAAAAAAHr5T+bNe94IQenlOM573ghOQ0lRLk5ZU0U6SUJNLklRX1BFTlNJT05fT0JMSUdBVElPTl9BQ1RVQVJJQUxfR0FJTl9MT1NTLjE5OTguMDYvMDMvMjAyNi4uLlVTRC5IAQAAAN62AQADAAAAAAB6+U/mzXveCEHp5TjOe94IOkNJUS5OWVNFOklCTS5JUV9GSU5fRElWX0RFQlRfVE9UQUwuMTk5OC4wNi8wMy8yMDI2Li4uVVNELkgBAAAA3rYBAAIAAAAFMTE3MzEBCAAAAAUAAAABMQEAAAALLTE5MzQ4NjAxMjUDAAAAAzE2MAIAAAAFMjQ1MTYEAAAAATAHAAAACDMvNi8yMDI2CAAAAAk2LzMwLzIwMjUJAAAAATB6+U/mzXveCNkq5jjOe94IMUNJUS5OWVNFOklCTS5JUV9OVU1CRVJfQURSSE9MREVSUy4xOTk4LjA2LzAzLzIwMjYBAAAA3rYBAAMAAAAAAHr5T+bNe94I2SrmOM573gg5Q0lRLk5ZU0U6SUJNLklRX0FTU0VUU19GQUlSX1ZBTFVFLjE5OTguMDYvMDMvMjAyNi4uLlVT</t>
  </si>
  <si>
    <t>RC5IAQAAAN62AQACAAAABTExMzg4AHr5T+bNe94IIBfmOM573ghBQ0lRLk5ZU0U6SUJNLklRX0ZJTl9ESVZfTUlOT1JJVFlfSU5URVJFU1QuMTk5OC4wNi8wMy8yMDI2Li4uVVNELkgBAAAA3rYBAAMAAAAAAHr5T+bNe94IIBfmOM573ggvQ0lRLk5ZU0U6SUJNLklRX1dJUF9JTlYuMTk5OC4wNi8wMy8yMDI2Li4uVVNELkgBAAAA3rYBAAIAAAAEMTA2MwEIAAAABQAAAAExAQAAAAstMTkzNDg2MDEyNQMAAAADMTYwAgAAAAQzMjE5BAAAAAEwBwAAAAgzLzYvMjAyNggAAAAJNi8zMC8yMDI1CQAAAAEwevlP5s173gggF+Y4znveCDlDSVEuTllTRTpJQk0uSVFfUEVOU0lPTl9UT1RBTF9FWFAuMTk5OC4wNi8wMy8yMDI2Li4uVVNELkgBAAAA3rYBAAMAAAAAAHr5T+bNe94I2SrmOM573gg/Q0lRLk5ZU0U6SUJNLklRX0RFUklWQVRJVkVfTElBQl9DVVJSRU5ULjE5OTguMDYvMDMvMjAyNi4uLlVTRC5IAQAAAN62AQACAAAAAzU1OQEIAAAABQAAAAExAQAAAAstMTkzNDg2MDEyNQMAAAADMTYwAgAAAAU0MDQxNwQAAAABMAcAAAAIMy82LzIwMjYIAAAACTYvMzAvMjAyNQkAAAABMHr5T+bNe94I2SrmOM573ghHQ0lRLk5ZU0U6SUJNLklRX1BFTlNJT05fT0JMSUdBVElPTl9TRVJWSUNFX0NPU1QuMTk5OC4wNi8wMy8yMDI2Li4uVVNELkgBAAAA3rYBAAMAAAAAAHr5T+bNe94I2SrmOM573gg+Q0lRLk5ZU0U6SUJN</t>
  </si>
  <si>
    <t>LklRX1BFTlNJT05fT0JMSUdBVElPTl9ST0EuMTk5OC4wNi8wMy8yMDI2Li4uVVNELkgBAAAA3rYBAAMAAAAAAHr5T+bNe94I2SrmOM573ghNQ0lRLk5ZU0U6SUJNLklRX0xJQUJJTElUSUVTX05FVFRJTkdfT1RIRVJfQURKVVNUTUVOVFMuMTk5OC4wNi8wMy8yMDI2Li4uVVNELkgBAAAA3rYBAAMAAAAAAHr5T+bNe94I2SrmOM573ghJQ0lRLk5ZU0U6SUJNLklRX0dFTkVSQUxfUEFSVE5FUl9NSU5PUklUWV9JTlRFUkVTVC4xOTk4LjA2LzAzLzIwMjYuLi5VU0QuSAEAAADetgEAAwAAAAAAevlP5s173gjZKuY4znveCCtDSVEuTllTRTpJQk0uSVFfQ0lQLjE5OTguMDYvMDMvMjAyNi4uLlVTRC5IAQAAAN62AQADAAAAAAB6+U/mzXveCNkq5jjOe94IN0NJUS5OWVNFOklCTS5JUV9ORVRfV09SS0lOR19DQVAuMTk5OC4wNi8wMy8yMDI2Li4uVVNELkgBAAAA3rYBAAIAAAAFLTkxNTUBCAAAAAUAAAABMQEAAAALLTE5MzQ4NjAxMjUDAAAAAzE2MAIAAAAEMTMxMQQAAAABMAcAAAAIMy82LzIwMjYIAAAACTYvMzAvMjAyNQkAAAABMHr5T+bNe94I2SrmOM573ghOQ0lRLk5ZU0U6SUJNLklRX0NVUlJFTlRfUE9SVElPTl9PUEVSX0xFQVNFX0xJQUJJTElUSUVTLjE5OTguMDYvMDMvMjAyNi4uLlVTRC5IAQAAAN62AQACAAAAAzgyMAEIAAAABQAAAAExAQAAAAstMTkzNDg2MDEyNQMAAAADMTYwAgAAAAU0ODM4NQQA</t>
  </si>
  <si>
    <t>AAABMAcAAAAIMy82LzIwMjYIAAAACTYvMzAvMjAyNQkAAAABMHr5T+bNe94I2SrmOM573ghAQ0lRLk5ZU0U6SUJNLklRX0ZJTkFOQ0VfTEVBU0VTX0xPTkdfVEVSTS4xOTk4LjA2LzAzLzIwMjYuLi5VU0QuSAEAAADetgEAAgAAAAQxMTgwAQgAAAAFAAAAATEBAAAACy0xOTM0ODYwMTI1AwAAAAMxNjACAAAABTQ4OTkxBAAAAAEwBwAAAAgzLzYvMjAyNggAAAAJNi8zMC8yMDI1CQAAAAEwevlP5s173gjZKuY4znveCCpDSVEuTllTRTpJQk0uSVFfQUUuMTk5OC4wNi8wMy8yMDI2Li4uVVNELkgBAAAA3rYBAAIAAAAENjcyNgEIAAAABQAAAAExAQAAAAstMTkzNDg2MDEyNQMAAAADMTYwAgAAAAQxMDE2BAAAAAEwBwAAAAgzLzYvMjAyNggAAAAJNi8zMC8yMDI1CQAAAAEwevlP5s173gh3UuY4znveCDRDSVEuTllTRTpJQk0uSVFfVE9UQUxfQVNTRVRTLjE5OTguMDYvMDMvMjAyNi4uLlVTRC5IAQAAAN62AQACAAAABjE0ODU4NQEIAAAABQAAAAExAQAAAAstMTkzNDg2MDEyNQMAAAADMTYwAgAAAAQxMDA3BAAAAAEwBwAAAAgzLzYvMjAyNggAAAAJNi8zMC8yMDI1CQAAAAEwevlP5s173gh3UuY4znveCDZDSVEuTllTRTpJQk0uSVFfREVGX0NIQVJHRVNfTFQuMTk5OC4wNi8wMy8yMDI2Li4uVVNELkgBAAAA3rYBAAIAAAADNzk1AQgAAAAFAAAAATEBAAAACy0xOTM0ODYwMTI1AwAAAAMxNjACAAAABDEwMjUE</t>
  </si>
  <si>
    <t>AAAAATAHAAAACDMvNi8yMDI2CAAAAAk2LzMwLzIwMjUJAAAAATB6+U/mzXveCHdS5jjOe94ILENJUS5OWVNFOklCTS5JUV9HUFBFLjE5OTguMDYvMDMvMjAyNi4uLlVTRC5IAQAAAN62AQACAAAABTIxNDc1AQgAAAAFAAAAATEBAAAACy0xOTM0ODYwMTI1AwAAAAMxNjACAAAABDExNjkEAAAAATAHAAAACDMvNi8yMDI2CAAAAAk2LzMwLzIwMjUJAAAAATB6+U/mzXveCHdS5jjOe94ILkNJUS5OWVNFOklCTS5JUV9SRVNUQVRFTUVOVF9DRi4xOTk4LjA2LzAzLzIwMjYBAAAA3rYBAAMAAAABTwB6+U/mzXveCHdS5jjOe94IRUNJUS5OWVNFOklCTS5JUV9UT1RBTF9ERUJUX1JFUEFJRF9FWENMX0xFQVNFUy4xOTk4LjA2LzAzLzIwMjYuLi5VU0QuSAEAAADetgEAAgAAAAUtMzk4NQEIAAAABQAAAAExAQAAAAstMTkzNDg2MDEyNQMAAAADMTYwAgAAAAU0ODk4NgQAAAABMAcAAAAIMy82LzIwMjYIAAAACTYvMzAvMjAyNQkAAAABMHr5T+bNe94Id1LmOM573gg8Q0lRLk5ZU0U6SUJNLklRX0NIQU5HRV9ERUZfVEFYX1RPVEFMLjE5OTguMDYvMDMvMjAyNi4uLlVTRC5IAQAAAN62AQACAAAABS0yMzMwAQgAAAAFAAAAATEBAAAACy0xOTM0ODYwMTI1AwAAAAMxNjACAAAABTMwOTI0BAAAAAEwBwAAAAgzLzYvMjAyNggAAAAJNi8zMC8yMDI1CQAAAAEwevlP5s173gh3UuY4znveCDRDSVEuTllTRTpJQk0uSVFfQU1P</t>
  </si>
  <si>
    <t>UlRfRElDX0NGLjE5OTguMDYvMDMvMjAyNi4uLlVTRC5IAQAAAN62AQADAAAAAAB6+U/mzXveCHdS5jjOe94INkNJUS5OWVNFOklCTS5JUV9NSVNDX0FESlVTVF9DRi4xOTk4LjA2LzAzLzIwMjYuLi5VU0QuSAEAAADetgEAAgAAAAExAQgAAAAFAAAAATEBAAAACy0xOTM0ODYwMTI1AwAAAAMxNjACAAAABDIxNDkEAAAAATAHAAAACDMvNi8yMDI2CAAAAAk2LzMwLzIwMjUJAAAAATB6+U/mzXveCHdS5jjOe94IOUNJUS5OWVNFOklCTS5JUV9DVVJSRU5UX1BPUlRfREVCVC4xOTk4LjA2LzAzLzIwMjYuLi5VU0QuSAEAAADetgEAAgAAAAQ4OTQ0AQgAAAAFAAAAATEBAAAACy0xOTM0ODYwMTI1AwAAAAMxNjACAAAABDEyOTcEAAAAATAHAAAACDMvNi8yMDI2CAAAAAk2LzMwLzIwMjUJAAAAATB6+U/mzXveCHdS5jjOe94IM0NJUS5OWVNFOklCTS5JUV9QUkVQQUlEX0VYUC4xOTk4LjA2LzAzLzIwMjYuLi5VU0QuSAEAAADetgEAAgAAAAQxOTcyAQgAAAAFAAAAATEBAAAACy0xOTM0ODYwMTI1AwAAAAMxNjACAAAABDEyMTIEAAAAATAHAAAACDMvNi8yMDI2CAAAAAk2LzMwLzIwMjUJAAAAATB6+U/mzXveCHB55jjOe94IMUNJUS5OWVNFOklCTS5JUV9CVUlMRElOR1MuMTk5OC4wNi8wMy8yMDI2Li4uVVNELkgBAAAA3rYBAAMAAAAAAHr5T+bNe94IcHnmOM573ggvQ0lRLk5ZU0U6SUJNLklRX1JVQV9ORVQuMTk5</t>
  </si>
  <si>
    <t>OC4wNi8wMy8yMDI2Li4uVVNELkgBAAAA3rYBAAMAAAAAAHr5T+bNe94IcHnmOM573gg0Q0lRLk5ZU0U6SUJNLklRX1BSRUZfQ09OVkVSVC4xOTk4LjA2LzAzLzIwMjYuLi5VU0QuSAEAAADetgEAAwAAAAAAevlP5s173gh3UuY4znveCDNDSVEuTllTRTpJQk0uSVFfUFJFRl9SRURFRU0uMTk5OC4wNi8wMy8yMDI2Li4uVVNELkgBAAAA3rYBAAMAAAAAAHr5T+bNe94Id1LmOM573gg1Q0lRLk5ZU0U6SUJNLklRX09USEVSX0xJQUJfTFQuMTk5OC4wNi8wMy8yMDI2Li4uVVNELkgBAAAA3rYBAAIAAAAFMTE1MjIBCAAAAAUAAAABMQEAAAALLTE5MzQ4NjAxMjUDAAAAAzE2MAIAAAAEMTA2MgQAAAABMAcAAAAIMy82LzIwMjYIAAAACTYvMzAvMjAyNQkAAAABMHr5T+bNe94IqI3mOM573gg8Q0lRLk5ZU0U6SUJNLklRX0ZJTl9ESVZfREVCVF9DVVJSRU5ULjE5OTguMDYvMDMvMjAyNi4uLlVTRC5IAQAAAN62AQADAAAAAAB6+U/mzXveCHB55jjOe94INkNJUS5OWVNFOklCTS5JUV9PVEhFUl9DQV9TVVBQTC4xOTk4LjA2LzAzLzIwMjYuLi5VU0QuSAEAAADetgEAAgAAAAQxNTM3AQgAAAAFAAAAATEBAAAACy0xOTM0ODYwMTI1AwAAAAMxNjACAAAABDEwNTUEAAAAATAHAAAACDMvNi8yMDI2CAAAAAk2LzMwLzIwMjUJAAAAATB6+U/mzXveCHB55jjOe94IMkNJUS5OWVNFOklCTS5JUV9DQVNIX0VRVUlWLjE5OTgu</t>
  </si>
  <si>
    <t>MDYvMDMvMjAyNi4uLlVTRC5IAQAAAN62AQACAAAABTExOTQzAQgAAAAFAAAAATEBAAAACy0xOTM0ODYwMTI1AwAAAAMxNjACAAAABDEwOTYEAAAAATAHAAAACDMvNi8yMDI2CAAAAAk2LzMwLzIwMjUJAAAAATB6+U/mzXveCHB55jjOe94INENJUS5OWVNFOklCTS5JUV9ET19JTlZFU1RfQ0YuMTk5OC4wNi8wMy8yMDI2Li4uVVNELkgBAAAA3rYBAAMAAAAAAHr5T+bNe94IcHnmOM573gg+Q0lRLk5ZU0U6SUJNLklRX05BVFVSQUxfUkVTT1VSQ0VTX0NPU1QuMTk5OC4wNi8wMy8yMDI2Li4uVVNELkgBAAAA3rYBAAMAAAAAAHr5T+bNe94IzNvmOM573ggwQ0lRLk5ZU0U6SUJNLklRX0JWX1NIQVJFLjE5OTguMDYvMDMvMjAyNi4uLlVTRC5IAQAAAN62AQACAAAACTI5LjUzMTMyNwEIAAAABQAAAAExAQAAAAstMTkzNDg2MDEyNQMAAAADMTYwAgAAAAQ0MDIwBAAAAAEwBwAAAAgzLzYvMjAyNggAAAAJNi8zMC8yMDI1CQAAAAEwevlP5s173gjM2+Y4znveCD9DSVEuTllTRTpJQk0uSVFfUlVBX09QRVJBVElOR19MRUFTRV9ORVQuMTk5OC4wNi8wMy8yMDI2Li4uVVNELkgBAAAA3rYBAAMAAAAAAHr5T+bNe94IqI3mOM573ghBQ0lRLk5ZU0U6SUJNLklRX1JVQV9PUEVSQVRJTkdfTEVBU0VfR1JPU1MuMTk5OC4wNi8wMy8yMDI2Li4uVVNELkgBAAAA3rYBAAIAAAAEMzMxNQEIAAAABQAAAAExAQAAAAstMTkzNDg2</t>
  </si>
  <si>
    <t>MDEyNQMAAAADMTYwAgAAAAU0ODM3NwQAAAABMAcAAAAIMy82LzIwMjYIAAAACTYvMzAvMjAyNQkAAAABMHr5T+bNe94IqI3mOM573ghDQ0lRLk5ZU0U6SUJNLklRX1JVQV9DQVBJVEFMX0xFQVNFX0FDQ1VNX0RFUC4xOTk4LjA2LzAzLzIwMjYuLi5VU0QuSAEAAADetgEAAwAAAAAAevlP5s173giojeY4znveCDRDSVEuTllTRTpJQk0uSVFfVE9UQUxfUkVDRUlWLjE5OTguMDYvMDMvMjAyNi4uLlVTRC5IAQAAAN62AQACAAAABDc2MzEBCAAAAAUAAAABMQEAAAALLTE5MzQ4NjAxMjUDAAAAAzE2MAIAAAAEMTAwMQQAAAABMAcAAAAIMy82LzIwMjYIAAAACTYvMzAvMjAyNQkAAAABMHr5T+bNe94IzNvmOM573gg7Q0lRLk5ZU0U6SUJNLklRX0dBSU5fQkFSR0FJTl9BQ1FfQ0YuMTk5OC4wNi8wMy8yMDI2Li4uVVNELkgBAAAA3rYBAAMAAAAAAIUgUObNe94IzNvmOM573ggsQ0lRLk5ZU0U6SUJNLklRX0xBTkQuMTk5OC4wNi8wMy8yMDI2Li4uVVNELkgBAAAA3rYBAAMAAAAAAIUgUObNe94IzNvmOM573gg7Q0lRLk5ZU0U6SUJNLklRX0FEX0VYQ0xfT1BFUl9MRUFTRVMuMTk5OC4wNi8wMy8yMDI2Li4uVVNELkgBAAAA3rYBAAIAAAAGLTEyMjE4AQgAAAAFAAAAATEBAAAACy0xOTM0ODYwMTI1AwAAAAMxNjACAAAABTQ4OTc1BAAAAAEwBwAAAAgzLzYvMjAyNggAAAAJNi8zMC8yMDI1CQAAAAEwhSBQ5s173gjM</t>
  </si>
  <si>
    <t>2+Y4znveCD5DSVEuTllTRTpJQk0uSVFfREVGX1RBWF9BU1NFVFNfQ1VSUkVOVC4xOTk4LjA2LzAzLzIwMjYuLi5VU0QuSAEAAADetgEAAwAAAAAAhSBQ5s173gjM2+Y4znveCDtDSVEuTllTRTpJQk0uSVFfTElBQklMSVRJRVNfTEVWRUxfMi4xOTk4LjA2LzAzLzIwMjYuLi5VU0QuSAEAAADetgEAAgAAAAU1Mzc4OACFIFDmzXveCN8C5zjOe94INUNJUS5OWVNFOklCTS5JUV9FUVVJVFlfTUVUSE9ELjE5OTguMDYvMDMvMjAyNi4uLlVTRC5IAQAAAN62AQADAAAAAACFIFDmzXveCN8C5zjOe94IMENJUS5OWVNFOklCTS5JUV9HV19JTlRBTi4xOTk4LjA2LzAzLzIwMjYuLi5VU0QuSAEAAADetgEAAgAAAAU3OTc1OQEIAAAABQAAAAExAQAAAAstMTkzNDg2MDEyNQMAAAADMTYwAgAAAAUzNTM4MQQAAAABMAcAAAAIMy82LzIwMjYIAAAACTYvMzAvMjAyNQkAAAABMIUgUObNe94I3wLnOM573ghKQ0lRLk5ZU0U6SUJNLklRX0xJUVVJREFUSU9OX1ZBTFVFX1BSRUZFUlJFRF9SRURFRU0uMTk5OC4wNi8wMy8yMDI2Li4uVVNELkgBAAAA3rYBAAMAAAAAAIUgUObNe94I3wLnOM573gg+Q0lRLk5ZU0U6SUJNLklRX1RPVEFMX0RFQlRfRVhDTF9MRUFTRVMuMTk5OC4wNi8wMy8yMDI2Li4uVVNELkgBAAAA3rYBAAIAAAAFNjI5ODQBCAAAAAUAAAABMQEAAAALLTE5MzQ4NjAxMjUDAAAAAzE2MAIAAAAFNDg5OTIEAAAA</t>
  </si>
  <si>
    <t>ATAHAAAACDMvNi8yMDI2CAAAAAk2LzMwLzIwMjUJAAAAATCFIFDmzXveCN8C5zjOe94INUNJUS5OWVNFOklCTS5JUV9VTkVBUk5fUkVWX0xULjE5OTguMDYvMDMvMjAyNi4uLlVTRC5IAQAAAN62AQACAAAABDM5MTMBCAAAAAUAAAABMQEAAAALLTE5MzQ4NjAxMjUDAAAAAzE2MAIAAAAEMTI1NgQAAAABMAcAAAAIMy82LzIwMjYIAAAACTYvMzAvMjAyNQkAAAABMIUgUObNe94I3wLnOM573gg4Q0lRLk5ZU0U6SUJNLklRX0ZJTl9ESVZfTE9BTlNfTFQuMTk5OC4wNi8wMy8yMDI2Li4uVVNELkgBAAAA3rYBAAIAAAAENjE3MQEIAAAABQAAAAExAQAAAAstMTkzNDg2MDEyNQMAAAADMTYwAgAAAAQxMDMzBAAAAAEwBwAAAAgzLzYvMjAyNggAAAAJNi8zMC8yMDI1CQAAAAEwhSBQ5s173gjfAuc4znveCDBDSVEuTllTRTpJQk0uSVFfVE9UQUxfQ0EuMTk5OC4wNi8wMy8yMDI2Li4uVVNELkgBAAAA3rYBAAIAAAAFMzQyNTMBCAAAAAUAAAABMQEAAAALLTE5MzQ4NjAxMjUDAAAAAzE2MAIAAAAEMTAwOAQAAAABMAcAAAAIMy82LzIwMjYIAAAACTYvMzAvMjAyNQkAAAABMIUgUObNe94I3wLnOM573ggvQ0lRLk5ZU0U6SUJNLklRX1JBV19JTlYuMTk5OC4wNi8wMy8yMDI2Li4uVVNELkgBAAAA3rYBAAMAAAAAAIUgUObNe94I3wLnOM573gg1Q0lRLk5ZU0U6SUJNLklRX1JVQV9BQ0NVTV9ERVAuMTk5OC4wNi8wMy8y</t>
  </si>
  <si>
    <t>MDI2Li4uVVNELkgBAAAA3rYBAAMAAAAAAIUgUObNe94I3wLnOM573gg5Q0lRLk5ZU0U6SUJNLklRX1RPVEFMX0xJQUJfRVFVSVRZLjE5OTguMDYvMDMvMjAyNi4uLlVTRC5IAQAAAN62AQACAAAABjE0ODU4NQEIAAAABQAAAAExAQAAAAstMTkzNDg2MDEyNQMAAAADMTYwAgAAAAQxMDEzBAAAAAEwBwAAAAgzLzYvMjAyNggAAAAJNi8zMC8yMDI1CQAAAAEwhSBQ5s173gjfAuc4znveCDlDSVEuTllTRTpJQk0uSVFfTUlOT1JJVFlfSU5URVJFU1QuMTk5OC4wNi8wMy8yMDI2Li4uVVNELkgBAAAA3rYBAAIAAAACNzkBCAAAAAUAAAABMQEAAAALLTE5MzQ4NjAxMjUDAAAAAzE2MAIAAAAEMTA1MgQAAAABMAcAAAAIMy82LzIwMjYIAAAACTYvMzAvMjAyNQkAAAABMIUgUObNe94I3wLnOM573gg3Q0lRLk5ZU0U6SUJNLklRX0RFRl9UQVhfTElBQl9MVC4xOTk4LjA2LzAzLzIwMjYuLi5VU0QuSAEAAADetgEAAwAAAAAAhSBQ5s173gjfAuc4znveCCpDSVEuTllTRTpJQk0uSVFfQVAuMTk5OC4wNi8wMy8yMDI2Li4uVVNELkgBAAAA3rYBAAIAAAAEMzk3NAEIAAAABQAAAAExAQAAAAstMTkzNDg2MDEyNQMAAAADMTYwAgAAAAQxMDE4BAAAAAEwBwAAAAgzLzYvMjAyNggAAAAJNi8zMC8yMDI1CQAAAAEwhSBQ5s173gjfAuc4znveCDRDSVEuTllTRTpJQk0uSVFfT1RIRVJfUkVDRUlWLjE5OTguMDYvMDMvMjAyNi4u</t>
  </si>
  <si>
    <t>LlVTRC5IAQAAAN62AQACAAAABDExNjIBCAAAAAUAAAABMQEAAAALLTE5MzQ4NjAxMjUDAAAAAzE2MAIAAAAEMTIwNgQAAAABMAcAAAAIMy82LzIwMjYIAAAACTYvMzAvMjAyNQkAAAABMIUgUObNe94I3wLnOM573ghJQ0lRLk5ZU0U6SUJNLklRX0xPTkdfVEVSTV9ERUJUX1JFUEFJRF9FWENMX0xFQVNFUy4xOTk4LjA2LzAzLzIwMjYuLi5VU0QuSAEAAADetgEAAgAAAAUtMzk1NgEIAAAABQAAAAExAQAAAAstMTkzNDg2MDEyNQMAAAADMTYwAgAAAAU0ODk4NAQAAAABMAcAAAAIMy82LzIwMjYIAAAACTYvMzAvMjAyNQkAAAABMIUgUObNe94Iqz3nOM573gg4Q0lRLk5ZU0U6SUJNLklRX0NBU0hfVEFYRVNfRklOQU4uMTk5OC4wNi8wMy8yMDI2Li4uVVNELkgBAAAA3rYBAAMAAAAAAIUgUObNe94I3wLnOM573gg8Q0lRLk5ZU0U6SUJNLklRX05FR0FUSVZFX0dXX0FNT1JUX0NGLjE5OTguMDYvMDMvMjAyNi4uLlVTRC5IAQAAAN62AQADAAAAAACFIFDmzXveCN8C5zjOe94IL0NJUS5OWVNFOklCTS5JUV9ERVBfUlVBLjE5OTguMDYvMDMvMjAyNi4uLlVTRC5IAQAAAN62AQACAAAAAzkwMAEIAAAABQAAAAExAQAAAAstMTkzNDg2MDEyNQMAAAADMTYwAgAAAAU0ODM1NwQAAAABMAcAAAAIMy82LzIwMjYIAAAACTYvMzAvMjAyNQkAAAABMIUgUObNe94I3wLnOM573gg2Q0lRLk5ZU0U6SUJNLklRX1NQRUNJQUxf</t>
  </si>
  <si>
    <t>RElWX0NGLjE5OTguMDYvMDMvMjAyNi4uLlVTRC5IAQAAAN62AQADAAAAAACFIFDmzXveCN8C5zjOe94INkNJUS5OWVNFOklCTS5JUV9MVF9ERUJUX0lTU1VFRC4xOTk4LjA2LzAzLzIwMjYuLi5VU0QuSAEAAADetgEAAwAAAAAAhSBQ5s173girPec4znveCERDSVEuTllTRTpJQk0uSVFfQ0hBTkdFX09USEVSX05FVF9PUEVSX0FTU0VUUy4xOTk4LjA2LzAzLzIwMjYuLi5VU0QuSAEAAADetgEAAgAAAAQxMjkzAQgAAAAFAAAAATEBAAAACy0xOTM0ODYwMTI1AwAAAAMxNjACAAAABDIwNDUEAAAAATAHAAAACDMvNi8yMDI2CAAAAAk2LzMwLzIwMjUJAAAAATCFIFDmzXveCKs95zjOe94INUNJUS5OWVNFOklCTS5JUV9JTkNfRVFVSVRZX0NGLjE5OTguMDYvMDMvMjAyNi4uLlVTRC5IAQAAAN62AQADAAAAAACFIFDmzXveCKs95zjOe94IOkNJUS5OWVNFOklCTS5JUV9BU1NFVF9XUklURURPV05fQ0YuMTk5OC4wNi8wMy8yMDI2Li4uVVNELkgBAAAA3rYBAAMAAAAAAIUgUObNe94Iqz3nOM573gg/Q0lRLk5ZU0U6SUJNLklRX1NUT0NLX0JBU0VEX0NPTVBfUFJFVEFYLjE5OTguMDYvMDMvMjAyNi4uLlVTRC5IAQAAAN62AQACAAAABDE1MzQAhSBQ5s173girPec4znveCDZDSVEuTllTRTpJQk0uSVFfU1RPQ0tfQkFTRURfU00uMTk5OC4wNi8wMy8yMDI2Li4uVVNELkgBAAAA3rYBAAMAAAAAAIUgUObNe94Iqz3n</t>
  </si>
  <si>
    <t>OM573ggxQ0lRLk5ZU0U6SUJNLklRX09USEVSX0lOVi4xOTk4LjA2LzAzLzIwMjYuLi5VU0QuSAEAAADetgEAAwAAAAAAhSBQ5s173girPec4znveCDJDSVEuTllTRTpJQk0uSVFfVE9UQUxfREVCVC4xOTk4LjA2LzAzLzIwMjYuLi5VU0QuSAEAAADetgEAAgAAAAU2NzcxOQEIAAAABQAAAAExAQAAAAstMTkzNDg2MDEyNQMAAAADMTYwAgAAAAQ0MTczBAAAAAEwBwAAAAgzLzYvMjAyNggAAAAJNi8zMC8yMDI1CQAAAAEwhSBQ5s173girPec4znveCD1DSVEuTllTRTpJQk0uSVFfREVCVF9FUVVJVl9PUEVSX0xFQVNFLjE5OTguMDYvMDMvMjAyNi4uLlVTRC5IAQAAAN62AQADAAAAAACFIFDmzXveCKs95zjOe94IRUNJUS5OWVNFOklCTS5JUV9HRU5FUkFMX1BBUlRORVJfQ09NTU9OX0VRVUlUWS4xOTk4LjA2LzAzLzIwMjYuLi5VU0QuSAEAAADetgEAAwAAAAAAhSBQ5s173girPec4znveCDlDSVEuTllTRTpJQk0uSVFfVE9UQUxfT1BFUl9MRUFTRVMuMTk5OC4wNi8wMy8yMDI2Li4uVVNELkgBAAAA3rYBAAIAAAAEMzU1NQEIAAAABQAAAAExAQAAAAstMTkzNDg2MDEyNQMAAAADMTYwAgAAAAU0ODk3OAQAAAABMAcAAAAIMy82LzIwMjYIAAAACTYvMzAvMjAyNQkAAAABMIUgUObNe94I8GTnOM573gg9Q0lRLk5ZU0U6SUJNLklRX1JVQV9DQVBJVEFMX0xFQVNFX05FVC4xOTk4LjA2LzAzLzIwMjYuLi5VU0Qu</t>
  </si>
  <si>
    <t>SAEAAADetgEAAwAAAAAAhSBQ5s173gjwZOc4znveCDtDSVEuTllTRTpJQk0uSVFfSU5DX1RBWF9QQVlfQ1VSUkVOVC4xOTk4LjA2LzAzLzIwMjYuLi5VU0QuSAEAAADetgEAAgAAAAQxNjgxAQgAAAAFAAAAATEBAAAACy0xOTM0ODYwMTI1AwAAAAMxNjACAAAABDEwOTQEAAAAATAHAAAACDMvNi8yMDI2CAAAAAk2LzMwLzIwMjUJAAAAATCFIFDmzXveCPBk5zjOe94IN0NJUS5OWVNFOklCTS5JUV9SRVNUUklDVEVEX0NBU0guMTk5OC4wNi8wMy8yMDI2Li4uVVNELkgBAAAA3rYBAAIAAAACODMBCAAAAAUAAAABMQEAAAALLTE5MzQ4NjAxMjUDAAAAAzE2MAIAAAAEMTEwNAQAAAABMAcAAAAIMy82LzIwMjYIAAAACTYvMzAvMjAyNQkAAAABMIUgUObNe94I8GTnOM573ggzQ0lRLk5ZU0U6SUJNLklRX01BSU5UX0NBUEVYLjE5OTguMDYvMDMvMjAyNi4uLlVTRC5IAQAAAN62AQADAAAAAACFIFDmzXveCPBk5zjOe94INUNJUS5OWVNFOklCTS5JUV9VTkxFVkVSRURfRkNGLjE5OTguMDYvMDMvMjAyNi4uLlVTRC5IAQAAAN62AQACAAAACDE0OTk2LjI1AQgAAAAFAAAAATEBAAAACy0xOTM0ODYwMTI1AwAAAAMxNjACAAAABDQ0MjMEAAAAATAHAAAACDMvNi8yMDI2CAAAAAk2LzMwLzIwMjUJAAAAATCFIFDmzXveCPBk5zjOe94ITkNJUS5OWVNFOklCTS5JUV9MSVFVSURBVElPTl9WQUxVRV9QUkVGRVJSRURfTk9O</t>
  </si>
  <si>
    <t>X1JFREVFTS4xOTk4LjA2LzAzLzIwMjYuLi5VU0QuSAEAAADetgEAAwAAAAAAhSBQ5s173gjwZOc4znveCCtDSVEuTllTRTpJQk0uSVFfVEJWLjE5OTguMDYvMDMvMjAyNi4uLlVTRC5IAQAAAN62AQACAAAABi01MjI1MAEIAAAABQAAAAExAQAAAAstMTkzNDg2MDEyNQMAAAADMTYwAgAAAAQxMzEwBAAAAAEwBwAAAAgzLzYvMjAyNggAAAAJNi8zMC8yMDI1CQAAAAEwhSBQ5s173gjwZOc4znveCFBDSVEuTllTRTpJQk0uSVFfRklOQU5DSU5HX09CTElHX0NVUlJFTlRfRVhDTF9PUEVSX0xFQVNFUy4xOTk4LjA2LzAzLzIwMjYuLi5VU0QuSAEAAADetgEAAgAAAAQ4OTQ1AQgAAAAFAAAAATEBAAAACy0xOTM0ODYwMTI1AwAAAAMxNjACAAAABTQ4OTgwBAAAAAEwBwAAAAgzLzYvMjAyNggAAAAJNi8zMC8yMDI1CQAAAAEwhSBQ5s173gjwZOc4znveCDBDSVEuTllTRTpJQk0uSVFfU09GVFdBUkUuMTk5OC4wNi8wMy8yMDI2Li4uVVNELkgBAAAA3rYBAAMAAAAAAIUgUObNe94IBYznOM573gg5Q0lRLk5ZU0U6SUJNLklRX1RPVEFMX09VVFNUQU5ESU5HX0JTX0RBVEUuMTk5OC4wNi8wMy8yMDI2AQAAAN62AQACAAAACjkzMS41MTkyNDIBBAAAAAUAAAABNQEAAAALLTE5MzQ4NjAxMjUCAAAABTI0MTUyBgAAAAEwhSBQ5s173gjwZOc4znveCENDSVEuTllTRTpJQk0uSVFfVE9UQUxfREVCVF9FWENMX09QRVJfTEVB</t>
  </si>
  <si>
    <t>U0VTLjE5OTguMDYvMDMvMjAyNi4uLlVTRC5IAQAAAN62AQACAAAABTY0MTY0AQgAAAAFAAAAATEBAAAACy0xOTM0ODYwMTI1AwAAAAMxNjACAAAABTQ4OTgyBAAAAAEwBwAAAAgzLzYvMjAyNggAAAAJNi8zMC8yMDI1CQAAAAEwhSBQ5s173gjwZOc4znveCCxDSVEuTllTRTpJQk0uSVFfQVBJQy4xOTk4LjA2LzAzLzIwMjYuLi5VU0QuSAEAAADetgEAAwAAAAAAhSBQ5s173gjwZOc4znveCDBDSVEuTllTRTpJQk0uSVFfVE9UQUxfQ0wuMTk5OC4wNi8wMy8yMDI2Li4uVVNELkgBAAAA3rYBAAIAAAAFMzc3MjYBCAAAAAUAAAABMQEAAAALLTE5MzQ4NjAxMjUDAAAAAzE2MAIAAAAEMTAwOQQAAAABMAcAAAAIMy82LzIwMjYIAAAACTYvMzAvMjAyNQkAAAABMIUgUObNe94I8GTnOM573gg2Q0lRLk5ZU0U6SUJNLklRX0xPQU5TX0ZPUl9TQUxFLjE5OTguMDYvMDMvMjAyNi4uLlVTRC5IAQAAAN62AQADAAAAAACFIFDmzXveCAWM5zjOe94INkNJUS5OWVNFOklCTS5JUV9TVF9OT1RFX1JFQ0VJVi4xOTk4LjA2LzAzLzIwMjYuLi5VU0QuSAEAAADetgEAAwAAAAAAhSBQ5s173ggFjOc4znveCDZDSVEuTllTRTpJQk0uSVFfQ0FTSF9TVF9JTlZFU1QuMTk5OC4wNi8wMy8yMDI2Li4uVVNELkgBAAAA3rYBAAIAAAAFMTU0NDcBCAAAAAUAAAABMQEAAAALLTE5MzQ4NjAxMjUDAAAAAzE2MAIAAAAEMTAwMgQAAAABMAcA</t>
  </si>
  <si>
    <t>AAAIMy82LzIwMjYIAAAACTYvMzAvMjAyNQkAAAABMIUgUObNe94IBYznOM573ghDQ0lRLk5ZU0U6SUJNLklRX09QRVJBVElOR19MRUFTRV9MSUFCSUxJVElFUy4xOTk4LjA2LzAzLzIwMjYuLi5VU0QuSAEAAADetgEAAwAAAAAAhSBQ5s173ggFjOc4znveCDBDSVEuTllTRTpJQk0uSVFfVFJFQVNVUlkuMTk5OC4wNi8wMy8yMDI2Li4uVVNELkgBAAAA3rYBAAIAAAAHLTE3MDIwOQEIAAAABQAAAAExAQAAAAstMTkzNDg2MDEyNQMAAAADMTYwAgAAAAQxMjQ4BAAAAAEwBwAAAAgzLzYvMjAyNggAAAAJNi8zMC8yMDI1CQAAAAEwhSBQ5s173ggFjOc4znveCDdDSVEuTllTRTpJQk0uSVFfTE9BTlNfUkVDRUlWX0xULjE5OTguMDYvMDMvMjAyNi4uLlVTRC5IAQAAAN62AQADAAAAAACFIFDmzXveCAWM5zjOe94IOkNJUS5OWVNFOklCTS5JUV9GSU5fRElWX0NBU0hfRVFVSVYuMTk5OC4wNi8wMy8yMDI2Li4uVVNELkgBAAAA3rYBAAMAAAAAAIUgUObNe94IBYznOM573gg+Q0lRLk5ZU0U6SUJNLklRX1RPVEFMX0RFQlRfTk9OX0NVUlJFTlQuMTk5OC4wNi8wMy8yMDI2Li4uVVNELkgBAAAA3rYBAAIAAAAFNTc5NTQBCAAAAAUAAAABMQEAAAALLTE5MzQ4NjAxMjUDAAAAAzE2MAIAAAAFMjUyMjQEAAAAATAHAAAACDMvNi8yMDI2CAAAAAk2LzMwLzIwMjUJAAAAATCFIFDmzXveCAWM5zjOe94IOUNJUS5OWVNFOklC</t>
  </si>
  <si>
    <t>TS5JUV9CVl9TSEFSRV9SRVBPUlRFRC4xOTk4LjA2LzAzLzIwMjYuLi5VU0QuSAEAAADetgEAAwAAAAAAhSBQ5s173ggFjOc4znveCDxDSVEuTllTRTpJQk0uSVFfVE9UQUxfRklOQU5DRV9MRUFTRVMuMTk5OC4wNi8wMy8yMDI2Li4uVVNELkgBAAAA3rYBAAIAAAAEMTE4MAEIAAAABQAAAAExAQAAAAstMTkzNDg2MDEyNQMAAAADMTYwAgAAAAU0OTAzMQQAAAABMAcAAAAIMy82LzIwMjYIAAAACTYvMzAvMjAyNQkAAAABMIUgUObNe94IErPnOM573gg+Q0lRLk5ZU0U6SUJNLklRX0ZJTkFOQ0VfTEVBU0VTX0NVUlJFTlQuMTk5OC4wNi8wMy8yMDI2Li4uVVNELkgBAAAA3rYBAAMAAAAAAIUgUObNe94IErPnOM573gg7Q0lRLk5ZU0U6SUJNLklRX1RPVEFMX0NPTU1PTl9FUVVJVFkuMTk5OC4wNi8wMy8yMDI2Li4uVVNELkgBAAAA3rYBAAIAAAAFMjc1MDkBCAAAAAUAAAABMQEAAAALLTE5MzQ4NjAxMjUDAAAAAzE2MAIAAAAEMTAwNgQAAAABMAcAAAAIMy82LzIwMjYIAAAACTYvMzAvMjAyNQkAAAABMIUgUObNe94IErPnOM573gg3Q0lRLk5ZU0U6SUJNLklRX0ZJTl9ESVZfTElBQl9MVC4xOTk4LjA2LzAzLzIwMjYuLi5VU0QuSAEAAADetgEAAwAAAAAAhSBQ5s173ggFjOc4znveCDhDSVEuTllTRTpJQk0uSVFfTE9OR19URVJNX0xFQVNFUy4xOTk4LjA2LzAzLzIwMjYuLi5VU0QuSAEAAADetgEAAgAAAAQz</t>
  </si>
  <si>
    <t>OTE1AQgAAAAFAAAAATEBAAAACy0xOTM0ODYwMTI1AwAAAAMxNjACAAAABDExODMEAAAAATAHAAAACDMvNi8yMDI2CAAAAAk2LzMwLzIwMjUJAAAAATCFIFDmzXveCAWM5zjOe94IOUNJUS5OWVNFOklCTS5JUV9GSU5fRElWX0FTU0VUU19MVC4xOTk4LjA2LzAzLzIwMjYuLi5VU0QuSAEAAADetgEAAwAAAAAAhSBQ5s173gjGxuc4znveCDFDSVEuTllTRTpJQk0uSVFfTFRfSU5WRVNULjE5OTguMDYvMDMvMjAyNi4uLlVTRC5IAQAAAN62AQACAAAABDE1NTMBCAAAAAUAAAABMQEAAAALLTE5MzQ4NjAxMjUDAAAAAzE2MAIAAAAEMTA1NAQAAAABMAcAAAAIMy82LzIwMjYIAAAACTYvMzAvMjAyNQkAAAABMIUgUObNe94IErPnOM573ggsQ0lRLk5ZU0U6SUJNLklRX0NBTENfVFlQRV9DRi4xOTk4LjA2LzAzLzIwMjYBAAAA3rYBAAMAAAADTFRNAIUgUObNe94IErPnOM573ggpQ0lRLk5ZU0U6SUJNLklRX0ZVTExfVElNRS4xOTk4LjA2LzAzLzIwMjYBAAAA3rYBAAMAAAAAAIUgUObNe94IErPnOM573ggqQ0lRLk5ZU0U6SUJNLklRX0FELjE5OTguMDYvMDMvMjAyNi4uLlVTRC5IAQAAAN62AQACAAAABi0xMjIxOAEIAAAABQAAAAExAQAAAAstMTkzNDg2MDEyNQMAAAADMTYwAgAAAAQxMDc1BAAAAAEwBwAAAAgzLzYvMjAyNggAAAAJNi8zMC8yMDI1CQAAAAEwhSBQ5s173ggSs+c4znveCD1DSVEuTllTRTpJQk0u</t>
  </si>
  <si>
    <t>SVFfRklOX0RJVl9MT0FOU19DVVJSRU5ULjE5OTguMDYvMDMvMjAyNi4uLlVTRC5IAQAAAN62AQACAAAABDU1ODYBCAAAAAUAAAABMQEAAAALLTE5MzQ4NjAxMjUDAAAAAzE2MAIAAAAEMTAzMgQAAAABMAcAAAAIMy82LzIwMjYIAAAACTYvMzAvMjAyNQkAAAABMIUgUObNe94IxsbnOM573ghDQ0lRLk5ZU0U6SUJNLklRX0RFRl9UQVhfVkFMVUFUSU9OX0FMTE9XQU5DRS4xOTk4LjA2LzAzLzIwMjYuLi5VU0QuSAEAAADetgEAAwAAAAAAhSBQ5s173gjGxuc4znveCDRDSVEuTllTRTpJQk0uSVFfRklOSVNIRURfSU5WLjE5OTguMDYvMDMvMjAyNi4uLlVTRC5IAQAAAN62AQACAAAAAzE4OAEIAAAABQAAAAExAQAAAAstMTkzNDg2MDEyNQMAAAADMTYwAgAAAAQzMDc1BAAAAAEwBwAAAAgzLzYvMjAyNggAAAAJNi8zMC8yMDI1CQAAAAEwhSBQ5s173gjGxuc4znveCDpDSVEuTllTRTpJQk0uSVFfVEJWX1NIQVJFX1JFUE9SVEVELjE5OTguMDYvMDMvMjAyNi4uLlVTRC5IAQAAAN62AQADAAAAAACFIFDmzXveCMbG5zjOe94IMUNJUS5OWVNFOklCTS5JUV9SVUFfR1JPU1MuMTk5OC4wNi8wMy8yMDI2Li4uVVNELkgBAAAA3rYBAAMAAAAAAIUgUObNe94IxsbnOM573ggvQ0lRLk5ZU0U6SUJNLklRX1NUX0RFQlQuMTk5OC4wNi8wMy8yMDI2Li4uVVNELkgBAAAA3rYBAAIAAAABMQEIAAAABQAAAAExAQAAAAstMTkz</t>
  </si>
  <si>
    <t>NDg2MDEyNQMAAAADMTYwAgAAAAQxMDQ2BAAAAAEwBwAAAAgzLzYvMjAyNggAAAAJNi8zMC8yMDI1CQAAAAEwhSBQ5s173gjGxuc4znveCCpDSVEuTllTRTpJQk0uSVFfQVIuMTk5OC4wNi8wMy8yMDI2Li4uVVNELkgBAAAA3rYBAAIAAAAENjQ2OQEIAAAABQAAAAExAQAAAAstMTkzNDg2MDEyNQMAAAADMTYwAgAAAAQxMDIxBAAAAAEwBwAAAAgzLzYvMjAyNggAAAAJNi8zMC8yMDI1CQAAAAEwhSBQ5s173gjGxuc4znveCEtDSVEuTllTRTpJQk0uSVFfT1BFUkFUSU5HX0xFQVNFX0xJQUJJTElUSUVTX05PTkNBU0guMTk5OC4wNi8wMy8yMDI2Li4uVVNELkgBAAAA3rYBAAMAAAAAAIUgUObNe94IxsbnOM573gg1Q0lRLk5ZU0U6SUJNLklRX0RPX0ZJTkFOQ0VfQ0YuMTk5OC4wNi8wMy8yMDI2Li4uVVNELkgBAAAA3rYBAAMAAAAAAIUgUObNe94IxsbnOM573gg7Q0lRLk5ZU0U6SUJNLklRX0NBU0hfSU5URVJFU1RfRklOQU4uMTk5OC4wNi8wMy8yMDI2Li4uVVNELkgBAAAA3rYBAAMAAAAAAIUgUObNe94IxsbnOM573ghFQ0lRLk5ZU0U6SUJNLklRX0RFUFJFQ0lBVElPTl9SRU5UQUxfQVNTRVRTX0NGLjE5OTguMDYvMDMvMjAyNi4uLlVTRC5IAQAAAN62AQADAAAAAACFIFDmzXveCA/u5zjOe94IOUNJUS5OWVNFOklCTS5JUV9UT1RBTF9ESVZfUEFJRF9DRi4xOTk4LjA2LzAzLzIwMjYuLi5VU0QuSAEAAADe</t>
  </si>
  <si>
    <t>tgEAAgAAAAUtNjIwMQEIAAAABQAAAAExAQAAAAstMTkzNDg2MDEyNQMAAAADMTYwAgAAAAQyMDIyBAAAAAEwBwAAAAgzLzYvMjAyNggAAAAJNi8zMC8yMDI1CQAAAAEwhSBQ5s173ggP7uc4znveCEtDSVEuTllTRTpJQk0uSVFfTElRVUlEQVRJT05fVkFMVUVfUFJFRkVSUkVEX0NPTlZFUlQuMTk5OC4wNi8wMy8yMDI2Li4uVVNELkgBAAAA3rYBAAMAAAAAAIUgUObNe94ID+7nOM573ggxQ0lRLk5ZU0U6SUJNLklRX1RPVEFMX0NBUC4xOTk4LjA2LzAzLzIwMjYuLi5VU0QuSAEAAADetgEAAgAAAAU5NTMwNwEIAAAABQAAAAExAQAAAAstMTkzNDg2MDEyNQMAAAADMTYwAgAAAAQ0MTc1BAAAAAEwBwAAAAgzLzYvMjAyNggAAAAJNi8zMC8yMDI1CQAAAAEwhSBQ5s173ggP7uc4znveCD1DSVEuTllTRTpJQk0uSVFfVE9UQUxfT1VUU1RBTkRJTkdfRklMSU5HX0RBVEUuMTk5OC4wNi8wMy8yMDI2AQAAAN62AQACAAAACjkzMS41MTkyNDIBBAAAAAUAAAABNQEAAAALLTE5MzQ4NjAxMjUCAAAABTI0MTUzBgAAAAEwhSBQ5s173gjGxuc4znveCDRDSVEuTllTRTpJQk0uSVFfVE9UQUxfTEVBU0VTLjE5OTguMDYvMDMvMjAyNi4uLlVTRC5IAQAAAN62AQACAAAABDQ3MzUBCAAAAAUAAAABMQEAAAALLTE5MzQ4NjAxMjUDAAAAAzE2MAIAAAAFNDg5NzkEAAAAATAHAAAACDMvNi8yMDI2CAAAAAk2LzMwLzIwMjUJAAAA</t>
  </si>
  <si>
    <t>ATCFIFDmzXveCA/u5zjOe94IPUNJUS5OWVNFOklCTS5JUV9GSU5fRElWX1NUX0RFQlRfVE9UQUwuMTk5OC4wNi8wMy8yMDI2Li4uVVNELkgBAAAA3rYBAAMAAAAAAIUgUObNe94ID+7nOM573ggyQ0lRLk5ZU0U6SUJNLklRX1BSRUZfT1RIRVIuMTk5OC4wNi8wMy8yMDI2Li4uVVNELkgBAAAA3rYBAAMAAAAAAIUgUObNe94ID+7nOM573gg2Q0lRLk5ZU0U6SUJNLklRX09USEVSX0NMX1NVUFBMLjE5OTguMDYvMDMvMjAyNi4uLlVTRC5IAQAAAN62AQACAAAAAzU1OAEIAAAABQAAAAExAQAAAAstMTkzNDg2MDEyNQMAAAADMTYwAgAAAAQxMDU3BAAAAAEwBwAAAAgzLzYvMjAyNggAAAAJNi8zMC8yMDI1CQAAAAEwhSBQ5s173ggP7uc4znveCDpDSVEuTllTRTpJQk0uSVFfVU5FQVJOX1JFVl9DVVJSRU5ULjE5OTguMDYvMDMvMjAyNi4uLlVTRC5IAQAAAN62AQACAAAABTE1MDIyAQgAAAAFAAAAATEBAAAACy0xOTM0ODYwMTI1AwAAAAMxNjACAAAABDEwNzQEAAAAATAHAAAACDMvNi8yMDI2CAAAAAk2LzMwLzIwMjUJAAAAATCFIFDmzXveCA/u5zjOe94IPENJUS5OWVNFOklCTS5JUV9GSU5fRElWX0xJQUJfQ1VSUkVOVC4xOTk4LjA2LzAzLzIwMjYuLi5VU0QuSAEAAADetgEAAwAAAAAAhSBQ5s173ghZFeg4znveCDFDSVEuTllTRTpJQk0uSVFfSU5WRU5UT1JZLjE5OTguMDYvMDMvMjAyNi4uLlVTRC5IAQAA</t>
  </si>
  <si>
    <t>AN62AQACAAAABDEyNTEBCAAAAAUAAAABMQEAAAALLTE5MzQ4NjAxMjUDAAAAAzE2MAIAAAAEMTA0MwQAAAABMAcAAAAIMy82LzIwMjYIAAAACTYvMzAvMjAyNQkAAAABMIUgUObNe94ID+7nOM573ggzQ0lRLk5ZU0U6SUJNLklRX0xFVkVSRURfRkNGLjE5OTguMDYvMDMvMjAyNi4uLlVTRC5IAQAAAN62AQACAAAABTEzODYwAQgAAAAFAAAAATEBAAAACy0xOTM0ODYwMTI1AwAAAAMxNjACAAAABDQ0MjIEAAAAATAHAAAACDMvNi8yMDI2CAAAAAk2LzMwLzIwMjUJAAAAATCFIFDmzXveCA/u5zjOe94IQ0NJUS5OWVNFOklCTS5JUV9TQUxFX1BST0NFRURTX1JFTlRBTF9BU1NFVFMuMTk5OC4wNi8wMy8yMDI2Li4uVVNELkgBAAAA3rYBAAMAAAAAAIUgUObNe94ID+7nOM573ggqQ0lRLk5ZU0U6SUJNLklRX0ZYLjE5OTguMDYvMDMvMjAyNi4uLlVTRC5IAQAAAN62AQACAAAAAzM2NAEIAAAABQAAAAExAQAAAAstMTkzNDg2MDEyNQMAAAADMTYwAgAAAAQyMTQ0BAAAAAEwBwAAAAgzLzYvMjAyNggAAAAJNi8zMC8yMDI1CQAAAAEwhSBQ5s173ghZFeg4znveCEVDSVEuTllTRTpJQk0uSVFfUlVBX09QRVJBVElOR19MRUFTRV9BQ0NVTV9ERVAuMTk5OC4wNi8wMy8yMDI2Li4uVVNELkgBAAAA3rYBAAMAAAAAAIUgUObNe94IWRXoOM573gg/Q0lRLk5ZU0U6SUJNLklRX01JTk9SSVRZX0lOVEVSRVNUX1RPVEFMLjE5</t>
  </si>
  <si>
    <t>OTguMDYvMDMvMjAyNi4uLlVTRC5IAQAAAN62AQACAAAAAjc5AQgAAAAFAAAAATEBAAAACy0xOTM0ODYwMTI1AwAAAAMxNjACAAAABDEzMTIEAAAAATAHAAAACDMvNi8yMDI2CAAAAAk2LzMwLzIwMjUJAAAAATCFIFDmzXveCFkV6DjOe94IVENJUS5OWVNFOklCTS5JUV9GSU5BTkNJTkdfT0JMSUdfTk9OX0NVUlJFTlRfRVhDTF9PUEVSX0xFQVNFUy4xOTk4LjA2LzAzLzIwMjYuLi5VU0QuSAEAAADetgEAAgAAAAU1NTIxOQEIAAAABQAAAAExAQAAAAstMTkzNDg2MDEyNQMAAAADMTYwAgAAAAU0ODk4MQQAAAABMAcAAAAIMy82LzIwMjYIAAAACTYvMzAvMjAyNQkAAAABMIUgUObNe94IWRXoOM573gg9Q0lRLk5ZU0U6SUJNLklRX0dQUEVfRVhDTF9PUEVSX0xFQVNFUy4xOTk4LjA2LzAzLzIwMjYuLi5VU0QuSAEAAADetgEAAgAAAAUxODE2MAEIAAAABQAAAAExAQAAAAstMTkzNDg2MDEyNQMAAAADMTYwAgAAAAU0ODk3NAQAAAABMAcAAAAIMy82LzIwMjYIAAAACTYvMzAvMjAyNQkAAAABMIUgUObNe94IWRXoOM573gg0Q0lRLk5ZU0U6SUJNLklRX09USEVSX0VRVUlUWS4xOTk4LjA2LzAzLzIwMjYuLi5VU0QuSAEAAADetgEAAgAAAAYtMTYwNDEBCAAAAAUAAAABMQEAAAALLTE5MzQ4NjAxMjUDAAAAAzE2MAIAAAAEMTAyOAQAAAABMAcAAAAIMy82LzIwMjYIAAAACTYvMzAvMjAyNQkAAAABMIUgUObNe94I</t>
  </si>
  <si>
    <t>WRXoOM573ggqQ0lRLk5ZU0U6SUJNLklRX1JFLjE5OTguMDYvMDMvMjAyNi4uLlVTRC5IAQAAAN62AQACAAAABjE1MTM2NwEIAAAABQAAAAExAQAAAAstMTkzNDg2MDEyNQMAAAADMTYwAgAAAAQxMjIyBAAAAAEwBwAAAAgzLzYvMjAyNggAAAAJNi8zMC8yMDI1CQAAAAEwhSBQ5s173ghZFeg4znveCC5DSVEuTllTRTpJQk0uSVFfQ09NTU9OLjE5OTguMDYvMDMvMjAyNi4uLlVTRC5IAQAAAN62AQACAAAABTYyMzkyAQgAAAAFAAAAATEBAAAACy0xOTM0ODYwMTI1AwAAAAMxNjACAAAABDExMDMEAAAAATAHAAAACDMvNi8yMDI2CAAAAAk2LzMwLzIwMjUJAAAAATCFIFDmzXveCFkV6DjOe94IOkNJUS5OWVNFOklCTS5JUV9UT1RBTF9ERUJUX0NVUlJFTlQuMTk5OC4wNi8wMy8yMDI2Li4uVVNELkgBAAAA3rYBAAIAAAAEOTc2NQEIAAAABQAAAAExAQAAAAstMTkzNDg2MDEyNQMAAAADMTYwAgAAAAUyNTIyMwQAAAABMAcAAAAIMy82LzIwMjYIAAAACTYvMzAvMjAyNQkAAAABMIUgUObNe94IWRXoOM573ggqQ0lRLk5ZU0U6SUJNLklRX0dXLjE5OTguMDYvMDMvMjAyNi4uLlVTRC5IAQAAAN62AQACAAAABTY3NTA2AQgAAAAFAAAAATEBAAAACy0xOTM0ODYwMTI1AwAAAAMxNjACAAAABDExNzEEAAAAATAHAAAACDMvNi8yMDI2CAAAAAk2LzMwLzIwMjUJAAAAATCFIFDmzXveCHE86DjOe94INkNJUS5OWVNFOklC</t>
  </si>
  <si>
    <t>TS5JUV9MVF9ERUJUX1JFUEFJRC4xOTk4LjA2LzAzLzIwMjYuLi5VU0QuSAEAAADetgEAAwAAAAAAhSBQ5s173ghxPOg4znveCD1DSVEuTllTRTpJQk0uSVFfQ0hBTkdFX1RSQURJTkdfQVNTRVRTLjE5OTguMDYvMDMvMjAyNi4uLlVTRC5IAQAAAN62AQADAAAAAACFIFDmzXveCHE86DjOe94ILUNJUS5OWVNFOklCTS5JUV9OSV9DRi4xOTk4LjA2LzAzLzIwMjYuLi5VU0QuSAEAAADetgEAAgAAAAQ1ODMzAQgAAAAFAAAAATEBAAAACy0xOTM0ODYwMTI1AwAAAAMxNjACAAAABDIxNTAEAAAAATAHAAAACDMvNi8yMDI2CAAAAAk2LzMwLzIwMjUJAAAAATCFIFDmzXveCHE86DjOe94IOENJUS5OWVNFOklCTS5JUV9TVE9DS19CQVNFRF9DT01QLjE5OTguMDYvMDMvMjAyNi4uLlVTRC5IAQAAAN62AQACAAAAAzkyMACFIFDmzXveCFkV6DjOe94IPkNJUS5OWVNFOklCTS5JUV9TVE9DS19PUFRJT05TX0NPTVBfVEFYLjE5OTguMDYvMDMvMjAyNi4uLlVTRC5IAQAAAN62AQADAAAAAACFIFDmzXveCHE86DjOe94IOUNJUS5OWVNFOklCTS5JUV9JTlNfU0VUVExFX1NVUFBMRS4xOTk4LjA2LzAzLzIwMjYuLi5VU0QuSAEAAADetgEAAwAAAAAAhSBQ5s173ghxPOg4znveCDRDSVEuTllTRTpJQk0uSVFfTUFJTlRfUkVQQUlSLjE5OTguMDYvMDMvMjAyNi4uLlVTRC5IAQAAAN62AQADAAAAAACFIFDmzXveCHE86DjOe94I</t>
  </si>
  <si>
    <t>MENJUS5OWVNFOklCTS5JUV9DRl9TSEFSRS4xOTk4LjA2LzAzLzIwMjYuLi5VU0QuSAEAAADetgEAAgAAAAgxMi41NjE1MQEIAAAABQAAAAExAQAAAAstMTkzNDg2MDEyNQMAAAADMTYwAgAAAAU0MzkyMwQAAAABMAcAAAAIMy82LzIwMjYIAAAACTYvMzAvMjAyNQkAAAABMIUgUObNe94IcTzoOM573gg+Q0lRLk5ZU0U6SUJNLklRX0RBX0NGX0VYQ0xfT1BFUl9MRUFTRVMuMTk5OC4wNi8wMy8yMDI2Li4uVVNELkgBAAAA3rYBAAIAAAAEMzMwOQEIAAAABQAAAAExAQAAAAstMTkzNDg2MDEyNQMAAAADMTYwAgAAAAU0ODk4NQQAAAABMAcAAAAIMy82LzIwMjYIAAAACTYvMzAvMjAyNQkAAAABMIUgUObNe94IcTzoOM573ggwQ0lRLk5ZU0U6SUJNLklRX1BSRUZfUkVQLjE5OTguMDYvMDMvMjAyNi4uLlVTRC5IAQAAAN62AQADAAAAAACFIFDmzXveCH1j6DjOe94IN0NJUS5OWVNFOklCTS5JUV9JTlZFU1RfTE9BTlNfQ0YuMTk5OC4wNi8wMy8yMDI2Li4uVVNELkgBAAAA3rYBAAMAAAAAAIUgUObNe94IcTzoOM573gg5Q0lRLk5ZU0U6SUJNLklRX0NIQU5HRV9VTkVBUk5fUkVWLjE5OTguMDYvMDMvMjAyNi4uLlVTRC5IAQAAAN62AQADAAAAAACFIFDmzXveCHE86DjOe94IOENJUS5OWVNFOklCTS5JUV9DSEFOR0VfSU5WRU5UT1JZLjE5OTguMDYvMDMvMjAyNi4uLlVTRC5IAQAAAN62AQACAAAABC0xNjYBCAAA</t>
  </si>
  <si>
    <t>AAUAAAABMQEAAAALLTE5MzQ4NjAxMjUDAAAAAzE2MAIAAAAEMjA5OQQAAAABMAcAAAAIMy82LzIwMjYIAAAACTYvMzAvMjAyNQkAAAABMIUgUObNe94IcTzoOM573ggnQ0lRLk5ZU0U6SUJNLklRX0dBQVBfQ0YuMTk5OC4wNi8wMy8yMDI2AQAAAN62AQADAAAAAACFIFDmzXveCHE86DjOe94ILENJUS5OWVNFOklCTS5JUV9OUFBFLjE5OTguMDYvMDMvMjAyNi4uLlVTRC5IAQAAAN62AQACAAAABDkyNTcBCAAAAAUAAAABMQEAAAALLTE5MzQ4NjAxMjUDAAAAAzE2MAIAAAAEMTAwNAQAAAABMAcAAAAIMy82LzIwMjYIAAAACTYvMzAvMjAyNQkAAAABMIUgUObNe94IfWPoOM573ghAQ0lRLk5ZU0U6SUJNLklRX09QRVJBVElOR19MRUFTRV9QQVlNRU5UUy4xOTk4LjA2LzAzLzIwMjYuLi5VU0QuSAEAAADetgEAAwAAAAAAhSBQ5s173gh9Y+g4znveCDlDSVEuTllTRTpJQk0uSVFfQ0FTSF9JTlRFUkVTVF9ORVQuMTk5OC4wNi8wMy8yMDI2Li4uVVNELkgBAAAA3rYBAAMAAAAAAIUgUObNe94IfWPoOM573gg1Q0lRLk5ZU0U6SUJNLklRX0NPTU1PTl9JU1NVRUQuMTk5OC4wNi8wMy8yMDI2Li4uVVNELkgBAAAA3rYBAAIAAAADNzYxAQgAAAAFAAAAATEBAAAACy0xOTM0ODYwMTI1AwAAAAMxNjACAAAABDIxNjkEAAAAATAHAAAACDMvNi8yMDI2CAAAAAk2LzMwLzIwMjUJAAAAATCFIFDmzXveCH1j6DjOe94IM0NJ</t>
  </si>
  <si>
    <t>US5OWVNFOklCTS5JUV9DQVNIX0lOVkVTVC4xOTk4LjA2LzAzLzIwMjYuLi5VU0QuSAEAAADetgEAAgAAAAYtMTQyNDcBCAAAAAUAAAABMQEAAAALLTE5MzQ4NjAxMjUDAAAAAzE2MAIAAAAEMjAwNQQAAAABMAcAAAAIMy82LzIwMjYIAAAACTYvMzAvMjAyNQkAAAABMIUgUObNe94IfWPoOM573ghAQ0lRLk5ZU0U6SUJNLklRX0FNT1JUX1NPRlRXQVJFX0FTU0VUU19DRi4xOTk4LjA2LzAzLzIwMjYuLi5VU0QuSAEAAADetgEAAgAAAAM2MTQBCAAAAAUAAAABMQEAAAALLTE5MzQ4NjAxMjUDAAAAAzE2MAIAAAAFNDYwMTEEAAAAATAHAAAACDMvNi8yMDI2CAAAAAk2LzMwLzIwMjUJAAAAATCFIFDmzXveCH1j6DjOe94IMkNJUS5OWVNFOklCTS5JUV9ERVBSRV9TVVBQLjE5OTguMDYvMDMvMjAyNi4uLlVTRC5IAQAAAN62AQADAAAAAACFIFDmzXveCH1j6DjOe94IM0NJUS5OWVNFOklCTS5JUV9QUkVGX0RJVl9DRi4xOTk4LjA2LzAzLzIwMjYuLi5VU0QuSAEAAADetgEAAwAAAAAAhSBQ5s173gh9Y+g4znveCDZDSVEuTllTRTpJQk0uSVFfQ1JFRElUX0xPU1NfQ0YuMTk5OC4wNi8wMy8yMDI2Li4uVVNELkgBAAAA3rYBAAMAAAAAAIUgUObNe94IfWPoOM573ggzQ0lRLk5ZU0U6SUJNLklRX1BSRUZfSVNTVUVELjE5OTguMDYvMDMvMjAyNi4uLlVTRC5IAQAAAN62AQADAAAAAACFIFDmzXveCH1j6DjOe94INkNJ</t>
  </si>
  <si>
    <t>US5OWVNFOklCTS5JUV9TVF9ERUJUX1JFUEFJRC4xOTk4LjA2LzAzLzIwMjYuLi5VU0QuSAEAAADetgEAAwAAAAAAhSBQ5s173gh9Y+g4znveCDpDSVEuTllTRTpJQk0uSVFfU1RPQ0tfT1BUSU9OU19DT01QLjE5OTguMDYvMDMvMjAyNi4uLlVTRC5IAQAAAN62AQADAAAAAACFIFDmzXveCH1j6DjOe94IP0NJUS5OWVNFOklCTS5JUV9FWFBMT1JFX0RSSUxMX0VYUF9UT1RBTC4xOTk4LjA2LzAzLzIwMjYuLi5VU0QuSAEAAADetgEAAwAAAAAAhSBQ5s173gh9Y+g4znveCD1DSVEuTllTRTpJQk0uSVFfTkVUX1JFTlRBTF9FWFBfU1VQUExFLjE5OTguMDYvMDMvMjAyNi4uLlVTRC5IAQAAAN62AQADAAAAAACFIFDmzXveCH1j6DjOe94IMUNJUS5OWVNFOklCTS5JUV9SRF9FWFBfRk4uMTk5OC4wNi8wMy8yMDI2Li4uVVNELkgBAAAA3rYBAAIAAAAENzg4OQEIAAAABQAAAAExAQAAAAstMTkzNDg2MDEyNQMAAAADMTYwAgAAAAQzMTY4BAAAAAEwBwAAAAgzLzYvMjAyNggAAAAJNi8zMC8yMDI1CQAAAAEwhSBQ5s173gh9Y+g4znveCDlDSVEuTllTRTpJQk0uSVFfRElTVFJJQlVUQUJMRV9DQVNIX1BBWU9VVC4xOTk4LjA2LzAzLzIwMjYBAAAA3rYBAAMAAAAAAIUgUObNe94Ibp7oOM573ggvQ0lRLk5ZU0U6SUJNLklRX05JX05PUk0uMTk5OC4wNi8wMy8yMDI2Li4uVVNELkgBAAAA3rYBAAIAAAAINjExNC4zNzUB</t>
  </si>
  <si>
    <t>CAAAAAUAAAABMQEAAAALLTE5MzQ4NjAxMjUDAAAAAzE2MAIAAAAENDM3OAQAAAABMAcAAAAIMy82LzIwMjYIAAAACTYvMzAvMjAyNQkAAAABMIUgUObNe94Ibp7oOM573ghBQ0lRLk5ZU0U6SUJNLklRX0VBUk5JTkdfUEFSRU5UX0VYQ0xfRVhUUkEuMTk5OC4wNi8wMy8yMDI2Li4uVVNELkgBAAAA3rYBAAIAAAAENTg1OAEIAAAABQAAAAExAQAAAAstMTkzNDg2MDEyNQMAAAADMTYwAgAAAAU0MTU5NgQAAAABMAcAAAAIMy82LzIwMjYIAAAACTYvMzAvMjAyNQkAAAABMIUgUObNe94IfWPoOM573gg0Q0lRLk5ZU0U6SUJNLklRX0VCSVRBX0VRX0lOQy4xOTk4LjA2LzAzLzIwMjYuLi5VU0QuSAEAAADetgEAAgAAAAUxMjg4MgEIAAAABQAAAAExAQAAAAstMTkzNDg2MDEyNQMAAAADMTYwAgAAAAUyMTY3NgQAAAABMAcAAAAIMy82LzIwMjYIAAAACTYvMzAvMjAyNQkAAAABMIUgUObNe94IfWPoOM573gg8Q0lRLk5ZU0U6SUJNLklRX0VCSVRfRVFfSU5DX0VYQ0xfU0JDLjE5OTguMDYvMDMvMjAyNi4uLlVTRC5IAQAAAN62AQACAAAABTEyNDA4AQgAAAAFAAAAATEBAAAACy0xOTM0ODYwMTI1AwAAAAMxNjACAAAABTI0MTMwBAAAAAEwBwAAAAgzLzYvMjAyNggAAAAJNi8zMC8yMDI1CQAAAAEwhSBQ5s173gh9Y+g4znveCDlDSVEuTllTRTpJQk0uSVFfU1BFQ0lBTF9ESVZfU0hBUkUuMTk5OC4wNi8wMy8yMDI2</t>
  </si>
  <si>
    <t>Li4uVVNELkgBAAAA3rYBAAMAAAAAAIUgUObNe94Ibp7oOM573ggsQ0lRLk5ZU0U6SUJNLklRX0JBU0lDX1dFSUdIVC4xOTk4LjA2LzAzLzIwMjYBAAAA3rYBAAIAAAAKOTI3LjExNzgzNACFIFDmzXveCG6e6DjOe94IPENJUS5OWVNFOklCTS5JUV9DQVNIX0lOVEVSRVNUX0lOVkVTVC4xOTk4LjA2LzAzLzIwMjYuLi5VU0QuSAEAAADetgEAAwAAAAAAhSBQ5s173ghunug4znveCDJDSVEuTllTRTpJQk0uSVFfQ0FTSF9GSU5BTi4xOTk4LjA2LzAzLzIwMjYuLi5VU0QuSAEAAADetgEAAgAAAAUtMTg1MgEIAAAABQAAAAExAQAAAAstMTkzNDg2MDEyNQMAAAADMTYwAgAAAAQyMDA0BAAAAAEwBwAAAAgzLzYvMjAyNggAAAAJNi8zMC8yMDI1CQAAAAEwhSBQ5s173ghunug4znveCDpDSVEuTllTRTpJQk0uSVFfSU5WRVNUX1NFQ1VSSVRZX0NGLjE5OTguMDYvMDMvMjAyNi4uLlVTRC5IAQAAAN62AQACAAAABS0yMzE3AQgAAAAFAAAAATEBAAAACy0xOTM0ODYwMTI1AwAAAAMxNjACAAAABDIwMjcEAAAAATAHAAAACDMvNi8yMDI2CAAAAAk2LzMwLzIwMjUJAAAAATCFIFDmzXveCG6e6DjOe94IQUNJUS5OWVNFOklCTS5JUV9TVE9DS19PUFRJT05TX0NPTVBfUFJFVEFYLjE5OTguMDYvMDMvMjAyNi4uLlVTRC5IAQAAAN62AQADAAAAAACFIFDmzXveCAfG6DjOe94INUNJUS5OWVNFOklCTS5JUV9NRVJHRVJfU1VQ</t>
  </si>
  <si>
    <t>UExFLjE5OTguMDYvMDMvMjAyNi4uLlVTRC5IAQAAAN62AQADAAAAAACFIFDmzXveCAfG6DjOe94IL0NJUS5OWVNFOklCTS5JUV9QRVJJT0RMRU5HVEhfQ0YuMTk5OC4wNi8wMy8yMDI2AQAAAN62AQABAAAAAjEyAIUgUObNe94IB8boOM573ggyQ0lRLk5ZU0U6SUJNLklRX05FVF9DSEFOR0UuMTk5OC4wNi8wMy8yMDI2Li4uVVNELkgBAAAA3rYBAAIAAAAFLTI0NTIBCAAAAAUAAAABMQEAAAALLTE5MzQ4NjAxMjUDAAAAAzE2MAIAAAAEMjA5MwQAAAABMAcAAAAIMy82LzIwMjYIAAAACTYvMzAvMjAyNQkAAAABMIUgUObNe94Ibp7oOM573gg5Q0lRLk5ZU0U6SUJNLklRX1RPVEFMX0RFQlRfUkVQQUlELjE5OTguMDYvMDMvMjAyNi4uLlVTRC5IAQAAAN62AQACAAAABS0zOTg1AQgAAAAFAAAAATEBAAAACy0xOTM0ODYwMTI1AwAAAAMxNjACAAAABDIxNjYEAAAAATAHAAAACDMvNi8yMDI2CAAAAAk2LzMwLzIwMjUJAAAAATCFIFDmzXveCG6e6DjOe94IPkNJUS5OWVNFOklCTS5JUV9PVEhFUl9JTlZFU1RfQUNUX1NVUFBMLjE5OTguMDYvMDMvMjAyNi4uLlVTRC5IAQAAAN62AQADAAAAAACFIFDmzXveCAfG6DjOe94IPENJUS5OWVNFOklCTS5JUV9NSU5PUklUWV9JTlRFUkVTVF9DRi4xOTk4LjA2LzAzLzIwMjYuLi5VU0QuSAEAAADetgEAAwAAAAAAhSBQ5s173ggHxug4znveCC1DSVEuTllTRTpJQk0uSVFf</t>
  </si>
  <si>
    <t>REFfQ0YuMTk5OC4wNi8wMy8yMDI2Li4uVVNELkgBAAAA3rYBAAIAAAAENDIwOQEIAAAABQAAAAExAQAAAAstMTkzNDg2MDEyNQMAAAADMTYwAgAAAAQyMTYwBAAAAAEwBwAAAAgzLzYvMjAyNggAAAAJNi8zMC8yMDI1CQAAAAEwhSBQ5s173ggHxug4znveCDxDSVEuTllTRTpJQk0uSVFfUkVTVFJfU1RPQ0tfQ09NUF9UQVguMTk5OC4wNi8wMy8yMDI2Li4uVVNELkgBAAAA3rYBAAMAAAAAAIUgUObNe94IB8boOM573gg5Q0lRLk5ZU0U6SUJNLklRX1NUT0NLX0JBU0VEX1RPVEFMLjE5OTguMDYvMDMvMjAyNi4uLlVTRC5IAQAAAN62AQACAAAABDE1MzQBCAAAAAUAAAABMQEAAAALLTE5MzQ4NjAxMjUDAAAAAzE2MAIAAAAFMjQwMzQEAAAAATAHAAAACDMvNi8yMDI2CAAAAAk2LzMwLzIwMjUJAAAAATCFIFDmzXveCAfG6DjOe94INkNJUS5OWVNFOklCTS5JUV9TVE9DS19CQVNFRF9SRC4xOTk4LjA2LzAzLzIwMjYuLi5VU0QuSAEAAADetgEAAgAAAAM0NjQBCAAAAAUAAAABMQEAAAALLTE5MzQ4NjAxMjUDAAAAAzE2MAIAAAAFMjI2NzgEAAAAATAHAAAACDMvNi8yMDI2CAAAAAk2LzMwLzIwMjUJAAAAATCFIFDmzXveCAfG6DjOe94ILENJUS5OWVNFOklCTS5JUV9DQUxDX1RZUEVfSVMuMTk5OC4wNi8wMy8yMDI2AQAAAN62AQADAAAAA0xUTQCFIFDmzXveCAfG6DjOe94IMUNJUS5OWVNFOklCTS5JUV9EQV9F</t>
  </si>
  <si>
    <t>QklUREEuMTk5OC4wNi8wMy8yMDI2Li4uVVNELkgBAAAA3rYBAAIAAAAEMzMwOQEIAAAABQAAAAExAQAAAAstMTkzNDg2MDEyNQMAAAADMTYwAgAAAAQyMjA2BAAAAAEwBwAAAAgzLzYvMjAyNggAAAAJNi8zMC8yMDI1CQAAAAEwhSBQ5s173ggHxug4znveCDpDSVEuTllTRTpJQk0uSVFfQ1VSUl9GT1JFSUdOX1RBWEVTLjE5OTguMDYvMDMvMjAyNi4uLlVTRC5IAQAAAN62AQACAAAABDIzMDEBCAAAAAUAAAABMQEAAAALLTE5MzQ4NjAxMjUDAAAAAzE2MAIAAAAEMzAzMAQAAAABMAcAAAAIMy82LzIwMjYIAAAACTYvMzAvMjAyNQkAAAABMIUgUObNe94IB8boOM573gg/Q0lRLk5ZU0U6SUJNLklRX0VYQ0lTRV9UQVhFU19FWENMX1NBTEVTLjE5OTguMDYvMDMvMjAyNi4uLlVTRC5IAQAAAN62AQADAAAAAACFIFDmzXveCAfG6DjOe94INkNJUS5OWVNFOklCTS5JUV9FQklUREFSX0VRX0lOQy4xOTk4LjA2LzAzLzIwMjYuLi5VU0QuSAEAAADetgEAAwAAAAAAhSBQ5s173gjc7Og4znveCDdDSVEuTllTRTpJQk0uSVFfRUJJVERBX0VYQ0xfU0JDLjE5OTguMDYvMDMvMjAyNi4uLlVTRC5IAQAAAN62AQACAAAABTE1NzE3AQgAAAAFAAAAATEBAAAACy0xOTM0ODYwMTI1AwAAAAMxNjACAAAABTI0MTM1BAAAAAEwBwAAAAgzLzYvMjAyNggAAAAJNi8zMC8yMDI1CQAAAAEwhSBQ5s173gjc7Og4znveCD9DSVEuTllT</t>
  </si>
  <si>
    <t>RTpJQk0uSVFfRElTVFJJQlVUQUJMRV9DQVNIX1NIQVJFU19CQVNJQy4xOTk4LjA2LzAzLzIwMjYBAAAA3rYBAAMAAAAAABc/UObNe94IQ0LqOM573ggqQ0lRLk5ZU0U6SUJNLklRX05JLjE5OTguMDYvMDMvMjAyNi4uLlVTRC5IAQAAAN62AQACAAAABDU4MzMBCAAAAAUAAAABMQEAAAALLTE5MzQ4NjAxMjUDAAAAAzE2MAIAAAACMTUEAAAAATAHAAAACDMvNi8yMDI2CAAAAAk2LzMwLzIwMjUJAAAAATCFIFDmzXveCNzs6DjOe94IN0NJUS5OWVNFOklCTS5JUV9FWFRSQV9BQ0NfSVRFTVMuMTk5OC4wNi8wMy8yMDI2Li4uVVNELkgBAAAA3rYBAAMAAAAAAIUgUObNe94I3OzoOM573gguQ0lRLk5ZU0U6SUJNLklRX01FUkdFUi4xOTk4LjA2LzAzLzIwMjYuLi5VU0QuSAEAAADetgEAAgAAAAQtMTQzAQgAAAAFAAAAATEBAAAACy0xOTM0ODYwMTI1AwAAAAMxNjACAAAAAjgwBAAAAAEwBwAAAAgzLzYvMjAyNggAAAAJNi8zMC8yMDI1CQAAAAEwhSBQ5s173gjc7Og4znveCDZDSVEuTllTRTpJQk0uSVFfR1dfSU5UQU5fQU1PUlQuMTk5OC4wNi8wMy8yMDI2Li4uVVNELkgBAAAA3rYBAAMAAAAAAIUgUObNe94I3OzoOM573gg1Q0lRLk5ZU0U6SUJNLklRX0NPTU1PTl9ESVZfQ0YuMTk5OC4wNi8wMy8yMDI2Li4uVVNELkgBAAAA3rYBAAIAAAAFLTYyMDEBCAAAAAUAAAABMQEAAAALLTE5MzQ4NjAxMjUDAAAAAzE2</t>
  </si>
  <si>
    <t>MAIAAAAEMjA3NAQAAAABMAcAAAAIMy82LzIwMjYIAAAACTYvMzAvMjAyNQkAAAABMIUgUObNe94I3OzoOM573gg2Q0lRLk5ZU0U6SUJNLklRX0NIQU5HRV9ERUZfVEFYLjE5OTguMDYvMDMvMjAyNi4uLlVTRC5IAQAAAN62AQADAAAAAACFIFDmzXveCNzs6DjOe94IMENJUS5OWVNFOklCTS5JUV9MT0FOU19DRi4xOTk4LjA2LzAzLzIwMjYuLi5VU0QuSAEAAADetgEAAwAAAAAAhSBQ5s173gjc7Og4znveCDZDSVEuTllTRTpJQk0uSVFfR0FJTl9JTlZFU1RfQ0YuMTk5OC4wNi8wMy8yMDI2Li4uVVNELkgBAAAA3rYBAAMAAAAAAIUgUObNe94I4hPpOM573ggzQ0lRLk5ZU0U6SUJNLklRX0lQUkRfU1VQUExFLjE5OTguMDYvMDMvMjAyNi4uLlVTRC5IAQAAAN62AQADAAAAAACFIFDmzXveCOIT6TjOe94INUNJUS5OWVNFOklCTS5JUV9BSVJDUkFGVF9SRU5ULjE5OTguMDYvMDMvMjAyNi4uLlVTRC5IAQAAAN62AQADAAAAAACFIFDmzXveCNzs6DjOe94IN0NJUS5OWVNFOklCTS5JUV9PVEhFUl9MVF9BU1NFVFMuMTk5OC4wNi8wMy8yMDI2Li4uVVNELkgBAAAA3rYBAAIAAAAEODMyMgEIAAAABQAAAAExAQAAAAstMTkzNDg2MDEyNQMAAAADMTYwAgAAAAQxMDYwBAAAAAEwBwAAAAgzLzYvMjAyNggAAAAJNi8zMC8yMDI1CQAAAAEwFz9Q5s173gjc7Og4znveCDdDSVEuTllTRTpJQk0uSVFfRklOX0RJVl9ERUJU</t>
  </si>
  <si>
    <t>X0xULjE5OTguMDYvMDMvMjAyNi4uLlVTRC5IAQAAAN62AQADAAAAAAAXP1DmzXveCNzs6DjOe94IOUNJUS5OWVNFOklCTS5JUV9ERUZfVEFYX0FTU0VUU19MVC4xOTk4LjA2LzAzLzIwMjYuLi5VU0QuSAEAAADetgEAAgAAAAQ4NDc1AQgAAAAFAAAAATEBAAAACy0xOTM0ODYwMTI1AwAAAAMxNjACAAAABDEwMjYEAAAAATAHAAAACDMvNi8yMDI2CAAAAAk2LzMwLzIwMjUJAAAAATAXP1DmzXveCOIT6TjOe94INkNJUS5OWVNFOklCTS5JUV9UUkFESU5HX0FTU0VUUy4xOTk4LjA2LzAzLzIwMjYuLi5VU0QuSAEAAADetgEAAwAAAAAAFz9Q5s173gjiE+k4znveCC9DSVEuTllTRTpJQk0uSVFfTFRfREVCVC4xOTk4LjA2LzAzLzIwMjYuLi5VU0QuSAEAAADetgEAAgAAAAU1NDAzOQEIAAAABQAAAAExAQAAAAstMTkzNDg2MDEyNQMAAAADMTYwAgAAAAQxMDQ5BAAAAAEwBwAAAAgzLzYvMjAyNggAAAAJNi8zMC8yMDI1CQAAAAEwFz9Q5s173gjiE+k4znveCEJDSVEuTllTRTpJQk0uSVFfQ0hBTkdFX05FVF9XT1JLSU5HX0NBUElUQUwuMTk5OC4wNi8wMy8yMDI2Li4uVVNELkgBAAAA3rYBAAIAAAAFLTM0NzkBCAAAAAUAAAABMQEAAAALLTE5MzQ4NjAxMjUDAAAAAzE2MAIAAAAENDQyMQQAAAABMAcAAAAIMy82LzIwMjYIAAAACTYvMzAvMjAyNQkAAAABMBc/UObNe94I4hPpOM573gg+Q0lRLk5ZU0U6SUJNLklR</t>
  </si>
  <si>
    <t>X0ZJTl9ESVZfQVNTRVRTX0NVUlJFTlQuMTk5OC4wNi8wMy8yMDI2Li4uVVNELkgBAAAA3rYBAAIAAAADNzQ2AQgAAAAFAAAAATEBAAAACy0xOTM0ODYwMTI1AwAAAAMxNjACAAAABDEwMjkEAAAAATAHAAAACDMvNi8yMDI2CAAAAAk2LzMwLzIwMjUJAAAAATAXP1DmzXveCOIT6TjOe94IMUNJUS5OWVNFOklCTS5JUV9TVF9JTlZFU1QuMTk5OC4wNi8wMy8yMDI2Li4uVVNELkgBAAAA3rYBAAIAAAAEMzUwNAEIAAAABQAAAAExAQAAAAstMTkzNDg2MDEyNQMAAAADMTYwAgAAAAQxMDY5BAAAAAEwBwAAAAgzLzYvMjAyNggAAAAJNi8zMC8yMDI1CQAAAAEwFz9Q5s173gjiE+k4znveCDpDSVEuTllTRTpJQk0uSVFfQ0FTSF9JTlRFUkVTVF9PUEVSLjE5OTguMDYvMDMvMjAyNi4uLlVTRC5IAQAAAN62AQADAAAAAAAXP1DmzXveCOIT6TjOe94INkNJUS5OWVNFOklCTS5JUV9DSEFOR0VfSU5DX1RBWC4xOTk4LjA2LzAzLzIwMjYuLi5VU0QuSAEAAADetgEAAwAAAAAAFz9Q5s173gjiE+k4znveCDFDSVEuTllTRTpJQk0uSVFfQ0hBTkdFX0FQLjE5OTguMDYvMDMvMjAyNi4uLlVTRC5IAQAAAN62AQACAAAAAy0xMwEIAAAABQAAAAExAQAAAAstMTkzNDg2MDEyNQMAAAADMTYwAgAAAAQyMDE3BAAAAAEwBwAAAAgzLzYvMjAyNggAAAAJNi8zMC8yMDI1CQAAAAEwFz9Q5s173gjiE+k4znveCDNDSVEuTllTRTpJQk0u</t>
  </si>
  <si>
    <t>SVFfT1RIRVJfQU1PUlQuMTk5OC4wNi8wMy8yMDI2Li4uVVNELkgBAAAA3rYBAAIAAAADNjE0AQgAAAAFAAAAATEBAAAACy0xOTM0ODYwMTI1AwAAAAMxNjACAAAABDIwMTQEAAAAATAHAAAACDMvNi8yMDI2CAAAAAk2LzMwLzIwMjUJAAAAATAXP1DmzXveCOIT6TjOe94ILUNJUS5OWVNFOklCTS5JUV9BUl9MVC4xOTk4LjA2LzAzLzIwMjYuLi5VU0QuSAEAAADetgEAAwAAAAAAFz9Q5s173gg3O+k4znveCDJDSVEuTllTRTpJQk0uSVFfQ0FTSF9UQVhFUy4xOTk4LjA2LzAzLzIwMjYuLi5VU0QuSAEAAADetgEAAgAAAAQxNzIzAQgAAAAFAAAAATEBAAAACy0xOTM0ODYwMTI1AwAAAAMxNjACAAAABDMwNTMEAAAAATAHAAAACDMvNi8yMDI2CAAAAAk2LzMwLzIwMjUJAAAAATAXP1DmzXveCDc76TjOe94ILUNJUS5OWVNFOklCTS5JUV9DQVBFWC4xOTk4LjA2LzAzLzIwMjYuLi5VU0QuSAEAAADetgEAAgAAAAUtMTA0MwEIAAAABQAAAAExAQAAAAstMTkzNDg2MDEyNQMAAAADMTYwAgAAAAQyMDIxBAAAAAEwBwAAAAgzLzYvMjAyNggAAAAJNi8zMC8yMDI1CQAAAAEwFz9Q5s173gg3O+k4znveCDRDSVEuTllTRTpJQk0uSVFfT1RIRVJfUkVOVEFMLjE5OTguMDYvMDMvMjAyNi4uLlVTRC5IAQAAAN62AQADAAAAAAAXP1DmzXveCDc76TjOe94IO0NJUS5OWVNFOklCTS5JUV9EQV9TVVBQTF9QQVJUSUFMX0NGLjE5</t>
  </si>
  <si>
    <t>OTguMDYvMDMvMjAyNi4uLlVTRC5IAQAAAN62AQADAAAAAAAXP1DmzXveCOIT6TjOe94IMkNJUS5OWVNFOklCTS5JUV9DT01NT05fUkVQLjE5OTguMDYvMDMvMjAyNi4uLlVTRC5IAQAAAN62AQACAAAABC03MzgBCAAAAAUAAAABMQEAAAALLTE5MzQ4NjAxMjUDAAAAAzE2MAIAAAAEMjE2NAQAAAABMAcAAAAIMy82LzIwMjYIAAAACTYvMzAvMjAyNQkAAAABMBc/UObNe94IKWfpOM573gg7Q0lRLk5ZU0U6SUJNLklRX1RBWF9CRU5FRklUX09QVElPTlMuMTk5OC4wNi8wMy8yMDI2Li4uVVNELkgBAAAA3rYBAAMAAAAAABc/UObNe94IJU/pOM573gg1Q0lRLk5ZU0U6SUJNLklRX1NBTEVfSU5UQU5fQ0YuMTk5OC4wNi8wMy8yMDI2Li4uVVNELkgBAAAA3rYBAAIAAAAELTU5MwEIAAAABQAAAAExAQAAAAstMTkzNDg2MDEyNQMAAAADMTYwAgAAAAQyMDI5BAAAAAEwBwAAAAgzLzYvMjAyNggAAAAJNi8zMC8yMDI1CQAAAAEwFz9Q5s173gglT+k4znveCDZDSVEuTllTRTpJQk0uSVFfU1RPQ0tfQkFTRURfQVQuMTk5OC4wNi8wMy8yMDI2Li4uVVNELkgBAAAA3rYBAAMAAAAAABc/UObNe94INzvpOM573gg9Q0lRLk5ZU0U6SUJNLklRX0lNUFVUX09QRVJfTEVBU0VfREVQUi4xOTk4LjA2LzAzLzIwMjYuLi5VU0QuSAEAAADetgEAAwAAAAAAFz9Q5s173gg3O+k4znveCDlDSVEuTllTRTpJQk0uSVFfSU5WRVNUTUVO</t>
  </si>
  <si>
    <t>VF9JTkNPTUUuMTk5OC4wNi8wMy8yMDI2Li4uVVNELkgBAAAA3rYBAAMAAAAAABc/UObNe94IKWfpOM573gg/Q0lRLk5ZU0U6SUJNLklRX0VCSVREQVJfRVFfSU5DX0VYQ0xfU0JDLjE5OTguMDYvMDMvMjAyNi4uLlVTRC5IAQAAAN62AQADAAAAAAAXP1DmzXveCCln6TjOe94INkNJUS5OWVNFOklCTS5JUV9ESUxVVF9FUFNfSU5DTC4xOTk4LjA2LzAzLzIwMjYuLi5VU0QuSAEAAADetgEAAgAAAAg2LjE3ODc0MQEIAAAABQAAAAExAQAAAAstMTkzNDg2MDEyNQMAAAADMTYwAgAAAAE4BAAAAAEwBwAAAAgzLzYvMjAyNggAAAAJNi8zMC8yMDI1CQAAAAEwFz9Q5s173ggpZ+k4znveCDZDSVEuTllTRTpJQk0uSVFfU1RfREVCVF9JU1NVRUQuMTk5OC4wNi8wMy8yMDI2Li4uVVNELkgBAAAA3rYBAAMAAAAAABc/UObNe94IKWfpOM573ggtQ0lRLk5ZU0U6SUJNLklRX0RPX0NGLjE5OTguMDYvMDMvMjAyNi4uLlVTRC5IAQAAAN62AQADAAAAAAAXP1DmzXveCCln6TjOe94IOUNJUS5OWVNFOklCTS5JUV9HV19JTlRBTl9BTU9SVF9DRi4xOTk4LjA2LzAzLzIwMjYuLi5VU0QuSAEAAADetgEAAgAAAAQyMDA4AQgAAAAFAAAAATEBAAAACy0xOTM0ODYwMTI1AwAAAAMxNjACAAAABDIxODIEAAAAATAHAAAACDMvNi8yMDI2CAAAAAk2LzMwLzIwMjUJAAAAATAXP1DmzXveCHCO6TjOe94ILENJUS5OWVNFOklCTS5JUV9Q</t>
  </si>
  <si>
    <t>QVlPVVRfUkFUSU8uMTk5OC4wNi8wMy8yMDI2AQAAAN62AQACAAAACDEwNi4zMDg5AQgAAAAFAAAAATEBAAAACy0xOTM0ODYwMTI1AwAAAAMxNjACAAAABDQzNzcEAAAAATAHAAAACDMvNi8yMDI2CAAAAAk2LzMwLzIwMjUJAAAAATAXP1DmzXveCHCO6TjOe94IL0NJUS5OWVNFOklCTS5JUV9OSV9TRkFTLjE5OTguMDYvMDMvMjAyNi4uLlVTRC5IAQAAAN62AQADAAAAAAAXP1DmzXveCCln6TjOe94ISkNJUS5OWVNFOklCTS5JUV9QUk9WX0JBRF9ERUJUU19QQVRJRU5UX1NFUlZJQ0VfUkVWLjE5OTguMDYvMDMvMjAyNi4uLlVTRC5IAQAAAN62AQADAAAAAAAXP1DmzXveCCln6TjOe94IL0NJUS5OWVNFOklCTS5JUV9FQklUREFSLjE5OTguMDYvMDMvMjAyNi4uLlVTRC5IAQAAAN62AQADAAAAAAAXP1DmzXveCHCO6TjOe94IMUNJUS5OWVNFOklCTS5JUV9DQVNIX09QRVIuMTk5OC4wNi8wMy8yMDI2Li4uVVNELkgBAAAA3rYBAAIAAAAFMTMyODIBCAAAAAUAAAABMQEAAAALLTE5MzQ4NjAxMjUDAAAAAzE2MAIAAAAEMjAwNgQAAAABMAcAAAAIMy82LzIwMjYIAAAACTYvMzAvMjAyNQkAAAABMBc/UObNe94IcI7pOM573gg4Q0lRLk5ZU0U6SUJNLklRX1NUT0NLX0JBU0VEX0NPR1MuMTk5OC4wNi8wMy8yMDI2Li4uVVNELkgBAAAA3rYBAAIAAAADMjQ2AQgAAAAFAAAAATEBAAAACy0xOTM0ODYwMTI1AwAAAAMx</t>
  </si>
  <si>
    <t>NjACAAAABTIyNjc0BAAAAAEwBwAAAAgzLzYvMjAyNggAAAAJNi8zMC8yMDI1CQAAAAEwFz9Q5s173ghwjuk4znveCD1DSVEuTllTRTpJQk0uSVFfRUJJVEFfRVFfSU5DX0VYQ0xfU0JDLjE5OTguMDYvMDMvMjAyNi4uLlVTRC5IAQAAAN62AQACAAAABTE0NDE2AQgAAAAFAAAAATEBAAAACy0xOTM0ODYwMTI1AwAAAAMxNjACAAAABTI0MTMyBAAAAAEwBwAAAAgzLzYvMjAyNggAAAAJNi8zMC8yMDI1CQAAAAEwFz9Q5s173ghwjuk4znveCC1DSVEuTllTRTpJQk0uSVFfRUJJVEEuMTk5OC4wNi8wMy8yMDI2Li4uVVNELkgBAAAA3rYBAAIAAAAFMTI4ODIBCAAAAAUAAAABMQEAAAALLTE5MzQ4NjAxMjUDAAAAAzE2MAIAAAAGMTAwNjg5BAAAAAEwBwAAAAgzLzYvMjAyNggAAAAJNi8zMC8yMDI1CQAAAAEwFz9Q5s173ghwjuk4znveCD5DSVEuTllTRTpJQk0uSVFfRUJJVERBX0VRX0lOQ19FWENMX1NCQy4xOTk4LjA2LzAzLzIwMjYuLi5VU0QuSAEAAADetgEAAgAAAAUxNTcxNwEIAAAABQAAAAExAQAAAAstMTkzNDg2MDEyNQMAAAADMTYwAgAAAAUyNDEzMQQAAAABMAcAAAAIMy82LzIwMjYIAAAACTYvMzAvMjAyNQkAAAABMBc/UObNe94IVMnpOM573ggsQ0lRLk5ZU0U6SUJNLklRX0lQUkQuMTk5OC4wNi8wMy8yMDI2Li4uVVNELkgBAAAA3rYBAAMAAAAAABc/UObNe94IcI7pOM573gg3Q0lRLk5ZU0U6SUJN</t>
  </si>
  <si>
    <t>LklRX09USEVSX1JFVl9TVVBQTC4xOTk4LjA2LzAzLzIwMjYuLi5VU0QuSAEAAADetgEAAwAAAAAAFz9Q5s173ghwjuk4znveCDJDSVEuTllTRTpJQk0uSVFfTklfQ09NUEFOWS4xOTk4LjA2LzAzLzIwMjYuLi5VU0QuSAEAAADetgEAAgAAAAQ1ODMzAQgAAAAFAAAAATEBAAAACy0xOTM0ODYwMTI1AwAAAAMxNjACAAAABTQxNTcxBAAAAAEwBwAAAAgzLzYvMjAyNggAAAAJNi8zMC8yMDI1CQAAAAEwFz9Q5s173ghwjuk4znveCDNDSVEuTllTRTpJQk0uSVFfR0FJTl9BU1NFVFMuMTk5OC4wNi8wMy8yMDI2Li4uVVNELkgBAAAA3rYBAAIAAAADMzY2AQgAAAAFAAAAATEBAAAACy0xOTM0ODYwMTI1AwAAAAMxNjACAAAAAjU2BAAAAAEwBwAAAAgzLzYvMjAyNggAAAAJNi8zMC8yMDI1CQAAAAEwFz9Q5s173ghwjuk4znveCDFDSVEuTllTRTpJQk0uSVFfU0dBX1NVUFBMLjE5OTguMDYvMDMvMjAyNi4uLlVTRC5IAQAAAN62AQACAAAABTE5MTE1AQgAAAAFAAAAATEBAAAACy0xOTM0ODYwMTI1AwAAAAMxNjACAAAAAzEwMgQAAAABMAcAAAAIMy82LzIwMjYIAAAACTYvMzAvMjAyNQkAAAABMBc/UObNe94IVMnpOM573gg5Q0lRLk5ZU0U6SUJNLklRX1BST1ZfQkFEX0RFQlRTX0NGLjE5OTguMDYvMDMvMjAyNi4uLlVTRC5IAQAAAN62AQADAAAAAAAXP1DmzXveCFTJ6TjOe94IQkNJUS5OWVNFOklCTS5JUV9ERVBS</t>
  </si>
  <si>
    <t>RUNJQVRJT05fUkVOVEFMX0FTU0VUUy4xOTk4LjA2LzAzLzIwMjYuLi5VU0QuSAEAAADetgEAAwAAAAAAFz9Q5s173ghUyek4znveCCdDSVEuTllTRTpJQk0uSVFfR0FBUF9JUy4xOTk4LjA2LzAzLzIwMjYBAAAA3rYBAAMAAAAAABc/UObNe94IVMnpOM573gg7Q0lRLk5ZU0U6SUJNLklRX05PTkNBU0hfUEVOU0lPTl9FWFAuMTk5OC4wNi8wMy8yMDI2Li4uVVNELkgBAAAA3rYBAAMAAAAAABc/UObNe94IVMnpOM573gguQ0lRLk5ZU0U6SUJNLklRX0VCSVREQS4xOTk4LjA2LzAzLzIwMjYuLi5VU0QuSAEAAADetgEAAgAAAAUxNDE4MwEIAAAABQAAAAExAQAAAAstMTkzNDg2MDEyNQMAAAADMTYwAgAAAAQ0MDUxBAAAAAEwBwAAAAgzLzYvMjAyNggAAAAJNi8zMC8yMDI1CQAAAAEwFz9Q5s173gij8Ok4znveCC1DSVEuTllTRTpJQk0uSVFfRklMSU5HREFURV9JUy4xOTk4LjA2LzAzLzIwMjYBAAAA3rYBAAUAAAAKMjQvMDcvMjAyNQAXP1DmzXveCKPw6TjOe94IN0NJUS5OWVNFOklCTS5JUV9UT1RBTF9SRVZfU0hBUkUuMTk5OC4wNi8wMy8yMDI2Li4uVVNELkgBAAAA3rYBAAIAAAAJNjkuMDc0MjgzAQgAAAAFAAAAATEBAAAACy0xOTM0ODYwMTI1AwAAAAMxNjACAAAABDQzODIEAAAAATAHAAAACDMvNi8yMDI2CAAAAAk2LzMwLzIwMjUJAAAAATAXP1DmzXveCKPw6TjOe94IMENJUS5OWVNFOklCTS5JUV9P</t>
  </si>
  <si>
    <t>UEVSX0lOQy4xOTk4LjA2LzAzLzIwMjYuLi5VU0QuSAEAAADetgEAAgAAAAUxMDg3NAEIAAAABQAAAAExAQAAAAstMTkzNDg2MDEyNQMAAAADMTYwAgAAAAIyMQQAAAABMAcAAAAIMy82LzIwMjYIAAAACTYvMzAvMjAyNQkAAAABMBc/UObNe94Io/DpOM573ggzQ0lRLk5ZU0U6SUJNLklRX0ZJTl9ESVZfRVhQLjE5OTguMDYvMDMvMjAyNi4uLlVTRC5IAQAAAN62AQACAAAAAzM3NwEIAAAABQAAAAExAQAAAAstMTkzNDg2MDEyNQMAAAADMTYwAgAAAAI1MQQAAAABMAcAAAAIMy82LzIwMjYIAAAACTYvMzAvMjAyNQkAAAABMBc/UObNe94Io/DpOM573ggrQ0lRLk5ZU0U6SUJNLklRX1JFVi4xOTk4LjA2LzAzLzIwMjYuLi5VU0QuSAEAAADetgEAAgAAAAU2MzMzNQEIAAAABQAAAAExAQAAAAstMTkzNDg2MDEyNQMAAAADMTYwAgAAAAMxMTIEAAAAATAHAAAACDMvNi8yMDI2CAAAAAk2LzMwLzIwMjUJAAAAATAXP1DmzXveCKPw6TjOe94IPkNJUS5OWVNFOklCTS5JUV9DQVNIX0lOVEVSRVNUX1JFQ0VJVkVELjE5OTguMDYvMDMvMjAyNi4uLlVTRC5IAQAAAN62AQADAAAAAAAXP1DmzXveCKPw6TjOe94IPENJUS5OWVNFOklCTS5JUV9PVEhFUl9VTlVTVUFMX1NVUFBMRS4xOTk4LjA2LzAzLzIwMjYuLi5VU0QuSAEAAADetgEAAwAAAAAAFz9Q5s173gij8Ok4znveCDpDSVEuTllTRTpJQk0uSVFfRElTVFJJQlVU</t>
  </si>
  <si>
    <t>QUJMRV9DQVNILjE5OTguMDYvMDMvMjAyNi4uLlVTRC5IAQAAAN62AQADAAAAAAAXP1DmzXveCKPw6TjOe94IMENJUS5OWVNFOklCTS5JUV9FUFNfTk9STS4xOTk4LjA2LzAzLzIwMjYuLi5VU0QuSAEAAADetgEAAgAAAAg2LjU5NTAzNQEIAAAABQAAAAExAQAAAAstMTkzNDg2MDEyNQMAAAADMTYwAgAAAAQ0Mzc5BAAAAAEwBwAAAAgzLzYvMjAyNggAAAAJNi8zMC8yMDI1CQAAAAEwFz9Q5s173gij8Ok4znveCEBDSVEuTllTRTpJQk0uSVFfT1RIRVJfTk9OX09QRVJfRVhQX1NVUFBMLjE5OTguMDYvMDMvMjAyNi4uLlVTRC5IAQAAAN62AQACAAAAAzExNAEIAAAABQAAAAExAQAAAAstMTkzNDg2MDEyNQMAAAADMTYwAgAAAAI4NQQAAAABMAcAAAAIMy82LzIwMjYIAAAACTYvMzAvMjAyNQkAAAABMBc/UObNe94Io/DpOM573ggwQ0lRLk5ZU0U6SUJNLklRX0RJTFVUX05JLjE5OTguMDYvMDMvMjAyNi4uLlVTRC5IAQAAAN62AQACAAAACzU4NTUuMDIxMDU4AQgAAAAFAAAAATEBAAAACy0xOTM0ODYwMTI1AwAAAAMxNjACAAAABDM1MjIEAAAAATAHAAAACDMvNi8yMDI2CAAAAAk2LzMwLzIwMjUJAAAAATAXP1DmzXveCKPw6TjOe94IN0NJUS5OWVNFOklCTS5JUV9ORVRfREVCVF9JU1NVRUQuMTk5OC4wNi8wMy8yMDI2Li4uVVNELkgBAAAA3rYBAAIAAAAENDQzMAEIAAAABQAAAAExAQAAAAstMTkzNDg2MDEy</t>
  </si>
  <si>
    <t>NQMAAAADMTYwAgAAAAQyMDAzBAAAAAEwBwAAAAgzLzYvMjAyNggAAAAJNi8zMC8yMDI1CQAAAAEwFz9Q5s173gij8Ok4znveCDtDSVEuTllTRTpJQk0uSVFfU0FMRV9SRUFMX0VTVEFURV9DRi4xOTk4LjA2LzAzLzIwMjYuLi5VU0QuSAEAAADetgEAAwAAAAAAFz9Q5s173gij8Ok4znveCDlDSVEuTllTRTpJQk0uSVFfU1RPQ0tfQkFTRURfT1RIRVIuMTk5OC4wNi8wMy8yMDI2Li4uVVNELkgBAAAA3rYBAAIAAAACLTEBCAAAAAUAAAABMQEAAAALLTE5MzQ4NjAxMjUDAAAAAzE2MAIAAAAFMjI2NzYEAAAAATAHAAAACDMvNi8yMDI2CAAAAAk2LzMwLzIwMjUJAAAAATAXP1DmzXveCKUt6jjOe94IPENJUS5OWVNFOklCTS5JUV9ORUdBVElWRV9HV19BTU9SVF9BVC4xOTk4LjA2LzAzLzIwMjYuLi5VU0QuSAEAAADetgEAAwAAAAAAFz9Q5s173gilLeo4znveCEBDSVEuTllTRTpJQk0uSVFfSU1QVVRfT1BFUl9MRUFTRV9JTlRfRVhQLjE5OTguMDYvMDMvMjAyNi4uLlVTRC5IAQAAAN62AQADAAAAAAAXP1DmzXveCKUt6jjOe94IOkNJUS5OWVNFOklCTS5JUV9DT01NT05fUFJFRl9ESVZfQ0YuMTk5OC4wNi8wMy8yMDI2Li4uVVNELkgBAAAA3rYBAAMAAAAAABc/UObNe94IpS3qOM573gg2Q0lRLk5ZU0U6SUJNLklRX1NUT0NLX0JBU0VEX0dBLjE5OTguMDYvMDMvMjAyNi4uLlVTRC5IAQAAAN62AQADAAAAAAAX</t>
  </si>
  <si>
    <t>P1DmzXveCKPw6TjOe94IOkNJUS5OWVNFOklCTS5JUV9SRVNUUlVDVFVSRV9TVVBQTEUuMTk5OC4wNi8wMy8yMDI2Li4uVVNELkgBAAAA3rYBAAMAAAAAABc/UObNe94IQ0LqOM573ggvQ0lRLk5ZU0U6SUJNLklRX0VGRkVDVF9UQVhfUkFURS4xOTk4LjA2LzAzLzIwMjYBAAAA3rYBAAIAAAAGNi40MDY3AQgAAAAFAAAAATEBAAAACy0xOTM0ODYwMTI1AwAAAAMxNjACAAAABDQzNzYEAAAAATAHAAAACDMvNi8yMDI2CAAAAAk2LzMwLzIwMjUJAAAAATAXP1DmzXveCENC6jjOe94INkNJUS5OWVNFOklCTS5JUV9ESUxVVF9FUFNfRVhDTC4xOTk4LjA2LzAzLzIwMjYuLi5VU0QuSAEAAADetgEAAgAAAAg2LjIwNTIzNwEIAAAABQAAAAExAQAAAAstMTkzNDg2MDEyNQMAAAADMTYwAgAAAAMxNDIEAAAAATAHAAAACDMvNi8yMDI2CAAAAAk2LzMwLzIwMjUJAAAAATAXP1DmzXveCKUt6jjOe94IMkNJUS5OWVNFOklCTS5JUV9PVEhFUl9PUEVSLjE5OTguMDYvMDMvMjAyNi4uLlVTRC5IAQAAAN62AQACAAAABS0xMDA2AQgAAAAFAAAAATEBAAAACy0xOTM0ODYwMTI1AwAAAAMxNjACAAAAAzI2MAQAAAABMAcAAAAIMy82LzIwMjYIAAAACTYvMzAvMjAyNQkAAAABMBc/UObNe94IpS3qOM573ggxQ0lRLk5ZU0U6SUJNLklRX0RJVkVTVF9DRi4xOTk4LjA2LzAzLzIwMjYuLi5VU0QuSAEAAADetgEAAgAAAAItNgEIAAAA</t>
  </si>
  <si>
    <t>BQAAAAExAQAAAAstMTkzNDg2MDEyNQMAAAADMTYwAgAAAAQyMDc3BAAAAAEwBwAAAAgzLzYvMjAyNggAAAAJNi8zMC8yMDI1CQAAAAEwFz9Q5s173gilLeo4znveCDNDSVEuTllTRTpJQk0uSVFfSU5UX0VYUF9MVEQuMTk5OC4wNi8wMy8yMDI2Li4uVVNELkgBAAAA3rYBAAMAAAAAABc/UObNe94IQ0LqOM573gg3Q0lRLk5ZU0U6SUJNLklRX0lOVEVSRVNUX0lOQ09NRS4xOTk4LjA2LzAzLzIwMjYuLi5VU0QuSAEAAADetgEAAgAAAAM2ODMBCAAAAAUAAAABMQEAAAALLTE5MzQ4NjAxMjUDAAAAAzE2MAIAAAADMjEwBAAAAAEwBwAAAAgzLzYvMjAyNggAAAAJNi8zMC8yMDI1CQAAAAEwFz9Q5s173ghDQuo4znveCDpDSVEuTllTRTpJQk0uSVFfQVNfUkVQT1JURURfRUJJVERBLjE5OTguMDYvMDMvMjAyNi4uLlVTRC5IAQAAAN62AQADAAAAAAAXP1DmzXveCENC6jjOe94IMkNJUS5OWVNFOklCTS5JUV9JTlNfU0VUVExFLjE5OTguMDYvMDMvMjAyNi4uLlVTRC5IAQAAAN62AQADAAAAAAAXP1DmzXveCENC6jjOe94IMkNJUS5OWVNFOklCTS5JUV9JTkNfRVFVSVRZLjE5OTguMDYvMDMvMjAyNi4uLlVTRC5IAQAAAN62AQADAAAAAAAXP1DmzXveCENC6jjOe94IMUNJUS5OWVNFOklCTS5JUV9UT1RBTF9SRVYuMTk5OC4wNi8wMy8yMDI2Li4uVVNELkgBAAAA3rYBAAIAAAAFNjQwNDABCAAAAAUAAAABMQEAAAAL</t>
  </si>
  <si>
    <t>LTE5MzQ4NjAxMjUDAAAAAzE2MAIAAAACMjgEAAAAATAHAAAACDMvNi8yMDI2CAAAAAk2LzMwLzIwMjUJAAAAATAXP1DmzXveCENC6jjOe94INUNJUS5OWVNFOklCTS5JUV9DQVNIX0lOVEVSRVNULjE5OTguMDYvMDMvMjAyNi4uLlVTRC5IAQAAAN62AQACAAAABDIwOTABCAAAAAUAAAABMQEAAAALLTE5MzQ4NjAxMjUDAAAAAzE2MAIAAAAEMzAyOAQAAAABMAcAAAAIMy82LzIwMjYIAAAACTYvMzAvMjAyNQkAAAABMBc/UObNe94IQ0LqOM573gg+Q0lRLk5ZU0U6SUJNLklRX0FTU0VUX1dSSVRFRE9XTl9TVVBQTEUuMTk5OC4wNi8wMy8yMDI2Li4uVVNELkgBAAAA3rYBAAMAAAAAABc/UObNe94IQ0LqOM573ggxQ0lRLk5ZU0U6SUJNLklRX01BUktFVElORy4xOTk4LjA2LzAzLzIwMjYuLi5VU0QuSAEAAADetgEAAwAAAAAAFz9Q5s173ghDQuo4znveCDhDSVEuTllTRTpJQk0uSVFfSU5UX0VYUF9JTkNMX0NBUC4xOTk4LjA2LzAzLzIwMjYuLi5VU0QuSAEAAADetgEAAgAAAAQxODI4AQgAAAAFAAAAATEBAAAACy0xOTM0ODYwMTI1AwAAAAMxNjACAAAABTIxODYxBAAAAAEwBwAAAAgzLzYvMjAyNggAAAAJNi8zMC8yMDI1CQAAAAEwFz9Q5s173ghDQuo4znveCDxDSVEuTllTRTpJQk0uSVFfREVGRVJSRURfVEFYRVNfVE9UQUwuMTk5OC4wNi8wMy8yMDI2Li4uVVNELkgBAAAA3rYBAAIAAAAFLTIzMzYBCAAA</t>
  </si>
  <si>
    <t>AAUAAAABMQEAAAALLTE5MzQ4NjAxMjUDAAAAAzE2MAIAAAAFMzUzODUEAAAAATAHAAAACDMvNi8yMDI2CAAAAAk2LzMwLzIwMjUJAAAAATAXP1DmzXveCENC6jjOe94IP0NJUS5OWVNFOklCTS5JUV9ERUZFUlJFRF9ET01FU1RJQ19UQVhFUy4xOTk4LjA2LzAzLzIwMjYuLi5VU0QuSAEAAADetgEAAgAAAAUtMjUzOQEIAAAABQAAAAExAQAAAAstMTkzNDg2MDEyNQMAAAADMTYwAgAAAAQzMDU0BAAAAAEwBwAAAAgzLzYvMjAyNggAAAAJNi8zMC8yMDI1CQAAAAEwFz9Q5s173ghDQuo4znveCCpDSVEuTllTRTpJQk0uSVFfU0FNRV9TVE9SRS4xOTk4LjA2LzAzLzIwMjYBAAAA3rYBAAMAAAAAABc/UObNe94IQ0LqOM573gg1Q0lRLk5ZU0U6SUJNLklRX0VCSVRfRVhDTF9TQkMuMTk5OC4wNi8wMy8yMDI2Li4uVVNELkgBAAAA3rYBAAIAAAAFMTI0MDgBCAAAAAUAAAABMQEAAAALLTE5MzQ4NjAxMjUDAAAAAzE2MAIAAAAFMjQxMzQEAAAAATAHAAAACDMvNi8yMDI2CAAAAAk2LzMwLzIwMjUJAAAAATAXP1DmzXveCENC6jjOe94INkNJUS5OWVNFOklCTS5JUV9CQVNJQ19FUFNfSU5DTC4xOTk4LjA2LzAzLzIwMjYuLi5VU0QuSAEAAADetgEAAgAAAAg2LjI5MTU0MQEIAAAABQAAAAExAQAAAAstMTkzNDg2MDEyNQMAAAADMTYwAgAAAAE5BAAAAAEwBwAAAAgzLzYvMjAyNggAAAAJNi8zMC8yMDI1CQAAAAEwFz9Q</t>
  </si>
  <si>
    <t>5s173gjXgeo4znveCCpDSVEuTllTRTpJQk0uSVFfRE8uMTk5OC4wNi8wMy8yMDI2Li4uVVNELkgBAAAA3rYBAAIAAAADLTI1AQgAAAAFAAAAATEBAAAACy0xOTM0ODYwMTI1AwAAAAMxNjACAAAAAjQwBAAAAAEwBwAAAAgzLzYvMjAyNggAAAAJNi8zMC8yMDI1CQAAAAEwFz9Q5s173ghDQuo4znveCDNDSVEuTllTRTpJQk0uSVFfREFfU1VQUExfQ0YuMTk5OC4wNi8wMy8yMDI2Li4uVVNELkgBAAAA3rYBAAIAAAAEMjIwMQEIAAAABQAAAAExAQAAAAstMTkzNDg2MDEyNQMAAAADMTYwAgAAAAQyMTcxBAAAAAEwBwAAAAgzLzYvMjAyNggAAAAJNi8zMC8yMDI1CQAAAAEwFz9Q5s173ghDQuo4znveCDxDSVEuTllTRTpJQk0uSVFfU1RPQ0tfQkFTRURfQ09NUF9UQVguMTk5OC4wNi8wMy8yMDI2Li4uVVNELkgBAAAA3rYBAAIAAAAELTU5NwAXP1DmzXveCENC6jjOe94IP0NJUS5OWVNFOklCTS5JUV9SRVNUUl9TVE9DS19DT01QX1BSRVRBWC4xOTk4LjA2LzAzLzIwMjYuLi5VU0QuSAEAAADetgEAAwAAAAAAFz9Q5s173ghDQuo4znveCD9DSVEuTllTRTpJQk0uSVFfR0FJTl9CQVJHQUlOX0FDUV9TVVBQTEUuMTk5OC4wNi8wMy8yMDI2Li4uVVNELkgBAAAA3rYBAAMAAAAAABc/UObNe94I14HqOM573gg2Q0lRLk5ZU0U6SUJNLklRX01JTklNVU1fUkVOVEFMLjE5OTguMDYvMDMvMjAyNi4uLlVTRC5IAQAAAN62</t>
  </si>
  <si>
    <t>AQADAAAAAAAXP1DmzXveCNeB6jjOe94IPkNJUS5OWVNFOklCTS5JUV9BTk5VX0RJU1RSSUJVVElPTl9VTklULjE5OTguMDYvMDMvMjAyNi4uLlVTRC5IAQAAAN62AQADAAAAAAAXP1DmzXveCNeB6jjOe94INENJUS5OWVNFOklCTS5JUV9FQklUREFfQ0FQRVguMTk5OC4wNi8wMy8yMDI2Li4uVVNELkgBAAAA3rYBAAIAAAAFMTMxNDABCAAAAAUAAAABMQEAAAALLTE5MzQ4NjAxMjUDAAAAAzE2MAIAAAAFMzUzNzkEAAAAATAHAAAACDMvNi8yMDI2CAAAAAk2LzMwLzIwMjUJAAAAATAXP1DmzXveCNeB6jjOe94IM0NJUS5OWVNFOklCTS5JUV9FQklUX0VRX0lOQy4xOTk4LjA2LzAzLzIwMjYuLi5VU0QuSAEAAADetgEAAgAAAAUxMDg3NAEIAAAABQAAAAExAQAAAAstMTkzNDg2MDEyNQMAAAADMTYwAgAAAAUyMTY3NQQAAAABMAcAAAAIMy82LzIwMjYIAAAACTYvMzAvMjAyNQkAAAABMBc/UObNe94I14HqOM573gg1Q0lRLk5ZU0U6SUJNLklRX0VYUExPUkVfRFJJTEwuMTk5OC4wNi8wMy8yMDI2Li4uVVNELkgBAAAA3rYBAAMAAAAAABc/UObNe94I14HqOM573gg3Q0lRLk5ZU0U6SUJNLklRX0ZJTl9ESVZfSU5UX0VYUC4xOTk4LjA2LzAzLzIwMjYuLi5VU0QuSAEAAADetgEAAwAAAAAAFz9Q5s173gjXgeo4znveCDNDSVEuTllTRTpJQk0uSVFfSU5TX0RJVl9SRVYuMTk5OC4wNi8wMy8yMDI2Li4uVVNELkgB</t>
  </si>
  <si>
    <t>AAAA3rYBAAMAAAAAABc/UObNe94I14HqOM573gg2Q0lRLk5ZU0U6SUJNLklRX1BST1ZfQkFEX0RFQlRTLjE5OTguMDYvMDMvMjAyNi4uLlVTRC5IAQAAAN62AQADAAAAAAAXP1DmzXveCNeB6jjOe94IMkNJUS5OWVNFOklCTS5JUV9JTVBBSVJfT0lMLjE5OTguMDYvMDMvMjAyNi4uLlVTRC5IAQAAAN62AQADAAAAAAAXP1DmzXveCEqp6jjOe94IM0NJUS5OWVNFOklCTS5JUV9SRVNUUlVDVFVSRS4xOTk4LjA2LzAzLzIwMjYuLi5VU0QuSAEAAADetgEAAgAAAAQtNjM0AQgAAAAFAAAAATEBAAAACy0xOTM0ODYwMTI1AwAAAAMxNjACAAAAAjk4BAAAAAEwBwAAAAgzLzYvMjAyNggAAAAJNi8zMC8yMDI1CQAAAAEwFz9Q5s173ghKqeo4znveCCxDSVEuTllTRTpJQk0uSVFfQ09HUy4xOTk4LjA2LzAzLzIwMjYuLi5VU0QuSAEAAADetgEAAgAAAAUyNjc5NQEIAAAABQAAAAExAQAAAAstMTkzNDg2MDEyNQMAAAADMTYwAgAAAAIzNAQAAAABMAcAAAAIMy82LzIwMjYIAAAACTYvMzAvMjAyNQkAAAABMBc/UObNe94ISqnqOM573gg0Q0lRLk5ZU0U6SUJNLklRX0xFR0FMX1NFVFRMRS4xOTk4LjA2LzAzLzIwMjYuLi5VU0QuSAEAAADetgEAAwAAAAAAFz9Q5s173gjXgeo4znveCD9DSVEuTllTRTpJQk0uSVFfRVhDSVNFX1RBWEVTX0lOQ0xfU0FMRVMuMTk5OC4wNi8wMy8yMDI2Li4uVVNELkgBAAAA3rYBAAMAAAAA</t>
  </si>
  <si>
    <t>ABc/UObNe94I14HqOM573ghBQ0lRLk5ZU0U6SUJNLklRX0RJU1RSSUJVVEFCTEVfQ0FTSF9TSEFSRVNfRElMVVRFRC4xOTk4LjA2LzAzLzIwMjYBAAAA3rYBAAMAAAAAABaGoufNe94I8M/rOM573gg8Q0lRLk5ZU0U6SUJNLklRX1RPVEFMX1VOVVNVQUxfU1VQUExFLjE5OTguMDYvMDMvMjAyNi4uLlVTRC5IAQAAAN62AQADAAAAAAAXP1DmzXveCEqp6jjOe94ILUNJUS5OWVNFOklCTS5JUV9GSUxJTkdEQVRFX0NGLjE5OTguMDYvMDMvMjAyNgEAAADetgEABQAAAAoyNC8wNy8yMDI1ABc/UObNe94ISqnqOM573ghEQ0lRLk5ZU0U6SUJNLklRX0RBX1NVUFBMX0NGX0VYQ0xfT1BFUl9MRUFTRVMuMTk5OC4wNi8wMy8yMDI2Li4uVVNELkgBAAAA3rYBAAIAAAAEMTMwMQEIAAAABQAAAAExAQAAAAstMTkzNDg2MDEyNQMAAAADMTYwAgAAAAU0ODk4MwQAAAABMAcAAAAIMy82LzIwMjYIAAAACTYvMzAvMjAyNQkAAAABMBc/UObNe94ISqnqOM573gg4Q0lRLk5ZU0U6SUJNLklRX1RPVEFMX09USEVSX09QRVIuMTk5OC4wNi8wMy8yMDI2Li4uVVNELkgBAAAA3rYBAAIAAAAFMjU5OTQBCAAAAAUAAAABMQEAAAALLTE5MzQ4NjAxMjUDAAAAAzE2MAIAAAADMzgwBAAAAAEwBwAAAAgzLzYvMjAyNggAAAAJNi8zMC8yMDI1CQAAAAEwFz9Q5s173ghKqeo4znveCDVDSVEuTllTRTpJQk0uSVFfSU1QQUlSTUVOVF9HVy4x</t>
  </si>
  <si>
    <t>OTk4LjA2LzAzLzIwMjYuLi5VU0QuSAEAAADetgEAAwAAAAAAFz9Q5s173ggZveo4znveCDxDSVEuTllTRTpJQk0uSVFfTUlOT1JJVFlfSU5URVJFU1RfSVMuMTk5OC4wNi8wMy8yMDI2Li4uVVNELkgBAAAA3rYBAAMAAAAAABc/UObNe94IGb3qOM573ggsQ0lRLk5ZU0U6SUJNLklRX0RJTFVUX1dFSUdIVC4xOTk4LjA2LzAzLzIwMjYBAAAA3rYBAAIAAAAKOTQzLjU2MTIyNAAXP1DmzXveCBm96jjOe94INkNJUS5OWVNFOklCTS5JUV9HQUlOX0FTU0VUU19DRi4xOTk4LjA2LzAzLzIwMjYuLi5VU0QuSAEAAADetgEAAgAAAAQtNDEyAQgAAAAFAAAAATEBAAAACy0xOTM0ODYwMTI1AwAAAAMxNjACAAAABDIwMjYEAAAAATAHAAAACDMvNi8yMDI2CAAAAAk2LzMwLzIwMjUJAAAAATAXP1DmzXveCBm96jjOe94IOUNJUS5OWVNFOklCTS5JUV9UT1RBTF9ERUJUX0lTU1VFRC4xOTk4LjA2LzAzLzIwMjYuLi5VU0QuSAEAAADetgEAAgAAAAQ4NDE1AQgAAAAFAAAAATEBAAAACy0xOTM0ODYwMTI1AwAAAAMxNjACAAAABDIxNjEEAAAAATAHAAAACDMvNi8yMDI2CAAAAAk2LzMwLzIwMjUJAAAAATAXP1DmzXveCBm96jjOe94INUNJUS5OWVNFOklCTS5JUV9QUkVfT1BFTl9DT1NULjE5OTguMDYvMDMvMjAyNi4uLlVTRC5IAQAAAN62AQADAAAAAAAXP1DmzXveCEHR6jjOe94IK0NJUS5OWVNFOklCTS5JUV9FQlQuMTk5</t>
  </si>
  <si>
    <t>OC4wNi8wMy8yMDI2Li4uVVNELkgBAAAA3rYBAAIAAAAENjI1OQEIAAAABQAAAAExAQAAAAstMTkzNDg2MDEyNQMAAAADMTYwAgAAAAMxMzkEAAAAATAHAAAACDMvNi8yMDI2CAAAAAk2LzMwLzIwMjUJAAAAATAXP1DmzXveCEHR6jjOe94IMkNJUS5OWVNFOklCTS5JUV9PSUxfSU1QQUlSLjE5OTguMDYvMDMvMjAyNi4uLlVTRC5IAQAAAN62AQADAAAAAAAXP1DmzXveCEHR6jjOe94IM0NJUS5OWVNFOklCTS5JUV9GSU5fRElWX1JFVi4xOTk4LjA2LzAzLzIwMjYuLi5VU0QuSAEAAADetgEAAgAAAAM3MDUBCAAAAAUAAAABMQEAAAALLTE5MzQ4NjAxMjUDAAAAAzE2MAIAAAACNTIEAAAAATAHAAAACDMvNi8yMDI2CAAAAAk2LzMwLzIwMjUJAAAAATAXP1DmzXveCEHR6jjOe94IN0NJUS5OWVNFOklCTS5JUV9HQUlOX0lOVkVTVF9SRVYuMTk5OC4wNi8wMy8yMDI2Li4uVVNELkgBAAAA3rYBAAMAAAAAABc/UObNe94IGb3qOM573ggwQ0lRLk5ZU0U6SUJNLklRX0VCVF9FWENMLjE5OTguMDYvMDMvMjAyNi4uLlVTRC5IAQAAAN62AQACAAAABDk3ODMBCAAAAAUAAAABMQEAAAALLTE5MzQ4NjAxMjUDAAAAAzE2MAIAAAABNAQAAAABMAcAAAAIMy82LzIwMjYIAAAACTYvMzAvMjAyNQkAAAABMBc/UObNe94IQdHqOM573gg2Q0lRLk5ZU0U6SUJNLklRX1BSRUZfRElWX09USEVSLjE5OTguMDYvMDMvMjAyNi4uLlVT</t>
  </si>
  <si>
    <t>RC5IAQAAAN62AQADAAAAAAAXP1DmzXveCEHR6jjOe94INkNJUS5OWVNFOklCTS5JUV9ESUxVVF9FUFNfTk9STS4xOTk4LjA2LzAzLzIwMjYuLi5VU0QuSAEAAADetgEAAgAAAAg2LjQ4MDEwNAEIAAAABQAAAAExAQAAAAstMTkzNDg2MDEyNQMAAAADMTYwAgAAAAQ0MzgwBAAAAAEwBwAAAAgzLzYvMjAyNggAAAAJNi8zMC8yMDI1CQAAAAEwFz9Q5s173ghB0eo4znveCDFDSVEuTllTRTpJQk0uSVFfRElWX1NIQVJFLjE5OTguMDYvMDMvMjAyNi4uLlVTRC5IAQAAAN62AQACAAAABDYuNjkBCAAAAAUAAAABMQEAAAALLTE5MzQ4NjAxMjUDAAAAAzE2MAIAAAAEMzA1OAQAAAABMAcAAAAIMy82LzIwMjYIAAAACTYvMzAvMjAyNQkAAAABMBc/UObNe94IQdHqOM573ggvQ0lRLk5ZU0U6SUJNLklRX1BFUklPRExFTkdUSF9JUy4xOTk4LjA2LzAzLzIwMjYBAAAA3rYBAAEAAAACMTIAFz9Q5s173ghB0eo4znveCDdDSVEuTllTRTpJQk0uSVFfU1RPQ0tfQkFTRURfU0dBLjE5OTguMDYvMDMvMjAyNi4uLlVTRC5IAQAAAN62AQACAAAAAzgyNQEIAAAABQAAAAExAQAAAAstMTkzNDg2MDEyNQMAAAADMTYwAgAAAAUyMjY3OQQAAAABMAcAAAAIMy82LzIwMjYIAAAACTYvMzAvMjAyNQkAAAABMBc/UObNe94IivjqOM573gg4Q0lRLk5ZU0U6SUJNLklRX1JFU1RSX1NUT0NLX0NPTVAuMTk5OC4wNi8wMy8yMDI2Li4uVVNE</t>
  </si>
  <si>
    <t>LkgBAAAA3rYBAAMAAAAAABc/UObNe94IivjqOM573gg3Q0lRLk5ZU0U6SUJNLklRX0NBU0hfVEFYRVNfT1BFUi4xOTk4LjA2LzAzLzIwMjYuLi5VU0QuSAEAAADetgEAAwAAAAAAFz9Q5s173ghB0eo4znveCDNDSVEuTllTRTpJQk0uSVFfSU5TX0RJVl9FWFAuMTk5OC4wNi8wMy8yMDI2Li4uVVNELkgBAAAA3rYBAAMAAAAAABc/UObNe94IQdHqOM573gg0Q0lRLk5ZU0U6SUJNLklRX0lOVEVSRVNUX0VYUC4xOTk4LjA2LzAzLzIwMjYuLi5VU0QuSAEAAADetgEAAgAAAAUtMTgxOAEIAAAABQAAAAExAQAAAAstMTkzNDg2MDEyNQMAAAADMTYwAgAAAAI4MgQAAAABMAcAAAAIMy82LzIwMjYIAAAACTYvMzAvMjAyNQkAAAABMBc/UObNe94IQdHqOM573gg1Q0lRLk5ZU0U6SUJNLklRX0VCSVREQV9FUV9JTkMuMTk5OC4wNi8wMy8yMDI2Li4uVVNELkgBAAAA3rYBAAIAAAAHMTU1MDAuNQEIAAAABQAAAAExAQAAAAstMTkzNDg2MDEyNQMAAAADMTYwAgAAAAUyMTY3NwQAAAABMAcAAAAIMy82LzIwMjYIAAAACTYvMzAvMjAyNQkAAAABMBc/UObNe94IivjqOM573gg/Q0lRLk5ZU0U6SUJNLklRX0xFQVNFX0FESlVTVE1FTlRfRUJJVERBLjE5OTguMDYvMDMvMjAyNi4uLlVTRC5IAQAAAN62AQACAAAABjEzMTcuNQAXP1DmzXveCIr46jjOe94IQUNJUS5OWVNFOklCTS5JUV9OT05SRUNVUlJJTkdfSU5DT01FX1RB</t>
  </si>
  <si>
    <t>WEVTLjE5OTguMDYvMDMvMjAyNi4uLlVTRC5IAQAAAN62AQACAAAAAy0yMQEIAAAABQAAAAExAQAAAAstMTkzNDg2MDEyNQMAAAADMTYwAgAAAAU0ODgzOQQAAAABMAcAAAAIMy82LzIwMjYIAAAACTYvMzAvMjAyNQkAAAABMBc/UObNe94IivjqOM573gg3Q0lRLk5ZU0U6SUJNLklRX1NBTEVTX01BUktFVElORy4xOTk4LjA2LzAzLzIwMjYuLi5VU0QuSAEAAADetgEAAgAAAAQxMTI4AQgAAAAFAAAAATEBAAAACy0xOTM0ODYwMTI1AwAAAAMxNjACAAAABTIxNTYxBAAAAAEwBwAAAAgzLzYvMjAyNggAAAAJNi8zMC8yMDI1CQAAAAEwFz9Q5s173giK+Oo4znveCDlDSVEuTllTRTpJQk0uSVFfTkVHQVRJVkVfR1dfQU1PUlQuMTk5OC4wNi8wMy8yMDI2Li4uVVNELkgBAAAA3rYBAAMAAAAAABc/UObNe94IivjqOM573ggwQ0lRLk5ZU0U6SUJNLklRX0RBX1NVUFBMLjE5OTguMDYvMDMvMjAyNi4uLlVTRC5IAQAAAN62AQADAAAAAAAXP1DmzXveCKof6zjOe94IMkNJUS5OWVNFOklCTS5JUV9FQVJOSU5HX0NPLjE5OTguMDYvMDMvMjAyNi4uLlVTRC5IAQAAAN62AQACAAAABDU4NTgBCAAAAAUAAAABMQEAAAALLTE5MzQ4NjAxMjUDAAAAAzE2MAIAAAABNwQAAAABMAcAAAAIMy82LzIwMjYIAAAACTYvMzAvMjAyNQkAAAABMBc/UObNe94Iqh/rOM573gg1Q0lRLk5ZU0U6SUJNLklRX05JX0FWQUlMX0VYQ0wuMTk5</t>
  </si>
  <si>
    <t>OC4wNi8wMy8yMDI2Li4uVVNELkgBAAAA3rYBAAIAAAAENTg1OAEIAAAABQAAAAExAQAAAAstMTkzNDg2MDEyNQMAAAADMTYwAgAAAAMzNzkEAAAAATAHAAAACDMvNi8yMDI2CAAAAAk2LzMwLzIwMjUJAAAAATAXP1DmzXveCKof6zjOe94ILENJUS5OWVNFOklCTS5JUV9FQklULjE5OTguMDYvMDMvMjAyNi4uLlVTRC5IAQAAAN62AQACAAAABTEwODc0AQgAAAAFAAAAATEBAAAACy0xOTM0ODYwMTI1AwAAAAMxNjACAAAAAzQwMAQAAAABMAcAAAAIMy82LzIwMjYIAAAACTYvMzAvMjAyNQkAAAABMBc/UObNe94IivjqOM573gg2Q0lRLk5ZU0U6SUJNLklRX0VCSVRBX0VYQ0xfU0JDLjE5OTguMDYvMDMvMjAyNi4uLlVTRC5IAQAAAN62AQACAAAABTE0NDE2AQgAAAAFAAAAATEBAAAACy0xOTM0ODYwMTI1AwAAAAMxNjACAAAABTI0MTM2BAAAAAEwBwAAAAgzLzYvMjAyNggAAAAJNi8zMC8yMDI1CQAAAAEwFz9Q5s173giK+Oo4znveCDhDSVEuTllTRTpJQk0uSVFfRUJJVERBUl9FWENMX1NCQy4xOTk4LjA2LzAzLzIwMjYuLi5VU0QuSAEAAADetgEAAwAAAAAAFz9Q5s173giqH+s4znveCD5DSVEuTllTRTpJQk0uSVFfREVGRVJSRURfRk9SRUlHTl9UQVhFUy4xOTk4LjA2LzAzLzIwMjYuLi5VU0QuSAEAAADetgEAAgAAAAMyMDMBCAAAAAUAAAABMQEAAAALLTE5MzQ4NjAxMjUDAAAAAzE2MAIAAAAEMzA1NQQA</t>
  </si>
  <si>
    <t>AAABMAcAAAAIMy82LzIwMjYIAAAACTYvMzAvMjAyNQkAAAABMBc/UObNe94Iqh/rOM573ggxQ0lRQVZHLk5ZU0U6SUJNLklRX1BCVi4yMDAwLjMxLzEyLzIwMjQuMzEvMTIvMjAyNQEAAADetgEAAgAAABA5LjEwMjU0ODMzOTk3MTM4AEOE0ebNe94IY6giOM573gg2Q0lRQVZHLk5ZU0U6SUJNLklRX1RFVl9FQklULjIwMDAuMzEvMTIvMjAyNC4zMS8xMi8yMDI1AQAAAN62AQACAAAAEDI4LjQxNzUwMzc4OTU4MTMAQ4TR5s173gj5Xlg9znveCDtDSVFBVkcuTllTRTpJQk0uSVFfVEVWX1RPVEFMX1JFVi4yMDAwLjMxLzEyLzIwMjQuMzEvMTIvMjAyNQEAAADetgEAAgAAABA0LjY2MDIyNzA2OTQwOTE5AEOE0ebNe94I+V5YPc573ggyQ0lRQVZHLk5ZU0U6SUJNLklRX1BUQlYuMjAwMC4zMS8xMi8yMDI0LjMxLzEyLzIwMjUBAAAA3rYBAAMAAAACTk0AQ4TR5s173gj5Xlg9znveCDVDSVFBVkcuTllTRTpJQk0uSVFfUEVfRVhDTC4yMDAwLjMxLzEyLzIwMjQuMzEvMTIvMjAyNQEAAADetgEAAgAAABA0MC41MTI4NTE3NjkzNjk3AEOE0ebNe94I+V5YPc573gg4Q0lRQVZHLk5ZU0U6SUJNLklRX1RFVl9FQklUREEuMjAwMC4zMS8xMi8yMDI0LjMxLzEyLzIwMjUBAAAA3rYBAAIAAAAQMTkuNTMxNTExNTU1MjExOABDhNHmzXveCBWGWD3Oe94IJkNJUS5OWVNFOklCTS5JUV9QRVJJT0REQVRFLi4wNi8wMy8yMDI2</t>
  </si>
  <si>
    <t>AQAAAN62AQAFAAAACjMxLzEyLzIwMjUA39hN6c173giYcg84znveCDZDSVEuTllTRTpJQk0uSVFfVE9UQUxfUkVWXzNZUl9BTk5fQ0FHUi4xOTk5LjA2LzAzLzIwMjYBAAAA3rYBAAIAAAAGMi42MTE4AQgAAAAFAAAAATEBAAAACy0xOTIwODQ2OTQ5AwAAAAMxNjACAAAABDQyMjAEAAAAATAHAAAACDMvNi8yMDI2CAAAAAk5LzMwLzIwMjUJAAAAATCU+dHmzXveCKaNyzjOe94IQENJUS5OWVNFOklCTS5JUV9ORVRfREVCVF9FQklUREFfRVhDTF9PUEVSX0xFQVNFUy4xOTk5LjA2LzAzLzIwMjYBAAAA3rYBAAIAAAAIMy40Mzc5NzMBCAAAAAUAAAABMQEAAAALLTE5MjA4NDY5NDkDAAAAAzE2MAIAAAAFNDkxNzUEAAAAATAHAAAACDMvNi8yMDI2CAAAAAk5LzMwLzIwMjUJAAAAATCU+dHmzXveCKaNyzjOe94IMUNJUS5OWVNFOklCTS5JUV9UT1RBTF9ERUJUX0VRVUlUWS4xOTk5LjA2LzAzLzIwMjYBAAAA3rYBAAIAAAAIMjM3LjgzMTMBCAAAAAUAAAABMQEAAAALLTE5MjA4NDY5NDkDAAAAAzE2MAIAAAAENDAzNAQAAAABMAcAAAAIMy82LzIwMjYIAAAACTkvMzAvMjAyNQkAAAABMJT50ebNe94Ipo3LOM573ggpQ0lRLk5ZU0U6SUJNLklRX05JX01BUkdJTi4xOTk5LjA2LzAzLzIwMjYBAAAA3rYBAAIAAAAHMTIuMDg5OAEIAAAABQAAAAExAQAAAAstMTkyMDg0Njk0OQMAAAADMTYwAgAAAAQ0MDk0BAAAAAEw</t>
  </si>
  <si>
    <t>BwAAAAgzLzYvMjAyNggAAAAJOS8zMC8yMDI1CQAAAAEwlPnR5s173gimjcs4znveCCxDSVEuTllTRTpJQk0uSVFfR1JPU1NfTUFSR0lOLjE5OTkuMDYvMDMvMjAyNgEAAADetgEAAgAAAAc1Ny44MDg2AQgAAAAFAAAAATEBAAAACy0xOTIwODQ2OTQ5AwAAAAMxNjACAAAABDQwNzQEAAAAATAHAAAACDMvNi8yMDI2CAAAAAk5LzMwLzIwMjUJAAAAATCU+dHmzXveCKaNyzjOe94IS0NJUS5OWVNFOklCTS5JUV9JTlRFUkVTVF9QRU5BTFRJRVNfUkVDT0dfSVNfUFJFX1RBWC4xOTk5LjA2LzAzLzIwMjYuLi5VU0QuSAEAAADetgEAAwAAAAAAlPnR5s173gimjcs4znveCE9DSVEuTllTRTpJQk0uSVFfVFJBTlNfSU1QQUNUX0ZJTl80OF9DVVJSRU5UX0xJQUJJTElUSUVTLjE5OTkuMDYvMDMvMjAyNi4uLlVTRC5IAQAAAN62AQADAAAAAACU+dHmzXveCKaNyzjOe94IOUNJUS5OWVNFOklCTS5JUV9DQVBfTE9TU19DRl9UT1RBTC4xOTk5LjA2LzAzLzIwMjYuLi5VU0QuSAEAAADetgEAAwAAAAAAlPnR5s173gimjcs4znveCDJDSVEuTllTRTpJQk0uSVFfTk9MX0NGXzRZUi4xOTk5LjA2LzAzLzIwMjYuLi5VU0QuSAEAAADetgEAAwAAAAAAlPnR5s173gimjcs4znveCDJDSVEuTllTRTpJQk0uSVFfTk9MX0NGXzFZUi4xOTk5LjA2LzAzLzIwMjYuLi5VU0QuSAEAAADetgEAAwAAAAAAlPnR5s173gimjcs4znveCC9D</t>
  </si>
  <si>
    <t>SVEuTllTRTpJQk0uSVFfR1BfNVlSX0FOTl9DQUdSLjE5OTkuMDYvMDMvMjAyNgEAAADetgEAAgAAAAYwLjg5OTIBCAAAAAUAAAABMQEAAAALLTE5MjA4NDY5NDkDAAAAAzE2MAIAAAAENDIzNAQAAAABMAcAAAAIMy82LzIwMjYIAAAACTkvMzAvMjAyNQkAAAABMJT50ebNe94Ipo3LOM573gg4Q0lRLk5ZU0U6SUJNLklRX1RPVEFMX1JFVl8xWVJfQU5OX0dST1dUSC4xOTk5LjA2LzAzLzIwMjYBAAAA3rYBAAIAAAAGNC41MDk0AQgAAAAFAAAAATEBAAAACy0xOTIwODQ2OTQ5AwAAAAMxNjACAAAABDQxOTQEAAAAATAHAAAACDMvNi8yMDI2CAAAAAk5LzMwLzIwMjUJAAAAATCU+dHmzXveCKaNyzjOe94IO0NJUS5OWVNFOklCTS5JUV9FQklUREFfRVhDTF9PUEVSX0xFQVNFU19JTlQuMTk5OS4wNi8wMy8yMDI2AQAAAN62AQACAAAABzcuOTk2ODEBCAAAAAUAAAABMQEAAAALLTE5MjA4NDY5NDkDAAAAAzE2MAIAAAAFNDkxNzMEAAAAATAHAAAACDMvNi8yMDI2CAAAAAk5LzMwLzIwMjUJAAAAATCU+dHmzXveCKaNyzjOe94IN0NJUS5OWVNFOklCTS5JUV9UT1RBTF9MSUFCX1RPVEFMX0FTU0VUUy4xOTk5LjA2LzAzLzIwMjYBAAAA3rYBAAIAAAAHODAuODY5NgEIAAAABQAAAAExAQAAAAstMTkyMDg0Njk0OQMAAAADMTYwAgAAAAQ0MTg4BAAAAAEwBwAAAAgzLzYvMjAyNggAAAAJOS8zMC8yMDI1CQAAAAEwlPnR</t>
  </si>
  <si>
    <t>5s173gimjcs4znveCChDSVEuTllTRTpJQk0uSVFfQVJfVFVSTlMuMTk5OS4wNi8wMy8yMDI2AQAAAN62AQACAAAACTEwLjc1NTQ2NgEIAAAABQAAAAExAQAAAAstMTkyMDg0Njk0OQMAAAADMTYwAgAAAAQ0MDAxBAAAAAEwBwAAAAgzLzYvMjAyNggAAAAJOS8zMC8yMDI1CQAAAAEwlPnR5s173gimjcs4znveCEhDSVEuTllTRTpJQk0uSVFfUkVEVUNUSU9OX1RBWF9QT1NJVElPTl9QUklPUl9ZUlMuMTk5OS4wNi8wMy8yMDI2Li4uVVNELkgBAAAA3rYBAAMAAAAAAJT50ebNe94IqsjLOM573ghBQ0lRLk5ZU0U6SUJNLklRX1RBWF9CRU5FRklUX0NGX0FGVEVSX0ZJVkUuMTk5OS4wNi8wMy8yMDI2Li4uVVNELkgBAAAA3rYBAAMAAAAAAJT50ebNe94IqsjLOM573gg6Q0lRLk5ZU0U6SUJNLklRX1RBWF9CRU5FRklUX0NGXzNZUi4xOTk5LjA2LzAzLzIwMjYuLi5VU0QuSAEAAADetgEAAwAAAAAAlPnR5s173giqyMs4znveCDRDSVEuTllTRTpJQk0uSVFfTk9MX0NGX1RPVEFMLjE5OTkuMDYvMDMvMjAyNi4uLlVTRC5IAQAAAN62AQADAAAAAACU+dHmzXveCKrIyzjOe94IP0NJUS5OWVNFOklCTS5JUV9BU1NFVFNfT1BFUl9MRUFTRV9HUk9TUy4xOTk5LjA2LzAzLzIwMjYuLi5VU0QuSAEAAADetgEAAwAAAAAAlPnR5s173gimjcs4znveCEZDSVEuTllTRTpJQk0uSVFfTVVUVUFMX0ZVTkRfQUNRVUlTSVRJT05T</t>
  </si>
  <si>
    <t>X09USEVSLjE5OTkuMDYvMDMvMjAyNi4uLlVTRC5IAQAAAN62AQADAAAAAACU+dHmzXveCKrIyzjOe94IQENJUS5OWVNFOklCTS5JUV9BVU1fTkVUX0lORkxPV1NfT1VURkxPV1MuMTk5OS4wNi8wMy8yMDI2Li4uVVNELkgBAAAA3rYBAAMAAAAAAJT50ebNe94IqsjLOM573ggvQ0lRLk5ZU0U6SUJNLklRX0FVTV9CT1AuMTk5OS4wNi8wMy8yMDI2Li4uVVNELkgBAAAA3rYBAAMAAAAAAJT50ebNe94IqsjLOM573gg5Q0lRLk5ZU0U6SUJNLklRX0FVTV9JTlNUSVRVVElPTkFMLjE5OTkuMDYvMDMvMjAyNi4uLlVTRC5IAQAAAN62AQADAAAAAACU+dHmzXveCKrIyzjOe94IVUNJUS5OWVNFOklCTS5JUV9PUEVCX0lOQ1JFQVNFX0VGRkVDVF9TRVJWSUNFX0lOVF9DT1NUX0ZPUkVJR04uMTk5OS4wNi8wMy8yMDI2Li4uVVNELkgBAAAA3rYBAAMAAAAAAJT50ebNe94IqsjLOM573ghEQ0lRLk5ZU0U6SUJNLklRX09QRUJfRVNUX0JFTkVGSVRfNVlSX0ZPUkVJR04uMTk5OS4wNi8wMy8yMDI2Li4uVVNELkgBAAAA3rYBAAMAAAAAAJT50ebNe94IqsjLOM573ghEQ0lRLk5ZU0U6SUJNLklRX09QRUJfRVNUX0JFTkVGSVRfMllSX0ZPUkVJR04uMTk5OS4wNi8wMy8yMDI2Li4uVVNELkgBAAAA3rYBAAMAAAAAAJT50ebNe94IqsjLOM573ghFQ0lRLk5ZU0U6SUJNLklRX09QRUJfQ0lfUFJJT1JfU0VSVklDRV9GT1JFSUdO</t>
  </si>
  <si>
    <t>LjE5OTkuMDYvMDMvMjAyNi4uLlVTRC5IAQAAAN62AQADAAAAAACjINLmzXveCKrIyzjOe94IQ0NJUS5OWVNFOklCTS5JUV9PUEVCX1JBVEVfQ09NUF9JTkNSRUFTRV9NSU5fRk9SRUlHTi4xOTk5LjA2LzAzLzIwMjYBAAAA3rYBAAMAAAAAAKMg0ubNe94IqsjLOM573ghLQ0lRLk5ZU0U6SUJNLklRX09QRUJfT0JMSUdBVElPTl9BQ0NVTVVMQVRFRF9GT1JFSUdOLjE5OTkuMDYvMDMvMjAyNi4uLlVTRC5IAQAAAN62AQADAAAAAACjINLmzXveCKrIyzjOe94IL0NJUS5OWVNFOklCTS5JUV9HUF8zWVJfQU5OX0NBR1IuMTk5OS4wNi8wMy8yMDI2AQAAAN62AQACAAAABjUuMTExNwEIAAAABQAAAAExAQAAAAstMTkyMDg0Njk0OQMAAAADMTYwAgAAAAQ0MjIxBAAAAAEwBwAAAAgzLzYvMjAyNggAAAAJOS8zMC8yMDI1CQAAAAEwoyDS5s173giqyMs4znveCDFDSVEuTllTRTpJQk0uSVFfTklfMVlSX0FOTl9HUk9XVEguMTk5OS4wNi8wMy8yMDI2AQAAAN62AQACAAAABzIzLjYwNDgBCAAAAAUAAAABMQEAAAALLTE5MjA4NDY5NDkDAAAAAzE2MAIAAAAENDE5OQQAAAABMAcAAAAIMy82LzIwMjYIAAAACTkvMzAvMjAyNQkAAAABMKMg0ubNe94IqsjLOM573ghCQ0lRLk5ZU0U6SUJNLklRX1RPVEFMX0RFQlRfRUJJVERBX0VYQ0xfT1BFUl9MRUFTRVMuMTk5OS4wNi8wMy8yMDI2AQAAAN62AQACAAAACDQuNDI1NTQx</t>
  </si>
  <si>
    <t>AQgAAAAFAAAAATEBAAAACy0xOTIwODQ2OTQ5AwAAAAMxNjACAAAABTQ4OTk0BAAAAAEwBwAAAAgzLzYvMjAyNggAAAAJOS8zMC8yMDI1CQAAAAEwoyDS5s173giqyMs4znveCDBDSVEuTllTRTpJQk0uSVFfREFZU19QQVlBQkxFX09VVC4xOTk5LjA2LzAzLzIwMjYBAAAA3rYBAAIAAAAINDcuODU2NjEBCAAAAAUAAAABMQEAAAALLTE5MjA4NDY5NDkDAAAAAzE2MAIAAAAENDE4MwQAAAABMAcAAAAIMy82LzIwMjYIAAAACTkvMzAvMjAyNQkAAAABMKMg0ubNe94IqsjLOM573ggtQ0lRLk5ZU0U6SUJNLklRX0VCSVREQV9NQVJHSU4uMTk5OS4wNi8wMy8yMDI2AQAAAN62AQACAAAABzIyLjk5OTIBCAAAAAUAAAABMQEAAAALLTE5MjA4NDY5NDkDAAAAAzE2MAIAAAAENDA0NwQAAAABMAcAAAAIMy82LzIwMjYIAAAACTkvMzAvMjAyNQkAAAABMKMg0ubNe94IqsjLOM573ghNQ0lRLk5ZU0U6SUJNLklRX0lOVEVSRVNUX1BFTkFMVElFU19SRUNPR19JU19BRlRFUl9UQVguMTk5OS4wNi8wMy8yMDI2Li4uVVNELkgBAAAA3rYBAAMAAAAAAKMg0ubNe94IJwvMOM573ghGQ0lRLk5ZU0U6SUJNLklRX1VOUkVDT0dfVEFYX0JFTkVGSVRfRU5EX1BFUklPRC4xOTk5LjA2LzAzLzIwMjYuLi5VU0QuSAEAAADetgEAAwAAAAAAoyDS5s173ggnC8w4znveCEpDSVEuTllTRTpJQk0uSVFfVFJBTlNfSU1QQUNUX0ZJTl80OF9D</t>
  </si>
  <si>
    <t>VVJSRU5UX0FTU0VUUy4xOTk5LjA2LzAzLzIwMjYuLi5VU0QuSAEAAADetgEAAwAAAAAAoyDS5s173giqyMs4znveCD5DSVEuTllTRTpJQk0uSVFfQ0FQX0xPU1NfQ0ZfQUZURVJfRklWRS4xOTk5LjA2LzAzLzIwMjYuLi5VU0QuSAEAAADetgEAAwAAAAAAoyDS5s173giqyMs4znveCDJDSVEuTllTRTpJQk0uSVFfTk9MX0NGXzJZUi4xOTk5LjA2LzAzLzIwMjYuLi5VU0QuSAEAAADetgEAAwAAAAAAoyDS5s173giqyMs4znveCENDSVEuTllTRTpJQk0uSVFfQVNTRVRTX1VOREVSX0FETUlOSVNUUkFUSU9OLjE5OTkuMDYvMDMvMjAyNi4uLlVTRC5IAQAAAN62AQADAAAAAACjINLmzXveCCcLzDjOe94IM0NJUS5OWVNFOklCTS5JUV9PUkdBTklDX0dST1dUSF9SQVRFLjE5OTkuMDYvMDMvMjAyNgEAAADetgEAAwAAAAAAoyDS5s173ggnC8w4znveCD1DSVEuTllTRTpJQk0uSVFfQVVNX09USEVSX0FESlVTVE1FTlRTLjE5OTkuMDYvMDMvMjAyNi4uLlVTRC5IAQAAAN62AQADAAAAAACjINLmzXveCCcLzDjOe94IO0NJUS5OWVNFOklCTS5JUV9BVU1fTk9OX0ZFRV9FQVJOSU5HLjE5OTkuMDYvMDMvMjAyNi4uLlVTRC5IAQAAAN62AQADAAAAAACjINLmzXveCCcLzDjOe94IPkNJUS5OWVNFOklCTS5JUV9BVU1fRklYRURfSU5DT01FX0ZVTkRTLjE5OTkuMDYvMDMvMjAyNi4uLlVTRC5IAQAAAN62AQADAAAAAACj</t>
  </si>
  <si>
    <t>INLmzXveCCcLzDjOe94IRkNJUS5OWVNFOklCTS5JUV9PUEVCX0hFQUxUSF9DT1NUX1RSRU5EX0lOSVRJQUxfRk9SRUlHTi4xOTk5LjA2LzAzLzIwMjYBAAAA3rYBAAMAAAAAAKMg0ubNe94IJwvMOM573ghBQ0lRLk5ZU0U6SUJNLklRX09QRUJfSU5UQU5fQVNTRVRTX0ZPUkVJR04uMTk5OS4wNi8wMy8yMDI2Li4uVVNELkgBAAAA3rYBAAMAAAAAAKMg0ubNe94IJwvMOM573ghDQ0lRLk5ZU0U6SUJNLklRX09QRUJfQU1UX1JFQ09HX05FWFRfRk9SRUlHTi4xOTk5LjA2LzAzLzIwMjYuLi5VU0QuSAEAAADetgEAAwAAAAAAoyDS5s173ggnC8w4znveCEBDSVEuTllTRTpJQk0uSVFfT1BFQl9CUkVBS0RPV05fUENUX09USEVSX0ZPUkVJR04uMTk5OS4wNi8wMy8yMDI2AQAAAN62AQADAAAAAACjINLmzXveCCcLzDjOe94IMENJUS5OWVNFOklCTS5JUV9FUFNfM1lSX0FOTl9DQUdSLjE5OTkuMDYvMDMvMjAyNgEAAADetgEAAgAAAAc3Ni42NTY3AQgAAAAFAAAAATEBAAAACy0xOTIwODQ2OTQ5AwAAAAMxNjACAAAABDQyMjYEAAAAATAHAAAACDMvNi8yMDI2CAAAAAk5LzMwLzIwMjUJAAAAATCjINLmzXveCCcLzDjOe94IOkNJUS5OWVNFOklCTS5JUV9UT1RBTF9SRVZfRU1QTE9ZRUUuMTk5OS4wNi8wMy8yMDI2Li4uVVNELkgBAAAA3rYBAAMAAAAAAKMg0ubNe94IJwvMOM573ggoQ0lRLk5ZU0U6SUJNLklRX0VC</t>
  </si>
  <si>
    <t>SVRfSU5ULjE5OTkuMDYvMDMvMjAyNgEAAADetgEAAgAAAAg2LjEzMTMxMwEIAAAABQAAAAExAQAAAAstMTkyMDg0Njk0OQMAAAADMTYwAgAAAAQ0MTg5BAAAAAEwBwAAAAgzLzYvMjAyNggAAAAJOS8zMC8yMDI1CQAAAAEwoyDS5s173ggnC8w4znveCC9DSVEuTllTRTpJQk0uSVFfSU5WRU5UT1JZX1RVUk5TLjE5OTkuMDYvMDMvMjAyNgEAAADetgEAAgAAAAkxOS42NzY2NzIBCAAAAAUAAAABMQEAAAALLTE5MjA4NDY5NDkDAAAAAzE2MAIAAAAENDA4MgQAAAABMAcAAAAIMy82LzIwMjYIAAAACTkvMzAvMjAyNQkAAAABMKMg0ubNe94IJwvMOM573ggrQ0lRLk5ZU0U6SUJNLklRX0FTU0VUX1RVUk5TLjE5OTkuMDYvMDMvMjAyNgEAAADetgEAAgAAAAgwLjQ2NjA3MwEIAAAABQAAAAExAQAAAAstMTkyMDg0Njk0OQMAAAADMTYwAgAAAAQ0MTc3BAAAAAEwBwAAAAgzLzYvMjAyNggAAAAJOS8zMC8yMDI1CQAAAAEwoyDS5s173ggnC8w4znveCEtDSVEuTllTRTpJQk0uSVFfQ0hBTkdFX1VOUkVDT0dfVEFYX0JFTkVGSVRfMV9ZUl9NQVguMTk5OS4wNi8wMy8yMDI2Li4uVVNELkgBAAAA3rYBAAMAAAAAAKMg0ubNe94IJwvMOM573ghJQ0lRLk5ZU0U6SUJNLklRX1JFRFVDVElPTl9UQVhfUE9TSVRJT05fQ1VSUkVOVF9ZUi4xOTk5LjA2LzAzLzIwMjYuLi5VU0QuSAEAAADetgEAAwAAAAAAoyDS5s173ghzRsw4</t>
  </si>
  <si>
    <t>znveCDpDSVEuTllTRTpJQk0uSVFfVEFYX0JFTkVGSVRfQ0ZfNFlSLjE5OTkuMDYvMDMvMjAyNi4uLlVTRC5IAQAAAN62AQADAAAAAACjINLmzXveCHNGzDjOe94IL0NJUS5OWVNFOklCTS5JUV9OT0xfQ0ZfTUFYX1lFQVIuMTk5OS4wNi8wMy8yMDI2AQAAAN62AQADAAAAAACjINLmzXveCCcLzDjOe94IOUNJUS5OWVNFOklCTS5JUV9OT0xfQ0ZfQUZURVJfRklWRS4xOTk5LjA2LzAzLzIwMjYuLi5VU0QuSAEAAADetgEAAwAAAAAAoyDS5s173ggnC8w4znveCD5DSVEuTllTRTpJQk0uSVFfQVNTRVRTX0NBUF9MRUFTRV9HUk9TUy4xOTk5LjA2LzAzLzIwMjYuLi5VU0QuSAEAAADetgEAAwAAAAAAoyDS5s173ggnC8w4znveCD1DSVEuTllTRTpJQk0uSVFfTVVUVUFMX0ZVTkRfTkVUX1NBTEVTLjE5OTkuMDYvMDMvMjAyNi4uLlVTRC5IAQAAAN62AQADAAAAAACjINLmzXveCIVczDjOe94IM0NJUS5OWVNFOklCTS5JUV9BVU1fSU5GTE9XUy4xOTk5LjA2LzAzLzIwMjYuLi5VU0QuSAEAAADetgEAAwAAAAAAoyDS5s173giFXMw4znveCDJDSVEuTllTRTpJQk0uSVFfQVVNX1JFVEFJTC4xOTk5LjA2LzAzLzIwMjYuLi5VU0QuSAEAAADetgEAAwAAAAAAoyDS5s173ghzRsw4znveCDpDSVEuTllTRTpJQk0uSVFfQVVNX1BSSVZBVEVfRVFVSVRZLjE5OTkuMDYvMDMvMjAyNi4uLlVTRC5IAQAAAN62AQADAAAAAACj</t>
  </si>
  <si>
    <t>INLmzXveCHNGzDjOe94IPkNJUS5OWVNFOklCTS5JUV9PUEVCX09USEVSX0FESl9GT1JFSUdOLjE5OTkuMDYvMDMvMjAyNi4uLlVTRC5IAQAAAN62AQADAAAAAACjINLmzXveCHNGzDjOe94IRENJUS5OWVNFOklCTS5JUV9PUEVCX0VTVF9CRU5FRklUXzNZUl9GT1JFSUdOLjE5OTkuMDYvMDMvMjAyNi4uLlVTRC5IAQAAAN62AQADAAAAAACjINLmzXveCIVczDjOe94IQkNJUS5OWVNFOklCTS5JUV9PUEVCX0NJX1RSQU5TSVRJT05fRk9SRUlHTi4xOTk5LjA2LzAzLzIwMjYuLi5VU0QuSAEAAADetgEAAwAAAAAAoyDS5s173giFXMw4znveCERDSVEuTllTRTpJQk0uSVFfT1BFQl9CUkVBS0RPV05fT1RIRVJfRk9SRUlHTi4xOTk5LjA2LzAzLzIwMjYuLi5VU0QuSAEAAADetgEAAwAAAAAAoyDS5s173giFXMw4znveCDJDSVEuTllTRTpJQk0uSVFfRVBTXzFZUl9BTk5fR1JPV1RILjE5OTkuMDYvMDMvMjAyNgEAAADetgEAAgAAAAcyMi41NTAxAQgAAAAFAAAAATEBAAAACy0xOTIwODQ2OTQ5AwAAAAMxNjACAAAABDQyMDAEAAAAATAHAAAACDMvNi8yMDI2CAAAAAk5LzMwLzIwMjUJAAAAATCjINLmzXveCIVczDjOe94IL0NJUS5OWVNFOklCTS5JUV9ORVRfREVCVF9FQklUREEuMTk5OS4wNi8wMy8yMDI2AQAAAN62AQACAAAACDMuMTYwMjc4AQgAAAAFAAAAATEBAAAACy0xOTIwODQ2OTQ5AwAAAAMxNjACAAAA</t>
  </si>
  <si>
    <t>BDQxOTMEAAAAATAHAAAACDMvNi8yMDI2CAAAAAk5LzMwLzIwMjUJAAAAATCjINLmzXveCIVczDjOe94IQUNJUS5OWVNFOklCTS5JUV9FQklUREFfRVhDTF9PUEVSX0xFQVNFU19DQVBFWF9JTlQuMTk5OS4wNi8wMy8yMDI2AQAAAN62AQACAAAACDcuNDU4Nzk4AQgAAAAFAAAAATEBAAAACy0xOTIwODQ2OTQ5AwAAAAMxNjACAAAABTQ5MTc0BAAAAAEwBwAAAAgzLzYvMjAyNggAAAAJOS8zMC8yMDI1CQAAAAEwoyDS5s173giFXMw4znveCC5DSVEuTllTRTpJQk0uSVFfREFZU19TQUxFU19PVVQuMTk5OS4wNi8wMy8yMDI2AQAAAN62AQACAAAACTMzLjkzNTg3NQEIAAAABQAAAAExAQAAAAstMTkyMDg0Njk0OQMAAAADMTYwAgAAAAQ0MDQyBAAAAAEwBwAAAAgzLzYvMjAyNggAAAAJOS8zMC8yMDI1CQAAAAEwoyDS5s173giFXMw4znveCDRDSVEuTllTRTpJQk0uSVFfUkVUVVJOX0NPTU1PTl9FUVVJVFkuMTk5OS4wNi8wMy8yMDI2AQAAAN62AQACAAAABzMwLjI1MjMBCAAAAAUAAAABMQEAAAALLTE5MjA4NDY5NDkDAAAAAzE2MAIAAAAFMzMzMjAEAAAAATAHAAAACDMvNi8yMDI2CAAAAAk5LzMwLzIwMjUJAAAAATCjINLmzXveCIVczDjOe94IR0NJUS5OWVNFOklCTS5JUV9BQ0NPVU5UX0NPREVfSU5URVJFU1RfUEVOQUxUSUVTLjE5OTkuMDYvMDMvMjAyNi4uLlVTRC5IAQAAAN62AQADAAAAAACjINLmzXve</t>
  </si>
  <si>
    <t>CIVczDjOe94IRUNJUS5OWVNFOklCTS5JUV9UUkFOU19JTVBBQ1RfRklOXzQ4X0xUX0FTU0VUUy4xOTk5LjA2LzAzLzIwMjYuLi5VU0QuSAEAAADetgEAAwAAAAAAoyDS5s173giFXMw4znveCDxDSVEuTllTRTpJQk0uSVFfVEFYX0JFTkVGSVRfQ0ZfVE9UQUwuMTk5OS4wNi8wMy8yMDI2Li4uVVNELkgBAAAA3rYBAAMAAAAAAKMg0ubNe94IU4zMOM573gg3Q0lRLk5ZU0U6SUJNLklRX0NBUF9MT1NTX0NGXzRZUi4xOTk5LjA2LzAzLzIwMjYuLi5VU0QuSAEAAADetgEAAwAAAAAAoyDS5s173ghTjMw4znveCEBDSVEuTllTRTpJQk0uSVFfQ0FQSVRBTElaRURfSU5URVJFU1RfRU9QLjE5OTkuMDYvMDMvMjAyNi4uLlVTRC5IAQAAAN62AQADAAAAAACjINLmzXveCFOMzDjOe94IPUNJUS5OWVNFOklCTS5JUV9ORVRfTkVXX0NMSUVOVF9BU1NFVFMuMTk5OS4wNi8wMy8yMDI2Li4uVVNELkgBAAAA3rYBAAMAAAAAAKMg0ubNe94IU4zMOM573gg2Q0lRLk5ZU0U6SUJNLklRX1RPVEFMX1JFVl81WVJfQU5OX0NBR1IuMTk5OS4wNi8wMy8yMDI2AQAAAN62AQACAAAABy0yLjcwOTMBCAAAAAUAAAABMQEAAAALLTE5MjA4NDY5NDkDAAAAAzE2MAIAAAAENDIzMwQAAAABMAcAAAAIMy82LzIwMjYIAAAACTkvMzAvMjAyNQkAAAABMKMg0ubNe94IhVzMOM573ggxQ0lRLk5ZU0U6SUJNLklRX0VCSVRfM1lSX0FOTl9DQUdS</t>
  </si>
  <si>
    <t>LjE5OTkuMDYvMDMvMjAyNgEAAADetgEAAgAAAAcxOC4zMTc0AQgAAAAFAAAAATEBAAAACy0xOTIwODQ2OTQ5AwAAAAMxNjACAAAABDQyMjMEAAAAATAHAAAACDMvNi8yMDI2CAAAAAk5LzMwLzIwMjUJAAAAATCjINLmzXveCFOMzDjOe94INUNJUS5OWVNFOklCTS5JUV9ORVRfREVCVF9FQklUREFfQ0FQRVguMTk5OS4wNi8wMy8yMDI2AQAAAN62AQACAAAACDMuMzY4NjA2AQgAAAAFAAAAATEBAAAACy0xOTIwODQ2OTQ5AwAAAAMxNjACAAAABTIzMzE0BAAAAAEwBwAAAAgzLzYvMjAyNggAAAAJOS8zMC8yMDI1CQAAAAEwoyDS5s173ghTjMw4znveCC9DSVEuTllTRTpJQk0uSVFfTFRfREVCVF9DQVBJVEFMLjE5OTkuMDYvMDMvMjAyNgEAAADetgEAAgAAAAY2MS4xNDcBCAAAAAUAAAABMQEAAAALLTE5MjA4NDY5NDkDAAAAAzE2MAIAAAAENDE4NwQAAAABMAcAAAAIMy82LzIwMjYIAAAACTkvMzAvMjAyNQkAAAABMKMg0ubNe94IU4zMOM573ggxQ0lRLk5ZU0U6SUJNLklRX0ZJWEVEX0FTU0VUX1RVUk5TLjE5OTkuMDYvMDMvMjAyNgEAAADetgEAAgAAAAc3LjI0OTU3AQgAAAAFAAAAATEBAAAACy0xOTIwODQ2OTQ5AwAAAAMxNjACAAAABDQwNjYEAAAAATAHAAAACDMvNi8yMDI2CAAAAAk5LzMwLzIwMjUJAAAAATCjINLmzXveCFOMzDjOe94IUENJUS5OWVNFOklCTS5JUV9JTVBBQ1RfVU5SRUNPR19UQVhf</t>
  </si>
  <si>
    <t>QkVORUZJVF9FRkZFQ1RJVkVfVEFYLjE5OTkuMDYvMDMvMjAyNi4uLlVTRC5IAQAAAN62AQADAAAAAACjINLmzXveCFOMzDjOe94ITUNJUS5OWVNFOklCTS5JUV9JTlRFUkVTVF9QRU5BTFRJRVNfUkVDT0dfQlNfQUZURVJfVEFYLjE5OTkuMDYvMDMvMjAyNi4uLlVTRC5IAQAAAN62AQADAAAAAACjINLmzXveCHCzzDjOe94IRkNJUS5OWVNFOklCTS5JUV9VTlJFQ09HX1RBWF9CRU5FRklUX0JFR19QRVJJT0QuMTk5OS4wNi8wMy8yMDI2Li4uVVNELkgBAAAA3rYBAAMAAAAAAKMg0ubNe94IU4zMOM573gg6Q0lRLk5ZU0U6SUJNLklRX1RBWF9CRU5FRklUX0NGXzJZUi4xOTk5LjA2LzAzLzIwMjYuLi5VU0QuSAEAAADetgEAAwAAAAAAoyDS5s173ghTjMw4znveCC9DSVEuTllTRTpJQk0uSVFfTklfNVlSX0FOTl9DQUdSLjE5OTkuMDYvMDMvMjAyNgEAAADetgEAAgAAAAYwLjAwNzYBCAAAAAUAAAABMQEAAAALLTE5MjA4NDY5NDkDAAAAAzE2MAIAAAAENDIzOAQAAAABMAcAAAAIMy82LzIwMjYIAAAACTkvMzAvMjAyNQkAAAABMKMg0ubNe94IU4zMOM573ggzQ0lRLk5ZU0U6SUJNLklRX0VCSVRfMVlSX0FOTl9HUk9XVEguMTk5OS4wNi8wMy8yMDI2AQAAAN62AQACAAAABzE1LjU4NDIBCAAAAAUAAAABMQEAAAALLTE5MjA4NDY5NDkDAAAAAzE2MAIAAAAENDE5NwQAAAABMAcAAAAIMy82LzIwMjYIAAAACTkv</t>
  </si>
  <si>
    <t>MzAvMjAyNQkAAAABMKMg0ubNe94IU4zMOM573ggxQ0lRLk5ZU0U6SUJNLklRX1RPVEFMX0RFQlRfRUJJVERBLjE5OTkuMDYvMDMvMjAyNgEAAADetgEAAgAAAAg0LjA2ODA3NwEIAAAABQAAAAExAQAAAAstMTkyMDg0Njk0OQMAAAADMTYwAgAAAAQ0MTkyBAAAAAEwBwAAAAgzLzYvMjAyNggAAAAJOS8zMC8yMDI1CQAAAAEwoyDS5s173ghws8w4znveCDJDSVEuTllTRTpJQk0uSVFfREFZU19JTlZFTlRPUllfT1VULjE5OTkuMDYvMDMvMjAyNgEAAADetgEAAgAAAAkxOC41NDk2NjUBCAAAAAUAAAABMQEAAAALLTE5MjA4NDY5NDkDAAAAAzE2MAIAAAAENDAzNQQAAAABMAcAAAAIMy82LzIwMjYIAAAACTkvMzAvMjAyNQkAAAABMKMg0ubNe94IcLPMOM573ggvQ0lRLk5ZU0U6SUJNLklRX05JXzNZUl9BTk5fQ0FHUi4xOTk5LjA2LzAzLzIwMjYBAAAA3rYBAAIAAAAHODQuMzUzMgEIAAAABQAAAAExAQAAAAstMTkyMDg0Njk0OQMAAAADMTYwAgAAAAQ0MjI1BAAAAAEwBwAAAAgzLzYvMjAyNggAAAAJOS8zMC8yMDI1CQAAAAEwoyDS5s173ghws8w4znveCEZDSVEuTllTRTpJQk0uSVFfTkVUX0RFQlRfRUJJVERBX0VYQ0xfT1BFUl9MRUFTRVNfQ0FQRVguMTk5OS4wNi8wMy8yMDI2AQAAAN62AQACAAAACDMuNjg1OTU4AQgAAAAFAAAAATEBAAAACy0xOTIwODQ2OTQ5AwAAAAMxNjACAAAABTQ5MTgyBAAAAAEw</t>
  </si>
  <si>
    <t>BwAAAAgzLzYvMjAyNggAAAAJOS8zMC8yMDI1CQAAAAEwoyDS5s173ghws8w4znveCDdDSVEuTllTRTpJQk0uSVFfVE9UQUxfREVCVF9FQklUREFfQ0FQRVguMTk5OS4wNi8wMy8yMDI2AQAAAN62AQACAAAACDQuMzM2MjQ4AQgAAAAFAAAAATEBAAAACy0xOTIwODQ2OTQ5AwAAAAMxNjACAAAABTIzMzEzBAAAAAEwBwAAAAgzLzYvMjAyNggAAAAJOS8zMC8yMDI1CQAAAAEwoyDS5s173ghws8w4znveCDJDSVEuTllTRTpJQk0uSVFfVE9UQUxfREVCVF9DQVBJVEFMLjE5OTkuMDYvMDMvMjAyNgEAAADetgEAAgAAAAc3MC4zOTk0AQgAAAAFAAAAATEBAAAACy0xOTIwODQ2OTQ5AwAAAAMxNjACAAAABDQxODYEAAAAATAHAAAACDMvNi8yMDI2CAAAAAk5LzMwLzIwMjUJAAAAATCjINLmzXveCHCzzDjOe94ILUNJUS5OWVNFOklCTS5JUV9DQVBFWF9QQ1RfUkVWLjE5OTkuMDYvMDMvMjAyNgEAAADetgEAAgAAAAYxLjU0NzMBCAAAAAUAAAABMQEAAAALLTE5MjA4NDY5NDkDAAAAAzE2MAIAAAAFMzUzODAEAAAAATAHAAAACDMvNi8yMDI2CAAAAAk5LzMwLzIwMjUJAAAAATCjINLmzXveCHCzzDjOe94IS0NJUS5OWVNFOklCTS5JUV9DSEFOR0VfVU5SRUNPR19UQVhfQkVORUZJVF8xX1lSX01JTi4xOTk5LjA2LzAzLzIwMjYuLi5VU0QuSAEAAADetgEAAwAAAAAAoyDS5s173ghws8w4znveCERDSVEuTllTRTpJQk0u</t>
  </si>
  <si>
    <t>SVFfQUREX1RBWF9QT1NJVElPTlNfQ1VSUkVOVF9ZUi4xOTk5LjA2LzAzLzIwMjYuLi5VU0QuSAEAAADetgEAAwAAAAAAoyDS5s173ghws8w4znveCFNDSVEuTllTRTpJQk0uSVFfVFJBTlNfSU1QQUNUX0ZJTl80OF9OT05fQ1VSUkVOVF9MSUFCSUxJVElFUy4xOTk5LjA2LzAzLzIwMjYuLi5VU0QuSAEAAADetgEAAwAAAAAAoyDS5s173ghws8w4znveCDRDSVEuTllTRTpJQk0uSVFfQ0FQX0xPU1NfQ0ZfTUFYX1lFQVIuMTk5OS4wNi8wMy8yMDI2AQAAAN62AQADAAAAAACjINLmzXveCGfazDjOe94IMkNJUS5OWVNFOklCTS5JUV9OT0xfQ0ZfNVlSLjE5OTkuMDYvMDMvMjAyNi4uLlVTRC5IAQAAAN62AQADAAAAAACjINLmzXveCGfazDjOe94IPUNJUS5OWVNFOklCTS5JUV9BU1NFVFNfQ0FQX0xFQVNFX0RFUFIuMTk5OS4wNi8wMy8yMDI2Li4uVVNELkgBAAAA3rYBAAMAAAAAAKMg0ubNe94IZ9rMOM573gg/Q0lRLk5ZU0U6SUJNLklRX01VVFVBTF9GVU5EX1JFREVNUFRJT05TLjE5OTkuMDYvMDMvMjAyNi4uLlVTRC5IAQAAAN62AQADAAAAAACjINLmzXveCHCzzDjOe94INkNJUS5OWVNFOklCTS5JUV9BVU1fTkVUX0NIQU5HRS4xOTk5LjA2LzAzLzIwMjYuLi5VU0QuSAEAAADetgEAAwAAAAAAoyDS5s173ghws8w4znveCDFDSVEuTllTRTpJQk0uSVFfQVVNX1NNRV9DVVNUT01FUlMuMTk5OS4wNi8wMy8y</t>
  </si>
  <si>
    <t>MDI2AQAAAN62AQADAAAAAACjINLmzXveCGfazDjOe94IK0NJUS5OWVNFOklCTS5JUV9BVU0uMTk5OS4wNi8wMy8yMDI2Li4uVVNELkgBAAAA3rYBAAMAAAAAAKMg0ubNe94IZ9rMOM573ggzQ0lRLk5ZU0U6SUJNLklRX0VCSVREQV81WVJfQU5OX0NBR1IuMTk5OS4wNi8wMy8yMDI2AQAAAN62AQACAAAABS0wLjg0AQgAAAAFAAAAATEBAAAACy0xOTIwODQ2OTQ5AwAAAAMxNjACAAAABDQyMzUEAAAAATAHAAAACDMvNi8yMDI2CAAAAAk5LzMwLzIwMjUJAAAAATCjINLmzXveCGfazDjOe94IMUNJUS5OWVNFOklCTS5JUV9HUF8xWVJfQU5OX0dST1dUSC4xOTk5LjA2LzAzLzIwMjYBAAAA3rYBAAIAAAAGNi44NjU2AQgAAAAFAAAAATEBAAAACy0xOTIwODQ2OTQ5AwAAAAMxNjACAAAABDQxOTUEAAAAATAHAAAACDMvNi8yMDI2CAAAAAk5LzMwLzIwMjUJAAAAATCjINLmzXveCGfazDjOe94IMENJUS5OWVNFOklCTS5JUV9FQklUREFfQ0FQRVhfSU5ULjE5OTkuMDYvMDMvMjAyNgEAAADetgEAAgAAAAg4LjE2MTQ4MwEIAAAABQAAAAExAQAAAAstMTkyMDg0Njk0OQMAAAADMTYwAgAAAAQ0MTkxBAAAAAEwBwAAAAgzLzYvMjAyNggAAAAJOS8zMC8yMDI1CQAAAAEwoyDS5s173ghn2sw4znveCDBDSVEuTllTRTpJQk0uSVFfQ0ZPX0NVUlJFTlRfTElBQi4xOTk5LjA2LzAzLzIwMjYBAAAA3rYBAAIAAAAIMC4zODM2</t>
  </si>
  <si>
    <t>NzEBCAAAAAUAAAABMQEAAAALLTE5MjA4NDY5NDkDAAAAAzE2MAIAAAAENDE4NQQAAAABMAcAAAAIMy82LzIwMjYIAAAACTkvMzAvMjAyNQkAAAABMKMg0ubNe94IZ9rMOM573ggtQ0lRLk5ZU0U6SUJNLklRX1JFVFVSTl9FUVVJVFkuMTk5OS4wNi8wMy8yMDI2AQAAAN62AQACAAAABzMwLjE1NjEBCAAAAAUAAAABMQEAAAALLTE5MjA4NDY5NDkDAAAAAzE2MAIAAAAENDEyOAQAAAABMAcAAAAIMy82LzIwMjYIAAAACTkvMzAvMjAyNQkAAAABMKMg0ubNe94IZ9rMOM573ghDQ0lRLk5ZU0U6SUJNLklRX1NFVFRMRU1FTlRTX1RBWF9BVVRIT1JJVElFUy4xOTk5LjA2LzAzLzIwMjYuLi5VU0QuSAEAAADetgEAAwAAAAAAoyDS5s173ghn2sw4znveCD1DSVEuTllTRTpJQk0uSVFfVEFYX0JFTkVGSVRfQ0ZfTk9fRVhQLjE5OTkuMDYvMDMvMjAyNi4uLlVTRC5IAQAAAN62AQADAAAAAACjINLmzXveCGfazDjOe94IN0NJUS5OWVNFOklCTS5JUV9DQVBfTE9TU19DRl8zWVIuMTk5OS4wNi8wMy8yMDI2Li4uVVNELkgBAAAA3rYBAAMAAAAAAKMg0ubNe94IdwHNOM573ghGQ0lRLk5ZU0U6SUJNLklRX0NBUElUQUxJWkVEX0lOVEVSRVNUX09USEVSX0FESi4xOTk5LjA2LzAzLzIwMjYuLi5VU0QuSAEAAADetgEAAwAAAAAAoyDS5s173gh3Ac04znveCEBDSVEuTllTRTpJQk0uSVFfQ0FQSVRBTElaRURfSU5URVJFU1Rf</t>
  </si>
  <si>
    <t>Qk9QLjE5OTkuMDYvMDMvMjAyNi4uLlVTRC5IAQAAAN62AQADAAAAAACjINLmzXveCHcBzTjOe94IN0NJUS5OWVNFOklCTS5JUV9NVVRVQUxfRlVORF9FT1AuMTk5OS4wNi8wMy8yMDI2Li4uVVNELkgBAAAA3rYBAAMAAAAAAKMg0ubNe94IdwHNOM573ghAQ0lRLk5ZU0U6SUJNLklRX0FVTV9DQVNIX0ZMT1dTX0RJVklERU5EUy4xOTk5LjA2LzAzLzIwMjYuLi5VU0QuSAEAAADetgEAAwAAAAAAoyDS5s173gh3Ac04znveCDRDSVEuTllTRTpJQk0uSVFfQVVNX0RPTUVTVElDLjE5OTkuMDYvMDMvMjAyNi4uLlVTRC5IAQAAAN62AQADAAAAAACjINLmzXveCGAVzTjOe94ISENJUS5OWVNFOklCTS5JUV9PUEVCX0lOQ1JFQVNFX0VGRkVDVF9QQk9fRk9SRUlHTi4xOTk5LjA2LzAzLzIwMjYuLi5VU0QuSAEAAADetgEAAwAAAAAAoyDS5s173ghgFc04znveCEdDSVEuTllTRTpJQk0uSVFfT1BFQl9FU1RfQkVORUZJVF9BRlRFUjVfRk9SRUlHTi4xOTk5LjA2LzAzLzIwMjYuLi5VU0QuSAEAAADetgEAAwAAAAAAoyDS5s173ghgFc04znveCDBDSVEuTllTRTpJQk0uSVFfRVBTXzVZUl9BTk5fQ0FHUi4xOTk5LjA2LzAzLzIwMjYBAAAA3rYBAAIAAAAHLTEuMDQyMgEIAAAABQAAAAExAQAAAAstMTkyMDg0Njk0OQMAAAADMTYwAgAAAAQ0MjM5BAAAAAEwBwAAAAgzLzYvMjAyNggAAAAJOS8zMC8yMDI1CQAAAAEwoyDS</t>
  </si>
  <si>
    <t>5s173gh3Ac04znveCDNDSVEuTllTRTpJQk0uSVFfRUJJVERBXzNZUl9BTk5fQ0FHUi4xOTk5LjA2LzAzLzIwMjYBAAAA3rYBAAIAAAAGNy43OTUyAQgAAAAFAAAAATEBAAAACy0xOTIwODQ2OTQ5AwAAAAMxNjACAAAABDQyMjIEAAAAATAHAAAACDMvNi8yMDI2CAAAAAk5LzMwLzIwMjUJAAAAATCjINLmzXveCHcBzTjOe94ISENJUS5OWVNFOklCTS5JUV9UT1RBTF9ERUJUX0VCSVREQV9FWENMX09QRVJfTEVBU0VTX0NBUEVYLjE5OTkuMDYvMDMvMjAyNgEAAADetgEAAgAAAAg0Ljc0NDc2MQEIAAAABQAAAAExAQAAAAstMTkyMDg0Njk0OQMAAAADMTYwAgAAAAU0OTE4MwQAAAABMAcAAAAIMy82LzIwMjYIAAAACTkvMzAvMjAyNQkAAAABMKMg0ubNe94IYBXNOM573gguQ0lRLk5ZU0U6SUJNLklRX0xUX0RFQlRfRVFVSVRZLjE5OTkuMDYvMDMvMjAyNgEAAADetgEAAgAAAAgyMDYuNTczNwEIAAAABQAAAAExAQAAAAstMTkyMDg0Njk0OQMAAAADMTYwAgAAAAQ0MDg1BAAAAAEwBwAAAAgzLzYvMjAyNggAAAAJOS8zMC8yMDI1CQAAAAEwoyDS5s173ghgFc04znveCC9DSVEuTllTRTpJQk0uSVFfQ0FTSF9DT05WRVJTSU9OLjE5OTkuMDYvMDMvMjAyNgEAAADetgEAAgAAAAc0LjYyODkzAQgAAAAFAAAAATEBAAAACy0xOTIwODQ2OTQ5AwAAAAMxNjACAAAABDQxODQEAAAAATAHAAAACDMvNi8yMDI2CAAAAAk5</t>
  </si>
  <si>
    <t>LzMwLzIwMjUJAAAAATCjINLmzXveCGAVzTjOe94IK0NJUS5OWVNFOklCTS5JUV9FQklUX01BUkdJTi4xOTk5LjA2LzAzLzIwMjYBAAAA3rYBAAIAAAAGMTcuNjM0AQgAAAAFAAAAATEBAAAACy0xOTIwODQ2OTQ5AwAAAAMxNjACAAAABDQwNTMEAAAAATAHAAAACDMvNi8yMDI2CAAAAAk5LzMwLzIwMjUJAAAAATCjINLmzXveCGAVzTjOe94IS0NJUS5OWVNFOklCTS5JUV9JTlRFUkVTVF9QRU5BTFRJRVNfUkVDT0dfQlNfUFJFX1RBWC4xOTk5LjA2LzAzLzIwMjYuLi5VU0QuSAEAAADetgEAAwAAAAAAoyDS5s173ghgFc04znveCE1DSVEuTllTRTpJQk0uSVFfVFJBTlNfSU1QQUNUX0ZJTl80OF9SRVRBSU5FRF9FQVJOSU5HUy4xOTk5LjA2LzAzLzIwMjYuLi5VU0QuSAEAAADetgEAAwAAAAAAoyDS5s173ghgFc04znveCDpDSVEuTllTRTpJQk0uSVFfVEFYX0JFTkVGSVRfQ0ZfMVlSLjE5OTkuMDYvMDMvMjAyNi4uLlVTRC5IAQAAAN62AQADAAAAAACjINLmzXveCGAVzTjOe94IOkNJUS5OWVNFOklCTS5JUV9DQVBfTE9TU19DRl9OT19FWFAuMTk5OS4wNi8wMy8yMDI2Li4uVVNELkgBAAAA3rYBAAMAAAAAAKMg0ubNe94IYBXNOM573ggyQ0lRLk5ZU0U6SUJNLklRX05PTF9DRl8zWVIuMTk5OS4wNi8wMy8yMDI2Li4uVVNELkgBAAAA3rYBAAMAAAAAAKMg0ubNe94IYBXNOM573gg9Q0lRLk5ZU0U6SUJNLklR</t>
  </si>
  <si>
    <t>X1ZBTFVFX0NVU1RPTUVSX0FTU0VUUy4xOTk5LjA2LzAzLzIwMjYuLi5VU0QuSAEAAADetgEAAwAAAAAAoyDS5s173ghgFc04znveCDdDSVEuTllTRTpJQk0uSVFfTVVUVUFMX0ZVTkRfQk9QLjE5OTkuMDYvMDMvMjAyNi4uLlVTRC5IAQAAAN62AQADAAAAAACjINLmzXveCJ48zTjOe94IM0NJUS5OWVNFOklCTS5JUV9BVU1fT1RIRVJfQ1VTVE9NRVJTLjE5OTkuMDYvMDMvMjAyNgEAAADetgEAAwAAAAAAoyDS5s173giePM04znveCDRDSVEuTllTRTpJQk0uSVFfQVVNX1JFVEFJTF9DVVNUT01FUlMuMTk5OS4wNi8wMy8yMDI2AQAAAN62AQADAAAAAACjINLmzXveCJ48zTjOe94IPkNJUS5OWVNFOklCTS5JUV9BVU1fTU9ORVlfTUFSS0VUX0ZVTkRTLjE5OTkuMDYvMDMvMjAyNi4uLlVTRC5IAQAAAN62AQADAAAAAACjINLmzXveCJ48zTjOe94IMUNJUS5OWVNFOklCTS5JUV9FQklUXzVZUl9BTk5fQ0FHUi4xOTk5LjA2LzAzLzIwMjYBAAAA3rYBAAIAAAAGNC45ODI0AQgAAAAFAAAAATEBAAAACy0xOTIwODQ2OTQ5AwAAAAMxNjACAAAABDQyMzYEAAAAATAHAAAACDMvNi8yMDI2CAAAAAk5LzMwLzIwMjUJAAAAATCjINLmzXveCJ48zTjOe94INUNJUS5OWVNFOklCTS5JUV9FQklUREFfMVlSX0FOTl9HUk9XVEguMTk5OS4wNi8wMy8yMDI2AQAAAN62AQACAAAABzE1LjMxNzMBCAAAAAUAAAABMQEAAAALLTE5</t>
  </si>
  <si>
    <t>MjA4NDY5NDkDAAAAAzE2MAIAAAAENDE5NgQAAAABMAcAAAAIMy82LzIwMjYIAAAACTkvMzAvMjAyNQkAAAABMKMg0ubNe94InjzNOM573ggnQ0lRLk5ZU0U6SUJNLklRX1pfU0NPUkUuMTk5OS4wNi8wMy8yMDI2AQAAAN62AQACAAAACDMuMjk3NzA2AQgAAAAFAAAAATEBAAAACy0xOTIwODQ2OTQ5AwAAAAMxNjACAAAABjEwMDEyMwQAAAABMAcAAAAIMy82LzIwMjYIAAAACTkvMzAvMjAyNQkAAAABMKMg0ubNe94InjzNOM573ggqQ0lRLk5ZU0U6SUJNLklRX0VCSVREQV9JTlQuMTk5OS4wNi8wMy8yMDI2AQAAAN62AQACAAAACDguNjk5NDk0AQgAAAAFAAAAATEBAAAACy0xOTIwODQ2OTQ5AwAAAAMxNjACAAAABDQxOTAEAAAAATAHAAAACDMvNi8yMDI2CAAAAAk5LzMwLzIwMjUJAAAAATCjINLmzXveCJ48zTjOe94ILUNJUS5OWVNFOklCTS5JUV9DVVJSRU5UX1JBVElPLjE5OTkuMDYvMDMvMjAyNgEAAADetgEAAgAAAAgwLjkzMTY0OAEIAAAABQAAAAExAQAAAAstMTkyMDg0Njk0OQMAAAADMTYwAgAAAAQ0MDMwBAAAAAEwBwAAAAgzLzYvMjAyNggAAAAJOS8zMC8yMDI1CQAAAAEwoyDS5s173giePM04znveCC1DSVEuTllTRTpJQk0uSVFfUkVUVVJOX0FTU0VUUy4xOTk5LjA2LzAzLzIwMjYBAAAA3rYBAAIAAAAGNS4xMzY3AQgAAAAFAAAAATEBAAAACy0xOTIwODQ2OTQ5AwAAAAMxNjACAAAABDQxNzgE</t>
  </si>
  <si>
    <t>AAAAATAHAAAACDMvNi8yMDI2CAAAAAk5LzMwLzIwMjUJAAAAATCjINLmzXveCJ48zTjOe94IQUNJUS5OWVNFOklCTS5JUV9MQVBTRV9TVEFUVVRFX0xJTUlUQVRJT05TLjE5OTkuMDYvMDMvMjAyNi4uLlVTRC5IAQAAAN62AQADAAAAAACjINLmzXveCLFjzTjOe94IQ0NJUS5OWVNFOklCTS5JUV9BRERfVEFYX1BPU0lUSU9OU19QUklPUl9ZUlMuMTk5OS4wNi8wMy8yMDI2Li4uVVNELkgBAAAA3rYBAAMAAAAAAKMg0ubNe94IsWPNOM573gg6Q0lRLk5ZU0U6SUJNLklRX1RBWF9CRU5FRklUX0NGXzVZUi4xOTk5LjA2LzAzLzIwMjYuLi5VU0QuSAEAAADetgEAAwAAAAAAoyDS5s173giePM04znveCDdDSVEuTllTRTpJQk0uSVFfQ0FQX0xPU1NfQ0ZfMVlSLjE5OTkuMDYvMDMvMjAyNi4uLlVTRC5IAQAAAN62AQADAAAAAACjINLmzXveCJ48zTjOe94IQENJUS5OWVNFOklCTS5JUV9DQVBJVEFMSVpFRF9JTlRFUkVTVF9FWFAuMTk5OS4wNi8wMy8yMDI2Li4uVVNELkgBAAAA3rYBAAMAAAAAAKMg0ubNe94InjzNOM573ggkQ0lRLk5ZU0U6SUJNLklRX0RBUlQuMTk5OS4wNi8wMy8yMDI2AQAAAN62AQADAAAAAACjINLmzXveCLFjzTjOe94ITUNJUS5OWVNFOklCTS5JUV9NVVRVQUxfRlVORF9BUFBSRUNJQVRJT05fREVQUkVDSUFUSU9OLjE5OTkuMDYvMDMvMjAyNi4uLlVTRC5IAQAAAN62AQADAAAAAACjINLm</t>
  </si>
  <si>
    <t>zXveCLFjzTjOe94INENJUS5OWVNFOklCTS5JUV9BVU1fT1VURkxPV1MuMTk5OS4wNi8wMy8yMDI2Li4uVVNELkgBAAAA3rYBAAMAAAAAAKMg0ubNe94IsWPNOM573gg6Q0lRLk5ZU0U6SUJNLklRX0FVTV9ISUdIX05FVF9XT1JUSC4xOTk5LjA2LzAzLzIwMjYuLi5VU0QuSAEAAADetgEAAwAAAAAAoyDS5s173gixY804znveCFVDSVEuTllTRTpJQk0uSVFfT1BFQl9ERUNSRUFTRV9FRkZFQ1RfU0VSVklDRV9JTlRfQ09TVF9GT1JFSUdOLjE5OTkuMDYvMDMvMjAyNi4uLlVTRC5IAQAAAN62AQADAAAAAACjINLmzXveCLFjzTjOe94IRENJUS5OWVNFOklCTS5JUV9PUEVCX05FVF9BU1NFVF9SRUNPR19GT1JFSUdOLjE5OTkuMDYvMDMvMjAyNi4uLlVTRC5IAQAAAN62AQADAAAAAACjINLmzXveCNCKzTjOe94IRENJUS5OWVNFOklCTS5JUV9PUEVCX0VTVF9CRU5FRklUXzRZUl9GT1JFSUdOLjE5OTkuMDYvMDMvMjAyNi4uLlVTRC5IAQAAAN62AQADAAAAAACjINLmzXveCNCKzTjOe94IRkNJUS5OWVNFOklCTS5JUV9PUEVCX0NJX09USEVSX01JU0NfQURKX0ZPUkVJR04uMTk5OS4wNi8wMy8yMDI2Li4uVVNELkgBAAAA3rYBAAMAAAAAAKMg0ubNe94I0IrNOM573gg5Q0lRLk5ZU0U6SUJNLklRX01VVFVBTF9GVU5EX1NBTEVTLjE5OTkuMDYvMDMvMjAyNi4uLlVTRC5IAQAAAN62AQADAAAAAACjINLmzXveCLFj</t>
  </si>
  <si>
    <t>zTjOe94IL0NJUS5OWVNFOklCTS5JUV9BVU1fRU9QLjE5OTkuMDYvMDMvMjAyNi4uLlVTRC5IAQAAAN62AQADAAAAAACjINLmzXveCLFjzTjOe94IM0NJUS5OWVNFOklCTS5JUV9BVU1fVE9UQUxfQ1VTVE9NRVJTLjE5OTkuMDYvMDMvMjAyNgEAAADetgEAAwAAAAAAoyDS5s173gjQis04znveCDpDSVEuTllTRTpJQk0uSVFfT1BFQl9ESVNDX1JBVEVfTUlOX0ZPUkVJR04uMTk5OS4wNi8wMy8yMDI2AQAAAN62AQADAAAAAACjINLmzXveCNCKzTjOe94IR0NJUS5OWVNFOklCTS5JUV9PUEVCX09CTElHQVRJT05fQ1VSVEFJTF9GT1JFSUdOLjE5OTkuMDYvMDMvMjAyNi4uLlVTRC5IAQAAAN62AQADAAAAAACjINLmzXveCNCKzTjOe94IUUNJUS5OWVNFOklCTS5JUV9PUEVCX1RPVEFMX0NPU1RfSU5DTF9TVVBQTEVfUExBTlNfRk9SRUlHTi4xOTk5LjA2LzAzLzIwMjYuLi5VU0QuSAEAAADetgEAAwAAAAAAoyDS5s173gjQis04znveCDlDSVEuTllTRTpJQk0uSVFfQVVNX09USEVSX0NMSUVOVFMuMTk5OS4wNi8wMy8yMDI2Li4uVVNELkgBAAAA3rYBAAMAAAAAAKMg0ubNe94I0IrNOM573gg+Q0lRLk5ZU0U6SUJNLklRX09QRUJfQkVORUZJVF9JTkZPX0RBVEVfRk9SRUlHTi4xOTk5LjA2LzAzLzIwMjYBAAAA3rYBAAMAAAAAAKMg0ubNe94I0MXNOM573gg+Q0lRLk5ZU0U6SUJNLklRX09QRUJfTFRfQVNTRVRT</t>
  </si>
  <si>
    <t>X0ZPUkVJR04uMTk5OS4wNi8wMy8yMDI2Li4uVVNELkgBAAAA3rYBAAMAAAAAAKMg0ubNe94I0IrNOM573ggxQ0lRLk5ZU0U6SUJNLklRX0FVTV9PVEhFUi4xOTk5LjA2LzAzLzIwMjYuLi5VU0QuSAEAAADetgEAAwAAAAAAoyDS5s173gjQis04znveCEhDSVEuTllTRTpJQk0uSVFfT1BFQl9ERUNSRUFTRV9FRkZFQ1RfUEJPX0ZPUkVJR04uMTk5OS4wNi8wMy8yMDI2Li4uVVNELkgBAAAA3rYBAAMAAAAAAKMg0ubNe94I0IrNOM573ghMQ0lRLk5ZU0U6SUJNLklRX0FVTV9NQVJLRVRfQVBQUkVDSUFUSU9OX0RFUFJFQ0lBVElPTi4xOTk5LjA2LzAzLzIwMjYuLi5VU0QuSAEAAADetgEAAwAAAAAAoyDS5s173gjQxc04znveCDdDSVEuTllTRTpJQk0uSVFfQVVNX1JFQUxfRVNUQVRFLjE5OTkuMDYvMDMvMjAyNi4uLlVTRC5IAQAAAN62AQADAAAAAACjINLmzXveCNDFzTjOe94IQUNJUS5OWVNFOklCTS5JUV9PUEVCX0FDQ1JVRURfTElBQl9GT1JFSUdOLjE5OTkuMDYvMDMvMjAyNi4uLlVTRC5IAQAAAN62AQADAAAAAACjINLmzXveCNDFzTjOe94IRUNJUS5OWVNFOklCTS5JUV9PUEVCX1BCT19BU1NVTUVEX1JBVEVfUkVUX01BWF9GT1JFSUdOLjE5OTkuMDYvMDMvMjAyNgEAAADetgEAAwAAAAAAoyDS5s173gjQxc04znveCEZDSVEuTllTRTpJQk0uSVFfT1BFQl9PQkxJR0FUSU9OX0ZYX0FESl9GT1JFSUdO</t>
  </si>
  <si>
    <t>LjE5OTkuMDYvMDMvMjAyNi4uLlVTRC5IAQAAAN62AQADAAAAAACjINLmzXveCNDFzTjOe94IPkNJUS5OWVNFOklCTS5JUV9BU1NFVFNfT1BFUl9MRUFTRV9ERVBSLjE5OTkuMDYvMDMvMjAyNi4uLlVTRC5IAQAAAN62AQADAAAAAACjINLmzXveCNDFzTjOe94IPENJUS5OWVNFOklCTS5JUV9PUEVCX0xUX0xJQUJfRk9SRUlHTi4xOTk5LjA2LzAzLzIwMjYuLi5VU0QuSAEAAADetgEAAwAAAAAAoyDS5s173gjQxc04znveCEdDSVEuTllTRTpJQk0uSVFfT1BFQl9QUklPUl9TRVJWSUNFX05FWFRfRk9SRUlHTi4xOTk5LjA2LzAzLzIwMjYuLi5VU0QuSAEAAADetgEAAwAAAAAAoyDS5s173gjQxc04znveCD9DSVEuTllTRTpJQk0uSVFfT1BFQl9BU1NFVFNfQkVHX0ZPUkVJR04uMTk5OS4wNi8wMy8yMDI2Li4uVVNELkgBAAAA3rYBAAMAAAAAAKMg0ubNe94I0MXNOM573gg3Q0lRLk5ZU0U6SUJNLklRX0NBUF9MT1NTX0NGXzJZUi4xOTk5LjA2LzAzLzIwMjYuLi5VU0QuSAEAAADetgEAAwAAAAAAoyDS5s173gjQxc04znveCDZDSVEuTllTRTpJQk0uSVFfTlVNQkVSX1RSQURFU19FWEVDVVRFRC4xOTk5LjA2LzAzLzIwMjYBAAAA3rYBAAMAAAAAAKMg0ubNe94IWe3NOM573ghDQ0lRLk5ZU0U6SUJNLklRX09QRUJfQUNDVU1fT1RIRVJfQ0lfRk9SRUlHTi4xOTk5LjA2LzAzLzIwMjYuLi5VU0QuSAEAAADetgEA</t>
  </si>
  <si>
    <t>AwAAAAAAoyDS5s173ghZ7c04znveCERDSVEuTllTRTpJQk0uSVFfT1BFQl9UUkFOU0lUSU9OX05FWFRfRk9SRUlHTi4xOTk5LjA2LzAzLzIwMjYuLi5VU0QuSAEAAADetgEAAwAAAAAAoyDS5s173ghZ7c04znveCDtDSVEuTllTRTpJQk0uSVFfT1BFQl9DSV9BQ1RfRk9SRUlHTi4xOTk5LjA2LzAzLzIwMjYuLi5VU0QuSAEAAADetgEAAwAAAAAAoyDS5s173ghZ7c04znveCEFDSVEuTllTRTpJQk0uSVFfT1BFQl9CUkVBS0RPV05fUkVfRk9SRUlHTi4xOTk5LjA2LzAzLzIwMjYuLi5VU0QuSAEAAADetgEAAwAAAAAAoyDS5s173gjQxc04znveCEFDSVEuTllTRTpJQk0uSVFfT1BFQl9CUkVBS0RPV05fRVFfRk9SRUlHTi4xOTk5LjA2LzAzLzIwMjYuLi5VU0QuSAEAAADetgEAAwAAAAAAoyDS5s173ghZ7c04znveCD1DSVEuTllTRTpJQk0uSVFfT1BFQl9CUkVBS0RPV05fUENUX1JFX0ZPUkVJR04uMTk5OS4wNi8wMy8yMDI2AQAAAN62AQADAAAAAACjINLmzXveCFntzTjOe94IM0NJUS5OWVNFOklCTS5JUV9BVU1fRk9SRUlHTi4xOTk5LjA2LzAzLzIwMjYuLi5VU0QuSAEAAADetgEAAwAAAAAAoyDS5s173ghZ7c04znveCEdDSVEuTllTRTpJQk0uSVFfT1BFQl9IRUFMVEhfQ09TVF9UUkVORF9VTFRJTUFURV9GT1JFSUdOLjE5OTkuMDYvMDMvMjAyNgEAAADetgEAAwAAAAAAoyDS5s173ghZ7c04znveCEdD</t>
  </si>
  <si>
    <t>SVEuTllTRTpJQk0uSVFfT1BFQl9QQk9fUkFURV9DT01QX0lOQ1JFQVNFX01BWF9GT1JFSUdOLjE5OTkuMDYvMDMvMjAyNgEAAADetgEAAwAAAAAAoyDS5s173ghZ7c04znveCEJDSVEuTllTRTpJQk0uSVFfT1BFQl9VTlJFQ09HX1BSSU9SX0ZPUkVJR04uMTk5OS4wNi8wMy8yMDI2Li4uVVNELkgBAAAA3rYBAAMAAAAAAKMg0ubNe94IcxTOOM573ghJQ0lRLk5ZU0U6SUJNLklRX09QRUJfT0JMSUdBVElPTl9QUk9KRUNURURfRk9SRUlHTi4xOTk5LjA2LzAzLzIwMjYuLi5VU0QuSAEAAADetgEAAwAAAAAAoyDS5s173ghzFM44znveCDtDSVEuTllTRTpJQk0uSVFfT1BFQl9BU1NFVFNfRk9SRUlHTi4xOTk5LjA2LzAzLzIwMjYuLi5VU0QuSAEAAADetgEAAwAAAAAAoyDS5s173ghZ7c04znveCExDSVEuTllTRTpJQk0uSVFfT1BFQl9TVVBQTEVfUExBTlNfVE9UQUxfQ09TVF9GT1JFSUdOLjE5OTkuMDYvMDMvMjAyNi4uLlVTRC5IAQAAAN62AQADAAAAAACjINLmzXveCFntzTjOe94IP0NJUS5OWVNFOklCTS5JUV9PUEVCX0VYUF9SRVRVUk5fRk9SRUlHTi4xOTk5LjA2LzAzLzIwMjYuLi5VU0QuSAEAAADetgEAAwAAAAAAoyDS5s173ghZ7c04znveCEZDSVEuTllTRTpJQk0uSVFfUEVOU0lPTl9BQ0NVTV9PVEhFUl9DSV9GT1JFSUdOLjE5OTkuMDYvMDMvMjAyNi4uLlVTRC5IAQAAAN62AQADAAAAAACjINLm</t>
  </si>
  <si>
    <t>zXveCFQozjjOe94ISENJUS5OWVNFOklCTS5JUV9QRU5TSU9OX1BCT19BU1NVTUVEX1JBVEVfUkVUX01JTl9GT1JFSUdOLjE5OTkuMDYvMDMvMjAyNgEAAADetgEAAwAAAAAAoyDS5s173ghzFM44znveCDhDSVEuTllTRTpJQk0uSVFfQVVNX0VRVUlUWV9GVU5EUy4xOTk5LjA2LzAzLzIwMjYuLi5VU0QuSAEAAADetgEAAwAAAAAAoyDS5s173ghzFM44znveCElDSVEuTllTRTpJQk0uSVFfT1BFQl9BU1NFVFNfQUNUVUFMX1JFVFVSTl9GT1JFSUdOLjE5OTkuMDYvMDMvMjAyNi4uLlVTRC5IAQAAAN62AQADAAAAAACjINLmzXveCHMUzjjOe94IPUNJUS5OWVNFOklCTS5JUV9PUEVCX0JSRUFLRE9XTl9QQ1RfRklfRk9SRUlHTi4xOTk5LjA2LzAzLzIwMjYBAAAA3rYBAAMAAAAAAKMg0ubNe94IcxTOOM573ghDQ0lRLk5ZU0U6SUJNLklRX09QRUJfQVNTRVRTX0NVUlRBSUxfRk9SRUlHTi4xOTk5LjA2LzAzLzIwMjYuLi5VU0QuSAEAAADetgEAAwAAAAAAoyDS5s173ghUKM44znveCE1DSVEuTllTRTpJQk0uSVFfT1BFQl9PQkxJR0FUSU9OX0lOVEVSRVNUX0NPU1RfRk9SRUlHTi4xOTk5LjA2LzAzLzIwMjYuLi5VU0QuSAEAAADetgEAAwAAAAAAoyDS5s173ghUKM44znveCEdDSVEuTllTRTpJQk0uSVFfUEVOU0lPTl9ORVRfQVNTRVRfUkVDT0dfRk9SRUlHTi4xOTk5LjA2LzAzLzIwMjYuLi5VU0QuSAEAAADe</t>
  </si>
  <si>
    <t>tgEAAwAAAAAAoyDS5s173ghUKM44znveCEdDSVEuTllTRTpJQk0uSVFfUEVOU0lPTl9FU1RfQkVORUZJVF80WVJfRk9SRUlHTi4xOTk5LjA2LzAzLzIwMjYuLi5VU0QuSAEAAADetgEAAwAAAAAAoyDS5s173ghUKM44znveCC5DSVEuTllTRTpJQk0uSVFfUkVUVVJOX0NBUElUQUwuMTk5OS4wNi8wMy8yMDI2AQAAAN62AQACAAAABjguMDQ0MQEIAAAABQAAAAExAQAAAAstMTkyMDg0Njk0OQMAAAADMTYwAgAAAAQ0MzYzBAAAAAEwBwAAAAgzLzYvMjAyNggAAAAJOS8zMC8yMDI1CQAAAAEwoyDS5s173ghUKM44znveCEZDSVEuTllTRTpJQk0uSVFfQ0FQSVRBTElaRURfSU5URVJFU1RfV1JJVEVfT0ZGLjE5OTkuMDYvMDMvMjAyNi4uLlVTRC5IAQAAAN62AQADAAAAAACjINLmzXveCFQozjjOe94IOUNJUS5OWVNFOklCTS5JUV9BVkdfUkVWX1BFUl9UUkFERS4xOTk5LjA2LzAzLzIwMjYuLi5VU0QuSAEAAADetgEAAwAAAAAAoyDS5s173ghUKM44znveCCtDSVEuTllTRTpJQk0uSVFfUVVJQ0tfUkFUSU8uMTk5OS4wNi8wMy8yMDI2AQAAAN62AQACAAAACDAuNzc1MDI3AQgAAAAFAAAAATEBAAAACy0xOTIwODQ2OTQ5AwAAAAMxNjACAAAABDQxMjEEAAAAATAHAAAACDMvNi8yMDI2CAAAAAk5LzMwLzIwMjUJAAAAATCjINLmzXveCFQozjjOe94IQ0NJUS5OWVNFOklCTS5JUV9PUEVCX1JBVEVfQ09NUF9JTkNS</t>
  </si>
  <si>
    <t>RUFTRV9NQVhfRk9SRUlHTi4xOTk5LjA2LzAzLzIwMjYBAAAA3rYBAAMAAAAAAKMg0ubNe94IVCjOOM573ghOQ0lRLk5ZU0U6SUJNLklRX09QRUJfT0JMSUdBVElPTl9PVEhFUl9QTEFOX0FESl9GT1JFSUdOLjE5OTkuMDYvMDMvMjAyNi4uLlVTRC5IAQAAAN62AQADAAAAAACjINLmzXveCL5PzjjOe94IVkNJUS5OWVNFOklCTS5JUV9PUEVCX09CTElHQVRJT05fRU1QTE9ZRUVfQ09OVFJJQlVUSU9OU19GT1JFSUdOLjE5OTkuMDYvMDMvMjAyNi4uLlVTRC5IAQAAAN62AQADAAAAAACjINLmzXveCL5PzjjOe94IQ0NJUS5OWVNFOklCTS5JUV9PUEVCX09CTElHQVRJT05fQkVHX0ZPUkVJR04uMTk5OS4wNi8wMy8yMDI2Li4uVVNELkgBAAAA3rYBAAMAAAAAAKMg0ubNe94Ivk/OOM573gg3Q0lRLk5ZU0U6SUJNLklRX0NBUF9MT1NTX0NGXzVZUi4xOTk5LjA2LzAzLzIwMjYuLi5VU0QuSAEAAADetgEAAwAAAAAAoyDS5s173ghUKM44znveCEFDSVEuTllTRTpJQk0uSVFfT1BFQl9QUkVQQUlEX0NPU1RfRk9SRUlHTi4xOTk5LjA2LzAzLzIwMjYuLi5VU0QuSAEAAADetgEAAwAAAAAAoyDS5s173ghUKM44znveCFJDSVEuTllTRTpJQk0uSVFfT1BFQl9BU1NFVFNfUEFSVElDSVBfQ09OVFJJQlVUSU9OU19GT1JFSUdOLjE5OTkuMDYvMDMvMjAyNi4uLlVTRC5IAQAAAN62AQADAAAAAACjINLmzXveCL5PzjjOe94I</t>
  </si>
  <si>
    <t>N0NJUS5OWVNFOklCTS5JUV9UQVhfQkVORUZJVF9DRl9NQVhfWUVBUi4xOTk5LjA2LzAzLzIwMjYBAAAA3rYBAAMAAAAAAKMg0ubNe94Ivk/OOM573gg3Q0lRLk5ZU0U6SUJNLklRX09QRUJfQ0xfRk9SRUlHTi4xOTk5LjA2LzAzLzIwMjYuLi5VU0QuSAEAAADetgEAAwAAAAAAoyDS5s173gi+T844znveCEVDSVEuTllTRTpJQk0uSVFfT1BFQl9DSV9ORVRfQU1UX1JFQ09HX0ZPUkVJR04uMTk5OS4wNi8wMy8yMDI2Li4uVVNELkgBAAAA3rYBAAMAAAAAAKMg0ubNe94Ivk/OOM573gg/Q0lRLk5ZU0U6SUJNLklRX09QRUJfQVNTRVRTX0FDUV9GT1JFSUdOLjE5OTkuMDYvMDMvMjAyNi4uLlVTRC5IAQAAAN62AQADAAAAAACjINLmzXveCL5PzjjOe94INkNJUS5OWVNFOklCTS5JUV9PVEhFUl9PUEVSX0FDVC4xOTk4LjA2LzAzLzIwMjYuLi5VU0QuSAEAAADetgEAAgAAAAM3ODEBCAAAAAUAAAABMQEAAAALLTE5MzQ4NjAxMjUDAAAAAzE2MAIAAAAEMjA0NwQAAAABMAcAAAAIMy82LzIwMjYIAAAACTYvMzAvMjAyNQkAAAABMBaGoufNe94Iqh/rOM573gg/Q0lRLk5ZU0U6SUJNLklRX09USEVSX0ZJTkFOQ0VfQUNUX1NVUFBMLjE5OTguMDYvMDMvMjAyNi4uLlVTRC5IAQAAAN62AQACAAAABC0xMDQBCAAAAAUAAAABMQEAAAALLTE5MzQ4NjAxMjUDAAAAAzE2MAIAAAAEMjA1MAQAAAABMAcAAAAIMy82LzIwMjYI</t>
  </si>
  <si>
    <t>AAAACTYvMzAvMjAyNQkAAAABMBaGoufNe94Iqh/rOM573gg3Q0lRLk5ZU0U6SUJNLklRX0dBSU5fQVNTRVRTX1JFVi4xOTk4LjA2LzAzLzIwMjYuLi5VU0QuSAEAAADetgEAAwAAAAAAFoai58173giqH+s4znveCDNDSVEuTllTRTpJQk0uSVFfU1RPQ0tfQkFTRUQuMTk5OC4wNi8wMy8yMDI2Li4uVVNELkgBAAAA3rYBAAMAAAAAABaGoufNe94IU1rrOM573gg5Q0lRLk5ZU0U6SUJNLklRX0ZFRVNfT1RIRVJfSU5DT01FLjE5OTguMDYvMDMvMjAyNi4uLlVTRC5IAQAAAN62AQADAAAAAAAWhqLnzXveCKof6zjOe94IPUNJUS5OWVNFOklCTS5JUV9UT1RBTF9SRVZfQVNfUkVQT1JURUQuMTk5OC4wNi8wMy8yMDI2Li4uVVNELkgBAAAA3rYBAAIAAAAFNjQwNDEBCAAAAAUAAAABMQEAAAALLTE5MzQ4NjAxMjUDAAAAAzE2MAIAAAADMzM5BAAAAAEwBwAAAAgzLzYvMjAyNggAAAAJNi8zMC8yMDI1CQAAAAEwFoai58173giqH+s4znveCDtDSVEuTllTRTpJQk0uSVFfQ1VSUl9ET01FU1RJQ19UQVhFUy4xOTk4LjA2LzAzLzIwMjYuLi5VU0QuSAEAAADetgEAAgAAAAQtMTgzAQgAAAAFAAAAATEBAAAACy0xOTM0ODYwMTI1AwAAAAMxNjACAAAABDMwMjcEAAAAATAHAAAACDMvNi8yMDI2CAAAAAk2LzMwLzIwMjUJAAAAATAWhqLnzXveCKof6zjOe94ISUNJUS5OWVNFOklCTS5JUV9JTlRFUkVTVF9FWFBfTEVBU0Vf</t>
  </si>
  <si>
    <t>TElBQklMSVRZX0RFQlQuMTk5OC4wNi8wMy8yMDI2Li4uVVNELkgBAAAA3rYBAAMAAAAAABaGoufNe94Iqh/rOM573gguQ0lRLk5ZU0U6SUJNLklRX1JFU1RBVEVNRU5UX0lTLjE5OTguMDYvMDMvMjAyNgEAAADetgEAAwAAAAFPABaGoufNe94IU1rrOM573gg5Q0lRLk5ZU0U6SUJNLklRX05FVF9SRU5UQUxfRVhQX0ZOLjE5OTguMDYvMDMvMjAyNi4uLlVTRC5IAQAAAN62AQADAAAAAAAWhqLnzXveCFNa6zjOe94IOUNJUS5OWVNFOklCTS5JUV9DT05USU5HRU5UX1JFTlRBTC4xOTk4LjA2LzAzLzIwMjYuLi5VU0QuSAEAAADetgEAAwAAAAAAFoai58173ghTWus4znveCDNDSVEuTllTRTpJQk0uSVFfU0FMRV9QUEVfQ0YuMTk5OC4wNi8wMy8yMDI2Li4uVVNELkgBAAAA3rYBAAIAAAADNjExAQgAAAAFAAAAATEBAAAACy0xOTM0ODYwMTI1AwAAAAMxNjACAAAABDIwNDIEAAAAATAHAAAACDMvNi8yMDI2CAAAAAk2LzMwLzIwMjUJAAAAATAWhqLnzXveCFNa6zjOe94IOUNJUS5OWVNFOklCTS5JUV9DQVNIX1RBWEVTX0lOVkVTVC4xOTk4LjA2LzAzLzIwMjYuLi5VU0QuSAEAAADetgEAAwAAAAAAFoai58173ghTWus4znveCDhDSVEuTllTRTpJQk0uSVFfTkVUX0lOVEVSRVNUX0VYUC4xOTk4LjA2LzAzLzIwMjYuLi5VU0QuSAEAAADetgEAAgAAAAUtMTEzNQEIAAAABQAAAAExAQAAAAstMTkzNDg2MDEyNQMA</t>
  </si>
  <si>
    <t>AAADMTYwAgAAAAMzNjgEAAAAATAHAAAACDMvNi8yMDI2CAAAAAk2LzMwLzIwMjUJAAAAATAWhqLnzXveCMOB6zjOe94IO0NJUS5OWVNFOklCTS5JUV9PVEhFUl9VTlVTVUFMX1NVUFBMLjE5OTguMDYvMDMvMjAyNi4uLlVTRC5IAQAAAN62AQACAAAABS0zMTEzAQgAAAAFAAAAATEBAAAACy0xOTM0ODYwMTI1AwAAAAMxNjACAAAAAjg3BAAAAAEwBwAAAAgzLzYvMjAyNggAAAAJNi8zMC8yMDI1CQAAAAEwFoai58173gjDges4znveCDZDSVEuTllTRTpJQk0uSVFfQkFTSUNfRVBTX0VYQ0wuMTk5OC4wNi8wMy8yMDI2Li4uVVNELkgBAAAA3rYBAAIAAAAINi4zMTg1MDYBCAAAAAUAAAABMQEAAAALLTE5MzQ4NjAxMjUDAAAAAzE2MAIAAAAEMzA2NAQAAAABMAcAAAAIMy82LzIwMjYIAAAACTYvMzAvMjAyNQkAAAABMBaGoufNe94Iw4HrOM573ggyQ0lRLk5ZU0U6SUJNLklRX0NVUlJfVEFYRVMuMTk5OC4wNi8wMy8yMDI2Li4uVVNELkgBAAAA3rYBAAIAAAAEMjExOAEIAAAABQAAAAExAQAAAAstMTkzNDg2MDEyNQMAAAADMTYwAgAAAAUzNTM4MwQAAAABMAcAAAAIMy82LzIwMjYIAAAACTYvMzAvMjAyNQkAAAABMBaGoufNe94IU1rrOM573ggzQ0lRLk5ZU0U6SUJNLklRX0FEVkVSVElTSU5HLjE5OTguMDYvMDMvMjAyNi4uLlVTRC5IAQAAAN62AQADAAAAAAAWhqLnzXveCFNa6zjOe94IOENJUS5OWVNFOklC</t>
  </si>
  <si>
    <t>TS5JUV9HQUlOX0JBUkdBSU5fQUNRLjE5OTguMDYvMDMvMjAyNi4uLlVTRC5IAQAAAN62AQADAAAAAAAWhqLnzXveCMOB6zjOe94IO0NJUS5OWVNFOklCTS5JUV9MRUdBTF9TRVRUTEVfU1VQUExFLjE5OTguMDYvMDMvMjAyNi4uLlVTRC5IAQAAAN62AQADAAAAAAAWhqLnzXveCMOB6zjOe94IQUNJUS5OWVNFOklCTS5JUV9TVE9DS19CQVNFRF9FWFBMT1JFX0RSSUxMLjE5OTguMDYvMDMvMjAyNi4uLlVTRC5IAQAAAN62AQADAAAAAAAWhqLnzXveCMOB6zjOe94IKkNJUS5OWVNFOklCTS5JUV9HUC4xOTk4LjA2LzAzLzIwMjYuLi5VU0QuSAEAAADetgEAAgAAAAUzNjg2OAEIAAAABQAAAAExAQAAAAstMTkzNDg2MDEyNQMAAAADMTYwAgAAAAIxMAQAAAABMAcAAAAIMy82LzIwMjYIAAAACTYvMzAvMjAyNQkAAAABMBaGoufNe94Iw4HrOM573ggzQ0lRLk5ZU0U6SUJNLklRX0dBSU5fSU5WRVNULjE5OTguMDYvMDMvMjAyNi4uLlVTRC5IAQAAAN62AQACAAAAATABCAAAAAUAAAABMQEAAAALLTE5MzQ4NjAxMjUDAAAAAzE2MAIAAAACNjIEAAAAATAHAAAACDMvNi8yMDI2CAAAAAk2LzMwLzIwMjUJAAAAATAWhqLnzXveCNmo6zjOe94IPENJUS5OWVNFOklCTS5JUV9DQVBJVEFMSVpFRF9JTlRFUkVTVC4xOTk4LjA2LzAzLzIwMjYuLi5VU0QuSAEAAADetgEAAwAAAAAAFoai58173gjZqOs4znveCEdDSVEuTllT</t>
  </si>
  <si>
    <t>RTpJQk0uSVFfRElTVFJJQlVUQUJMRV9DQVNIX1NUQU5EQVJESVpFRC4xOTk4LjA2LzAzLzIwMjYuLi5VU0QuSAEAAADetgEAAwAAAAAAFoai58173gjZqOs4znveCDZDSVEuTllTRTpJQk0uSVFfU1RPQ0tfQkFTRURfQ0YuMTk5OC4wNi8wMy8yMDI2Li4uVVNELkgBAAAA3rYBAAIAAAAEMTUxNwEIAAAABQAAAAExAQAAAAstMTkzNDg2MDEyNQMAAAADMTYwAgAAAAQyMTI3BAAAAAEwBwAAAAgzLzYvMjAyNggAAAAJNi8zMC8yMDI1CQAAAAEwFoai58173gjZqOs4znveCDdDSVEuTllTRTpJQk0uSVFfQ0FTSF9BQ1FVSVJFX0NGLjE5OTguMDYvMDMvMjAyNi4uLlVTRC5IAQAAAN62AQACAAAABi0xMDg5OQEIAAAABQAAAAExAQAAAAstMTkzNDg2MDEyNQMAAAADMTYwAgAAAAQyMDU3BAAAAAEwBwAAAAgzLzYvMjAyNggAAAAJNi8zMC8yMDI1CQAAAAEwFoai58173gjDges4znveCC5DSVEuTllTRTpJQk0uSVFfR0FfRVhQLjE5OTguMDYvMDMvMjAyNi4uLlVTRC5IAQAAAN62AQADAAAAAAAWhqLnzXveCNmo6zjOe94INUNJUS5OWVNFOklCTS5JUV9DVVJSRU5DWV9HQUlOLjE5OTguMDYvMDMvMjAyNi4uLlVTRC5IAQAAAN62AQACAAAAAy03MAEIAAAABQAAAAExAQAAAAstMTkzNDg2MDEyNQMAAAADMTYwAgAAAAIzOAQAAAABMAcAAAAIMy82LzIwMjYIAAAACTYvMzAvMjAyNQkAAAABMBaGoufNe94I2ajrOM57</t>
  </si>
  <si>
    <t>3ggzQ0lRLk5ZU0U6SUJNLklRX0lOVF9JTlZfSU5DLjE5OTguMDYvMDMvMjAyNi4uLlVTRC5IAQAAAN62AQADAAAAAAAWhqLnzXveCNmo6zjOe94ILkNJUS5OWVNFOklCTS5JUV9SRF9FWFAuMTk5OC4wNi8wMy8yMDI2Li4uVVNELkgBAAAA3rYBAAIAAAAENzg4NQEIAAAABQAAAAExAQAAAAstMTkzNDg2MDEyNQMAAAADMTYwAgAAAAMxMDAEAAAAATAHAAAACDMvNi8yMDI2CAAAAAk2LzMwLzIwMjUJAAAAATAWhqLnzXveCNmo6zjOe94IL0NJUS5OWVNFOklCTS5JUV9JTkNfVEFYLjE5OTguMDYvMDMvMjAyNi4uLlVTRC5IAQAAAN62AQACAAAAAzQwMQEIAAAABQAAAAExAQAAAAstMTkzNDg2MDEyNQMAAAADMTYwAgAAAAI3NQQAAAABMAcAAAAIMy82LzIwMjYIAAAACTYvMzAvMjAyNQkAAAABMBaGoufNe94I2ajrOM573ggwQ0lRLk5ZU0U6SUJNLklRX0RSX1JBVElPX1BSSU1BUlkuMTk5OC4wNi8wMy8yMDI2AQAAAN62AQACAAAAATEAFoai58173gjZqOs4znveCDJDSVEuTllTRTpJQk0uSVFfQ09NTU9OX0RJVi4xOTk4LjA2LzAzLzIwMjYuLi5VU0QuSAEAAADetgEAAgAAAAQ2MjAxABaGoufNe94I2ajrOM573gg2Q0lRLk5ZU0U6SUJNLklRX05FVF9SRU5UQUxfRVhQLjE5OTguMDYvMDMvMjAyNi4uLlVTRC5IAQAAAN62AQADAAAAAAAWhqLnzXveCNmo6zjOe94IP0NJUS5OWVNFOklCTS5JUV9TQUxBUklF</t>
  </si>
  <si>
    <t>U19PVEhFUl9CRU5FRklUUy4xOTk4LjA2LzAzLzIwMjYuLi5VU0QuSAEAAADetgEAAwAAAAAAFoai58173gjZqOs4znveCDxDSVEuTllTRTpJQk0uSVFfSU1QQUlSTUVOVF9HV19TVVBQTEUuMTk5OC4wNi8wMy8yMDI2Li4uVVNELkgBAAAA3rYBAAMAAAAAABaGoufNe94I8M/rOM573ggxQ0lRLk5ZU0U6SUJNLklRX0NIQU5HRV9BUi4xOTk4LjA2LzAzLzIwMjYuLi5VU0QuSAEAAADetgEAAgAAAAQtMzc0AQgAAAAFAAAAATEBAAAACy0xOTM0ODYwMTI1AwAAAAMxNjACAAAABDIwMTgEAAAAATAHAAAACDMvNi8yMDI2CAAAAAk2LzMwLzIwMjUJAAAAATAWhqLnzXveCPDP6zjOe94IQUNJUS5OWVNFOklCTS5JUV9HV19JTlRBTl9BTU9SVF9QQVJUSUFMX0NGLjE5OTguMDYvMDMvMjAyNi4uLlVTRC5IAQAAAN62AQADAAAAAAAWhqLnzXveCPDP6zjOe94IO0NJUS5OWVNFOklCTS5JUV9JTlRFUkVTVF9JTlZFU1RfSU5DLjE5OTguMDYvMDMvMjAyNi4uLlVTRC5IAQAAAN62AQACAAAAAzY4MwEIAAAABQAAAAExAQAAAAstMTkzNDg2MDEyNQMAAAADMTYwAgAAAAI2NQQAAAABMAcAAAAIMy82LzIwMjYIAAAACTYvMzAvMjAyNQkAAAABMBaGoufNe94I8M/rOM573gg3Q0lRLk5ZU0U6SUJNLklRX0FTU0VUX1dSSVRFRE9XTi4xOTk4LjA2LzAzLzIwMjYuLi5VU0QuSAEAAADetgEAAwAAAAAAFoai58173gjwz+s4znve</t>
  </si>
  <si>
    <t>CDVDSVEuTllTRTpJQk0uSVFfTklfQVZBSUxfSU5DTC4xOTk4LjA2LzAzLzIwMjYuLi5VU0QuSAEAAADetgEAAgAAAAQ1ODMzAQgAAAAFAAAAATEBAAAACy0xOTM0ODYwMTI1AwAAAAMxNjACAAAAAjE2BAAAAAEwBwAAAAgzLzYvMjAyNggAAAAJNi8zMC8yMDI1CQAAAAEwFoai58173gjwz+s4znveCEBDSVEuTllTRTpJQk0uSVFfRElTVFJJQlVUQUJMRV9DQVNIX1NIQVJFLjE5OTguMDYvMDMvMjAyNi4uLlVTRC5IAQAAAN62AQADAAAAAAAWhqLnzXveCPDP6zjOe94IPUNJUS5OWVNFOklCTS5JUV9FQklUREFfTEVBU0VfQURKVVNURUQuMTk5OC4wNi8wMy8yMDI2Li4uVVNELkgBAAAA3rYBAAIAAAAHMTU1MDAuNQEIAAAABQAAAAExAQAAAAstMTkzNDg2MDEyNQMAAAADMTYwAgAAAAU0ODk5MwQAAAABMAcAAAAIMy82LzIwMjYIAAAACTYvMzAvMjAyNQkAAAABMBaGoufNe94I8M/rOM573ghJQ0lRLk5ZU0U6SUJNLklRX0VCSVREQV9FUV9JTkNfRVhDTF9PUEVSX0xFQVNFX0FESi4xOTk4LjA2LzAzLzIwMjYuLi5VU0QuSAEAAADetgEAAgAAAAUxNDE4MwEIAAAABQAAAAExAQAAAAstMTkzNDg2MDEyNQMAAAADMTYwAgAAAAU0ODk4NwQAAAABMAcAAAAIMy82LzIwMjYIAAAACTYvMzAvMjAyNQkAAAABMBaGoufNe94I8M/rOM573ggrQ0lRLk5ZU0U6SUJNLklRX0RJQy4xOTk4LjA2LzAzLzIwMjYuLi5VU0Qu</t>
  </si>
  <si>
    <t>SAEAAADetgEAAwAAAAAAFoai58173gjwz+s4znveCExDSVEuTllTRTpJQk0uSVFfRElTVFJJQlVUQUJMRV9DQVNIX1BFUl9TSEFSRV9ESUxVVEVELjE5OTguMDYvMDMvMjAyNi4uLlVTRC5IAQAAAN62AQADAAAAAAAWhqLnzXveCOP26zjOe94IL0NJUS5OWVNFOklCTS5JUV9HUF81WVJfQU5OX0NBR1IuMTk5Ny4wNi8wMy8yMDI2AQAAAN62AQACAAAABy0wLjI5MjYBCAAAAAUAAAABMQEAAAALLTE5NDg4Mzc1NDADAAAAAzE2MAIAAAAENDIzNAQAAAABMAcAAAAIMy82LzIwMjYIAAAACTMvMzEvMjAyNQkAAAABMBaGoufNe94I4/brOM573ggvQ0lRLk5ZU0U6SUJNLklRX05JXzNZUl9BTk5fQ0FHUi4xOTk3LjA2LzAzLzIwMjYBAAAA3rYBAAIAAAAHLTAuMjkwNwEIAAAABQAAAAExAQAAAAstMTk0ODgzNzU0MAMAAAADMTYwAgAAAAQ0MjI1BAAAAAEwBwAAAAgzLzYvMjAyNggAAAAJMy8zMS8yMDI1CQAAAAEwFoai58173gjj9us4znveCEZDSVEuTllTRTpJQk0uSVFfTkVUX0RFQlRfRUJJVERBX0VYQ0xfT1BFUl9MRUFTRVNfQ0FQRVguMTk5Ny4wNi8wMy8yMDI2AQAAAN62AQACAAAACDQuMDM3NDU1AQgAAAAFAAAAATEBAAAACy0xOTQ4ODM3NTQwAwAAAAMxNjACAAAABTQ5MTgyBAAAAAEwBwAAAAgzLzYvMjAyNggAAAAJMy8zMS8yMDI1CQAAAAEwFoai58173gjj9us4znveCDdDSVEuTllTRTpJQk0uSVFf</t>
  </si>
  <si>
    <t>VE9UQUxfTElBQl9UT1RBTF9BU1NFVFMuMTk5Ny4wNi8wMy8yMDI2AQAAAN62AQACAAAABzgxLjQ5NzUBCAAAAAUAAAABMQEAAAALLTE5NDg4Mzc1NDADAAAAAzE2MAIAAAAENDE4OAQAAAABMAcAAAAIMy82LzIwMjYIAAAACTMvMzEvMjAyNQkAAAABMBaGoufNe94I4/brOM573ggoQ0lRLk5ZU0U6SUJNLklRX0FSX1RVUk5TLjE5OTcuMDYvMDMvMjAyNgEAAADetgEAAgAAAAg5LjYzOTI1NQEIAAAABQAAAAExAQAAAAstMTk0ODgzNzU0MAMAAAADMTYwAgAAAAQ0MDAxBAAAAAEwBwAAAAgzLzYvMjAyNggAAAAJMy8zMS8yMDI1CQAAAAEwFoai58173gjj9us4znveCEtDSVEuTllTRTpJQk0uSVFfQ0hBTkdFX1VOUkVDT0dfVEFYX0JFTkVGSVRfMV9ZUl9NSU4uMTk5Ny4wNi8wMy8yMDI2Li4uVVNELkgBAAAA3rYBAAMAAAAAABaGoufNe94I4/brOM573ghEQ0lRLk5ZU0U6SUJNLklRX0FERF9UQVhfUE9TSVRJT05TX0NVUlJFTlRfWVIuMTk5Ny4wNi8wMy8yMDI2Li4uVVNELkgBAAAA3rYBAAMAAAAAABaGoufNe94I4/brOM573gg6Q0lRLk5ZU0U6SUJNLklRX1RBWF9CRU5FRklUX0NGXzNZUi4xOTk3LjA2LzAzLzIwMjYuLi5VU0QuSAEAAADetgEAAwAAAAAAFoai58173ggeHuw4znveCDRDSVEuTllTRTpJQk0uSVFfTk9MX0NGX1RPVEFMLjE5OTcuMDYvMDMvMjAyNi4uLlVTRC5IAQAAAN62AQADAAAAAAAW</t>
  </si>
  <si>
    <t>hqLnzXveCOP26zjOe94IP0NJUS5OWVNFOklCTS5JUV9BU1NFVFNfT1BFUl9MRUFTRV9HUk9TUy4xOTk3LjA2LzAzLzIwMjYuLi5VU0QuSAEAAADetgEAAwAAAAAAFoai58173gjj9us4znveCD1DSVEuTllTRTpJQk0uSVFfQVNTRVRTX0NBUF9MRUFTRV9ERVBSLjE5OTcuMDYvMDMvMjAyNi4uLlVTRC5IAQAAAN62AQADAAAAAAAWhqLnzXveCOP26zjOe94IMENJUS5OWVNFOklCTS5JUV9FUFNfNVlSX0FOTl9DQUdSLjE5OTcuMDYvMDMvMjAyNgEAAADetgEAAgAAAAgtMTAuMzUyMgEIAAAABQAAAAExAQAAAAstMTk0ODgzNzU0MAMAAAADMTYwAgAAAAQ0MjM5BAAAAAEwBwAAAAgzLzYvMjAyNggAAAAJMy8zMS8yMDI1CQAAAAEwFoai58173gjj9us4znveCDFDSVEuTllTRTpJQk0uSVFfTklfMVlSX0FOTl9HUk9XVEguMTk5Ny4wNi8wMy8yMDI2AQAAAN62AQACAAAABy0zMy4wOTMBCAAAAAUAAAABMQEAAAALLTE5NDg4Mzc1NDADAAAAAzE2MAIAAAAENDE5OQQAAAABMAcAAAAIMy82LzIwMjYIAAAACTMvMzEvMjAyNQkAAAABMBaGoufNe94IHh7sOM573ghCQ0lRLk5ZU0U6SUJNLklRX1RPVEFMX0RFQlRfRUJJVERBX0VYQ0xfT1BFUl9MRUFTRVMuMTk5Ny4wNi8wMy8yMDI2AQAAAN62AQACAAAACDUuMDMyMzc3AQgAAAAFAAAAATEBAAAACy0xOTQ4ODM3NTQwAwAAAAMxNjACAAAABTQ4OTk0BAAAAAEwBwAA</t>
  </si>
  <si>
    <t>AAgzLzYvMjAyNggAAAAJMy8zMS8yMDI1CQAAAAEwFoai58173ggeHuw4znveCDBDSVEuTllTRTpJQk0uSVFfREFZU19QQVlBQkxFX09VVC4xOTk3LjA2LzAzLzIwMjYBAAAA3rYBAAIAAAAHNDguNzc4NgEIAAAABQAAAAExAQAAAAstMTk0ODgzNzU0MAMAAAADMTYwAgAAAAQ0MTgzBAAAAAEwBwAAAAgzLzYvMjAyNggAAAAJMy8zMS8yMDI1CQAAAAEwFoai58173ggeHuw4znveCDBDSVEuTllTRTpJQk0uSVFfQ0ZPX0NVUlJFTlRfTElBQi4xOTk3LjA2LzAzLzIwMjYBAAAA3rYBAAIAAAAIMC4zODg3MzYBCAAAAAUAAAABMQEAAAALLTE5NDg4Mzc1NDADAAAAAzE2MAIAAAAENDE4NQQAAAABMAcAAAAIMy82LzIwMjYIAAAACTMvMzEvMjAyNQkAAAABMBaGoufNe94IHh7sOM573ggtQ0lRLk5ZU0U6SUJNLklRX1JFVFVSTl9FUVVJVFkuMTk5Ny4wNi8wMy8yMDI2AQAAAN62AQACAAAABzIxLjg1MTQBCAAAAAUAAAABMQEAAAALLTE5NDg4Mzc1NDADAAAAAzE2MAIAAAAENDEyOAQAAAABMAcAAAAIMy82LzIwMjYIAAAACTMvMzEvMjAyNQkAAAABMBaGoufNe94IHh7sOM573ghGQ0lRLk5ZU0U6SUJNLklRX1VOUkVDT0dfVEFYX0JFTkVGSVRfRU5EX1BFUklPRC4xOTk3LjA2LzAzLzIwMjYuLi5VU0QuSAEAAADetgEAAwAAAAAAFoai58173ghkRew4znveCEpDSVEuTllTRTpJQk0uSVFfVFJBTlNfSU1QQUNUX0ZJ</t>
  </si>
  <si>
    <t>Tl80OF9DVVJSRU5UX0FTU0VUUy4xOTk3LjA2LzAzLzIwMjYuLi5VU0QuSAEAAADetgEAAwAAAAAAFoai58173ghkRew4znveCD5DSVEuTllTRTpJQk0uSVFfQ0FQX0xPU1NfQ0ZfQUZURVJfRklWRS4xOTk3LjA2LzAzLzIwMjYuLi5VU0QuSAEAAADetgEAAwAAAAAAFoai58173ghkRew4znveCDdDSVEuTllTRTpJQk0uSVFfQ0FQX0xPU1NfQ0ZfM1lSLjE5OTcuMDYvMDMvMjAyNi4uLlVTRC5IAQAAAN62AQADAAAAAAAWhqLnzXveCGRF7DjOe94IRkNJUS5OWVNFOklCTS5JUV9DQVBJVEFMSVpFRF9JTlRFUkVTVF9PVEhFUl9BREouMTk5Ny4wNi8wMy8yMDI2Li4uVVNELkgBAAAA3rYBAAMAAAAAABaGoufNe94IZEXsOM573ggzQ0lRLk5ZU0U6SUJNLklRX09SR0FOSUNfR1JPV1RIX1JBVEUuMTk5Ny4wNi8wMy8yMDI2AQAAAN62AQADAAAAAAAWhqLnzXveCNZZ7DjOe94IPUNJUS5OWVNFOklCTS5JUV9BVU1fT1RIRVJfQURKVVNUTUVOVFMuMTk5Ny4wNi8wMy8yMDI2Li4uVVNELkgBAAAA3rYBAAMAAAAAABaGoufNe94I1lnsOM573gg7Q0lRLk5ZU0U6SUJNLklRX0FVTV9OT05fRkVFX0VBUk5JTkcuMTk5Ny4wNi8wMy8yMDI2Li4uVVNELkgBAAAA3rYBAAMAAAAAABaGoufNe94IZEXsOM573gg0Q0lRLk5ZU0U6SUJNLklRX0FVTV9ET01FU1RJQy4xOTk3LjA2LzAzLzIwMjYuLi5VU0QuSAEAAADetgEAAwAA</t>
  </si>
  <si>
    <t>AAAAFoai58173ghkRew4znveCD5DSVEuTllTRTpJQk0uSVFfT1BFQl9CRU5FRklUX0lORk9fREFURV9GT1JFSUdOLjE5OTcuMDYvMDMvMjAyNgEAAADetgEAAwAAAAAAFoai58173gjWWew4znveCEZDSVEuTllTRTpJQk0uSVFfT1BFQl9IRUFMVEhfQ09TVF9UUkVORF9JTklUSUFMX0ZPUkVJR04uMTk5Ny4wNi8wMy8yMDI2AQAAAN62AQADAAAAAAAWhqLnzXveCNZZ7DjOe94IQUNJUS5OWVNFOklCTS5JUV9PUEVCX0lOVEFOX0FTU0VUU19GT1JFSUdOLjE5OTcuMDYvMDMvMjAyNi4uLlVTRC5IAQAAAN62AQADAAAAAAAWhqLnzXveCNZZ7DjOe94IQ0NJUS5OWVNFOklCTS5JUV9PUEVCX0FNVF9SRUNPR19ORVhUX0ZPUkVJR04uMTk5Ny4wNi8wMy8yMDI2Li4uVVNELkgBAAAA3rYBAAMAAAAAABaGoufNe94I1lnsOM573ghHQ0lRLk5ZU0U6SUJNLklRX09QRUJfUFJJT1JfU0VSVklDRV9ORVhUX0ZPUkVJR04uMTk5Ny4wNi8wMy8yMDI2Li4uVVNELkgBAAAA3rYBAAMAAAAAABaGoufNe94I1lnsOM573gg9Q0lRLk5ZU0U6SUJNLklRX09QRUJfQlJFQUtET1dOX1BDVF9FUV9GT1JFSUdOLjE5OTcuMDYvMDMvMjAyNgEAAADetgEAAwAAAAAAFoai58173gjWWew4znveCFJDSVEuTllTRTpJQk0uSVFfT1BFQl9BU1NFVFNfUEFSVElDSVBfQ09OVFJJQlVUSU9OU19GT1JFSUdOLjE5OTcuMDYvMDMvMjAyNi4uLlVT</t>
  </si>
  <si>
    <t>RC5IAQAAAN62AQADAAAAAAAWhqLnzXveCNZZ7DjOe94IMENJUS5OWVNFOklCTS5JUV9FUFNfM1lSX0FOTl9DQUdSLjE5OTcuMDYvMDMvMjAyNgEAAADetgEAAgAAAAYyLjEwMDMBCAAAAAUAAAABMQEAAAALLTE5NDg4Mzc1NDADAAAAAzE2MAIAAAAENDIyNgQAAAABMAcAAAAIMy82LzIwMjYIAAAACTMvMzEvMjAyNQkAAAABMBaGoufNe94I1lnsOM573gg6Q0lRLk5ZU0U6SUJNLklRX1RPVEFMX1JFVl9FTVBMT1lFRS4xOTk3LjA2LzAzLzIwMjYuLi5VU0QuSAEAAADetgEAAwAAAAAAFoai58173gjWWew4znveCEhDSVEuTllTRTpJQk0uSVFfVE9UQUxfREVCVF9FQklUREFfRVhDTF9PUEVSX0xFQVNFU19DQVBFWC4xOTk3LjA2LzAzLzIwMjYBAAAA3rYBAAIAAAAINS40NjU3MzQBCAAAAAUAAAABMQEAAAALLTE5NDg4Mzc1NDADAAAAAzE2MAIAAAAFNDkxODMEAAAAATAHAAAACDMvNi8yMDI2CAAAAAkzLzMxLzIwMjUJAAAAATAWhqLnzXveCNZZ7DjOe94ILkNJUS5OWVNFOklCTS5JUV9MVF9ERUJUX0VRVUlUWS4xOTk3LjA2LzAzLzIwMjYBAAAA3rYBAAIAAAAIMjE5LjM2NzcBCAAAAAUAAAABMQEAAAALLTE5NDg4Mzc1NDADAAAAAzE2MAIAAAAENDA4NQQAAAABMAcAAAAIMy82LzIwMjYIAAAACTMvMzEvMjAyNQkAAAABMBaGoufNe94IP4HsOM573ggrQ0lRLk5ZU0U6SUJNLklRX0FTU0VUX1RVUk5TLjE5</t>
  </si>
  <si>
    <t>OTcuMDYvMDMvMjAyNgEAAADetgEAAgAAAAgwLjQ0NDI5OQEIAAAABQAAAAExAQAAAAstMTk0ODgzNzU0MAMAAAADMTYwAgAAAAQ0MTc3BAAAAAEwBwAAAAgzLzYvMjAyNggAAAAJMy8zMS8yMDI1CQAAAAEwFoai58173gg/gew4znveCEtDSVEuTllTRTpJQk0uSVFfQ0hBTkdFX1VOUkVDT0dfVEFYX0JFTkVGSVRfMV9ZUl9NQVguMTk5Ny4wNi8wMy8yMDI2Li4uVVNELkgBAAAA3rYBAAMAAAAAABaGoufNe94IP4HsOM573ghJQ0lRLk5ZU0U6SUJNLklRX1JFRFVDVElPTl9UQVhfUE9TSVRJT05fQ1VSUkVOVF9ZUi4xOTk3LjA2LzAzLzIwMjYuLi5VU0QuSAEAAADetgEAAwAAAAAAFoai58173gg/gew4znveCE1DSVEuTllTRTpJQk0uSVFfVFJBTlNfSU1QQUNUX0ZJTl80OF9SRVRBSU5FRF9FQVJOSU5HUy4xOTk3LjA2LzAzLzIwMjYuLi5VU0QuSAEAAADetgEAAwAAAAAAFoai58173gg/gew4znveCDpDSVEuTllTRTpJQk0uSVFfVEFYX0JFTkVGSVRfQ0ZfMVlSLjE5OTcuMDYvMDMvMjAyNi4uLlVTRC5IAQAAAN62AQADAAAAAAAWhqLnzXveCEWV7DjOe94IOUNJUS5OWVNFOklCTS5JUV9OT0xfQ0ZfQUZURVJfRklWRS4xOTk3LjA2LzAzLzIwMjYuLi5VU0QuSAEAAADetgEAAwAAAAAAFoai58173ghFlew4znveCD5DSVEuTllTRTpJQk0uSVFfQVNTRVRTX0NBUF9MRUFTRV9HUk9TUy4xOTk3LjA2LzAzLzIw</t>
  </si>
  <si>
    <t>MjYuLi5VU0QuSAEAAADetgEAAwAAAAAAFoai58173ghFlew4znveCD1DSVEuTllTRTpJQk0uSVFfTVVUVUFMX0ZVTkRfTkVUX1NBTEVTLjE5OTcuMDYvMDMvMjAyNi4uLlVTRC5IAQAAAN62AQADAAAAAAAWhqLnzXveCEWV7DjOe94IN0NJUS5OWVNFOklCTS5JUV9NVVRVQUxfRlVORF9CT1AuMTk5Ny4wNi8wMy8yMDI2Li4uVVNELkgBAAAA3rYBAAMAAAAAABaGoufNe94IP4HsOM573ggzQ0lRLk5ZU0U6SUJNLklRX0FVTV9PVEhFUl9DVVNUT01FUlMuMTk5Ny4wNi8wMy8yMDI2AQAAAN62AQADAAAAAAAWhqLnzXveCEWV7DjOe94IOkNJUS5OWVNFOklCTS5JUV9BVU1fUFJJVkFURV9FUVVJVFkuMTk5Ny4wNi8wMy8yMDI2Li4uVVNELkgBAAAA3rYBAAMAAAAAABaGoufNe94IRZXsOM573gg+Q0lRLk5ZU0U6SUJNLklRX09QRUJfT1RIRVJfQURKX0ZPUkVJR04uMTk5Ny4wNi8wMy8yMDI2Li4uVVNELkgBAAAA3rYBAAMAAAAAABaGoufNe94IRZXsOM573gg8Q0lRLk5ZU0U6SUJNLklRX09QRUJfTFRfTElBQl9GT1JFSUdOLjE5OTcuMDYvMDMvMjAyNi4uLlVTRC5IAQAAAN62AQADAAAAAAAWhqLnzXveCEWV7DjOe94IR0NJUS5OWVNFOklCTS5JUV9PUEVCX1BCT19SQVRFX0NPTVBfSU5DUkVBU0VfTUFYX0ZPUkVJR04uMTk5Ny4wNi8wMy8yMDI2AQAAAN62AQADAAAAAAAWhqLnzXveCEWV7DjOe94IRENJUS5O</t>
  </si>
  <si>
    <t>WVNFOklCTS5JUV9PUEVCX0JSRUFLRE9XTl9PVEhFUl9GT1JFSUdOLjE5OTcuMDYvMDMvMjAyNi4uLlVTRC5IAQAAAN62AQADAAAAAAAWhqLnzXveCAyw7DjOe94IOkNJUS5OWVNFOklCTS5JUV9PUEVCX0RJU0NfUkFURV9NSU5fRk9SRUlHTi4xOTk3LjA2LzAzLzIwMjYBAAAA3rYBAAMAAAAAABaGoufNe94IDLDsOM573ggxQ0lRLk5ZU0U6SUJNLklRX0VCSVRfNVlSX0FOTl9DQUdSLjE5OTcuMDYvMDMvMjAyNgEAAADetgEAAgAAAAYwLjY4NjMBCAAAAAUAAAABMQEAAAALLTE5NDg4Mzc1NDADAAAAAzE2MAIAAAAENDIzNgQAAAABMAcAAAAIMy82LzIwMjYIAAAACTMvMzEvMjAyNQkAAAABMBaGoufNe94IDLDsOM573gg1Q0lRLk5ZU0U6SUJNLklRX0VCSVREQV8xWVJfQU5OX0dST1dUSC4xOTk3LjA2LzAzLzIwMjYBAAAA3rYBAAIAAAAGNC45MTM1AQgAAAAFAAAAATEBAAAACy0xOTQ4ODM3NTQwAwAAAAMxNjACAAAABDQxOTYEAAAAATAHAAAACDMvNi8yMDI2CAAAAAkzLzMxLzIwMjUJAAAAATAWhqLnzXveCAyw7DjOe94IQUNJUS5OWVNFOklCTS5JUV9FQklUREFfRVhDTF9PUEVSX0xFQVNFU19DQVBFWF9JTlQuMTk5Ny4wNi8wMy8yMDI2AQAAAN62AQACAAAACDcuMDQ3ODM4AQgAAAAFAAAAATEBAAAACy0xOTQ4ODM3NTQwAwAAAAMxNjACAAAABTQ5MTc0BAAAAAEwBwAAAAgzLzYvMjAyNggAAAAJMy8z</t>
  </si>
  <si>
    <t>MS8yMDI1CQAAAAEwFoai58173ggMsOw4znveCC5DSVEuTllTRTpJQk0uSVFfREFZU19TQUxFU19PVVQuMTk5Ny4wNi8wMy8yMDI2AQAAAN62AQACAAAACDM3Ljg2NTgzAQgAAAAFAAAAATEBAAAACy0xOTQ4ODM3NTQwAwAAAAMxNjACAAAABDQwNDIEAAAAATAHAAAACDMvNi8yMDI2CAAAAAkzLzMxLzIwMjUJAAAAATAWhqLnzXveCAyw7DjOe94INENJUS5OWVNFOklCTS5JUV9SRVRVUk5fQ09NTU9OX0VRVUlUWS4xOTk3LjA2LzAzLzIwMjYBAAAA3rYBAAIAAAAHMjEuOTE0MgEIAAAABQAAAAExAQAAAAstMTk0ODgzNzU0MAMAAAADMTYwAgAAAAUzMzMyMAQAAAABMAcAAAAIMy82LzIwMjYIAAAACTMvMzEvMjAyNQkAAAABMBaGoufNe94IDLDsOM573ggtQ0lRLk5ZU0U6SUJNLklRX1JFVFVSTl9BU1NFVFMuMTk5Ny4wNi8wMy8yMDI2AQAAAN62AQACAAAABjQuNDY5NAEIAAAABQAAAAExAQAAAAstMTk0ODgzNzU0MAMAAAADMTYwAgAAAAQ0MTc4BAAAAAEwBwAAAAgzLzYvMjAyNggAAAAJMy8zMS8yMDI1CQAAAAEwFoai58173ggMsOw4znveCEFDSVEuTllTRTpJQk0uSVFfTEFQU0VfU1RBVFVURV9MSU1JVEFUSU9OUy4xOTk3LjA2LzAzLzIwMjYuLi5VU0QuSAEAAADetgEAAwAAAAAAFoai58173ggMsOw4znveCDxDSVEuTllTRTpJQk0uSVFfVEFYX0JFTkVGSVRfQ0ZfVE9UQUwuMTk5Ny4wNi8wMy8yMDI2</t>
  </si>
  <si>
    <t>Li4uVVNELkgBAAAA3rYBAAMAAAAAABaGoufNe94IDLDsOM573gg3Q0lRLk5ZU0U6SUJNLklRX0NBUF9MT1NTX0NGXzRZUi4xOTk3LjA2LzAzLzIwMjYuLi5VU0QuSAEAAADetgEAAwAAAAAAFoai58173giO1+w4znveCEBDSVEuTllTRTpJQk0uSVFfQ0FQSVRBTElaRURfSU5URVJFU1RfRU9QLjE5OTcuMDYvMDMvMjAyNi4uLlVTRC5IAQAAAN62AQADAAAAAAAWhqLnzXveCI7X7DjOe94IQENJUS5OWVNFOklCTS5JUV9DQVBJVEFMSVpFRF9JTlRFUkVTVF9FWFAuMTk5Ny4wNi8wMy8yMDI2Li4uVVNELkgBAAAA3rYBAAMAAAAAABaGoufNe94IDLDsOM573ggkQ0lRLk5ZU0U6SUJNLklRX0RBUlQuMTk5Ny4wNi8wMy8yMDI2AQAAAN62AQADAAAAAAAWhqLnzXveCAyw7DjOe94ITENJUS5OWVNFOklCTS5JUV9BVU1fTUFSS0VUX0FQUFJFQ0lBVElPTl9ERVBSRUNJQVRJT04uMTk5Ny4wNi8wMy8yMDI2Li4uVVNELkgBAAAA3rYBAAMAAAAAABaGoufNe94IDLDsOM573ggzQ0lRLk5ZU0U6SUJNLklRX0FVTV9GT1JFSUdOLjE5OTcuMDYvMDMvMjAyNi4uLlVTRC5IAQAAAN62AQADAAAAAAAWhqLnzXveCI7X7DjOe94IVUNJUS5OWVNFOklCTS5JUV9PUEVCX0RFQ1JFQVNFX0VGRkVDVF9TRVJWSUNFX0lOVF9DT1NUX0ZPUkVJR04uMTk5Ny4wNi8wMy8yMDI2Li4uVVNELkgBAAAA3rYBAAMAAAAAABaGoufNe94Ijtfs</t>
  </si>
  <si>
    <t>OM573ghBQ0lRLk5ZU0U6SUJNLklRX09QRUJfUFJFUEFJRF9DT1NUX0ZPUkVJR04uMTk5Ny4wNi8wMy8yMDI2Li4uVVNELkgBAAAA3rYBAAMAAAAAABaGoufNe94IjtfsOM573gg9Q0lRLk5ZU0U6SUJNLklRX09QRUJfQUNUX05FWFRfRk9SRUlHTi4xOTk3LjA2LzAzLzIwMjYuLi5VU0QuSAEAAADetgEAAwAAAAAAFoai58173giO1+w4znveCD1DSVEuTllTRTpJQk0uSVFfT1BFQl9CUkVBS0RPV05fUENUX0ZJX0ZPUkVJR04uMTk5Ny4wNi8wMy8yMDI2AQAAAN62AQADAAAAAAAWhqLnzXveCI7X7DjOe94IMUNJUS5OWVNFOklCTS5JUV9FQklUXzNZUl9BTk5fQ0FHUi4xOTk3LjA2LzAzLzIwMjYBAAAA3rYBAAIAAAAHMTguMjE4NgEIAAAABQAAAAExAQAAAAstMTk0ODgzNzU0MAMAAAADMTYwAgAAAAQ0MjIzBAAAAAEwBwAAAAgzLzYvMjAyNggAAAAJMy8zMS8yMDI1CQAAAAEwFoai58173giO1+w4znveCDVDSVEuTllTRTpJQk0uSVFfTkVUX0RFQlRfRUJJVERBX0NBUEVYLjE5OTcuMDYvMDMvMjAyNgEAAADetgEAAgAAAAgzLjY0NTg5NgEIAAAABQAAAAExAQAAAAstMTk0ODgzNzU0MAMAAAADMTYwAgAAAAUyMzMxNAQAAAABMAcAAAAIMy82LzIwMjYIAAAACTMvMzEvMjAyNQkAAAABMBaGoufNe94IjtfsOM573ggvQ0lRLk5ZU0U6SUJNLklRX0xUX0RFQlRfQ0FQSVRBTC4xOTk3LjA2LzAzLzIwMjYBAAAA</t>
  </si>
  <si>
    <t>3rYBAAIAAAAHNjMuMDQwNwEIAAAABQAAAAExAQAAAAstMTk0ODgzNzU0MAMAAAADMTYwAgAAAAQ0MTg3BAAAAAEwBwAAAAgzLzYvMjAyNggAAAAJMy8zMS8yMDI1CQAAAAEwFoai58173giO1+w4znveCDFDSVEuTllTRTpJQk0uSVFfVE9UQUxfREVCVF9FUVVJVFkuMTk5Ny4wNi8wMy8yMDI2AQAAAN62AQACAAAACDI0Ny45Nzc4AQgAAAAFAAAAATEBAAAACy0xOTQ4ODM3NTQwAwAAAAMxNjACAAAABDQwMzQEAAAAATAHAAAACDMvNi8yMDI2CAAAAAkzLzMxLzIwMjUJAAAAATAWhqLnzXveCI7X7DjOe94IKUNJUS5OWVNFOklCTS5JUV9OSV9NQVJHSU4uMTk5Ny4wNi8wMy8yMDI2AQAAAN62AQACAAAABjguNzEwNQEIAAAABQAAAAExAQAAAAstMTk0ODgzNzU0MAMAAAADMTYwAgAAAAQ0MDk0BAAAAAEwBwAAAAgzLzYvMjAyNggAAAAJMy8zMS8yMDI1CQAAAAEwFoai58173gii/uw4znveCE1DSVEuTllTRTpJQk0uSVFfSU5URVJFU1RfUEVOQUxUSUVTX1JFQ09HX0JTX0FGVEVSX1RBWC4xOTk3LjA2LzAzLzIwMjYuLi5VU0QuSAEAAADetgEAAwAAAAAAFoai58173gii/uw4znveCEZDSVEuTllTRTpJQk0uSVFfVU5SRUNPR19UQVhfQkVORUZJVF9CRUdfUEVSSU9ELjE5OTcuMDYvMDMvMjAyNi4uLlVTRC5IAQAAAN62AQADAAAAAAAWhqLnzXveCKL+7DjOe94IOkNJUS5OWVNFOklCTS5JUV9UQVhfQkVORUZJ</t>
  </si>
  <si>
    <t>VF9DRl8yWVIuMTk5Ny4wNi8wMy8yMDI2Li4uVVNELkgBAAAA3rYBAAMAAAAAABaGoufNe94Iov7sOM573gg5Q0lRLk5ZU0U6SUJNLklRX0NBUF9MT1NTX0NGX1RPVEFMLjE5OTcuMDYvMDMvMjAyNi4uLlVTRC5IAQAAAN62AQADAAAAAAAWhqLnzXveCI7X7DjOe94IMkNJUS5OWVNFOklCTS5JUV9OT0xfQ0ZfNFlSLjE5OTcuMDYvMDMvMjAyNi4uLlVTRC5IAQAAAN62AQADAAAAAAAWhqLnzXveCKL+7DjOe94IOUNJUS5OWVNFOklCTS5JUV9BU1NFVF9NQU5BR0VEX0dST1dUSF9SQVRFLjE5OTcuMDYvMDMvMjAyNgEAAADetgEAAwAAAAAAFoai58173gii/uw4znveCDlDSVEuTllTRTpJQk0uSVFfTVVUVUFMX0ZVTkRfU0FMRVMuMTk5Ny4wNi8wMy8yMDI2Li4uVVNELkgBAAAA3rYBAAMAAAAAABaGoufNe94Iov7sOM573ggvQ0lRLk5ZU0U6SUJNLklRX05JXzVZUl9BTk5fQ0FHUi4xOTk3LjA2LzAzLzIwMjYBAAAA3rYBAAIAAAAHLTkuNDk5MwEIAAAABQAAAAExAQAAAAstMTk0ODgzNzU0MAMAAAADMTYwAgAAAAQ0MjM4BAAAAAEwBwAAAAgzLzYvMjAyNggAAAAJMy8zMS8yMDI1CQAAAAEwFoai58173gii/uw4znveCDNDSVEuTllTRTpJQk0uSVFfRUJJVF8xWVJfQU5OX0dST1dUSC4xOTk3LjA2LzAzLzIwMjYBAAAA3rYBAAIAAAAGMS43ODE0AQgAAAAFAAAAATEBAAAACy0xOTQ4ODM3NTQwAwAAAAMxNjAC</t>
  </si>
  <si>
    <t>AAAABDQxOTcEAAAAATAHAAAACDMvNi8yMDI2CAAAAAkzLzMxLzIwMjUJAAAAATAWhqLnzXveCKL+7DjOe94IOENJUS5OWVNFOklCTS5JUV9UT1RBTF9SRVZfMVlSX0FOTl9HUk9XVEguMTk5Ny4wNi8wMy8yMDI2AQAAAN62AQACAAAABjEuMjI3NgEIAAAABQAAAAExAQAAAAstMTk0ODgzNzU0MAMAAAADMTYwAgAAAAQ0MTk0BAAAAAEwBwAAAAgzLzYvMjAyNggAAAAJMy8zMS8yMDI1CQAAAAEwFoai58173gisJe04znveCDtDSVEuTllTRTpJQk0uSVFfRUJJVERBX0VYQ0xfT1BFUl9MRUFTRVNfSU5ULjE5OTcuMDYvMDMvMjAyNgEAAADetgEAAgAAAAg3LjY1NDc1NQEIAAAABQAAAAExAQAAAAstMTk0ODgzNzU0MAMAAAADMTYwAgAAAAU0OTE3MwQAAAABMAcAAAAIMy82LzIwMjYIAAAACTMvMzEvMjAyNQkAAAABMBaGoufNe94Iov7sOM573ggrQ0lRLk5ZU0U6SUJNLklRX1FVSUNLX1JBVElPLjE5OTcuMDYvMDMvMjAyNgEAAADetgEAAgAAAAgwLjg0OTA4NQEIAAAABQAAAAExAQAAAAstMTk0ODgzNzU0MAMAAAADMTYwAgAAAAQ0MTIxBAAAAAEwBwAAAAgzLzYvMjAyNggAAAAJMy8zMS8yMDI1CQAAAAEwFoai58173gii/uw4znveCC5DSVEuTllTRTpJQk0uSVFfUkVUVVJOX0NBUElUQUwuMTk5Ny4wNi8wMy8yMDI2AQAAAN62AQACAAAABjcuMDIzMgEIAAAABQAAAAExAQAAAAstMTk0ODgzNzU0MAMAAAAD</t>
  </si>
  <si>
    <t>MTYwAgAAAAQ0MzYzBAAAAAEwBwAAAAgzLzYvMjAyNggAAAAJMy8zMS8yMDI1CQAAAAEwFoai58173gii/uw4znveCEVDSVEuTllTRTpJQk0uSVFfVU5SRUNPR19UQVhfQkVORUZJVF9PVEhFUl9BREouMTk5Ny4wNi8wMy8yMDI2Li4uVVNELkgBAAAA3rYBAAMAAAAAABaGoufNe94Iov7sOM573ghIQ0lRLk5ZU0U6SUJNLklRX1JFRFVDVElPTl9UQVhfUE9TSVRJT05fUFJJT1JfWVJTLjE5OTcuMDYvMDMvMjAyNi4uLlVTRC5IAQAAAN62AQADAAAAAAAWhqLnzXveCKwl7TjOe94IQUNJUS5OWVNFOklCTS5JUV9UQVhfQkVORUZJVF9DRl9BRlRFUl9GSVZFLjE5OTcuMDYvMDMvMjAyNi4uLlVTRC5IAQAAAN62AQADAAAAAAAWhqLnzXveCKwl7TjOe94IN0NJUS5OWVNFOklCTS5JUV9DQVBfTE9TU19DRl8yWVIuMTk5Ny4wNi8wMy8yMDI2Li4uVVNELkgBAAAA3rYBAAMAAAAAABaGoufNe94IrCXtOM573ggvQ0lRLk5ZU0U6SUJNLklRX0dQXzNZUl9BTk5fQ0FHUi4xOTk3LjA2LzAzLzIwMjYBAAAA3rYBAAIAAAAGNC4wNzE1AQgAAAAFAAAAATEBAAAACy0xOTQ4ODM3NTQwAwAAAAMxNjACAAAABDQyMjEEAAAAATAHAAAACDMvNi8yMDI2CAAAAAkzLzMxLzIwMjUJAAAAATAWhqLnzXveCKwl7TjOe94IN0NJUS5OWVNFOklCTS5JUV9UT1RBTF9ERUJUX0VCSVREQV9DQVBFWC4xOTk3LjA2LzAzLzIwMjYBAAAA3rYB</t>
  </si>
  <si>
    <t>AAIAAAAINC45MzU2NTkBCAAAAAUAAAABMQEAAAALLTE5NDg4Mzc1NDADAAAAAzE2MAIAAAAFMjMzMTMEAAAAATAHAAAACDMvNi8yMDI2CAAAAAkzLzMxLzIwMjUJAAAAATAWhqLnzXveCKwl7TjOe94IMkNJUS5OWVNFOklCTS5JUV9UT1RBTF9ERUJUX0NBUElUQUwuMTk5Ny4wNi8wMy8yMDI2AQAAAN62AQACAAAABzcxLjI2MjUBCAAAAAUAAAABMQEAAAALLTE5NDg4Mzc1NDADAAAAAzE2MAIAAAAENDE4NgQAAAABMAcAAAAIMy82LzIwMjYIAAAACTMvMzEvMjAyNQkAAAABMBaGoufNe94IrCXtOM573ggzQ0lRLk5ZU0U6SUJNLklRX0VCSVREQV81WVJfQU5OX0NBR1IuMTk5Ny4wNi8wMy8yMDI2AQAAAN62AQACAAAABy0zLjY4MDYBCAAAAAUAAAABMQEAAAALLTE5NDg4Mzc1NDADAAAAAzE2MAIAAAAENDIzNQQAAAABMAcAAAAIMy82LzIwMjYIAAAACTMvMzEvMjAyNQkAAAABMBaGoufNe94IrCXtOM573ggxQ0lRLk5ZU0U6SUJNLklRX0dQXzFZUl9BTk5fR1JPV1RILjE5OTcuMDYvMDMvMjAyNgEAAADetgEAAgAAAAYzLjc4NDcBCAAAAAUAAAABMQEAAAALLTE5NDg4Mzc1NDADAAAAAzE2MAIAAAAENDE5NQQAAAABMAcAAAAIMy82LzIwMjYIAAAACTMvMzEvMjAyNQkAAAABMBaGoufNe94IrCXtOM573ggwQ0lRLk5ZU0U6SUJNLklRX0VCSVREQV9DQVBFWF9JTlQuMTk5Ny4wNi8wMy8yMDI2AQAAAN62AQAC</t>
  </si>
  <si>
    <t>AAAACDcuODA0NzU1AQgAAAAFAAAAATEBAAAACy0xOTQ4ODM3NTQwAwAAAAMxNjACAAAABDQxOTEEAAAAATAHAAAACDMvNi8yMDI2CAAAAAkzLzMxLzIwMjUJAAAAATAWhqLnzXveCKwl7TjOe94IKENJUS5OWVNFOklCTS5JUV9FQklUX0lOVC4xOTk3LjA2LzAzLzIwMjYBAAAA3rYBAAIAAAAINS44Mjg4MTgBCAAAAAUAAAABMQEAAAALLTE5NDg4Mzc1NDADAAAAAzE2MAIAAAAENDE4OQQAAAABMAcAAAAIMy82LzIwMjYIAAAACTMvMzEvMjAyNQkAAAABMBaGoufNe94IrCXtOM573ggvQ0lRLk5ZU0U6SUJNLklRX0lOVkVOVE9SWV9UVVJOUy4xOTk3LjA2LzAzLzIwMjYBAAAA3rYBAAIAAAAJMjAuMTQyMjYyAQgAAAAFAAAAATEBAAAACy0xOTQ4ODM3NTQwAwAAAAMxNjACAAAABDQwODIEAAAAATAHAAAACDMvNi8yMDI2CAAAAAkzLzMxLzIwMjUJAAAAATAWhqLnzXveCORM7TjOe94IQ0NJUS5OWVNFOklCTS5JUV9TRVRUTEVNRU5UU19UQVhfQVVUSE9SSVRJRVMuMTk5Ny4wNi8wMy8yMDI2Li4uVVNELkgBAAAA3rYBAAMAAAAAABaGoufNe94I5EztOM573gg9Q0lRLk5ZU0U6SUJNLklRX1RBWF9CRU5FRklUX0NGX05PX0VYUC4xOTk3LjA2LzAzLzIwMjYuLi5VU0QuSAEAAADetgEAAwAAAAAAFoai58173gjkTO04znveCDpDSVEuTllTRTpJQk0uSVFfVEFYX0JFTkVGSVRfQ0ZfNFlSLjE5OTcuMDYvMDMvMjAy</t>
  </si>
  <si>
    <t>Ni4uLlVTRC5IAQAAAN62AQADAAAAAAAWhqLnzXveCKwl7TjOe94IL0NJUS5OWVNFOklCTS5JUV9OT0xfQ0ZfTUFYX1lFQVIuMTk5Ny4wNi8wMy8yMDI2AQAAAN62AQADAAAAAAAWhqLnzXveCORM7TjOe94IQENJUS5OWVNFOklCTS5JUV9DQVBJVEFMSVpFRF9JTlRFUkVTVF9CT1AuMTk5Ny4wNi8wMy8yMDI2Li4uVVNELkgBAAAA3rYBAAMAAAAAABaGoufNe94I5EztOM573gg3Q0lRLk5ZU0U6SUJNLklRX01VVFVBTF9GVU5EX0VPUC4xOTk3LjA2LzAzLzIwMjYuLi5VU0QuSAEAAADetgEAAwAAAAAAFoai58173gjkTO04znveCEBDSVEuTllTRTpJQk0uSVFfQVVNX0NBU0hfRkxPV1NfRElWSURFTkRTLjE5OTcuMDYvMDMvMjAyNi4uLlVTRC5IAQAAAN62AQADAAAAAAAWhqLnzXveCORM7TjOe94IM0NJUS5OWVNFOklCTS5JUV9BVU1fSU5GTE9XUy4xOTk3LjA2LzAzLzIwMjYuLi5VU0QuSAEAAADetgEAAwAAAAAAFoai58173gjkTO04znveCDJDSVEuTllTRTpJQk0uSVFfQVVNX1JFVEFJTC4xOTk3LjA2LzAzLzIwMjYuLi5VU0QuSAEAAADetgEAAwAAAAAAFoai58173ginc+04znveCDNDSVEuTllTRTpJQk0uSVFfRUJJVERBXzNZUl9BTk5fQ0FHUi4xOTk3LjA2LzAzLzIwMjYBAAAA3rYBAAIAAAAGMy4wOTA1AQgAAAAFAAAAATEBAAAACy0xOTQ4ODM3NTQwAwAAAAMxNjACAAAABDQyMjIEAAAAATAHAAAA</t>
  </si>
  <si>
    <t>CDMvNi8yMDI2CAAAAAkzLzMxLzIwMjUJAAAAATAWhqLnzXveCKdz7TjOe94IMkNJUS5OWVNFOklCTS5JUV9FUFNfMVlSX0FOTl9HUk9XVEguMTk5Ny4wNi8wMy8yMDI2AQAAAN62AQACAAAACC0zMy42MDg5AQgAAAAFAAAAATEBAAAACy0xOTQ4ODM3NTQwAwAAAAMxNjACAAAABDQyMDAEAAAAATAHAAAACDMvNi8yMDI2CAAAAAkzLzMxLzIwMjUJAAAAATAWhqLnzXveCKdz7TjOe94IL0NJUS5OWVNFOklCTS5JUV9ORVRfREVCVF9FQklUREEuMTk5Ny4wNi8wMy8yMDI2AQAAAN62AQACAAAACDMuMzgyODM5AQgAAAAFAAAAATEBAAAACy0xOTQ4ODM3NTQwAwAAAAMxNjACAAAABDQxOTMEAAAAATAHAAAACDMvNi8yMDI2CAAAAAkzLzMxLzIwMjUJAAAAATAWhqLnzXveCKdz7TjOe94IL0NJUS5OWVNFOklCTS5JUV9DQVNIX0NPTlZFUlNJT04uMTk5Ny4wNi8wMy8yMDI2AQAAAN62AQACAAAABzcuMjA4MDIBCAAAAAUAAAABMQEAAAALLTE5NDg4Mzc1NDADAAAAAzE2MAIAAAAENDE4NAQAAAABMAcAAAAIMy82LzIwMjYIAAAACTMvMzEvMjAyNQkAAAABMBaGoufNe94Ip3PtOM573ggrQ0lRLk5ZU0U6SUJNLklRX0VCSVRfTUFSR0lOLjE5OTcuMDYvMDMvMjAyNgEAAADetgEAAgAAAAcxNi4wOTUzAQgAAAAFAAAAATEBAAAACy0xOTQ4ODM3NTQwAwAAAAMxNjACAAAABDQwNTMEAAAAATAHAAAACDMvNi8yMDI2CAAA</t>
  </si>
  <si>
    <t>AAkzLzMxLzIwMjUJAAAAATAWhqLnzXveCKdz7TjOe94IS0NJUS5OWVNFOklCTS5JUV9JTlRFUkVTVF9QRU5BTFRJRVNfUkVDT0dfQlNfUFJFX1RBWC4xOTk3LjA2LzAzLzIwMjYuLi5VU0QuSAEAAADetgEAAwAAAAAAFoai58173ginc+04znveCEdDSVEuTllTRTpJQk0uSVFfQUNDT1VOVF9DT0RFX0lOVEVSRVNUX1BFTkFMVElFUy4xOTk3LjA2LzAzLzIwMjYuLi5VU0QuSAEAAADetgEAAwAAAAAAFoai58173ginc+04znveCEVDSVEuTllTRTpJQk0uSVFfVFJBTlNfSU1QQUNUX0ZJTl80OF9MVF9BU1NFVFMuMTk5Ny4wNi8wMy8yMDI2Li4uVVNELkgBAAAA3rYBAAMAAAAAABaGoufNe94Ip3PtOM573gg6Q0lRLk5ZU0U6SUJNLklRX0NBUF9MT1NTX0NGX05PX0VYUC4xOTk3LjA2LzAzLzIwMjYuLi5VU0QuSAEAAADetgEAAwAAAAAAFoai58173ginc+04znveCDJDSVEuTllTRTpJQk0uSVFfTk9MX0NGXzNZUi4xOTk3LjA2LzAzLzIwMjYuLi5VU0QuSAEAAADetgEAAwAAAAAAFoai58173giymu04znveCD1DSVEuTllTRTpJQk0uSVFfVkFMVUVfQ1VTVE9NRVJfQVNTRVRTLjE5OTcuMDYvMDMvMjAyNi4uLlVTRC5IAQAAAN62AQADAAAAAAAWhqLnzXveCLKa7TjOe94IPUNJUS5OWVNFOklCTS5JUV9ORVRfTkVXX0NMSUVOVF9BU1NFVFMuMTk5Ny4wNi8wMy8yMDI2Li4uVVNELkgBAAAA3rYBAAMAAAAAABaG</t>
  </si>
  <si>
    <t>oufNe94IsprtOM573ggvQ0lRLk5ZU0U6SUJNLklRX0FVTV9FT1AuMTk5Ny4wNi8wMy8yMDI2Li4uVVNELkgBAAAA3rYBAAMAAAAAABaGoufNe94Ip3PtOM573gg0Q0lRLk5ZU0U6SUJNLklRX0FVTV9SRVRBSUxfQ1VTVE9NRVJTLjE5OTcuMDYvMDMvMjAyNgEAAADetgEAAwAAAAAAFoai58173ginc+04znveCD5DSVEuTllTRTpJQk0uSVFfQVVNX01PTkVZX01BUktFVF9GVU5EUy4xOTk3LjA2LzAzLzIwMjYuLi5VU0QuSAEAAADetgEAAwAAAAAAFoai58173giymu04znveCEdDSVEuTllTRTpJQk0uSVFfT1BFQl9IRUFMVEhfQ09TVF9UUkVORF9VTFRJTUFURV9GT1JFSUdOLjE5OTcuMDYvMDMvMjAyNgEAAADetgEAAwAAAAAAFoai58173giymu04znveCENDSVEuTllTRTpJQk0uSVFfT1BFQl9BQ0NVTV9PVEhFUl9DSV9GT1JFSUdOLjE5OTcuMDYvMDMvMjAyNi4uLlVTRC5IAQAAAN62AQADAAAAAAAWhqLnzXveCLKa7TjOe94IRUNJUS5OWVNFOklCTS5JUV9PUEVCX1BCT19BU1NVTUVEX1JBVEVfUkVUX01JTl9GT1JFSUdOLjE5OTcuMDYvMDMvMjAyNgEAAADetgEAAwAAAAAAFoai58173giymu04znveCDZDSVEuTllTRTpJQk0uSVFfVE9UQUxfUkVWXzVZUl9BTk5fQ0FHUi4xOTk3LjA2LzAzLzIwMjYBAAAA3rYBAAIAAAAHLTMuODY5MQEIAAAABQAAAAExAQAAAAstMTk0ODgzNzU0MAMAAAADMTYwAgAA</t>
  </si>
  <si>
    <t>AAQ0MjMzBAAAAAEwBwAAAAgzLzYvMjAyNggAAAAJMy8zMS8yMDI1CQAAAAEwFoai58173giymu04znveCCdDSVEuTllTRTpJQk0uSVFfWl9TQ09SRS4xOTk3LjA2LzAzLzIwMjYBAAAA3rYBAAIAAAAIMy4wODQyNjcBCAAAAAUAAAABMQEAAAALLTE5NDg4Mzc1NDADAAAAAzE2MAIAAAAGMTAwMTIzBAAAAAEwBwAAAAgzLzYvMjAyNggAAAAJMy8zMS8yMDI1CQAAAAEwFoai58173giymu04znveCCpDSVEuTllTRTpJQk0uSVFfRUJJVERBX0lOVC4xOTk3LjA2LzAzLzIwMjYBAAAA3rYBAAIAAAAIOC40MTE2NzEBCAAAAAUAAAABMQEAAAALLTE5NDg4Mzc1NDADAAAAAzE2MAIAAAAENDE5MAQAAAABMAcAAAAIMy82LzIwMjYIAAAACTMvMzEvMjAyNQkAAAABMBaGoufNe94IsprtOM573ggtQ0lRLk5ZU0U6SUJNLklRX0NVUlJFTlRfUkFUSU8uMTk5Ny4wNi8wMy8yMDI2AQAAAN62AQACAAAACDEuMDA2NTUxAQgAAAAFAAAAATEBAAAACy0xOTQ4ODM3NTQwAwAAAAMxNjACAAAABDQwMzAEAAAAATAHAAAACDMvNi8yMDI2CAAAAAkzLzMxLzIwMjUJAAAAATAWhqLnzXveCLKa7TjOe94IMUNJUS5OWVNFOklCTS5JUV9GSVhFRF9BU1NFVF9UVVJOUy4xOTk3LjA2LzAzLzIwMjYBAAAA3rYBAAIAAAAINy4wMzQ4NzYBCAAAAAUAAAABMQEAAAALLTE5NDg4Mzc1NDADAAAAAzE2MAIAAAAENDA2NgQAAAABMAcAAAAIMy82</t>
  </si>
  <si>
    <t>LzIwMjYIAAAACTMvMzEvMjAyNQkAAAABMBaGoufNe94IsprtOM573ghQQ0lRLk5ZU0U6SUJNLklRX0lNUEFDVF9VTlJFQ09HX1RBWF9CRU5FRklUX0VGRkVDVElWRV9UQVguMTk5Ny4wNi8wMy8yMDI2Li4uVVNELkgBAAAA3rYBAAMAAAAAABaGoufNe94IsprtOM573ghDQ0lRLk5ZU0U6SUJNLklRX0FERF9UQVhfUE9TSVRJT05TX1BSSU9SX1lSUy4xOTk3LjA2LzAzLzIwMjYuLi5VU0QuSAEAAADetgEAAwAAAAAAFoai58173giymu04znveCDpDSVEuTllTRTpJQk0uSVFfVEFYX0JFTkVGSVRfQ0ZfNVlSLjE5OTcuMDYvMDMvMjAyNi4uLlVTRC5IAQAAAN62AQADAAAAAAAWhqLnzXveCLKa7TjOe94IN0NJUS5OWVNFOklCTS5JUV9DQVBfTE9TU19DRl8xWVIuMTk5Ny4wNi8wMy8yMDI2Li4uVVNELkgBAAAA3rYBAAMAAAAAABaGoufNe94IsprtOM573gg1Q0lRLk5ZU0U6SUJNLklRX05PTF9DRl9OT19FWFAuMTk5Ny4wNi8wMy8yMDI2Li4uVVNELkgBAAAA3rYBAAMAAAAAABaGoufNe94IsprtOM573gg+Q0lRLk5ZU0U6SUJNLklRX0FTU0VUU19PUEVSX0xFQVNFX0RFUFIuMTk5Ny4wNi8wMy8yMDI2Li4uVVNELkgBAAAA3rYBAAMAAAAAABaGoufNe94IsprtOM573ghNQ0lRLk5ZU0U6SUJNLklRX01VVFVBTF9GVU5EX0FQUFJFQ0lBVElPTl9ERVBSRUNJQVRJT04uMTk5Ny4wNi8wMy8yMDI2Li4uVVNELkgB</t>
  </si>
  <si>
    <t>AAAA3rYBAAMAAAAAABaGoufNe94Ic9XtOM573gg0Q0lRLk5ZU0U6SUJNLklRX0FVTV9PVVRGTE9XUy4xOTk3LjA2LzAzLzIwMjYuLi5VU0QuSAEAAADetgEAAwAAAAAAFoai58173ghz1e04znveCDpDSVEuTllTRTpJQk0uSVFfQVVNX0hJR0hfTkVUX1dPUlRILjE5OTcuMDYvMDMvMjAyNi4uLlVTRC5IAQAAAN62AQADAAAAAAAWhqLnzXveCHPV7TjOe94IN0NJUS5OWVNFOklCTS5JUV9BVU1fUkVBTF9FU1RBVEUuMTk5Ny4wNi8wMy8yMDI2Li4uVVNELkgBAAAA3rYBAAMAAAAAABaGoufNe94Ic9XtOM573gg2Q0lRLk5ZU0U6SUJNLklRX1RPVEFMX1JFVl8zWVJfQU5OX0NBR1IuMTk5Ny4wNi8wMy8yMDI2AQAAAN62AQACAAAABjIuNDg5OQEIAAAABQAAAAExAQAAAAstMTk0ODgzNzU0MAMAAAADMTYwAgAAAAQ0MjIwBAAAAAEwBwAAAAgzLzYvMjAyNggAAAAJMy8zMS8yMDI1CQAAAAEwFoai58173ghz1e04znveCEBDSVEuTllTRTpJQk0uSVFfTkVUX0RFQlRfRUJJVERBX0VYQ0xfT1BFUl9MRUFTRVMuMTk5Ny4wNi8wMy8yMDI2AQAAAN62AQACAAAABzMuNzE3MzQBCAAAAAUAAAABMQEAAAALLTE5NDg4Mzc1NDADAAAAAzE2MAIAAAAFNDkxNzUEAAAAATAHAAAACDMvNi8yMDI2CAAAAAkzLzMxLzIwMjUJAAAAATAWhqLnzXveCHPV7TjOe94IMUNJUS5OWVNFOklCTS5JUV9UT1RBTF9ERUJUX0VCSVREQS4x</t>
  </si>
  <si>
    <t>OTk3LjA2LzAzLzIwMjYBAAAA3rYBAAIAAAAINC41Nzk1NDMBCAAAAAUAAAABMQEAAAALLTE5NDg4Mzc1NDADAAAAAzE2MAIAAAAENDE5MgQAAAABMAcAAAAIMy82LzIwMjYIAAAACTMvMzEvMjAyNQkAAAABMBaGoufNe94Ic9XtOM573ggyQ0lRLk5ZU0U6SUJNLklRX0RBWVNfSU5WRU5UT1JZX09VVC4xOTk3LjA2LzAzLzIwMjYBAAAA3rYBAAIAAAAIMTguMTIwNzkBCAAAAAUAAAABMQEAAAALLTE5NDg4Mzc1NDADAAAAAzE2MAIAAAAENDAzNQQAAAABMAcAAAAIMy82LzIwMjYIAAAACTMvMzEvMjAyNQkAAAABMBaGoufNe94Ic9XtOM573ggsQ0lRLk5ZU0U6SUJNLklRX0dST1NTX01BUkdJTi4xOTk3LjA2LzAzLzIwMjYBAAAA3rYBAAIAAAAHNTcuMDQwOQEIAAAABQAAAAExAQAAAAstMTk0ODgzNzU0MAMAAAADMTYwAgAAAAQ0MDc0BAAAAAEwBwAAAAgzLzYvMjAyNggAAAAJMy8zMS8yMDI1CQAAAAEwFoai58173ghz1e04znveCEtDSVEuTllTRTpJQk0uSVFfSU5URVJFU1RfUEVOQUxUSUVTX1JFQ09HX0lTX1BSRV9UQVguMTk5Ny4wNi8wMy8yMDI2Li4uVVNELkgBAAAA3rYBAAMAAAAAABaGoufNe94Ic9XtOM573ghPQ0lRLk5ZU0U6SUJNLklRX1RSQU5TX0lNUEFDVF9GSU5fNDhfQ1VSUkVOVF9MSUFCSUxJVElFUy4xOTk3LjA2LzAzLzIwMjYuLi5VU0QuSAEAAADetgEAAwAAAAAAFoai58173ghz1e04</t>
  </si>
  <si>
    <t>znveCDdDSVEuTllTRTpJQk0uSVFfVEFYX0JFTkVGSVRfQ0ZfTUFYX1lFQVIuMTk5Ny4wNi8wMy8yMDI2AQAAAN62AQADAAAAAAAWhqLnzXveCHPV7TjOe94IN0NJUS5OWVNFOklCTS5JUV9DQVBfTE9TU19DRl81WVIuMTk5Ny4wNi8wMy8yMDI2Li4uVVNELkgBAAAA3rYBAAMAAAAAABaGoufNe94Ic9XtOM573ggyQ0lRLk5ZU0U6SUJNLklRX05PTF9DRl8xWVIuMTk5Ny4wNi8wMy8yMDI2Li4uVVNELkgBAAAA3rYBAAMAAAAAABaGoufNe94Ic9XtOM573gg5Q0lRLk5ZU0U6SUJNLklRX0FWR19SRVZfUEVSX1RSQURFLjE5OTcuMDYvMDMvMjAyNi4uLlVTRC5IAQAAAN62AQADAAAAAAAWhqLnzXveCHPV7TjOe94IM0NJUS5OWVNFOklCTS5JUV9BVU1fQVZFUkFHRS4xOTk3LjA2LzAzLzIwMjYuLi5VU0QuSAEAAADetgEAAwAAAAAAFoai58173giSEO44znveCEJDSVEuTllTRTpJQk0uSVFfQVVNX0FDUVVJU0lUSU9OU19UUkFOU0ZFUlMuMTk5Ny4wNi8wMy8yMDI2Li4uVVNELkgBAAAA3rYBAAMAAAAAABaGoufNe94Ic9XtOM573gg3Q0lRLk5ZU0U6SUJNLklRX0FVTV9GRUVfRUFSTklORy4xOTk3LjA2LzAzLzIwMjYuLi5VU0QuSAEAAADetgEAAwAAAAAAFoai58173ghz1e04znveCDhDSVEuTllTRTpJQk0uSVFfQVVNX0VRVUlUWV9GVU5EUy4xOTk3LjA2LzAzLzIwMjYuLi5VU0QuSAEAAADetgEAAwAAAAAA</t>
  </si>
  <si>
    <t>Foai58173ghz1e04znveCD5DSVEuTllTRTpJQk0uSVFfT1BFQl9MVF9BU1NFVFNfRk9SRUlHTi4xOTk3LjA2LzAzLzIwMjYuLi5VU0QuSAEAAADetgEAAwAAAAAAFoai58173ghz1e04znveCEFDSVEuTllTRTpJQk0uSVFfT1BFQl9BQ0NSVUVEX0xJQUJfRk9SRUlHTi4xOTk3LjA2LzAzLzIwMjYuLi5VU0QuSAEAAADetgEAAwAAAAAAFoai58173giSEO44znveCERDSVEuTllTRTpJQk0uSVFfT1BFQl9UUkFOU0lUSU9OX05FWFRfRk9SRUlHTi4xOTk3LjA2LzAzLzIwMjYuLi5VU0QuSAEAAADetgEAAwAAAAAAFoai58173giSEO44znveCC1DSVEuTllTRTpJQk0uSVFfQ0FQRVhfUENUX1JFVi4xOTk3LjA2LzAzLzIwMjYBAAAA3rYBAAIAAAAGMS42NzU4AQgAAAAFAAAAATEBAAAACy0xOTQ4ODM3NTQwAwAAAAMxNjACAAAABTM1MzgwBAAAAAEwBwAAAAgzLzYvMjAyNggAAAAJMy8zMS8yMDI1CQAAAAEwFoai58173giSEO44znveCEhDSVEuTllTRTpJQk0uSVFfT1BFQl9ERUNSRUFTRV9FRkZFQ1RfUEJPX0ZPUkVJR04uMTk5Ny4wNi8wMy8yMDI2Li4uVVNELkgBAAAA3rYBAAMAAAAAABaGoufNe94IkhDuOM573ghKQ0lRLk5ZU0U6SUJNLklRX09QRUJfQVNTRVRTX09USEVSX1BMQU5fQURKX0ZPUkVJR04uMTk5Ny4wNi8wMy8yMDI2Li4uVVNELkgBAAAA3rYBAAMAAAAAABaGoufNe94IkhDuOM573ghWQ0lR</t>
  </si>
  <si>
    <t>Lk5ZU0U6SUJNLklRX09QRUJfT0JMSUdBVElPTl9FTVBMT1lFRV9DT05UUklCVVRJT05TX0ZPUkVJR04uMTk5Ny4wNi8wMy8yMDI2Li4uVVNELkgBAAAA3rYBAAMAAAAAABaGoufNe94IkhDuOM573ghGQ0lRLk5ZU0U6SUJNLklRX01VVFVBTF9GVU5EX0FDUVVJU0lUSU9OU19PVEhFUi4xOTk3LjA2LzAzLzIwMjYuLi5VU0QuSAEAAADetgEAAwAAAAAAFoai58173giSEO44znveCD5DSVEuTllTRTpJQk0uSVFfQVVNX0ZJWEVEX0lOQ09NRV9GVU5EUy4xOTk3LjA2LzAzLzIwMjYuLi5VU0QuSAEAAADetgEAAwAAAAAAFoai58173giSEO44znveCEZDSVEuTllTRTpJQk0uSVFfT1BFQl9DSV9PVEhFUl9NSVNDX0FESl9GT1JFSUdOLjE5OTcuMDYvMDMvMjAyNi4uLlVTRC5IAQAAAN62AQADAAAAAAAWhqLnzXveCJIQ7jjOe94IO0NJUS5OWVNFOklCTS5JUV9BVU1fSU5TVElUVVRJT05BTF9DVVNUT01FUlMuMTk5Ny4wNi8wMy8yMDI2AQAAAN62AQADAAAAAAAWhqLnzXveCJIQ7jjOe94INENJUS5OWVNFOklCTS5JUV9DQVBfTE9TU19DRl9NQVhfWUVBUi4xOTk3LjA2LzAzLzIwMjYBAAAA3rYBAAMAAAAAABaGoufNe94I4DfuOM573gg2Q0lRLk5ZU0U6SUJNLklRX05VTUJFUl9UUkFERVNfRVhFQ1VURUQuMTk5Ny4wNi8wMy8yMDI2AQAAAN62AQADAAAAAAAWhqLnzXveCOA37jjOe94IQUNJUS5OWVNFOklCTS5J</t>
  </si>
  <si>
    <t>UV9PUEVCX0JSRUFLRE9XTl9SRV9GT1JFSUdOLjE5OTcuMDYvMDMvMjAyNi4uLlVTRC5IAQAAAN62AQADAAAAAAAWhqLnzXveCOA37jjOe94IQUNJUS5OWVNFOklCTS5JUV9PUEVCX0JSRUFLRE9XTl9FUV9GT1JFSUdOLjE5OTcuMDYvMDMvMjAyNi4uLlVTRC5IAQAAAN62AQADAAAAAAAWhqLnzXveCOA37jjOe94IPUNJUS5OWVNFOklCTS5JUV9PUEVCX0JSRUFLRE9XTl9QQ1RfUkVfRk9SRUlHTi4xOTk3LjA2LzAzLzIwMjYBAAAA3rYBAAMAAAAAABaGoufNe94I4DfuOM573gg/Q0lRLk5ZU0U6SUJNLklRX09QRUJfQVNTRVRTX0FDUV9GT1JFSUdOLjE5OTcuMDYvMDMvMjAyNi4uLlVTRC5IAQAAAN62AQADAAAAAAAWhqLnzXveCOA37jjOe94IMkNJUS5OWVNFOklCTS5JUV9OT0xfQ0ZfNVlSLjE5OTcuMDYvMDMvMjAyNi4uLlVTRC5IAQAAAN62AQADAAAAAAAWhqLnzXveCOA37jjOe94IQENJUS5OWVNFOklCTS5JUV9PUEVCX0VYUF9SQVRFX1JFVFVSTl9NSU5fRk9SRUlHTi4xOTk3LjA2LzAzLzIwMjYBAAAA3rYBAAMAAAAAABaGoufNe94I4DfuOM573ghTQ0lRLk5ZU0U6SUJNLklRX1RSQU5TX0lNUEFDVF9GSU5fNDhfTk9OX0NVUlJFTlRfTElBQklMSVRJRVMuMTk5Ny4wNi8wMy8yMDI2Li4uVVNELkgBAAAA3rYBAAMAAAAAABaGoufNe94I4DfuOM573ggxQ0lRLk5ZU0U6SUJNLklRX0FVTV9PVEhFUi4x</t>
  </si>
  <si>
    <t>OTk3LjA2LzAzLzIwMjYuLi5VU0QuSAEAAADetgEAAwAAAAAAFoai58173gjgN+44znveCC1DSVEuTllTRTpJQk0uSVFfRUJJVERBX01BUkdJTi4xOTk3LjA2LzAzLzIwMjYBAAAA3rYBAAIAAAAHMjEuMTM3MwEIAAAABQAAAAExAQAAAAstMTk0ODgzNzU0MAMAAAADMTYwAgAAAAQ0MDQ3BAAAAAEwBwAAAAgzLzYvMjAyNggAAAAJMy8zMS8yMDI1CQAAAAEwFoai58173gjuXu44znveCEVDSVEuTllTRTpJQk0uSVFfT1BFQl9QQk9fQVNTVU1FRF9SQVRFX1JFVF9NQVhfRk9SRUlHTi4xOTk3LjA2LzAzLzIwMjYBAAAA3rYBAAMAAAAAABaGoufNe94I7l7uOM573ghDQ0lRLk5ZU0U6SUJNLklRX09QRUJfQVNTRVRTX0NVUlRBSUxfRk9SRUlHTi4xOTk3LjA2LzAzLzIwMjYuLi5VU0QuSAEAAADetgEAAwAAAAAAFoai58173gjuXu44znveCEdDSVEuTllTRTpJQk0uSVFfT1BFQl9PQkxJR0FUSU9OX0NVUlRBSUxfRk9SRUlHTi4xOTk3LjA2LzAzLzIwMjYuLi5VU0QuSAEAAADetgEAAwAAAAAAFoai58173gjgN+44znveCE1DSVEuTllTRTpJQk0uSVFfT1BFQl9PQkxJR0FUSU9OX0lOVEVSRVNUX0NPU1RfRk9SRUlHTi4xOTk3LjA2LzAzLzIwMjYuLi5VU0QuSAEAAADetgEAAwAAAAAAFoai58173gjgN+44znveCD1DSVEuTllTRTpJQk0uSVFfUEVOU0lPTl9PVEhFUl9GT1JFSUdOLjE5OTcuMDYvMDMvMjAyNi4u</t>
  </si>
  <si>
    <t>LlVTRC5IAQAAAN62AQADAAAAAAAWhqLnzXveCO5e7jjOe94IR0NJUS5OWVNFOklCTS5JUV9QRU5TSU9OX0VTVF9CRU5FRklUXzFZUl9GT1JFSUdOLjE5OTcuMDYvMDMvMjAyNi4uLlVTRC5IAQAAAN62AQADAAAAAAAWhqLnzXveCO5e7jjOe94IQ0NJUS5OWVNFOklCTS5JUV9BU1NFVFNfVU5ERVJfQURNSU5JU1RSQVRJT04uMTk5Ny4wNi8wMy8yMDI2Li4uVVNELkgBAAAA3rYBAAMAAAAAABaGoufNe94I7l7uOM573ghVQ0lRLk5ZU0U6SUJNLklRX09QRUJfSU5DUkVBU0VfRUZGRUNUX1NFUlZJQ0VfSU5UX0NPU1RfRk9SRUlHTi4xOTk3LjA2LzAzLzIwMjYuLi5VU0QuSAEAAADetgEAAwAAAAAAFoai58173gjuXu44znveCERDSVEuTllTRTpJQk0uSVFfT1BFQl9FU1RfQkVORUZJVF8zWVJfRk9SRUlHTi4xOTk3LjA2LzAzLzIwMjYuLi5VU0QuSAEAAADetgEAAwAAAAAAFoai58173gjuXu44znveCE1DSVEuTllTRTpJQk0uSVFfSU5URVJFU1RfUEVOQUxUSUVTX1JFQ09HX0lTX0FGVEVSX1RBWC4xOTk3LjA2LzAzLzIwMjYuLi5VU0QuSAEAAADetgEAAwAAAAAAFoai58173ghUhu44znveCEZDSVEuTllTRTpJQk0uSVFfQ0FQSVRBTElaRURfSU5URVJFU1RfV1JJVEVfT0ZGLjE5OTcuMDYvMDMvMjAyNi4uLlVTRC5IAQAAAN62AQADAAAAAAAWhqLnzXveCFSG7jjOe94IQENJUS5OWVNFOklCTS5JUV9PUEVC</t>
  </si>
  <si>
    <t>X0VYUF9SQVRFX1JFVFVSTl9NQVhfRk9SRUlHTi4xOTk3LjA2LzAzLzIwMjYBAAAA3rYBAAMAAAAAABaGoufNe94IVIbuOM573ghGQ0lRLk5ZU0U6SUJNLklRX09QRUJfT0JMSUdBVElPTl9GWF9BREpfRk9SRUlHTi4xOTk3LjA2LzAzLzIwMjYuLi5VU0QuSAEAAADetgEAAwAAAAAAFoai58173ghUhu44znveCEFDSVEuTllTRTpJQk0uSVFfT1BFQl9TRVJWSUNFX0NPU1RfRk9SRUlHTi4xOTk3LjA2LzAzLzIwMjYuLi5VU0QuSAEAAADetgEAAwAAAAAAFoai58173gjuXu44znveCE5DSVEuTllTRTpJQk0uSVFfUEVOU0lPTl9VTkZVTkRFRF9BRERMX01JTl9MSUFCX0ZPUkVJR04uMTk5Ny4wNi8wMy8yMDI2Li4uVVNELkgBAAAA3rYBAAMAAAAAABaGoufNe94IVIbuOM573ghEQ0lRLk5ZU0U6SUJNLklRX1BFTlNJT05fQUNDUlVFRF9MSUFCX0ZPUkVJR04uMTk5Ny4wNi8wMy8yMDI2Li4uVVNELkgBAAAA3rYBAAMAAAAAADm7oufNe94IVIbuOM573gg2Q0lRLk5ZU0U6SUJNLklRX0FVTV9ORVRfQ0hBTkdFLjE5OTcuMDYvMDMvMjAyNi4uLlVTRC5IAQAAAN62AQADAAAAAAA5u6LnzXveCFSG7jjOe94IQkNJUS5OWVNFOklCTS5JUV9PUEVCX0NJX1RSQU5TSVRJT05fRk9SRUlHTi4xOTk3LjA2LzAzLzIwMjYuLi5VU0QuSAEAAADetgEAAwAAAAAAObui58173ghUhu44znveCDpDSVEuTllTRTpJQk0uSVFfT1BF</t>
  </si>
  <si>
    <t>Ql9ESVNDX1JBVEVfTUFYX0ZPUkVJR04uMTk5Ny4wNi8wMy8yMDI2AQAAAN62AQADAAAAAAA5u6LnzXveCFSG7jjOe94IQkNJUS5OWVNFOklCTS5JUV9PUEVCX0lOVEVSRVNUX0NPU1RfRk9SRUlHTi4xOTk3LjA2LzAzLzIwMjYuLi5VU0QuSAEAAADetgEAAwAAAAAAObui58173ghUhu44znveCFRDSVEuTllTRTpJQk0uSVFfUEVOU0lPTl9RVUFSVF9FTVBMT1lFUl9DT05UUklCVVRJT05TX0ZPUkVJR04uMTk5Ny4wNi8wMy8yMDI2Li4uVVNELkgBAAAA3rYBAAMAAAAAADm7oufNe94IVIbuOM573ggxQ0lRLk5ZU0U6SUJNLklRX0FVTV9TTUVfQ1VTVE9NRVJTLjE5OTcuMDYvMDMvMjAyNgEAAADetgEAAwAAAAAAObui58173ghUhu44znveCDdDSVEuTllTRTpJQk0uSVFfT1BFQl9DTF9GT1JFSUdOLjE5OTcuMDYvMDMvMjAyNi4uLlVTRC5IAQAAAN62AQADAAAAAAA5u6LnzXveCFSG7jjOe94IRENJUS5OWVNFOklCTS5JUV9PUEVCX0VTVF9CRU5FRklUXzJZUl9GT1JFSUdOLjE5OTcuMDYvMDMvMjAyNi4uLlVTRC5IAQAAAN62AQADAAAAAAA5u6LnzXveCFSG7jjOe94IRUNJUS5OWVNFOklCTS5JUV9PUEVCX0NJX05FVF9BTVRfUkVDT0dfRk9SRUlHTi4xOTk3LjA2LzAzLzIwMjYuLi5VU0QuSAEAAADetgEAAwAAAAAAObui58173ghRwe44znveCENDSVEuTllTRTpJQk0uSVFfT1BFQl9PQkxJR0FUSU9OX0FD</t>
  </si>
  <si>
    <t>UV9GT1JFSUdOLjE5OTcuMDYvMDMvMjAyNi4uLlVTRC5IAQAAAN62AQADAAAAAAA5u6LnzXveCFSG7jjOe94IL0NJUS5OWVNFOklCTS5JUV9BVU1fQk9QLjE5OTcuMDYvMDMvMjAyNi4uLlVTRC5IAQAAAN62AQADAAAAAAA5u6LnzXveCFSG7jjOe94IOkNJUS5OWVNFOklCTS5JUV9PUEVCX09USEVSX0ZPUkVJR04uMTk5Ny4wNi8wMy8yMDI2Li4uVVNELkgBAAAA3rYBAAMAAAAAADm7oufNe94IVIbuOM573ghHQ0lRLk5ZU0U6SUJNLklRX09QRUJfUEJPX1JBVEVfQ09NUF9JTkNSRUFTRV9NSU5fRk9SRUlHTi4xOTk3LjA2LzAzLzIwMjYBAAAA3rYBAAMAAAAAADm7oufNe94IVIbuOM573ghBQ0lRLk5ZU0U6SUJNLklRX09QRUJfQlJFQUtET1dOX0ZJX0ZPUkVJR04uMTk5Ny4wNi8wMy8yMDI2Li4uVVNELkgBAAAA3rYBAAMAAAAAADm7oufNe94IUcHuOM573ghAQ0lRLk5ZU0U6SUJNLklRX09QRUJfQlJFQUtET1dOX1BDVF9PVEhFUl9GT1JFSUdOLjE5OTcuMDYvMDMvMjAyNgEAAADetgEAAwAAAAAAObui58173ghRwe44znveCDJDSVEuTllTRTpJQk0uSVFfTk9MX0NGXzJZUi4xOTk3LjA2LzAzLzIwMjYuLi5VU0QuSAEAAADetgEAAwAAAAAAObui58173ghRwe44znveCD9DSVEuTllTRTpJQk0uSVFfTVVUVUFMX0ZVTkRfUkVERU1QVElPTlMuMTk5Ny4wNi8wMy8yMDI2Li4uVVNELkgBAAAA3rYBAAMAAAAA</t>
  </si>
  <si>
    <t>ADm7oufNe94IUcHuOM573ggzQ0lRLk5ZU0U6SUJNLklRX0FVTV9UT1RBTF9DVVNUT01FUlMuMTk5Ny4wNi8wMy8yMDI2AQAAAN62AQADAAAAAAA5u6LnzXveCFHB7jjOe94IOUNJUS5OWVNFOklCTS5JUV9BVU1fSU5TVElUVVRJT05BTC4xOTk3LjA2LzAzLzIwMjYuLi5VU0QuSAEAAADetgEAAwAAAAAAObui58173ghRwe44znveCEdDSVEuTllTRTpJQk0uSVFfUEVOU0lPTl9FU1RfQkVORUZJVF80WVJfRk9SRUlHTi4xOTk3LjA2LzAzLzIwMjYuLi5VU0QuSAEAAADetgEAAwAAAAAAObui58173ghRwe44znveCEBDSVEuTllTRTpJQk0uSVFfUEVOU0lPTl9CUkVBS0RPV05fUENUX0VRX0ZPUkVJR04uMTk5Ny4wNi8wMy8yMDI2AQAAAN62AQADAAAAAAA5u6LnzXveCFHB7jjOe94ISUNJUS5OWVNFOklCTS5JUV9QRU5TSU9OX09CTElHQVRJT05fRlhfQURKX0ZPUkVJR04uMTk5Ny4wNi8wMy8yMDI2Li4uVVNELkgBAAAA3rYBAAMAAAAAADm7oufNe94IUcHuOM573ghGQ0lRLk5ZU0U6SUJNLklRX1BFTlNJT05fT0JMSUdBVElPTl9ST0FfRk9SRUlHTi4xOTk3LjA2LzAzLzIwMjYuLi5VU0QuSAEAAADetgEAAwAAAAAAObui58173ghRwe44znveCEBDSVEuTllTRTpJQk0uSVFfT1BFQl9ORVRfQVNTRVRfUkVDT0dfRE9NLjE5OTcuMDYvMDMvMjAyNi4uLlVTRC5IAQAAAN62AQADAAAAAAA5u6LnzXveCMTo7jjO</t>
  </si>
  <si>
    <t>e94IQ0NJUS5OWVNFOklCTS5JUV9PUEVCX0VTVF9CRU5FRklUX0FGVEVSNV9ET00uMTk5Ny4wNi8wMy8yMDI2Li4uVVNELkgBAAAA3rYBAAMAAAAAADm7oufNe94IxOjuOM573gg5Q0lRLk5ZU0U6SUJNLklRX0FVTV9PVEhFUl9DTElFTlRTLjE5OTcuMDYvMDMvMjAyNi4uLlVTRC5IAQAAAN62AQADAAAAAAA5u6LnzXveCMTo7jjOe94IQkNJUS5OWVNFOklCTS5JUV9PUEVCX1VOUkVDT0dfUFJJT1JfRk9SRUlHTi4xOTk3LjA2LzAzLzIwMjYuLi5VU0QuSAEAAADetgEAAwAAAAAAObui58173gjE6O44znveCD9DSVEuTllTRTpJQk0uSVFfT1BFQl9PVEhFUl9DT1NUX0ZPUkVJR04uMTk5Ny4wNi8wMy8yMDI2Li4uVVNELkgBAAAA3rYBAAMAAAAAADm7oufNe94IxOjuOM573ghKQ0lRLk5ZU0U6SUJNLklRX1BFTlNJT05fRVNUX0JFTkVGSVRfQUZURVI1X0ZPUkVJR04uMTk5Ny4wNi8wMy8yMDI2Li4uVVNELkgBAAAA3rYBAAMAAAAAADm7oufNe94IxOjuOM573ghHQ0lRLk5ZU0U6SUJNLklRX1BFTlNJT05fRVNUX0JFTkVGSVRfMllSX0ZPUkVJR04uMTk5Ny4wNi8wMy8yMDI2Li4uVVNELkgBAAAA3rYBAAMAAAAAADm7oufNe94IxOjuOM573ghEQ0lRLk5ZU0U6SUJNLklRX1BFTlNJT05fQlJFQUtET1dOX1JFX0ZPUkVJR04uMTk5Ny4wNi8wMy8yMDI2Li4uVVNELkgBAAAA3rYBAAMAAAAAADm7oufNe94IxOju</t>
  </si>
  <si>
    <t>OM573ghCQ0lRLk5ZU0U6SUJNLklRX1BFTlNJT05fQVNTRVRTX0JFR19GT1JFSUdOLjE5OTcuMDYvMDMvMjAyNi4uLlVTRC5IAQAAAN62AQADAAAAAAA5u6LnzXveCMTo7jjOe94ISENJUS5OWVNFOklCTS5JUV9QRU5TSU9OX0NJX05FVF9BTVRfUkVDT0dfRk9SRUlHTi4xOTk3LjA2LzAzLzIwMjYuLi5VU0QuSAEAAADetgEAAwAAAAAAObui58173gjE6O44znveCENDSVEuTllTRTpJQk0uSVFfUEVOU0lPTl9FWFBfUkFURV9SRVRVUk5fTUlOX0ZPUkVJR04uMTk5Ny4wNi8wMy8yMDI2AQAAAN62AQADAAAAAAA5u6LnzXveCGIb7zjOe94IQkNJUS5OWVNFOklCTS5JUV9QRU5TSU9OX0FTU0VUU19BQ1FfRk9SRUlHTi4xOTk3LjA2LzAzLzIwMjYuLi5VU0QuSAEAAADetgEAAwAAAAAAObui58173gjE6O44znveCENDSVEuTllTRTpJQk0uSVFfT1BFQl9IRUFMVEhfQ09TVF9UUkVORF9VTFRJTUFURV9ET00uMTk5Ny4wNi8wMy8yMDI2AQAAAN62AQADAAAAAAA5u6LnzXveCMTo7jjOe94IPUNJUS5OWVNFOklCTS5JUV9PUEVCX0lOVEFOX0FTU0VUU19ET00uMTk5Ny4wNi8wMy8yMDI2Li4uVVNELkgBAAAA3rYBAAMAAAAAADm7oufNe94IxOjuOM573ghBQ0lRLk5ZU0U6SUJNLklRX09QRUJfUEJPX0FTU1VNRURfUkFURV9SRVRfTUFYX0RPTS4xOTk3LjA2LzAzLzIwMjYBAAAA3rYBAAMAAAAAADm7oufNe94IxOju</t>
  </si>
  <si>
    <t>OM573ghTQ0lRLk5ZU0U6SUJNLklRX09QRUJfT0JMSUdBVElPTl9BQ1RVQVJJQUxfR0FJTl9MT1NTX0ZPUkVJR04uMTk5Ny4wNi8wMy8yMDI2Li4uVVNELkgBAAAA3rYBAAMAAAAAADm7oufNe94IYhvvOM573ghWQ0lRLk5ZU0U6SUJNLklRX1BFTlNJT05fT0JMSUdBVElPTl9BQ1RVQVJJQUxfR0FJTl9MT1NTX0ZPUkVJR04uMTk5Ny4wNi8wMy8yMDI2Li4uVVNELkgBAAAA3rYBAAMAAAAAADm7oufNe94IYhvvOM573ghEQ0lRLk5ZU0U6SUJNLklRX1BFTlNJT05fU0VSVklDRV9DT1NUX0ZPUkVJR04uMTk5Ny4wNi8wMy8yMDI2Li4uVVNELkgBAAAA3rYBAAMAAAAAADm7oufNe94IYhvvOM573gg+Q0lRLk5ZU0U6SUJNLklRX09QRUJfVU5SRUNPR19QUklPUl9ET00uMTk5Ny4wNi8wMy8yMDI2Li4uVVNELkgBAAAA3rYBAAMAAAAAADm7oufNe94IYhvvOM573gg9Q0lRLk5ZU0U6SUJNLklRX09QRUJfQlJFQUtET1dOX0VRX0RPTS4xOTk3LjA2LzAzLzIwMjYuLi5VU0QuSAEAAADetgEAAwAAAAAAObui58173ghiG+84znveCDlDSVEuTllTRTpJQk0uSVFfT1BFQl9CUkVBS0RPV05fUENUX0ZJX0RPTS4xOTk3LjA2LzAzLzIwMjYBAAAA3rYBAAMAAAAAADm7oufNe94IYhvvOM573ghFQ0lRLk5ZU0U6SUJNLklRX09QRUJfQVNTRVRTX0JFTkVGSVRTX1BBSURfRE9NLjE5OTcuMDYvMDMvMjAyNi4uLlVTRC5IAQAA</t>
  </si>
  <si>
    <t>AN62AQADAAAAAAA5u6LnzXveCGIb7zjOe94IUkNJUS5OWVNFOklCTS5JUV9PUEVCX09CTElHQVRJT05fRU1QTE9ZRUVfQ09OVFJJQlVUSU9OU19ET00uMTk5Ny4wNi8wMy8yMDI2Li4uVVNELkgBAAAA3rYBAAMAAAAAADm7oufNe94IYhvvOM573ghMQ0lRLk5ZU0U6SUJNLklRX1BFTlNJT05fRVNUX0NPTlRSSUJVVElPTlNfTkVYVFlSX0RPTS4xOTk3LjA2LzAzLzIwMjYuLi5VU0QuSAEAAADetgEAAwAAAAAAObui58173ghiG+84znveCEFDSVEuTllTRTpJQk0uSVFfUEVOU0lPTl9VTlJFQ09HX1BSSU9SX0RPTS4xOTk3LjA2LzAzLzIwMjYuLi5VU0QuSAEAAADetgEAAwAAAAAAObui58173ghiG+84znveCENDSVEuTllTRTpJQk0uSVFfUEVOU0lPTl9FU1RfQkVORUZJVF8yWVJfRE9NLjE5OTcuMDYvMDMvMjAyNi4uLlVTRC5IAQAAAN62AQADAAAAAAA5u6LnzXveCGIb7zjOe94IRENJUS5OWVNFOklCTS5JUV9QRU5TSU9OX0NJX1BSSU9SX1NFUlZJQ0VfRE9NLjE5OTcuMDYvMDMvMjAyNi4uLlVTRC5IAQAAAN62AQADAAAAAAA5u6LnzXveCGIb7zjOe94IS0NJUS5OWVNFOklCTS5JUV9PUEVCX09CTElHQVRJT05fQUNDVU1VTEFURURfRk9SRUlHTi4xOTk3LjA2LzAzLzIwMjYuLi5VU0QuSAEAAADetgEAAwAAAAAAObui58173ghiG+84znveCEZDSVEuTllTRTpJQk0uSVFfUEVOU0lPTl9BQ0NVTV9PVEhF</t>
  </si>
  <si>
    <t>Ul9DSV9GT1JFSUdOLjE5OTcuMDYvMDMvMjAyNi4uLlVTRC5IAQAAAN62AQADAAAAAAA5u6LnzXveCGIb7zjOe94IR0NJUS5OWVNFOklCTS5JUV9QRU5TSU9OX1RSQU5TSVRJT05fTkVYVF9GT1JFSUdOLjE5OTcuMDYvMDMvMjAyNi4uLlVTRC5IAQAAAN62AQADAAAAAAA5u6LnzXveCGIb7zjOe94IRENJUS5OWVNFOklCTS5JUV9QRU5TSU9OX0JSRUFLRE9XTl9FUV9GT1JFSUdOLjE5OTcuMDYvMDMvMjAyNi4uLlVTRC5IAQAAAN62AQADAAAAAAA5u6LnzXveCCFW7zjOe94IPkNJUS5OWVNFOklCTS5JUV9QRU5TSU9OX0FTU0VUU19GT1JFSUdOLjE5OTcuMDYvMDMvMjAyNi4uLlVTRC5IAQAAAN62AQADAAAAAAA5u6LnzXveCCFW7zjOe94ITENJUS5OWVNFOklCTS5JUV9QRU5TSU9OX09CTElHQVRJT05fUFJPSkVDVEVEX0ZPUkVJR04uMTk5Ny4wNi8wMy8yMDI2Li4uVVNELkgBAAAA3rYBAAMAAAAAADm7oufNe94IIVbvOM573ghEQ0lRLk5ZU0U6SUJNLklRX09QRUJfREVDUkVBU0VfRUZGRUNUX1BCT19ET00uMTk5Ny4wNi8wMy8yMDI2Li4uVVNELkgBAAAA3rYBAAMAAAAAADm7oufNe94IYhvvOM573gg+Q0lRLk5ZU0U6SUJNLklRX09QRUJfQ0lfVFJBTlNJVElPTl9ET00uMTk5Ny4wNi8wMy8yMDI2Li4uVVNELkgBAAAA3rYBAAMAAAAAADm7oufNe94IYhvvOM573ghHQ0lRLk5ZU0U6SUJNLklRX09QRUJf</t>
  </si>
  <si>
    <t>RVNUX0JFTkVGSVRfQUZURVI1X0ZPUkVJR04uMTk5Ny4wNi8wMy8yMDI2Li4uVVNELkgBAAAA3rYBAAMAAAAAADm7oufNe94IIVbvOM573ghSQ0lRLk5ZU0U6SUJNLklRX09QRUJfQVNTRVRTX0VNUExPWUVSX0NPTlRSSUJVVElPTlNfRk9SRUlHTi4xOTk3LjA2LzAzLzIwMjYuLi5VU0QuSAEAAADetgEAAwAAAAAAObui58173gghVu84znveCEZDSVEuTllTRTpJQk0uSVFfUEVOU0lPTl9SQVRFX0NPTVBfSU5DUkVBU0VfTUlOX0ZPUkVJR04uMTk5Ny4wNi8wMy8yMDI2AQAAAN62AQADAAAAAAA5u6LnzXveCCFW7zjOe94ITUNJUS5OWVNFOklCTS5JUV9QRU5TSU9OX09CTElHQVRJT05fT1RIRVJfQ09TVF9GT1JFSUdOLjE5OTcuMDYvMDMvMjAyNi4uLlVTRC5IAQAAAN62AQADAAAAAAA5u6LnzXveCCFW7zjOe94IRENJUS5OWVNFOklCTS5JUV9PUEVCX0VTVF9CRU5FRklUXzVZUl9GT1JFSUdOLjE5OTcuMDYvMDMvMjAyNi4uLlVTRC5IAQAAAN62AQADAAAAAAA5u6LnzXveCCFW7zjOe94ITENJUS5OWVNFOklCTS5JUV9PUEVCX1NVUFBMRV9QTEFOU19UT1RBTF9DT1NUX0ZPUkVJR04uMTk5Ny4wNi8wMy8yMDI2Li4uVVNELkgBAAAA3rYBAAMAAAAAADm7oufNe94IY33vOM573ghHQ0lRLk5ZU0U6SUJNLklRX1BFTlNJT05fRVNUX0JFTkVGSVRfNVlSX0ZPUkVJR04uMTk5Ny4wNi8wMy8yMDI2Li4uVVNELkgB</t>
  </si>
  <si>
    <t>AAAA3rYBAAMAAAAAADm7oufNe94IIVbvOM573ghHQ0lRLk5ZU0U6SUJNLklRX1BFTlNJT05fRVNUX0JFTkVGSVRfM1lSX0ZPUkVJR04uMTk5Ny4wNi8wMy8yMDI2Li4uVVNELkgBAAAA3rYBAAMAAAAAADm7oufNe94IIVbvOM573ghEQ0lRLk5ZU0U6SUJNLklRX1BFTlNJT05fQlJFQUtET1dOX0ZJX0ZPUkVJR04uMTk5Ny4wNi8wMy8yMDI2Li4uVVNELkgBAAAA3rYBAAMAAAAAADm7oufNe94IIVbvOM573gg9Q0lRLk5ZU0U6SUJNLklRX1BFTlNJT05fRElTQ19SQVRFX01BWF9GT1JFSUdOLjE5OTcuMDYvMDMvMjAyNgEAAADetgEAAwAAAAAAObui58173gghVu84znveCEZDSVEuTllTRTpJQk0uSVFfUEVOU0lPTl9PQkxJR0FUSU9OX0JFR19GT1JFSUdOLjE5OTcuMDYvMDMvMjAyNi4uLlVTRC5IAQAAAN62AQADAAAAAAA5u6LnzXveCGN97zjOe94IQENJUS5OWVNFOklCTS5JUV9PUEVCX0VTVF9CRU5FRklUXzVZUl9ET00uMTk5Ny4wNi8wMy8yMDI2Li4uVVNELkgBAAAA3rYBAAMAAAAAADm7oufNe94IY33vOM573ghEQ0lRLk5ZU0U6SUJNLklRX09QRUJfRVNUX0JFTkVGSVRfNFlSX0ZPUkVJR04uMTk5Ny4wNi8wMy8yMDI2Li4uVVNELkgBAAAA3rYBAAMAAAAAADm7oufNe94IY33vOM573ghCQ0lRLk5ZU0U6SUJNLklRX09QRUJfQVNTRVRTX0ZYX0FESl9GT1JFSUdOLjE5OTcuMDYvMDMvMjAyNi4uLlVT</t>
  </si>
  <si>
    <t>RC5IAQAAAN62AQADAAAAAAA5u6LnzXveCGN97zjOe94ISUNJUS5OWVNFOklCTS5JUV9PUEVCX09CTElHQVRJT05fUFJPSkVDVEVEX0ZPUkVJR04uMTk5Ny4wNi8wMy8yMDI2Li4uVVNELkgBAAAA3rYBAAMAAAAAADm7oufNe94IY33vOM573ghKQ0lRLk5ZU0U6SUJNLklRX1BFTlNJT05fUEJPX1JBVEVfQ09NUF9JTkNSRUFTRV9NSU5fRk9SRUlHTi4xOTk3LjA2LzAzLzIwMjYBAAAA3rYBAAMAAAAAADm7oufNe94IY33vOM573ghJQ0lRLk5ZU0U6SUJNLklRX1BFTlNJT05fQ0lfT1RIRVJfTUlTQ19BREpfRk9SRUlHTi4xOTk3LjA2LzAzLzIwMjYuLi5VU0QuSAEAAADetgEAAwAAAAAAObui58173ghjfe84znveCE5DSVEuTllTRTpJQk0uSVFfUEVOU0lPTl9BQ0NVTVVMQVRFRF9PQkxJR0FUSU9OX0ZPUkVJR04uMTk5Ny4wNi8wMy8yMDI2Li4uVVNELkgBAAAA3rYBAAMAAAAAADm7oufNe94IY33vOM573ghCQ0lRLk5ZU0U6SUJNLklRX09QRUJfSEVBTFRIX0NPU1RfVFJFTkRfSU5JVElBTF9ET00uMTk5Ny4wNi8wMy8yMDI2AQAAAN62AQADAAAAAAA5u6LnzXveCGN97zjOe94IOkNJUS5OWVNFOklCTS5JUV9PUEVCX0xUX0FTU0VUU19ET00uMTk5Ny4wNi8wMy8yMDI2Li4uVVNELkgBAAAA3rYBAAMAAAAAADm7oufNe94IY33vOM573gg9Q0lRLk5ZU0U6SUJNLklRX09QRUJfQlJFQUtET1dOX1JFX0RPTS4x</t>
  </si>
  <si>
    <t>OTk3LjA2LzAzLzIwMjYuLi5VU0QuSAEAAADetgEAAwAAAAAAObui58173gjUpO84znveCDdDSVEuTllTRTpJQk0uSVFfT1BFQl9BU1NFVFNfRE9NLjE5OTcuMDYvMDMvMjAyNi4uLlVTRC5IAQAAAN62AQADAAAAAAA5u6LnzXveCNSk7zjOe94IQ0NJUS5OWVNFOklCTS5JUV9PUEVCX09CTElHQVRJT05fQ1VSVEFJTF9ET00uMTk5Ny4wNi8wMy8yMDI2Li4uVVNELkgBAAAA3rYBAAMAAAAAADm7oufNe94I1KTvOM573ghFQ0lRLk5ZU0U6SUJNLklRX09QRUJfQ0lfUFJJT1JfU0VSVklDRV9GT1JFSUdOLjE5OTcuMDYvMDMvMjAyNi4uLlVTRC5IAQAAAN62AQADAAAAAAA5u6LnzXveCNSk7zjOe94IRUNJUS5OWVNFOklCTS5JUV9QRU5TSU9OX0FTU0VUU19GWF9BREpfRk9SRUlHTi4xOTk3LjA2LzAzLzIwMjYuLi5VU0QuSAEAAADetgEAAwAAAAAAObui58173gjUpO84znveCEFDSVEuTllTRTpJQk0uSVFfT1BFQl9QQk9fQVNTVU1FRF9SQVRFX1JFVF9NSU5fRE9NLjE5OTcuMDYvMDMvMjAyNgEAAADetgEAAwAAAAAAObui58173gify+84znveCCtDSVEuTllTRTpJQk0uSVFfQVVNLjE5OTcuMDYvMDMvMjAyNi4uLlVTRC5IAQAAAN62AQADAAAAAAA5u6LnzXveCJ/L7zjOe94IO0NJUS5OWVNFOklCTS5JUV9PUEVCX0NJX0FDVF9GT1JFSUdOLjE5OTcuMDYvMDMvMjAyNi4uLlVTRC5IAQAAAN62AQADAAAAAAA5</t>
  </si>
  <si>
    <t>u6LnzXveCNSk7zjOe94ISUNJUS5OWVNFOklCTS5JUV9PUEVCX0FTU0VUU19BQ1RVQUxfUkVUVVJOX0ZPUkVJR04uMTk5Ny4wNi8wMy8yMDI2Li4uVVNELkgBAAAA3rYBAAMAAAAAADm7oufNe94I1KTvOM573ghOQ0lRLk5ZU0U6SUJNLklRX09QRUJfT0JMSUdBVElPTl9PVEhFUl9QTEFOX0FESl9GT1JFSUdOLjE5OTcuMDYvMDMvMjAyNi4uLlVTRC5IAQAAAN62AQADAAAAAAA5u6LnzXveCNSk7zjOe94IQ0NJUS5OWVNFOklCTS5JUV9PUEVCX09CTElHQVRJT05fQkVHX0ZPUkVJR04uMTk5Ny4wNi8wMy8yMDI2Li4uVVNELkgBAAAA3rYBAAMAAAAAADm7oufNe94In8vvOM573gg/Q0lRLk5ZU0U6SUJNLklRX09QRUJfVE9UQUxfQ09TVF9GT1JFSUdOLjE5OTcuMDYvMDMvMjAyNi4uLlVTRC5IAQAAAN62AQADAAAAAAA5u6LnzXveCJ/L7zjOe94IQ0NJUS5OWVNFOklCTS5JUV9PUEVCX1JBVEVfQ09NUF9JTkNSRUFTRV9NQVhfRk9SRUlHTi4xOTk3LjA2LzAzLzIwMjYBAAAA3rYBAAMAAAAAADm7oufNe94In8vvOM573gg7Q0lRLk5ZU0U6SUJNLklRX09QRUJfQVNTRVRTX0ZPUkVJR04uMTk5Ny4wNi8wMy8yMDI2Li4uVVNELkgBAAAA3rYBAAMAAAAAADm7oufNe94In8vvOM573gg9Q0lRLk5ZU0U6SUJNLklRX1BFTlNJT05fRElTQ09VTlRfUkFURV9GT1JFSUdOLjE5OTcuMDYvMDMvMjAyNgEAAADetgEAAwAA</t>
  </si>
  <si>
    <t>AAAAObui58173gify+84znveCFVDSVEuTllTRTpJQk0uSVFfUEVOU0lPTl9BU1NFVFNfUEFSVElDSVBfQ09OVFJJQlVUSU9OU19GT1JFSUdOLjE5OTcuMDYvMDMvMjAyNi4uLlVTRC5IAQAAAN62AQADAAAAAAA5u6LnzXveCNjy7zjOe94IT0NJUS5OWVNFOklCTS5JUV9QRU5TSU9OX09CTElHQVRJT05fU0VSVklDRV9DT1NUX0ZPUkVJR04uMTk5Ny4wNi8wMy8yMDI2Li4uVVNELkgBAAAA3rYBAAMAAAAAADm7oufNe94I2PLvOM573ghAQ0lRLk5ZU0U6SUJNLklRX09QRUJfRVNUX0JFTkVGSVRfMVlSX0RPTS4xOTk3LjA2LzAzLzIwMjYuLi5VU0QuSAEAAADetgEAAwAAAAAAObui58173gify+84znveCDZDSVEuTllTRTpJQk0uSVFfT1BFQl9ESVNDX1JBVEVfTUlOX0RPTS4xOTk3LjA2LzAzLzIwMjYBAAAA3rYBAAMAAAAAADm7oufNe94In8vvOM573gg/Q0lRLk5ZU0U6SUJNLklRX09QRUJfQVNTRVRTX0NVUlRBSUxfRE9NLjE5OTcuMDYvMDMvMjAyNi4uLlVTRC5IAQAAAN62AQADAAAAAAA5u6LnzXveCJ/L7zjOe94IQkNJUS5OWVNFOklCTS5JUV9PUEVCX09CTElHQVRJT05fRlhfQURKX0RPTS4xOTk3LjA2LzAzLzIwMjYuLi5VU0QuSAEAAADetgEAAwAAAAAAObui58173gjY8u84znveCD1DSVEuTllTRTpJQk0uSVFfT1BFQl9TRVJWSUNFX0NPU1RfRE9NLjE5OTcuMDYvMDMvMjAyNi4uLlVTRC5IAQAA</t>
  </si>
  <si>
    <t>AN62AQADAAAAAAA5u6LnzXveCNjy7zjOe94ISkNJUS5OWVNFOklCTS5JUV9QRU5TSU9OX1VORlVOREVEX0FERExfTUlOX0xJQUJfRE9NLjE5OTcuMDYvMDMvMjAyNi4uLlVTRC5IAQAAAN62AQADAAAAAAA5u6LnzXveCNjy7zjOe94IQENJUS5OWVNFOklCTS5JUV9QRU5TSU9OX0FDQ1JVRURfTElBQl9ET00uMTk5Ny4wNi8wMy8yMDI2Li4uVVNELkgBAAAA3rYBAAMAAAAAADm7oufNe94I2PLvOM573ghDQ0lRLk5ZU0U6SUJNLklRX1BFTlNJT05fRVNUX0JFTkVGSVRfNVlSX0RPTS4xOTk3LjA2LzAzLzIwMjYuLi5VU0QuSAEAAADetgEAAwAAAAAAObui58173gjY8u84znveCEhDSVEuTllTRTpJQk0uSVFfT1BFQl9JTkNSRUFTRV9FRkZFQ1RfUEJPX0ZPUkVJR04uMTk5Ny4wNi8wMy8yMDI2Li4uVVNELkgBAAAA3rYBAAMAAAAAADm7oufNe94I2PLvOM573ghBQ0lRLk5ZU0U6SUJNLklRX1BFTlNJT05fT1RIRVJfQURKX0ZPUkVJR04uMTk5Ny4wNi8wMy8yMDI2Li4uVVNELkgBAAAA3rYBAAMAAAAAADm7oufNe94I2PLvOM573ghAQ0lRLk5ZU0U6SUJNLklRX1BFTlNJT05fQlJFQUtET1dOX1BDVF9GSV9GT1JFSUdOLjE5OTcuMDYvMDMvMjAyNgEAAADetgEAAwAAAAAAObui58173gjY8u84znveCEZDSVEuTllTRTpJQk0uSVFfUEVOU0lPTl9PQkxJR0FUSU9OX0FDUV9GT1JFSUdOLjE5OTcuMDYvMDMvMjAy</t>
  </si>
  <si>
    <t>Ni4uLlVTRC5IAQAAAN62AQADAAAAAAA5u6LnzXveCNjy7zjOe94IM0NJUS5OWVNFOklCTS5JUV9PUEVCX0NMX0RPTS4xOTk3LjA2LzAzLzIwMjYuLi5VU0QuSAEAAADetgEAAwAAAAAAObui58173gjY8u84znveCEBDSVEuTllTRTpJQk0uSVFfT1BFQl9CUkVBS0RPV05fT1RIRVJfRE9NLjE5OTcuMDYvMDMvMjAyNi4uLlVTRC5IAQAAAN62AQADAAAAAAA5u6LnzXveCKoZ8DjOe94ISkNJUS5OWVNFOklCTS5JUV9QRU5TSU9OX1BCT19SQVRFX0NPTVBfSU5DUkVBU0VfTUFYX0ZPUkVJR04uMTk5Ny4wNi8wMy8yMDI2AQAAAN62AQADAAAAAAA5u6LnzXveCKoZ8DjOe94IR0NJUS5OWVNFOklCTS5JUV9QRU5TSU9OX0JSRUFLRE9XTl9PVEhFUl9GT1JFSUdOLjE5OTcuMDYvMDMvMjAyNi4uLlVTRC5IAQAAAN62AQADAAAAAAA5u6LnzXveCKoZ8DjOe94ITENJUS5OWVNFOklCTS5JUV9QRU5TSU9OX0FTU0VUU19BQ1RVQUxfUkVUVVJOX0ZPUkVJR04uMTk5Ny4wNi8wMy8yMDI2Li4uVVNELkgBAAAA3rYBAAMAAAAAADm7oufNe94IqhnwOM573ghQQ0lRLk5ZU0U6SUJNLklRX1BFTlNJT05fRVNUX0NPTlRSSUJVVElPTlNfTkVYVFlSX0ZPUkVJR04uMTk5Ny4wNi8wMy8yMDI2Li4uVVNELkgBAAAA3rYBAAMAAAAAADm7oufNe94I2PLvOM573ghIQ0lRLk5ZU0U6SUJNLklRX1BFTlNJT05fUEJPX0FTU1VNRURfUkFU</t>
  </si>
  <si>
    <t>RV9SRVRfTUFYX0ZPUkVJR04uMTk5Ny4wNi8wMy8yMDI2AQAAAN62AQADAAAAAAA5u6LnzXveCKoZ8DjOe94IPUNJUS5OWVNFOklCTS5JUV9QRU5TSU9OX0RJU0NfUkFURV9NSU5fRk9SRUlHTi4xOTk3LjA2LzAzLzIwMjYBAAAA3rYBAAMAAAAAADm7oufNe94IqhnwOM573ghfQ0lRLk5ZU0U6SUJNLklRX1BFTlNJT05fT0JMSUdBVElPTl9UT1RBTF9DT1NUX0lOQ0xfU1VQUExFX1BMQU5TX0ZPUkVJR04uMTk5Ny4wNi8wMy8yMDI2Li4uVVNELkgBAAAA3rYBAAMAAAAAADm7oufNe94IqhnwOM573ghEQ0lRLk5ZU0U6SUJNLklRX09QRUJfRVNUX0JFTkVGSVRfMVlSX0ZPUkVJR04uMTk5Ny4wNi8wMy8yMDI2Li4uVVNELkgBAAAA3rYBAAMAAAAAADm7oufNe94IqhnwOM573ghRQ0lRLk5ZU0U6SUJNLklRX09QRUJfVE9UQUxfQ09TVF9JTkNMX1NVUFBMRV9QTEFOU19GT1JFSUdOLjE5OTcuMDYvMDMvMjAyNi4uLlVTRC5IAQAAAN62AQADAAAAAAA5u6LnzXveCKoZ8DjOe94IRENJUS5OWVNFOklCTS5JUV9PUEVCX05FVF9BU1NFVF9SRUNPR19GT1JFSUdOLjE5OTcuMDYvMDMvMjAyNi4uLlVTRC5IAQAAAN62AQADAAAAAAA5u6LnzXveCMlA8DjOe94IQ0NJUS5OWVNFOklCTS5JUV9PUEVCX1JBVEVfQ09NUF9JTkNSRUFTRV9NSU5fRk9SRUlHTi4xOTk3LjA2LzAzLzIwMjYBAAAA3rYBAAMAAAAAADm7oufNe94I</t>
  </si>
  <si>
    <t>yUDwOM573gg/Q0lRLk5ZU0U6SUJNLklRX09QRUJfQVNTRVRTX0JFR19GT1JFSUdOLjE5OTcuMDYvMDMvMjAyNi4uLlVTRC5IAQAAAN62AQADAAAAAAA5u6LnzXveCKoZ8DjOe94IQUNJUS5OWVNFOklCTS5JUV9QRU5TSU9OX0xUX0FTU0VUU19GT1JFSUdOLjE5OTcuMDYvMDMvMjAyNi4uLlVTRC5IAQAAAN62AQADAAAAAAA5u6LnzXveCKoZ8DjOe94IRENJUS5OWVNFOklCTS5JUV9QRU5TSU9OX0lOVEFOX0FTU0VUU19GT1JFSUdOLjE5OTcuMDYvMDMvMjAyNi4uLlVTRC5IAQAAAN62AQADAAAAAAA5u6LnzXveCKoZ8DjOe94IRENJUS5OWVNFOklCTS5JUV9QRU5TSU9OX1BSRVBBSURfQ09TVF9GT1JFSUdOLjE5OTcuMDYvMDMvMjAyNi4uLlVTRC5IAQAAAN62AQADAAAAAAA5u6LnzXveCMlA8DjOe94IRkNJUS5OWVNFOklCTS5JUV9QRU5TSU9OX0FNVF9SRUNPR19ORVhUX0ZPUkVJR04uMTk5Ny4wNi8wMy8yMDI2Li4uVVNELkgBAAAA3rYBAAMAAAAAADm7oufNe94IyUDwOM573ghJQ0lRLk5ZU0U6SUJNLklRX09QRUJfQVNTRVRTX0JFTkVGSVRTX1BBSURfRk9SRUlHTi4xOTk3LjA2LzAzLzIwMjYuLi5VU0QuSAEAAADetgEAAwAAAAAAObui58173gjJQPA4znveCEBDSVEuTllTRTpJQk0uSVFfQVVNX05FVF9JTkZMT1dTX09VVEZMT1dTLjE5OTcuMDYvMDMvMjAyNi4uLlVTRC5IAQAAAN62AQADAAAAAAA5</t>
  </si>
  <si>
    <t>u6LnzXveCMlA8DjOe94IRUNJUS5OWVNFOklCTS5JUV9QRU5TSU9OX1VOUkVDT0dfUFJJT1JfRk9SRUlHTi4xOTk3LjA2LzAzLzIwMjYuLi5VU0QuSAEAAADetgEAAwAAAAAAObui58173gjJQPA4znveCD1DSVEuTllTRTpJQk0uSVFfT1BFQl9QUkVQQUlEX0NPU1RfRE9NLjE5OTcuMDYvMDMvMjAyNi4uLlVTRC5IAQAAAN62AQADAAAAAAA5u6LnzXveCMlA8DjOe94IUENJUS5OWVNFOklCTS5JUV9QRU5TSU9OX1FVQVJUX0FERExfQ09OVFJJQlVUSU9OU19FWFBfRE9NLjE5OTcuMDYvMDMvMjAyNi4uLlVTRC5IAQAAAN62AQADAAAAAAA5u6LnzXveCMlA8DjOe94IRENJUS5OWVNFOklCTS5JUV9QRU5TSU9OX1BCT19BU1NVTUVEX1JBVEVfUkVUX01BWF9ET00uMTk5Ny4wNi8wMy8yMDI2AQAAAN62AQADAAAAAAA5u6LnzXveCMlA8DjOe94IQENJUS5OWVNFOklCTS5JUV9QRU5TSU9OX0JSRUFLRE9XTl9SRV9ET00uMTk5Ny4wNi8wMy8yMDI2Li4uVVNELkgBAAAA3rYBAAMAAAAAADm7oufNe94IyUDwOM573gg/Q0lRLk5ZU0U6SUJNLklRX09QRUJfQU1UX1JFQ09HX05FWFRfRE9NLjE5OTcuMDYvMDMvMjAyNi4uLlVTRC5IAQAAAN62AQADAAAAAAA5u6LnzXveCMlA8DjOe94IPUNJUS5OWVNFOklCTS5JUV9PUEVCX0JSRUFLRE9XTl9GSV9ET00uMTk5Ny4wNi8wMy8yMDI2Li4uVVNELkgBAAAA3rYBAAMAAAAA</t>
  </si>
  <si>
    <t>ADm7oufNe94IyUDwOM573gg2Q0lRLk5ZU0U6SUJNLklRX09QRUJfRElTQ19SQVRFX01BWF9ET00uMTk5Ny4wNi8wMy8yMDI2AQAAAN62AQADAAAAAAA5u6LnzXveCMlA8DjOe94ISUNJUS5OWVNFOklCTS5JUV9PUEVCX09CTElHQVRJT05fSU5URVJFU1RfQ09TVF9ET00uMTk5Ny4wNi8wMy8yMDI2Li4uVVNELkgBAAAA3rYBAAMAAAAAADm7oufNe94IyUDwOM573gg9Q0lRLk5ZU0U6SUJNLklRX1BFTlNJT05fQkVORUZJVF9JTkZPX0RBVEVfRE9NLjE5OTcuMDYvMDMvMjAyNgEAAADetgEAAwAAAAAAObui58173gjJQPA4znveCDZDSVEuTllTRTpJQk0uSVFfUEVOU0lPTl9DTF9ET00uMTk5Ny4wNi8wMy8yMDI2Li4uVVNELkgBAAAA3rYBAAMAAAAAADm7oufNe94IyUDwOM573ghCQ0lRLk5ZU0U6SUJNLklRX1BFTlNJT05fQU1UX1JFQ09HX05FWFRfRE9NLjE5OTcuMDYvMDMvMjAyNi4uLlVTRC5IAQAAAN62AQADAAAAAAA5u6LnzXveCMlA8DjOe94IP0NJUS5OWVNFOklCTS5JUV9PUEVCX0VYUF9SRVRVUk5fRk9SRUlHTi4xOTk3LjA2LzAzLzIwMjYuLi5VU0QuSAEAAADetgEAAwAAAAAAObui58173gjJQPA4znveCEJDSVEuTllTRTpJQk0uSVFfUEVOU0lPTl9FWFBfUkVUVVJOX0ZPUkVJR04uMTk5Ny4wNi8wMy8yMDI2Li4uVVNELkgBAAAA3rYBAAMAAAAAADm7oufNe94IyUDwOM573ghDQ0lRLk5ZU0U6</t>
  </si>
  <si>
    <t>SUJNLklRX09QRUJfUEJPX1JBVEVfQ09NUF9JTkNSRUFTRV9NSU5fRE9NLjE5OTcuMDYvMDMvMjAyNgEAAADetgEAAwAAAAAAObui58173gjJQPA4znveCEFDSVEuTllTRTpJQk0uSVFfT1BFQl9DSV9ORVRfQU1UX1JFQ09HX0RPTS4xOTk3LjA2LzAzLzIwMjYuLi5VU0QuSAEAAADetgEAAwAAAAAAObui58173giLi/A4znveCEdDSVEuTllTRTpJQk0uSVFfT1BFQl9PQkxJR0FUSU9OX0FDQ1VNVUxBVEVEX0RPTS4xOTk3LjA2LzAzLzIwMjYuLi5VU0QuSAEAAADetgEAAwAAAAAAObui58173giLi/A4znveCEBDSVEuTllTRTpJQk0uSVFfT1BFQl9PQkxJR0FUSU9OX1BBSURfRE9NLjE5OTcuMDYvMDMvMjAyNi4uLlVTRC5IAQAAAN62AQADAAAAAAA5u6LnzXveCIuL8DjOe94IQENJUS5OWVNFOklCTS5JUV9QRU5TSU9OX1BSRVBBSURfQ09TVF9ET00uMTk5Ny4wNi8wMy8yMDI2Li4uVVNELkgBAAAA3rYBAAMAAAAAADm7oufNe94IyUDwOM573ghAQ0lRLk5ZU0U6SUJNLklRX1BFTlNJT05fQlJFQUtET1dOX0VRX0RPTS4xOTk3LjA2LzAzLzIwMjYuLi5VU0QuSAEAAADetgEAAwAAAAAAObui58173gjJQPA4znveCEJDSVEuTllTRTpJQk0uSVFfUEVOU0lPTl9SQVRFX0NPTVBfSU5DUkVBU0VfTUlOX0RPTS4xOTk3LjA2LzAzLzIwMjYBAAAA3rYBAAMAAAAAADm7oufNe94IAbPwOM573ghRQ0lRLk5ZU0U6SUJN</t>
  </si>
  <si>
    <t>LklRX1BFTlNJT05fQVNTRVRTX0VNUExPWUVSX0NPTlRSSUJVVElPTlNfRE9NLjE5OTcuMDYvMDMvMjAyNi4uLlVTRC5IAQAAAN62AQADAAAAAAA5u6LnzXveCAGz8DjOe94IT0NJUS5OWVNFOklCTS5JUV9QRU5TSU9OX0FDQ1VNVUxBVEVEX09CTElHQVRJT05fRE9NRVNUSUMuMTk5Ny4wNi8wMy8yMDI2Li4uVVNELkgBAAAA3rYBAAMAAAAAADm7oufNe94IAbPwOM573ghFQ0lRLk5ZU0U6SUJNLklRX1BFTlNJT05fQ0lfVFJBTlNJVElPTl9GT1JFSUdOLjE5OTcuMDYvMDMvMjAyNi4uLlVTRC5IAQAAAN62AQADAAAAAAA5u6LnzXveCAGz8DjOe94ISkNJUS5OWVNFOklCTS5JUV9QRU5TSU9OX09CTElHQVRJT05fQ1VSVEFJTF9GT1JFSUdOLjE5OTcuMDYvMDMvMjAyNi4uLlVTRC5IAQAAAN62AQADAAAAAAA5u6LnzXveCAGz8DjOe94IRUNJUS5OWVNFOklCTS5JUV9QRU5TSU9OX0lOVEVSRVNUX0NPU1RfRk9SRUlHTi4xOTk3LjA2LzAzLzIwMjYuLi5VU0QuSAEAAADetgEAAwAAAAAAObui58173ggBs/A4znveCDZDSVEuTllTRTpJQk0uSVFfT1BFQl9PVEhFUl9ET00uMTk5Ny4wNi8wMy8yMDI2Li4uVVNELkgBAAAA3rYBAAMAAAAAADm7oufNe94IAbPwOM573ghAQ0lRLk5ZU0U6SUJNLklRX09QRUJfRVNUX0JFTkVGSVRfM1lSX0RPTS4xOTk3LjA2LzAzLzIwMjYuLi5VU0QuSAEAAADetgEAAwAAAAAAObui</t>
  </si>
  <si>
    <t>58173ggBs/A4znveCE5DSVEuTllTRTpJQk0uSVFfT1BFQl9BU1NFVFNfRU1QTE9ZRVJfQ09OVFJJQlVUSU9OU19ET00uMTk5Ny4wNi8wMy8yMDI2Li4uVVNELkgBAAAA3rYBAAMAAAAAADm7oufNe94IAbPwOM573ghDQ0lRLk5ZU0U6SUJNLklRX1BFTlNJT05fTkVUX0FTU0VUX1JFQ09HX0RPTS4xOTk3LjA2LzAzLzIwMjYuLi5VU0QuSAEAAADetgEAAwAAAAAAObui58173ggBs/A4znveCDxDSVEuTllTRTpJQk0uSVFfUEVOU0lPTl9BQ1RfTkVYVF9ET00uMTk5Ny4wNi8wMy8yMDI2Li4uVVNELkgBAAAA3rYBAAMAAAAAADm7oufNe94ID9rwOM573gg8Q0lRLk5ZU0U6SUJNLklRX09QRUJfRVhQX1JBVEVfUkVUVVJOX01JTl9ET00uMTk5Ny4wNi8wMy8yMDI2AQAAAN62AQADAAAAAAA5u6LnzXveCA/a8DjOe94IQENJUS5OWVNFOklCTS5JUV9QRU5TSU9OX0lOVEFOX0FTU0VUU19ET00uMTk5Ny4wNi8wMy8yMDI2Li4uVVNELkgBAAAA3rYBAAMAAAAAADm7oufNe94ID9rwOM573ghEQ0lRLk5ZU0U6SUJNLklRX1BFTlNJT05fQ0lfTkVUX0FNVF9SRUNPR19ET00uMTk5Ny4wNi8wMy8yMDI2Li4uVVNELkgBAAAA3rYBAAMAAAAAADm7oufNe94ID9rwOM573gg8Q0lRLk5ZU0U6SUJNLklRX1BFTlNJT05fQlJFQUtET1dOX1BDVF9SRV9ET00uMTk5Ny4wNi8wMy8yMDI2AQAAAN62AQADAAAAAAA5u6LnzXveCAGz</t>
  </si>
  <si>
    <t>8DjOe94IPkNJUS5OWVNFOklCTS5JUV9QRU5TSU9OX0FTU0VUU19BQ1FfRE9NLjE5OTcuMDYvMDMvMjAyNi4uLlVTRC5IAQAAAN62AQADAAAAAAA5u6LnzXveCOXt8DjOe94IQ0NJUS5OWVNFOklCTS5JUV9QRU5TSU9OX09CTElHQVRJT05fUEFJRF9ET00uMTk5Ny4wNi8wMy8yMDI2Li4uVVNELkgBAAAA3rYBAAMAAAAAADm7oufNe94I5e3wOM573gg+Q0lRLk5ZU0U6SUJNLklRX09QRUJfSEVBTFRIX0NPU1RfVFJFTkRfSU5JVElBTC4xOTk3LjA2LzAzLzIwMjYBAAAA3rYBAAMAAAAAADm7oufNe94I5e3wOM573ghAQ0lRLk5ZU0U6SUJNLklRX09QRUJfSU5DUkVBU0VfRUZGRUNUX1BCTy4xOTk3LjA2LzAzLzIwMjYuLi5VU0QuSAEAAADetgEAAwAAAAAAObui58173gjl7fA4znveCD9DSVEuTllTRTpJQk0uSVFfT1BFQl9FU1RfQkVORUZJVF9BRlRFUjUuMTk5Ny4wNi8wMy8yMDI2Li4uVVNELkgBAAAA3rYBAAMAAAAAADm7oufNe94ID9rwOM573gg/Q0lRLk5ZU0U6SUJNLklRX09QRUJfUFJJT1JfU0VSVklDRV9ORVhULjE5OTcuMDYvMDMvMjAyNi4uLlVTRC5IAQAAAN62AQADAAAAAAA5u6LnzXveCMAE8TjOe94INUNJUS5OWVNFOklCTS5JUV9PUEVCX0JSRUFLRE9XTl9QQ1RfRVEuMTk5Ny4wNi8wMy8yMDI2AQAAAN62AQADAAAAAAA5u6LnzXveCMAE8TjOe94ISkNJUS5OWVNFOklCTS5JUV9PUEVCX0FT</t>
  </si>
  <si>
    <t>U0VUU19QQVJUSUNJUF9DT05UUklCVVRJT05TLjE5OTcuMDYvMDMvMjAyNi4uLlVTRC5IAQAAAN62AQADAAAAAAA5u6LnzXveCMAE8TjOe94IN0NJUS5OWVNFOklCTS5JUV9PUEVCX0FTU0VUU19CRUcuMTk5Ny4wNi8wMy8yMDI2Li4uVVNELkgBAAAA3rYBAAMAAAAAADm7oufNe94I5e3wOM573gg3Q0lRLk5ZU0U6SUJNLklRX1BPU1RfUkVUSVJFX0VYUC4xOTk3LjA2LzAzLzIwMjYuLi5VU0QuSAEAAADetgEAAwAAAAAAObui58173gjl7fA4znveCExDSVEuTllTRTpJQk0uSVFfUEVOU0lPTl9BU1NFVFNfQkVORUZJVFNfUEFJRF9GT1JFSUdOLjE5OTcuMDYvMDMvMjAyNi4uLlVTRC5IAQAAAN62AQADAAAAAAA5u6LnzXveCMAE8TjOe94IWUNJUS5OWVNFOklCTS5JUV9QRU5TSU9OX09CTElHQVRJT05fRU1QTE9ZRUVfQ09OVFJJQlVUSU9OU19GT1JFSUdOLjE5OTcuMDYvMDMvMjAyNi4uLlVTRC5IAQAAAN62AQADAAAAAAA5u6LnzXveCMAE8TjOe94IUUNJUS5OWVNFOklCTS5JUV9PUEVCX0lOQ1JFQVNFX0VGRkVDVF9TRVJWSUNFX0lOVF9DT1NUX0RPTS4xOTk3LjA2LzAzLzIwMjYuLi5VU0QuSAEAAADetgEAAwAAAAAAObui58173gjABPE4znveCEBDSVEuTllTRTpJQk0uSVFfT1BFQl9UUkFOU0lUSU9OX05FWFRfRE9NLjE5OTcuMDYvMDMvMjAyNi4uLlVTRC5IAQAAAN62AQADAAAAAAA5u6LnzXveCMAE</t>
  </si>
  <si>
    <t>8TjOe94IRENJUS5OWVNFOklCTS5JUV9PUEVCX09CTElHQVRJT05fUEFJRF9GT1JFSUdOLjE5OTcuMDYvMDMvMjAyNi4uLlVTRC5IAQAAAN62AQADAAAAAAA5u6LnzXveCMAE8TjOe94IP0NJUS5OWVNFOklCTS5JUV9QRU5TSU9OX0xUX0xJQUJfRk9SRUlHTi4xOTk3LjA2LzAzLzIwMjYuLi5VU0QuSAEAAADetgEAAwAAAAAAObui58173gg+LPE4znveCFZDSVEuTllTRTpJQk0uSVFfUEVOU0lPTl9PQkxJR0FUSU9OX1NVUFBMRV9QTEFOU19UT1RBTF9DT1NUX0RPTS4xOTk3LjA2LzAzLzIwMjYuLi5VU0QuSAEAAADetgEAAwAAAAAAeuKi58173gjGDvQ4znveCD9DSVEuTllTRTpJQk0uSVFfT1BFQl9BQ0NVTV9PVEhFUl9DSV9ET00uMTk5Ny4wNi8wMy8yMDI2Li4uVVNELkgBAAAA3rYBAAMAAAAAADm7oufNe94IwATxOM573gg3Q0lRLk5ZU0U6SUJNLklRX09QRUJfQ0lfQUNUX0RPTS4xOTk3LjA2LzAzLzIwMjYuLi5VU0QuSAEAAADetgEAAwAAAAAAObui58173gjABPE4znveCEVDSVEuTllTRTpJQk0uSVFfT1BFQl9BU1NFVFNfQUNUVUFMX1JFVFVSTl9ET00uMTk5Ny4wNi8wMy8yMDI2Li4uVVNELkgBAAAA3rYBAAMAAAAAADm7oufNe94IwATxOM573gg/Q0lRLk5ZU0U6SUJNLklRX09QRUJfT0JMSUdBVElPTl9BQ1FfRE9NLjE5OTcuMDYvMDMvMjAyNi4uLlVTRC5IAQAAAN62AQADAAAAAAA5u6LnzXve</t>
  </si>
  <si>
    <t>CD4s8TjOe94IQ0NJUS5OWVNFOklCTS5JUV9QRU5TSU9OX0VTVF9CRU5FRklUXzRZUl9ET00uMTk5Ny4wNi8wMy8yMDI2Li4uVVNELkgBAAAA3rYBAAMAAAAAADm7oufNe94IPizxOM573ghBQ0lRLk5ZU0U6SUJNLklRX1BFTlNJT05fQ0lfVFJBTlNJVElPTl9ET00uMTk5Ny4wNi8wMy8yMDI2Li4uVVNELkgBAAAA3rYBAAMAAAAAADm7oufNe94IPizxOM573ghQQ0lRLk5ZU0U6SUJNLklRX1BFTlNJT05fT0JMSUdBVElPTl9JTlRFUkVTVF9DT1NUX0ZPUkVJR04uMTk5Ny4wNi8wMy8yMDI2Li4uVVNELkgBAAAA3rYBAAMAAAAAADm7oufNe94IPizxOM573ghAQ0lRLk5ZU0U6SUJNLklRX09QRUJfRVNUX0JFTkVGSVRfMllSX0RPTS4xOTk3LjA2LzAzLzIwMjYuLi5VU0QuSAEAAADetgEAAwAAAAAAObui58173gg+LPE4znveCEVDSVEuTllTRTpJQk0uSVFfT1BFQl9PQkxJR0FUSU9OX1BST0pFQ1RFRF9ET00uMTk5Ny4wNi8wMy8yMDI2Li4uVVNELkgBAAAA3rYBAAMAAAAAADm7oufNe94IPizxOM573ghGQ0lRLk5ZU0U6SUJNLklRX1BFTlNJT05fRVNUX0JFTkVGSVRfQUZURVI1X0RPTS4xOTk3LjA2LzAzLzIwMjYuLi5VU0QuSAEAAADetgEAAwAAAAAAObui58173gg+LPE4znveCEZDSVEuTllTRTpJQk0uSVFfUEVOU0lPTl9QQk9fUkFURV9DT01QX0lOQ1JFQVNFX01BWF9ET00uMTk5Ny4wNi8wMy8yMDI2</t>
  </si>
  <si>
    <t>AQAAAN62AQADAAAAAAA5u6LnzXveCD4s8TjOe94IQUNJUS5OWVNFOklCTS5JUV9QRU5TSU9OX0JFTkVGSVRfSU5GT19EQVRFX0ZPUkVJR04uMTk5Ny4wNi8wMy8yMDI2AQAAAN62AQADAAAAAAA5u6LnzXveCD4s8TjOe94IQ0NJUS5OWVNFOklCTS5JUV9QRU5TSU9OX0VYUF9SQVRFX1JFVFVSTl9NQVhfRk9SRUlHTi4xOTk3LjA2LzAzLzIwMjYBAAAA3rYBAAMAAAAAADm7oufNe94IHGfxOM573gg+Q0lRLk5ZU0U6SUJNLklRX09QRUJfSU5URVJFU1RfQ09TVF9ET00uMTk5Ny4wNi8wMy8yMDI2Li4uVVNELkgBAAAA3rYBAAMAAAAAADm7oufNe94IPizxOM573gg9Q0lRLk5ZU0U6SUJNLklRX1BFTlNJT05fT1RIRVJfQURKX0RPTS4xOTk3LjA2LzAzLzIwMjYuLi5VU0QuSAEAAADetgEAAwAAAAAAObui58173gg+LPE4znveCD1DSVEuTllTRTpJQk0uSVFfUEVOU0lPTl9MVF9BU1NFVFNfRE9NLjE5OTcuMDYvMDMvMjAyNi4uLlVTRC5IAQAAAN62AQADAAAAAAA5u6LnzXveCD4s8TjOe94IQkNJUS5OWVNFOklCTS5JUV9QRU5TSU9OX0FTU0VUU19DVVJUQUlMX0RPTS4xOTk3LjA2LzAzLzIwMjYuLi5VU0QuSAEAAADetgEAAwAAAAAAObui58173gg+LPE4znveCEhDSVEuTllTRTpJQk0uSVFfUEVOU0lPTl9BU1NFVFNfQkVORUZJVFNfUEFJRF9ET00uMTk5Ny4wNi8wMy8yMDI2Li4uVVNELkgBAAAA3rYBAAMA</t>
  </si>
  <si>
    <t>AAAAADm7oufNe94IHGfxOM573ghVQ0lRLk5ZU0U6SUJNLklRX1BFTlNJT05fT0JMSUdBVElPTl9FTVBMT1lFRV9DT05UUklCVVRJT05TX0RPTS4xOTk3LjA2LzAzLzIwMjYuLi5VU0QuSAEAAADetgEAAwAAAAAAObui58173ggcZ/E4znveCE1DSVEuTllTRTpJQk0uSVFfT1BFQl9UT1RBTF9DT1NUX0lOQ0xfU1VQUExFX1BMQU5TX0RPTS4xOTk3LjA2LzAzLzIwMjYuLi5VU0QuSAEAAADetgEAAwAAAAAAObui58173ggcZ/E4znveCD9DSVEuTllTRTpJQk0uSVFfUEVOU0lPTl9CUkVBS0RPV05fUENUX09USEVSX0RPTS4xOTk3LjA2LzAzLzIwMjYBAAAA3rYBAAMAAAAAADm7oufNe94IHGfxOM573ghUQ0lRLk5ZU0U6SUJNLklRX1BFTlNJT05fUVVBUlRfQURETF9DT05UUklCVVRJT05TX0VYUF9GT1JFSUdOLjE5OTcuMDYvMDMvMjAyNi4uLlVTRC5IAQAAAN62AQADAAAAAAA5u6LnzXveCBxn8TjOe94ISENJUS5OWVNFOklCTS5JUV9QRU5TSU9OX0NJX1BSSU9SX1NFUlZJQ0VfRk9SRUlHTi4xOTk3LjA2LzAzLzIwMjYuLi5VU0QuSAEAAADetgEAAwAAAAAAObui58173giijvE4znveCDpDSVEuTllTRTpJQk0uSVFfUEVOU0lPTl9DTF9GT1JFSUdOLjE5OTcuMDYvMDMvMjAyNi4uLlVTRC5IAQAAAN62AQADAAAAAAA5u6LnzXveCBxn8TjOe94IQ0NJUS5OWVNFOklCTS5JUV9QRU5TSU9OX0JSRUFLRE9XTl9Q</t>
  </si>
  <si>
    <t>Q1RfT1RIRVJfRk9SRUlHTi4xOTk3LjA2LzAzLzIwMjYBAAAA3rYBAAMAAAAAADm7oufNe94IHGfxOM573ghAQ0lRLk5ZU0U6SUJNLklRX1BFTlNJT05fQUNUX05FWFRfRk9SRUlHTi4xOTk3LjA2LzAzLzIwMjYuLi5VU0QuSAEAAADetgEAAwAAAAAAObui58173ggcZ/E4znveCDhDSVEuTllTRTpJQk0uSVFfT1BFQl9MVF9MSUFCX0RPTS4xOTk3LjA2LzAzLzIwMjYuLi5VU0QuSAEAAADetgEAAwAAAAAAObui58173ggcZ/E4znveCExDSVEuTllTRTpJQk0uSVFfT1BFQl9PQkxJR0FUSU9OX1NFUlZJQ0VfQ09TVF9GT1JFSUdOLjE5OTcuMDYvMDMvMjAyNi4uLlVTRC5IAQAAAN62AQADAAAAAAA5u6LnzXveCKKO8TjOe94IPkNJUS5OWVNFOklCTS5JUV9QRU5TSU9OX0NJX0FDVF9GT1JFSUdOLjE5OTcuMDYvMDMvMjAyNi4uLlVTRC5IAQAAAN62AQADAAAAAAA5u6LnzXveCKKO8TjOe94ITUNJUS5OWVNFOklCTS5JUV9QRU5TSU9OX0FTU0VUU19PVEhFUl9QTEFOX0FESl9GT1JFSUdOLjE5OTcuMDYvMDMvMjAyNi4uLlVTRC5IAQAAAN62AQADAAAAAAA5u6LnzXveCKKO8TjOe94ISkNJUS5OWVNFOklCTS5JUV9QRU5TSU9OX1BSSU9SX1NFUlZJQ0VfTkVYVF9GT1JFSUdOLjE5OTcuMDYvMDMvMjAyNi4uLlVTRC5IAQAAAN62AQADAAAAAAA5u6LnzXveCKKO8TjOe94IOkNJUS5OWVNFOklCTS5JUV9PUEVCX0JF</t>
  </si>
  <si>
    <t>TkVGSVRfSU5GT19EQVRFX0RPTS4xOTk3LjA2LzAzLzIwMjYBAAAA3rYBAAMAAAAAADm7oufNe94Ioo7xOM573ghGQ0lRLk5ZU0U6SUJNLklRX1BFTlNJT05fQVNTRVRTX0NVUlRBSUxfRk9SRUlHTi4xOTk3LjA2LzAzLzIwMjYuLi5VU0QuSAEAAADetgEAAwAAAAAAObui58173giijvE4znveCEdDSVEuTllTRTpJQk0uSVFfUEVOU0lPTl9PQkxJR0FUSU9OX1BBSURfRk9SRUlHTi4xOTk3LjA2LzAzLzIwMjYuLi5VU0QuSAEAAADetgEAAwAAAAAAObui58173giijvE4znveCFFDSVEuTllTRTpJQk0uSVFfT1BFQl9ERUNSRUFTRV9FRkZFQ1RfU0VSVklDRV9JTlRfQ09TVF9ET00uMTk5Ny4wNi8wMy8yMDI2Li4uVVNELkgBAAAA3rYBAAMAAAAAADm7oufNe94Ioo7xOM573ghAQ0lRLk5ZU0U6SUJNLklRX09QRUJfRVNUX0JFTkVGSVRfNFlSX0RPTS4xOTk3LjA2LzAzLzIwMjYuLi5VU0QuSAEAAADetgEAAwAAAAAAObui58173giijvE4znveCERDSVEuTllTRTpJQk0uSVFfUEVOU0lPTl9QQk9fQVNTVU1FRF9SQVRFX1JFVF9NSU5fRE9NLjE5OTcuMDYvMDMvMjAyNgEAAADetgEAAwAAAAAAObui58173giCuPE4znveCEBDSVEuTllTRTpJQk0uSVFfUEVOU0lPTl9CUkVBS0RPV05fRklfRE9NLjE5OTcuMDYvMDMvMjAyNi4uLlVTRC5IAQAAAN62AQADAAAAAAA5u6LnzXveCIK48TjOe94IQkNJUS5OWVNFOklC</t>
  </si>
  <si>
    <t>TS5JUV9QRU5TSU9OX1JBVEVfQ09NUF9JTkNSRUFTRV9NQVhfRE9NLjE5OTcuMDYvMDMvMjAyNgEAAADetgEAAwAAAAAAObui58173giijvE4znveCFFDSVEuTllTRTpJQk0uSVFfUEVOU0lPTl9BU1NFVFNfUEFSVElDSVBfQ09OVFJJQlVUSU9OU19ET00uMTk5Ny4wNi8wMy8yMDI2Li4uVVNELkgBAAAA3rYBAAMAAAAAADm7oufNe94Ioo7xOM573ghMQ0lRLk5ZU0U6SUJNLklRX1BFTlNJT05fT0JMSUdBVElPTl9JTlRFUkVTVF9DT1NUX0RPTS4xOTk3LjA2LzAzLzIwMjYuLi5VU0QuSAEAAADetgEAAwAAAAAAObui58173giijvE4znveCDZDSVEuTllTRTpJQk0uSVFfT1BFQl9PVEhFUl9BREouMTk5Ny4wNi8wMy8yMDI2Li4uVVNELkgBAAAA3rYBAAMAAAAAADm7oufNe94IgrjxOM573gg8Q0lRLk5ZU0U6SUJNLklRX09QRUJfRVNUX0JFTkVGSVRfM1lSLjE5OTcuMDYvMDMvMjAyNi4uLlVTRC5IAQAAAN62AQADAAAAAAA5u6LnzXveCIK48TjOe94IQENJUS5OWVNFOklCTS5JUV9QRU5TSU9OX0JSRUFLRE9XTl9QQ1RfUkVfRk9SRUlHTi4xOTk3LjA2LzAzLzIwMjYBAAAA3rYBAAMAAAAAADm7oufNe94IgrjxOM573ghVQ0lRLk5ZU0U6SUJNLklRX1BFTlNJT05fQVNTRVRTX0VNUExPWUVSX0NPTlRSSUJVVElPTlNfRk9SRUlHTi4xOTk3LjA2LzAzLzIwMjYuLi5VU0QuSAEAAADetgEAAwAAAAAAObui5817</t>
  </si>
  <si>
    <t>3giCuPE4znveCDxDSVEuTllTRTpJQk0uSVFfT1BFQl9CUkVBS0RPV05fUENUX09USEVSX0RPTS4xOTk3LjA2LzAzLzIwMjYBAAAA3rYBAAMAAAAAADm7oufNe94IgrjxOM573gg8Q0lRLk5ZU0U6SUJNLklRX09QRUJfRVhQX1JBVEVfUkVUVVJOX01BWF9ET00uMTk5Ny4wNi8wMy8yMDI2AQAAAN62AQADAAAAAAA5u6LnzXveCIK48TjOe94IUUNJUS5OWVNFOklCTS5JUV9QRU5TSU9OX09CTElHQVRJT05fT1RIRVJfUExBTl9BREpfRk9SRUlHTi4xOTk3LjA2LzAzLzIwMjYuLi5VU0QuSAEAAADetgEAAwAAAAAAObui58173giCuPE4znveCDpDSVEuTllTRTpJQk0uSVFfT1BFQl9PVEhFUl9BREpfRE9NLjE5OTcuMDYvMDMvMjAyNi4uLlVTRC5IAQAAAN62AQADAAAAAAA5u6LnzXveCIK48TjOe94IQ0NJUS5OWVNFOklCTS5JUV9PUEVCX1BSSU9SX1NFUlZJQ0VfTkVYVF9ET00uMTk5Ny4wNi8wMy8yMDI2Li4uVVNELkgBAAAA3rYBAAMAAAAAADm7oufNe94IgrjxOM573ghBQ0lRLk5ZU0U6SUJNLklRX09QRUJfQ0lfUFJJT1JfU0VSVklDRV9ET00uMTk5Ny4wNi8wMy8yMDI2Li4uVVNELkgBAAAA3rYBAAMAAAAAADm7oufNe94IgrjxOM573gg/Q0lRLk5ZU0U6SUJNLklRX09QRUJfT0JMSUdBVElPTl9CRUdfRE9NLjE5OTcuMDYvMDMvMjAyNi4uLlVTRC5IAQAAAN62AQADAAAAAAA5u6LnzXveCN7f8TjOe94I</t>
  </si>
  <si>
    <t>O0NJUS5OWVNFOklCTS5JUV9PUEVCX0VYUF9SRVRVUk5fRE9NLjE5OTcuMDYvMDMvMjAyNi4uLlVTRC5IAQAAAN62AQADAAAAAAA5u6LnzXveCN7f8TjOe94IQ0NJUS5OWVNFOklCTS5JUV9QRU5TSU9OX1RSQU5TSVRJT05fTkVYVF9ET00uMTk5Ny4wNi8wMy8yMDI2Li4uVVNELkgBAAAA3rYBAAMAAAAAADm7oufNe94I3t/xOM573ghDQ0lRLk5ZU0U6SUJNLklRX1BFTlNJT05fRVhQX1JFVFVSTl9ET01FU1RJQy4xOTk3LjA2LzAzLzIwMjYuLi5VU0QuSAEAAADetgEAAwAAAAAAObui58173gje3/E4znveCE1DSVEuTllTRTpJQk0uSVFfUEVOU0lPTl9PQkxJR0FUSU9OX09USEVSX1BMQU5fQURKX0RPTS4xOTk3LjA2LzAzLzIwMjYuLi5VU0QuSAEAAADetgEAAwAAAAAAObui58173giCuPE4znveCEVDSVEuTllTRTpJQk0uSVFfUEVOU0lPTl9PQkxJR0FUSU9OX0ZYX0FESl9ET00uMTk5Ny4wNi8wMy8yMDI2Li4uVVNELkgBAAAA3rYBAAMAAAAAADm7oufNe94I3t/xOM573ghAQ0lRLk5ZU0U6SUJNLklRX1BFTlNJT05fU0VSVklDRV9DT1NUX0RPTS4xOTk3LjA2LzAzLzIwMjYuLi5VU0QuSAEAAADetgEAAwAAAAAAObui58173gje3/E4znveCD9DSVEuTllTRTpJQk0uSVFfT1BFQl9IRUFMVEhfQ09TVF9UUkVORF9VTFRJTUFURS4xOTk3LjA2LzAzLzIwMjYBAAAA3rYBAAMAAAAAADm7oufNe94I3t/xOM57</t>
  </si>
  <si>
    <t>3ghHQ0lRLk5ZU0U6SUJNLklRX1BFTlNJT05fTkVUX0FTU0VUX1JFQ09HX0ZPUkVJR04uMTk5Ny4wNi8wMy8yMDI2Li4uVVNELkgBAAAA3rYBAAMAAAAAADm7oufNe94I3t/xOM573gg9Q0lRLk5ZU0U6SUJNLklRX09QRUJfQUNDUlVFRF9MSUFCX0RPTS4xOTk3LjA2LzAzLzIwMjYuLi5VU0QuSAEAAADetgEAAwAAAAAAObui58173gje3/E4znveCD9DSVEuTllTRTpJQk0uSVFfT1BFQl9SQVRFX0NPTVBfSU5DUkVBU0VfTUlOX0RPTS4xOTk3LjA2LzAzLzIwMjYBAAAA3rYBAAMAAAAAADm7oufNe94I3t/xOM573gg+Q0lRLk5ZU0U6SUJNLklRX09QRUJfQVNTRVRTX0ZYX0FESl9ET00uMTk5Ny4wNi8wMy8yMDI2Li4uVVNELkgBAAAA3rYBAAMAAAAAADm7oufNe94I3t/xOM573ghKQ0lRLk5ZU0U6SUJNLklRX09QRUJfT0JMSUdBVElPTl9PVEhFUl9QTEFOX0FESl9ET00uMTk5Ny4wNi8wMy8yMDI2Li4uVVNELkgBAAAA3rYBAAMAAAAAADm7oufNe94I3t/xOM573ghGQ0lRLk5ZU0U6SUJNLklRX1BFTlNJT05fUkFURV9DT01QX0lOQ1JFQVNFX01BWF9GT1JFSUdOLjE5OTcuMDYvMDMvMjAyNgEAAADetgEAAwAAAAAAObui58173gje3/E4znveCEBDSVEuTllTRTpJQk0uSVFfUEVOU0lPTl9SQVRFX0NPTVBfR1JPV1RIX0ZPUkVJR04uMTk5Ny4wNi8wMy8yMDI2AQAAAN62AQADAAAAAAA5u6LnzXveCN7f8TjO</t>
  </si>
  <si>
    <t>e94IRENJUS5OWVNFOklCTS5JUV9PUEVCX0lOQ1JFQVNFX0VGRkVDVF9QQk9fRE9NLjE5OTcuMDYvMDMvMjAyNi4uLlVTRC5IAQAAAN62AQADAAAAAAA5u6LnzXveCEIK8jjOe94IRkNJUS5OWVNFOklCTS5JUV9PUEVCX0FTU0VUU19PVEhFUl9QTEFOX0FESl9ET00uMTk5Ny4wNi8wMy8yMDI2Li4uVVNELkgBAAAA3rYBAAMAAAAAADm7oufNe94IQgryOM573gg7Q0lRLk5ZU0U6SUJNLklRX09QRUJfVE9UQUxfQ09TVF9ET00uMTk5Ny4wNi8wMy8yMDI2Li4uVVNELkgBAAAA3rYBAAMAAAAAADm7oufNe94IQgryOM573gg6Q0lRLk5ZU0U6SUJNLklRX1BFTlNJT05fQ0lfQUNUX0RPTS4xOTk3LjA2LzAzLzIwMjYuLi5VU0QuSAEAAADetgEAAwAAAAAAObui58173ghCCvI4znveCD9DSVEuTllTRTpJQk0uSVFfUEVOU0lPTl9FWFBfUkFURV9SRVRVUk5fTUlOX0RPTS4xOTk3LjA2LzAzLzIwMjYBAAAA3rYBAAMAAAAAADm7oufNe94I3t/xOM573gg+Q0lRLk5ZU0U6SUJNLklRX1BFTlNJT05fRElTQ09VTlRfUkFURV9ET01FU1RJQy4xOTk3LjA2LzAzLzIwMjYBAAAA3rYBAAMAAAAAADm7oufNe94I+B3yOM573ghIQ0lRLk5ZU0U6SUJNLklRX1BFTlNJT05fUEJPX0FTU1VNRURfUkFURV9SRVRfTUlOX0ZPUkVJR04uMTk5Ny4wNi8wMy8yMDI2AQAAAN62AQADAAAAAAA5u6LnzXveCPgd8jjOe94IQ0NJUS5OWVNF</t>
  </si>
  <si>
    <t>OklCTS5JUV9PUEVCX1BCT19SQVRFX0NPTVBfSU5DUkVBU0VfTUFYX0RPTS4xOTk3LjA2LzAzLzIwMjYBAAAA3rYBAAMAAAAAADm7oufNe94I+B3yOM573gg5Q0lRLk5ZU0U6SUJNLklRX09QRUJfQlJFQUtET1dOX1BDVF9SRV9ET00uMTk5Ny4wNi8wMy8yMDI2AQAAAN62AQADAAAAAAA5u6LnzXveCPgd8jjOe94IPENJUS5OWVNFOklCTS5JUV9QRU5TSU9OX0JSRUFLRE9XTl9QQ1RfRVFfRE9NLjE5OTcuMDYvMDMvMjAyNgEAAADetgEAAwAAAAAAObui58173gj4HfI4znveCEhDSVEuTllTRTpJQk0uSVFfUEVOU0lPTl9BU1NFVFNfQUNUVUFMX1JFVFVSTl9ET00uMTk5Ny4wNi8wMy8yMDI2Li4uVVNELkgBAAAA3rYBAAMAAAAAADm7oufNe94IZkXyOM573gg8Q0lRLk5ZU0U6SUJNLklRX09QRUJfQlJFQUtET1dOX09USEVSLjE5OTcuMDYvMDMvMjAyNi4uLlVTRC5IAQAAAN62AQADAAAAAAA5u6LnzXveCGZF8jjOe94IO0NJUS5OWVNFOklCTS5JUV9PUEVCX1JBVEVfQ09NUF9JTkNSRUFTRV9NSU4uMTk5Ny4wNi8wMy8yMDI2AQAAAN62AQADAAAAAAA5u6LnzXveCPgd8jjOe94IN0NJUS5OWVNFOklCTS5JUV9QRU5TSU9OX0xUX0xJQUIuMTk5Ny4wNi8wMy8yMDI2Li4uVVNELkgBAAAA3rYBAAMAAAAAADm7oufNe94I+B3yOM573ghCQ0lRLk5ZU0U6SUJNLklRX1BFTlNJT05fUEJPX1JBVEVfQ09NUF9JTkNS</t>
  </si>
  <si>
    <t>RUFTRV9NQVguMTk5Ny4wNi8wMy8yMDI2AQAAAN62AQADAAAAAAA5u6LnzXveCPgd8jjOe94IP0NJUS5OWVNFOklCTS5JUV9QRU5TSU9OX0JSRUFLRE9XTl9PVEhFUi4xOTk3LjA2LzAzLzIwMjYuLi5VU0QuSAEAAADetgEAAwAAAAAAObui58173ghmRfI4znveCDxDSVEuTllTRTpJQk0uSVFfUEVOU0lPTl9CUkVBS0RPV05fRVEuMTk5Ny4wNi8wMy8yMDI2Li4uVVNELkgBAAAA3rYBAAMAAAAAADm7oufNe94IZkXyOM573gg+Q0lRLk5ZU0U6SUJNLklRX1BFTlNJT05fQVNTRVRTX0NVUlRBSUwuMTk5Ny4wNi8wMy8yMDI2Li4uVVNELkgBAAAA3rYBAAMAAAAAADm7oufNe94IZkXyOM573ghBQ0lRLk5ZU0U6SUJNLklRX1BFTlNJT05fT0JMSUdBVElPTl9GWF9BREouMTk5Ny4wNi8wMy8yMDI2Li4uVVNELkgBAAAA3rYBAAMAAAAAADm7oufNe94IZkXyOM573gg9Q0lRLk5ZU0U6SUJNLklRX1BFTlNJT05fSU5URVJFU1RfQ09TVC4xOTk3LjA2LzAzLzIwMjYuLi5VU0QuSAEAAADetgEAAwAAAAAAObui58173ghmRfI4znveCDxDSVEuTllTRTpJQk0uSVFfT1BFQl9UUkFOU0lUSU9OX05FWFQuMTk5Ny4wNi8wMy8yMDI2Li4uVVNELkgBAAAA3rYBAAMAAAAAADm7oufNe94ILIDyOM573ghBQ0lRLk5ZU0U6SUJNLklRX09QRUJfT0JMSUdBVElPTl9QUk9KRUNURUQuMTk5Ny4wNi8wMy8yMDI2Li4uVVNELkgBAAAA</t>
  </si>
  <si>
    <t>3rYBAAMAAAAAADm7oufNe94IdWzyOM573ghNQ0lRLk5ZU0U6SUJNLklRX1BFTlNJT05fT0JMSUdBVElPTl9UT1RBTF9DT1NUX0ZPUkVJR04uMTk5Ny4wNi8wMy8yMDI2Li4uVVNELkgBAAAA3rYBAAMAAAAAADm7oufNe94IdWzyOM573gg7Q0lRLk5ZU0U6SUJNLklRX09QRUJfT1RIRVJfQ09TVF9ET00uMTk5Ny4wNi8wMy8yMDI2Li4uVVNELkgBAAAA3rYBAAMAAAAAADm7oufNe94IdWzyOM573ghCQ0lRLk5ZU0U6SUJNLklRX1BFTlNJT05fT0JMSUdBVElPTl9BQ1FfRE9NLjE5OTcuMDYvMDMvMjAyNi4uLlVTRC5IAQAAAN62AQADAAAAAAA5u6LnzXveCHVs8jjOe94IMkNJUS5OWVNFOklCTS5JUV9PUEVCX09USEVSLjE5OTcuMDYvMDMvMjAyNi4uLlVTRC5IAQAAAN62AQADAAAAAAA5u6LnzXveCCyA8jjOe94IOUNJUS5OWVNFOklCTS5JUV9PUEVCX1BSRVBBSURfQ09TVC4xOTk3LjA2LzAzLzIwMjYuLi5VU0QuSAEAAADetgEAAwAAAAAAObui58173ggsgPI4znveCDxDSVEuTllTRTpJQk0uSVFfT1BFQl9FU1RfQkVORUZJVF81WVIuMTk5Ny4wNi8wMy8yMDI2Li4uVVNELkgBAAAA3rYBAAMAAAAAADm7oufNe94ILIDyOM573ghBQ0lRLk5ZU0U6SUJNLklRX09QRUJfQVNTRVRTX0JFTkVGSVRTX1BBSUQuMTk5Ny4wNi8wMy8yMDI2Li4uVVNELkgBAAAA3rYBAAMAAAAAADm7oufNe94ILIDyOM573ghPQ0lR</t>
  </si>
  <si>
    <t>Lk5ZU0U6SUJNLklRX09QRUJfT0JMSUdBVElPTl9BQ1RVQVJJQUxfR0FJTl9MT1NTX0RPTS4xOTk3LjA2LzAzLzIwMjYuLi5VU0QuSAEAAADetgEAAwAAAAAAObui58173ggsgPI4znveCEZDSVEuTllTRTpJQk0uSVFfUEVOU0lPTl9QQk9fUkFURV9DT01QX0lOQ1JFQVNFX01JTl9ET00uMTk5Ny4wNi8wMy8yMDI2AQAAAN62AQADAAAAAAA5u6LnzXveCG6n8jjOe94IP0NJUS5OWVNFOklCTS5JUV9QRU5TSU9OX0VYUF9SQVRFX1JFVFVSTl9NQVhfRE9NLjE5OTcuMDYvMDMvMjAyNgEAAADetgEAAwAAAAAAObui58173ghup/I4znveCDlDSVEuTllTRTpJQk0uSVFfT1BFQl9CUkVBS0RPV05fRkkuMTk5Ny4wNi8wMy8yMDI2Li4uVVNELkgBAAAA3rYBAAMAAAAAADm7oufNe94IbqfyOM573ggyQ0lRLk5ZU0U6SUJNLklRX09QRUJfRElTQ19SQVRFX01JTi4xOTk3LjA2LzAzLzIwMjYBAAAA3rYBAAMAAAAAADm7oufNe94IbqfyOM573gg3Q0lRLk5ZU0U6SUJNLklRX09QRUJfVE9UQUxfQ09TVC4xOTk3LjA2LzAzLzIwMjYuLi5VU0QuSAEAAADetgEAAwAAAAAAObui58173ggsgPI4znveCEZDSVEuTllTRTpJQk0uSVFfUEVOU0lPTl9QUklPUl9TRVJWSUNFX05FWFRfRE9NLjE5OTcuMDYvMDMvMjAyNi4uLlVTRC5IAQAAAN62AQADAAAAAAA5u6LnzXveCG6n8jjOe94IUkNJUS5OWVNFOklCTS5JUV9QRU5TSU9O</t>
  </si>
  <si>
    <t>X09CTElHQVRJT05fQUNUVUFSSUFMX0dBSU5fTE9TU19ET00uMTk5Ny4wNi8wMy8yMDI2Li4uVVNELkgBAAAA3rYBAAMAAAAAADm7oufNe94IbqfyOM573ghJQ0lRLk5ZU0U6SUJNLklRX1BFTlNJT05fT0JMSUdBVElPTl9UT1RBTF9DT1NUX0RPTS4xOTk3LjA2LzAzLzIwMjYuLi5VU0QuSAEAAADetgEAAwAAAAAAObui58173ghup/I4znveCEJDSVEuTllTRTpJQk0uSVFfUEVOU0lPTl9PQkxJR0FUSU9OX1JPQV9ET00uMTk5Ny4wNi8wMy8yMDI2Li4uVVNELkgBAAAA3rYBAAMAAAAAADm7oufNe94IbqfyOM573ghNQ0lRLk5ZU0U6SUJNLklRX09QRUJfSU5DUkVBU0VfRUZGRUNUX1NFUlZJQ0VfSU5UX0NPU1QuMTk5Ny4wNi8wMy8yMDI2Li4uVVNELkgBAAAA3rYBAAMAAAAAADm7oufNe94IbqfyOM573gg+Q0lRLk5ZU0U6SUJNLklRX09QRUJfQ0lfT1RIRVJfTUlTQ19BREouMTk5Ny4wNi8wMy8yMDI2Li4uVVNELkgBAAAA3rYBAAMAAAAAADm7oufNe94ILeLyOM573gg7Q0lRLk5ZU0U6SUJNLklRX09QRUJfQVNTRVRTX0JFR19ET00uMTk5Ny4wNi8wMy8yMDI2Li4uVVNELkgBAAAA3rYBAAMAAAAAADm7oufNe94ILeLyOM573ghNQ0lRLk5ZU0U6SUJNLklRX09QRUJfREVDUkVBU0VfRUZGRUNUX1NFUlZJQ0VfSU5UX0NPU1QuMTk5Ny4wNi8wMy8yMDI2Li4uVVNELkgBAAAA3rYBAAMAAAAAADm7oufNe94I</t>
  </si>
  <si>
    <t>bqfyOM573gg8Q0lRLk5ZU0U6SUJNLklRX09QRUJfRVNUX0JFTkVGSVRfMVlSLjE5OTcuMDYvMDMvMjAyNi4uLlVTRC5IAQAAAN62AQADAAAAAAA5u6LnzXveCG6n8jjOe94IO0NJUS5OWVNFOklCTS5JUV9PUEVCX1JBVEVfQ09NUF9JTkNSRUFTRV9NQVguMTk5Ny4wNi8wMy8yMDI2AQAAAN62AQADAAAAAAA5u6LnzXveCG6n8jjOe94ISkNJUS5OWVNFOklCTS5JUV9PUEVCX0FTU0VUU19FTVBMT1lFUl9DT05UUklCVVRJT05TLjE5OTcuMDYvMDMvMjAyNi4uLlVTRC5IAQAAAN62AQADAAAAAAA5u6LnzXveCC3i8jjOe94IO0NJUS5OWVNFOklCTS5JUV9PUEVCX09CTElHQVRJT05fQkVHLjE5OTcuMDYvMDMvMjAyNi4uLlVTRC5IAQAAAN62AQADAAAAAAA5u6LnzXveCC3i8jjOe94IQ0NJUS5OWVNFOklCTS5JUV9QRU5TSU9OX0VTVF9CRU5FRklUXzNZUl9ET00uMTk5Ny4wNi8wMy8yMDI2Li4uVVNELkgBAAAA3rYBAAMAAAAAAHrioufNe94ILeLyOM573gg+Q0lRLk5ZU0U6SUJNLklRX1BFTlNJT05fQVNTRVRTX0JFR19ET00uMTk5Ny4wNi8wMy8yMDI2Li4uVVNELkgBAAAA3rYBAAMAAAAAAHrioufNe94ILeLyOM573ghbQ0lRLk5ZU0U6SUJNLklRX1BFTlNJT05fT0JMSUdBVElPTl9UT1RBTF9DT1NUX0lOQ0xfU1VQUExFX1BMQU5TX0RPTS4xOTk3LjA2LzAzLzIwMjYuLi5VU0QuSAEAAADetgEAAwAAAAAA</t>
  </si>
  <si>
    <t>euKi58173ggt4vI4znveCDhDSVEuTllTRTpJQk0uSVFfT1BFQl9CUkVBS0RPV05fUENUX09USEVSLjE5OTcuMDYvMDMvMjAyNgEAAADetgEAAwAAAAAAeuKi58173ggt4vI4znveCD5DSVEuTllTRTpJQk0uSVFfT1BFQl9PQkxJR0FUSU9OX0ZYX0FESi4xOTk3LjA2LzAzLzIwMjYuLi5VU0QuSAEAAADetgEAAwAAAAAAeuKi58173ggt4vI4znveCDdDSVEuTllTRTpJQk0uSVFfUEVOU0lPTl9VVl9MSUFCLjE5OTcuMDYvMDMvMjAyNi4uLlVTRC5IAQAAAN62AQADAAAAAAB64qLnzXveCC3i8jjOe94IP0NJUS5OWVNFOklCTS5JUV9QRU5TSU9OX0VTVF9CRU5FRklUXzVZUi4xOTk3LjA2LzAzLzIwMjYuLi5VU0QuSAEAAADetgEAAwAAAAAAeuKi58173ggt4vI4znveCEBDSVEuTllTRTpJQk0uSVFfUEVOU0lPTl9DSV9ORVRfQU1UX1JFQ09HLjE5OTcuMDYvMDMvMjAyNi4uLlVTRC5IAQAAAN62AQADAAAAAAB64qLnzXveCC3i8jjOe94IQENJUS5OWVNFOklCTS5JUV9QRU5TSU9OX0NJX1BSSU9SX1NFUlZJQ0UuMTk5Ny4wNi8wMy8yMDI2Li4uVVNELkgBAAAA3rYBAAMAAAAAAHrioufNe94IognzOM573gg/Q0lRLk5ZU0U6SUJNLklRX09QRUJfUEJPX1JBVEVfQ09NUF9JTkNSRUFTRV9NSU4uMTk5Ny4wNi8wMy8yMDI2AQAAAN62AQADAAAAAAB64qLnzXveCKIJ8zjOe94IPUNJUS5OWVNFOklCTS5JUV9PUEVC</t>
  </si>
  <si>
    <t>X0NJX1BSSU9SX1NFUlZJQ0UuMTk5Ny4wNi8wMy8yMDI2Li4uVVNELkgBAAAA3rYBAAMAAAAAAHrioufNe94IognzOM573ghCQ0lRLk5ZU0U6SUJNLklRX1BFTlNJT05fQUNDVU1fT1RIRVJfQ0lfRE9NLjE5OTcuMDYvMDMvMjAyNi4uLlVTRC5IAQAAAN62AQADAAAAAAB64qLnzXveCKIJ8zjOe94IOUNJUS5OWVNFOklCTS5JUV9QRU5TSU9OX0RJU0NfUkFURV9NQVhfRE9NLjE5OTcuMDYvMDMvMjAyNgEAAADetgEAAwAAAAAAeuKi58173giiCfM4znveCDJDSVEuTllTRTpJQk0uSVFfT1BFQl9ESVNDX1JBVEVfTUFYLjE5OTcuMDYvMDMvMjAyNgEAAADetgEAAwAAAAAAeuKi58173giiCfM4znveCERDSVEuTllTRTpJQk0uSVFfT1BFQl9TVVBQTEVfUExBTlNfVE9UQUxfQ09TVC4xOTk3LjA2LzAzLzIwMjYuLi5VU0QuSAEAAADetgEAAwAAAAAAeuKi58173giiCfM4znveCDJDSVEuTllTRTpJQk0uSVFfUEVOU0lPTl9DTC4xOTk3LjA2LzAzLzIwMjYuLi5VU0QuSAEAAADetgEAAwAAAAAAeuKi58173giiCfM4znveCDxDSVEuTllTRTpJQk0uSVFfUEVOU0lPTl9JTlRBTl9BU1NFVFMuMTk5Ny4wNi8wMy8yMDI2Li4uVVNELkgBAAAA3rYBAAMAAAAAAHrioufNe94IognzOM573ghAQ0lRLk5ZU0U6SUJNLklRX1BFTlNJT05fQU1UX1JFQ09HX1BFUklPRC4xOTk3LjA2LzAzLzIwMjYuLi5VU0QuSAEAAADetgEA</t>
  </si>
  <si>
    <t>AwAAAAAAeuKi58173giiCfM4znveCDtDSVEuTllTRTpJQk0uSVFfUEVOU0lPTl9CUkVBS0RPV05fUENUX09USEVSLjE5OTcuMDYvMDMvMjAyNgEAAADetgEAAwAAAAAAeuKi58173gjAMPM4znveCDpDSVEuTllTRTpJQk0uSVFfUEVOU0lPTl9BU1NFVFNfQUNRLjE5OTcuMDYvMDMvMjAyNi4uLlVTRC5IAQAAAN62AQADAAAAAAB64qLnzXveCMAw8zjOe94IP0NJUS5OWVNFOklCTS5JUV9QRU5TSU9OX09CTElHQVRJT05fUEFJRC4xOTk3LjA2LzAzLzIwMjYuLi5VU0QuSAEAAADetgEAAwAAAAAAeuKi58173giiCfM4znveCEhDSVEuTllTRTpJQk0uSVFfUEVOU0lPTl9PQkxJR0FUSU9OX0lOVEVSRVNUX0NPU1QuMTk5Ny4wNi8wMy8yMDI2Li4uVVNELkgBAAAA3rYBAAMAAAAAAHrioufNe94IognzOM573ggsQ0lRLk5ZU0U6SUJNLklRX0FVRElUT1JfTkFNRS4xOTk3LjA2LzAzLzIwMjYBAAAA3rYBAAMAAAAAAHrioufNe94IognzOM573gg0Q0lRLk5ZU0U6SUJNLklRX09QRUJfTFRfTElBQi4xOTk3LjA2LzAzLzIwMjYuLi5VU0QuSAEAAADetgEAAwAAAAAAeuKi58173gjAMPM4znveCDZDSVEuTllTRTpJQk0uSVFfT1BFQl9MVF9BU1NFVFMuMTk5Ny4wNi8wMy8yMDI2Li4uVVNELkgBAAAA3rYBAAMAAAAAAHrioufNe94IwDDzOM573gg1Q0lRLk5ZU0U6SUJNLklRX09QRUJfQlJFQUtET1dOX1BDVF9GSS4x</t>
  </si>
  <si>
    <t>OTk3LjA2LzAzLzIwMjYBAAAA3rYBAAMAAAAAAHrioufNe94IwDDzOM573ghLQ0lRLk5ZU0U6SUJNLklRX09QRUJfT0JMSUdBVElPTl9BQ1RVQVJJQUxfR0FJTl9MT1NTLjE5OTcuMDYvMDMvMjAyNi4uLlVTRC5IAQAAAN62AQADAAAAAAB64qLnzXveCMAw8zjOe94IQUNJUS5OWVNFOklCTS5JUV9QRU5TSU9OX0lOVEVSRVNUX0NPU1RfRE9NLjE5OTcuMDYvMDMvMjAyNi4uLlVTRC5IAQAAAN62AQADAAAAAAB64qLnzXveCMAw8zjOe94IPENJUS5OWVNFOklCTS5JUV9PUEVCX05FVF9BU1NFVF9SRUNPRy4xOTk3LjA2LzAzLzIwMjYuLi5VU0QuSAEAAADetgEAAwAAAAAAeuKi58173gjAMPM4znveCDpDSVEuTllTRTpJQk0uSVFfT1BFQl9VTlJFQ09HX1BSSU9SLjE5OTcuMDYvMDMvMjAyNi4uLlVTRC5IAQAAAN62AQADAAAAAAB64qLnzXveCMAw8zjOe94IOUNJUS5OWVNFOklCTS5JUV9PUEVCX0lOVEFOX0FTU0VUUy4xOTk3LjA2LzAzLzIwMjYuLi5VU0QuSAEAAADetgEAAwAAAAAAeuKi58173gjAMPM4znveCD1DSVEuTllTRTpJQk0uSVFfT1BFQl9DSV9ORVRfQU1UX1JFQ09HLjE5OTcuMDYvMDMvMjAyNi4uLlVTRC5IAQAAAN62AQADAAAAAAB64qLnzXveCMAw8zjOe94INkNJUS5OWVNFOklCTS5JUV9PUEVCX0JFTkVGSVRfSU5GT19EQVRFLjE5OTcuMDYvMDMvMjAyNgEAAADetgEAAwAAAAAAeuKi5817</t>
  </si>
  <si>
    <t>3gjTV/M4znveCEhDSVEuTllTRTpJQk0uSVFfT1BFQl9PQkxJR0FUSU9OX1NFUlZJQ0VfQ09TVF9ET00uMTk5Ny4wNi8wMy8yMDI2Li4uVVNELkgBAAAA3rYBAAMAAAAAAHrioufNe94I01fzOM573ghBQ0lRLk5ZU0U6SUJNLklRX1BFTlNJT05fQVNTRVRTX0ZYX0FESl9ET00uMTk5Ny4wNi8wMy8yMDI2Li4uVVNELkgBAAAA3rYBAAMAAAAAAHrioufNe94I01fzOM573gg/Q0lRLk5ZU0U6SUJNLklRX09QRUJfUEJPX1JBVEVfQ09NUF9JTkNSRUFTRV9NQVguMTk5Ny4wNi8wMy8yMDI2AQAAAN62AQADAAAAAAB64qLnzXveCNNX8zjOe94IOkNJUS5OWVNFOklCTS5JUV9PUEVCX0NJX1RSQU5TSVRJT04uMTk5Ny4wNi8wMy8yMDI2Li4uVVNELkgBAAAA3rYBAAMAAAAAAHrioufNe94IwDDzOM573gg4Q0lRLk5ZU0U6SUJNLklRX09QRUJfRVhQX1JBVEVfUkVUVVJOX01BWC4xOTk3LjA2LzAzLzIwMjYBAAAA3rYBAAMAAAAAAHrioufNe94I01fzOM573gg5Q0lRLk5ZU0U6SUJNLklRX1BFTlNJT05fRElTQ19SQVRFX01JTl9ET00uMTk5Ny4wNi8wMy8yMDI2AQAAAN62AQADAAAAAAB64qLnzXveCNNX8zjOe94IOkNJUS5OWVNFOklCTS5JUV9QRU5TSU9OX0FTU0VUU19ET00uMTk5Ny4wNi8wMy8yMDI2Li4uVVNELkgBAAAA3rYBAAMAAAAAAHrioufNe94I01fzOM573gg7Q0lRLk5ZU0U6SUJNLklRX09QRUJfQVNT</t>
  </si>
  <si>
    <t>RVRTX0NVUlRBSUwuMTk5Ny4wNi8wMy8yMDI2Li4uVVNELkgBAAAA3rYBAAMAAAAAAHrioufNe94I01fzOM573gg5Q0lRLk5ZU0U6SUJNLklRX09QRUJfQUNUX05FWFRfRE9NLjE5OTcuMDYvMDMvMjAyNi4uLlVTRC5IAQAAAN62AQADAAAAAAB64qLnzXveCNNX8zjOe94IQ0NJUS5OWVNFOklCTS5JUV9QRU5TSU9OX0VTVF9CRU5FRklUXzFZUl9ET00uMTk5Ny4wNi8wMy8yMDI2Li4uVVNELkgBAAAA3rYBAAMAAAAAAHrioufNe94IuH7zOM573ghDQ0lRLk5ZU0U6SUJNLklRX1BFTlNJT05fQlJFQUtET1dOX09USEVSX0RPTS4xOTk3LjA2LzAzLzIwMjYuLi5VU0QuSAEAAADetgEAAwAAAAAAeuKi58173gjTV/M4znveCD1DSVEuTllTRTpJQk0uSVFfT1BFQl9QQk9fQVNTVU1FRF9SQVRFX1JFVF9NQVguMTk5Ny4wNi8wMy8yMDI2AQAAAN62AQADAAAAAAB64qLnzXveCNNX8zjOe94INUNJUS5OWVNFOklCTS5JUV9PUEVCX0JSRUFLRE9XTl9QQ1RfUkUuMTk5Ny4wNi8wMy8yMDI2AQAAAN62AQADAAAAAAB64qLnzXveCNNX8zjOe94IPENJUS5OWVNFOklCTS5JUV9PUEVCX09CTElHQVRJT05fUEFJRC4xOTk3LjA2LzAzLzIwMjYuLi5VU0QuSAEAAADetgEAAwAAAAAAeuKi58173gjTV/M4znveCDpDSVEuTllTRTpJQk0uSVFfT1BFQl9JTlRFUkVTVF9DT1NULjE5OTcuMDYvMDMvMjAyNi4uLlVTRC5IAQAAAN62</t>
  </si>
  <si>
    <t>AQADAAAAAAB64qLnzXveCLh+8zjOe94IP0NJUS5OWVNFOklCTS5JUV9QRU5TSU9OX05FVF9BU1NFVF9SRUNPRy4xOTk3LjA2LzAzLzIwMjYuLi5VU0QuSAEAAADetgEAAwAAAAAAeuKi58173gi4fvM4znveCDVDSVEuTllTRTpJQk0uSVFfUEVOU0lPTl9PVEhFUi4xOTk3LjA2LzAzLzIwMjYuLi5VU0QuSAEAAADetgEAAwAAAAAAeuKi58173gi4fvM4znveCD9DSVEuTllTRTpJQk0uSVFfUEVOU0lPTl9FU1RfQkVORUZJVF8xWVIuMTk5Ny4wNi8wMy8yMDI2Li4uVVNELkgBAAAA3rYBAAMAAAAAAHrioufNe94IuH7zOM573gg2Q0lRLk5ZU0U6SUJNLklRX1BFTlNJT05fQ0lfQUNULjE5OTcuMDYvMDMvMjAyNi4uLlVTRC5IAQAAAN62AQADAAAAAAB64qLnzXveCLh+8zjOe94INUNJUS5OWVNFOklCTS5JUV9QRU5TSU9OX0RJU0NfUkFURV9NQVguMTk5Ny4wNi8wMy8yMDI2AQAAAN62AQADAAAAAAB64qLnzXveCLul8zjOe94IRENJUS5OWVNFOklCTS5JUV9QRU5TSU9OX09CTElHQVRJT05fUFJPSkVDVEVELjE5OTcuMDYvMDMvMjAyNi4uLlVTRC5IAQAAAN62AQADAAAAAAB64qLnzXveCLul8zjOe94IPkNJUS5OWVNFOklCTS5JUV9QRU5TSU9OX09CTElHQVRJT05fQUNRLjE5OTcuMDYvMDMvMjAyNi4uLlVTRC5IAQAAAN62AQADAAAAAAB64qLnzXveCLh+8zjOe94IPkNJUS5OWVNFOklCTS5JUV9QRU5TSU9O</t>
  </si>
  <si>
    <t>X09CTElHQVRJT05fUk9BLjE5OTcuMDYvMDMvMjAyNi4uLlVTRC5IAQAAAN62AQADAAAAAAB64qLnzXveCLh+8zjOe94IN0NJUS5OWVNFOklCTS5JUV9JTlRFUkNPTVBBTllfQ0EuMTk5Ny4wNi8wMy8yMDI2Li4uVVNELkgBAAAA3rYBAAMAAAAAAHrioufNe94IuH7zOM573ghDQ0lRLk5ZU0U6SUJNLklRX0RFUklWQVRJVkVfTElBQl9OT05fQ1VSUkVOVC4xOTk3LjA2LzAzLzIwMjYuLi5VU0QuSAEAAADetgEAAgAAAAMzMzIBCAAAAAUAAAABMQEAAAALLTE5NDg4Mzc1NDADAAAAAzE2MAIAAAAFNDA0MTkEAAAAATAHAAAACDMvNi8yMDI2CAAAAAkzLzMxLzIwMjUJAAAAATB64qLnzXveCLul8zjOe94IOUNJUS5OWVNFOklCTS5JUV9PUEVCX0JSRUFLRE9XTl9QQ1RfRVFfRE9NLjE5OTcuMDYvMDMvMjAyNgEAAADetgEAAwAAAAAAeuKi58173gi7pfM4znveCDtDSVEuTllTRTpJQk0uSVFfT1BFQl9BU1NFVFNfQUNRX0RPTS4xOTk3LjA2LzAzLzIwMjYuLi5VU0QuSAEAAADetgEAAwAAAAAAeuKi58173gi7pfM4znveCDlDSVEuTllTRTpJQk0uSVFfUEVOU0lPTl9PVEhFUl9ET00uMTk5Ny4wNi8wMy8yMDI2Li4uVVNELkgBAAAA3rYBAAMAAAAAAHrioufNe94Iu6XzOM573ghFQ0lRLk5ZU0U6SUJNLklRX1BFTlNJT05fQ0lfT1RIRVJfTUlTQ19BREpfRE9NLjE5OTcuMDYvMDMvMjAyNi4uLlVTRC5IAQAAAN62</t>
  </si>
  <si>
    <t>AQADAAAAAAB64qLnzXveCLul8zjOe94IPENJUS5OWVNFOklCTS5JUV9QRU5TSU9OX0JSRUFLRE9XTl9QQ1RfRklfRE9NLjE5OTcuMDYvMDMvMjAyNgEAAADetgEAAwAAAAAAeuKi58173gi7pfM4znveCEtDSVEuTllTRTpJQk0uSVFfUEVOU0lPTl9PQkxJR0FUSU9OX1NFUlZJQ0VfQ09TVF9ET00uMTk5Ny4wNi8wMy8yMDI2Li4uVVNELkgBAAAA3rYBAAMAAAAAAHrioufNe94Iu6XzOM573ggzQ0lRLk5ZU0U6SUJNLklRX09QRUJfQ0lfQUNULjE5OTcuMDYvMDMvMjAyNi4uLlVTRC5IAQAAAN62AQADAAAAAAB64qLnzXveCLul8zjOe94IQ0NJUS5OWVNFOklCTS5JUV9PUEVCX09CTElHQVRJT05fQUNDVU1VTEFURUQuMTk5Ny4wNi8wMy8yMDI2Li4uVVNELkgBAAAA3rYBAAMAAAAAAHrioufNe94Iu6XzOM573ggvQ0lRLk5ZU0U6SUJNLklRX09QRUJfQ0wuMTk5Ny4wNi8wMy8yMDI2Li4uVVNELkgBAAAA3rYBAAMAAAAAAHrioufNe94Iu6XzOM573gg7Q0lRLk5ZU0U6SUJNLklRX09QRUJfQUNDVU1fT1RIRVJfQ0kuMTk5Ny4wNi8wMy8yMDI2Li4uVVNELkgBAAAA3rYBAAMAAAAAAHrioufNe94IVdPzOM573gg7Q0lRLk5ZU0U6SUJNLklRX09QRUJfQU1UX1JFQ09HX05FWFQuMTk5Ny4wNi8wMy8yMDI2Li4uVVNELkgBAAAA3rYBAAMAAAAAAHrioufNe94IVdPzOM573gg6Q0lRLk5ZU0U6SUJNLklRX09QRUJf</t>
  </si>
  <si>
    <t>QVNTRVRTX0ZYX0FESi4xOTk3LjA2LzAzLzIwMjYuLi5VU0QuSAEAAADetgEAAwAAAAAAeuKi58173ghV0/M4znveCExDSVEuTllTRTpJQk0uSVFfUEVOU0lPTl9RVUFSVF9BRERMX0NPTlRSSUJVVElPTlNfRVhQLjE5OTcuMDYvMDMvMjAyNi4uLlVTRC5IAQAAAN62AQADAAAAAAB64qLnzXveCLul8zjOe94IPENJUS5OWVNFOklCTS5JUV9QRU5TSU9OX0FDQ1JVRURfTElBQi4xOTk3LjA2LzAzLzIwMjYuLi5VU0QuSAEAAADetgEAAwAAAAAAeuKi58173gi7pfM4znveCD9DSVEuTllTRTpJQk0uSVFfUEVOU0lPTl9UUkFOU0lUSU9OX05FWFQuMTk5Ny4wNi8wMy8yMDI2Li4uVVNELkgBAAAA3rYBAAMAAAAAAHrioufNe94IOefzOM573gg4Q0lRLk5ZU0U6SUJNLklRX1BFTlNJT05fQlJFQUtET1dOX1BDVF9SRS4xOTk3LjA2LzAzLzIwMjYBAAAA3rYBAAMAAAAAAHrioufNe94IVdPzOM573gg7Q0lRLk5ZU0U6SUJNLklRX1BFTlNJT05fRVhQX1JBVEVfUkVUVVJOX01BWC4xOTk3LjA2LzAzLzIwMjYBAAAA3rYBAAMAAAAAAHrioufNe94IVdPzOM573gg7Q0lRLk5ZU0U6SUJNLklRX1BFTlNJT05fTFRfTElBQl9ET00uMTk5Ny4wNi8wMy8yMDI2Li4uVVNELkgBAAAA3rYBAAMAAAAAAHrioufNe94IVdPzOM573ghJQ0lRLk5ZU0U6SUJNLklRX1BFTlNJT05fQVNTRVRTX09USEVSX1BMQU5fQURKX0RPTS4xOTk3</t>
  </si>
  <si>
    <t>LjA2LzAzLzIwMjYuLi5VU0QuSAEAAADetgEAAwAAAAAAeuKi58173ghV0/M4znveCDlDSVEuTllTRTpJQk0uSVFfT1BFQl9BQ0NSVUVEX0xJQUIuMTk5Ny4wNi8wMy8yMDI2Li4uVVNELkgBAAAA3rYBAAMAAAAAAHrioufNe94IOefzOM573gg1Q0lRLk5ZU0U6SUJNLklRX09QRUJfQUNUX05FWFQuMTk5Ny4wNi8wMy8yMDI2Li4uVVNELkgBAAAA3rYBAAMAAAAAAHrioufNe94IOefzOM573ghOQ0lRLk5ZU0U6SUJNLklRX09QRUJfT0JMSUdBVElPTl9FTVBMT1lFRV9DT05UUklCVVRJT05TLjE5OTcuMDYvMDMvMjAyNi4uLlVTRC5IAQAAAN62AQADAAAAAAB64qLnzXveCDnn8zjOe94IRkNJUS5OWVNFOklCTS5JUV9QRU5TSU9OX09CTElHQVRJT05fQ1VSVEFJTF9ET00uMTk5Ny4wNi8wMy8yMDI2Li4uVVNELkgBAAAA3rYBAAMAAAAAAHrioufNe94IOefzOM573gg8Q0lRLk5ZU0U6SUJNLklRX09QRUJfRVNUX0JFTkVGSVRfNFlSLjE5OTcuMDYvMDMvMjAyNi4uLlVTRC5IAQAAAN62AQADAAAAAAB64qLnzXveCDnn8zjOe94IOUNJUS5OWVNFOklCTS5JUV9PUEVCX0JSRUFLRE9XTl9SRS4xOTk3LjA2LzAzLzIwMjYuLi5VU0QuSAEAAADetgEAAwAAAAAAeuKi58173gg55/M4znveCEJDSVEuTllTRTpJQk0uSVFfT1BFQl9BU1NFVFNfT1RIRVJfUExBTl9BREouMTk5Ny4wNi8wMy8yMDI2Li4uVVNELkgBAAAA</t>
  </si>
  <si>
    <t>3rYBAAMAAAAAAHrioufNe94IOefzOM573ghGQ0lRLk5ZU0U6SUJNLklRX09QRUJfT0JMSUdBVElPTl9PVEhFUl9QTEFOX0FESi4xOTk3LjA2LzAzLzIwMjYuLi5VU0QuSAEAAADetgEAAwAAAAAAeuKi58173gg55/M4znveCD1DSVEuTllTRTpJQk0uSVFfUEVOU0lPTl9VTlJFQ09HX1BSSU9SLjE5OTcuMDYvMDMvMjAyNi4uLlVTRC5IAQAAAN62AQADAAAAAAB64qLnzXveCDnn8zjOe94IP0NJUS5OWVNFOklCTS5JUV9QRU5TSU9OX0VTVF9CRU5FRklUXzJZUi4xOTk3LjA2LzAzLzIwMjYuLi5VU0QuSAEAAADetgEAAwAAAAAAeuKi58173gg55/M4znveCEJDSVEuTllTRTpJQk0uSVFfT1BFQl9DSV9PVEhFUl9NSVNDX0FESl9ET00uMTk5Ny4wNi8wMy8yMDI2Li4uVVNELkgBAAAA3rYBAAMAAAAAAHrioufNe94Ixg70OM573gg/Q0lRLk5ZU0U6SUJNLklRX09QRUJfUkFURV9DT01QX0lOQ1JFQVNFX01BWF9ET00uMTk5Ny4wNi8wMy8yMDI2AQAAAN62AQADAAAAAAB64qLnzXveCMYO9DjOe94ITkNJUS5OWVNFOklCTS5JUV9PUEVCX0FTU0VUU19QQVJUSUNJUF9DT05UUklCVVRJT05TX0RPTS4xOTk3LjA2LzAzLzIwMjYuLi5VU0QuSAEAAADetgEAAwAAAAAAeuKi58173gjGDvQ4znveCElDSVEuTllTRTpJQk0uSVFfUEVOU0lPTl9PQkxJR0FUSU9OX09USEVSX0NPU1RfRE9NLjE5OTcuMDYvMDMvMjAyNi4u</t>
  </si>
  <si>
    <t>LlVTRC5IAQAAAN62AQADAAAAAAB64qLnzXveCMYO9DjOe94IOENJUS5OWVNFOklCTS5JUV9PUEVCX0VYUF9SQVRFX1JFVFVSTl9NSU4uMTk5Ny4wNi8wMy8yMDI2AQAAAN62AQADAAAAAAB64qLnzXveCDnn8zjOe94IN0NJUS5OWVNFOklCTS5JUV9PUEVCX0VYUF9SRVRVUk4uMTk5Ny4wNi8wMy8yMDI2Li4uVVNELkgBAAAA3rYBAAMAAAAAAHrioufNe94Ixg70OM573ghIQ0lRLk5ZU0U6SUJNLklRX09QRUJfU1VQUExFX1BMQU5TX1RPVEFMX0NPU1RfRE9NLjE5OTcuMDYvMDMvMjAyNi4uLlVTRC5IAQAAAN62AQADAAAAAAB64qLnzXveCMYO9DjOe94IQUNJUS5OWVNFOklCTS5JUV9QRU5TSU9OX1JBVEVfQ09NUF9HUk9XVEhfRE9NRVNUSUMuMTk5Ny4wNi8wMy8yMDI2AQAAAN62AQADAAAAAAB64qLnzXveCMYO9DjOe94IQENJUS5OWVNFOklCTS5JUV9PUEVCX0RFQ1JFQVNFX0VGRkVDVF9QQk8uMTk5Ny4wNi8wMy8yMDI2Li4uVVNELkgBAAAA3rYBAAMAAAAAAHrioufNe94Ixg70OM573gg5Q0lRLk5ZU0U6SUJNLklRX09QRUJfQlJFQUtET1dOX0VRLjE5OTcuMDYvMDMvMjAyNi4uLlVTRC5IAQAAAN62AQADAAAAAAB64qLnzXveCNQ19DjOe94IRENJUS5OWVNFOklCTS5JUV9PUEVCX09CTElHQVRJT05fU0VSVklDRV9DT1NULjE5OTcuMDYvMDMvMjAyNi4uLlVTRC5IAQAAAN62AQADAAAAAAB64qLnzXve</t>
  </si>
  <si>
    <t>CMYO9DjOe94IRkNJUS5OWVNFOklCTS5JUV9QRU5TSU9OX1VORlVOREVEX0FERExfTUlOX0xJQUIuMTk5Ny4wNi8wMy8yMDI2Li4uVVNELkgBAAAA3rYBAAMAAAAAAHrioufNe94Ixg70OM573ghIQ0lRLk5ZU0U6SUJNLklRX1BFTlNJT05fRVNUX0NPTlRSSUJVVElPTlNfTkVYVFlSLjE5OTcuMDYvMDMvMjAyNi4uLlVTRC5IAQAAAN62AQADAAAAAAB64qLnzXveCMYO9DjOe94IQkNJUS5OWVNFOklCTS5JUV9QRU5TSU9OX0VTVF9CRU5FRklUX0FGVEVSNS4xOTk3LjA2LzAzLzIwMjYuLi5VU0QuSAEAAADetgEAAwAAAAAAeuKi58173gjGDvQ4znveCFBDSVEuTllTRTpJQk0uSVFfUEVOU0lPTl9RVUFSVF9FTVBMT1lFUl9DT05UUklCVVRJT05TX0RPTS4xOTk3LjA2LzAzLzIwMjYuLi5VU0QuSAEAAADetgEAAwAAAAAAeuKi58173gjUNfQ4znveCEhDSVEuTllTRTpJQk0uSVFfUEVOU0lPTl9PQkxJR0FUSU9OX1BST0pFQ1RFRF9ET00uMTk5Ny4wNi8wMy8yMDI2Li4uVVNELkgBAAAA3rYBAAMAAAAAAHrioufNe94I1DX0OM573ghCQ0lRLk5ZU0U6SUJNLklRX1BFTlNJT05fT0JMSUdBVElPTl9CRUdfRE9NLjE5OTcuMDYvMDMvMjAyNi4uLlVTRC5IAQAAAN62AQADAAAAAAB64qLnzXveCNQ19DjOe94IPUNJUS5OWVNFOklCTS5JUV9PUEVCX1BCT19BU1NVTUVEX1JBVEVfUkVUX01JTi4xOTk3LjA2LzAzLzIw</t>
  </si>
  <si>
    <t>MjYBAAAA3rYBAAMAAAAAAHrioufNe94I1DX0OM573gg3Q0lRLk5ZU0U6SUJNLklRX09QRUJfQVNTRVRTX0FDUS4xOTk3LjA2LzAzLzIwMjYuLi5VU0QuSAEAAADetgEAAwAAAAAAeuKi58173gjUNfQ4znveCDtDSVEuTllTRTpJQk0uSVFfT1BFQl9PQkxJR0FUSU9OX0FDUS4xOTk3LjA2LzAzLzIwMjYuLi5VU0QuSAEAAADetgEAAwAAAAAAeuKi58173gjOSfQ4znveCDlDSVEuTllTRTpJQk0uSVFfT1BFQl9TRVJWSUNFX0NPU1QuMTk5Ny4wNi8wMy8yMDI2Li4uVVNELkgBAAAA3rYBAAMAAAAAAHrioufNe94Izkn0OM573ghAQ0lRLk5ZU0U6SUJNLklRX1BFTlNJT05fUEJPX0FTU1VNRURfUkFURV9SRVRfTUlOLjE5OTcuMDYvMDMvMjAyNgEAAADetgEAAwAAAAAAeuKi58173gjOSfQ4znveCEZDSVEuTllTRTpJQk0uSVFfUEVOU0lPTl9BQ0NVTVVMQVRFRF9PQkxJR0FUSU9OLjE5OTcuMDYvMDMvMjAyNi4uLlVTRC5IAQAAAN62AQADAAAAAAB64qLnzXveCM5J9DjOe94IRUNJUS5OWVNFOklCTS5JUV9QRU5TSU9OX09CTElHQVRJT05fVE9UQUxfQ09TVC4xOTk3LjA2LzAzLzIwMjYuLi5VU0QuSAEAAADetgEAAwAAAAAAeuKi58173gjUNfQ4znveCD1DSVEuTllTRTpJQk0uSVFfRklOX0RJVl9MVF9ERUJUX1RPVEFMLjE5OTcuMDYvMDMvMjAyNi4uLlVTRC5IAQAAAN62AQACAAAABTEwMDIyAQgAAAAFAAAA</t>
  </si>
  <si>
    <t>ATEBAAAACy0xOTQ4ODM3NTQwAwAAAAMxNjACAAAABTI0NTE1BAAAAAEwBwAAAAgzLzYvMjAyNggAAAAJMy8zMS8yMDI1CQAAAAEweuKi58173gjOSfQ4znveCC1DSVEuTllTRTpJQk0uSVFfQVZHX0VNUExPWUVFUy4xOTk3LjA2LzAzLzIwMjYBAAAA3rYBAAMAAAAAAHrioufNe94Izkn0OM573gg8Q0lRLk5ZU0U6SUJNLklRX1BFTlNJT05fQlJFQUtET1dOX1JFLjE5OTcuMDYvMDMvMjAyNi4uLlVTRC5IAQAAAN62AQADAAAAAAB64qLnzXveCM5J9DjOe94IUUNJUS5OWVNFOklCTS5JUV9QRU5TSU9OX09CTElHQVRJT05fRU1QTE9ZRUVfQ09OVFJJQlVUSU9OUy4xOTk3LjA2LzAzLzIwMjYuLi5VU0QuSAEAAADetgEAAwAAAAAAeuKi58173gjOSfQ4znveCDZDSVEuTllTRTpJQk0uSVFfQUNDVU1fQU1PUlRfR1cuMTk5Ny4wNi8wMy8yMDI2Li4uVVNELkgBAAAA3rYBAAMAAAAAAHrioufNe94Izkn0OM573gg8Q0lRLk5ZU0U6SUJNLklRX09QRUJfRVNUX0JFTkVGSVRfMllSLjE5OTcuMDYvMDMvMjAyNi4uLlVTRC5IAQAAAN62AQADAAAAAAB64qLnzXveCBNx9DjOe94IQkNJUS5OWVNFOklCTS5JUV9QRU5TSU9OX1BSSU9SX1NFUlZJQ0VfTkVYVC4xOTk3LjA2LzAzLzIwMjYuLi5VU0QuSAEAAADetgEAAwAAAAAAeuKi58173gjOSfQ4znveCERDSVEuTllTRTpJQk0uSVFfUEVOU0lPTl9BU1NFVFNfQUNUVUFM</t>
  </si>
  <si>
    <t>X1JFVFVSTi4xOTk3LjA2LzAzLzIwMjYuLi5VU0QuSAEAAADetgEAAwAAAAAAeuKi58173gjOSfQ4znveCEJDSVEuTllTRTpJQk0uSVFfUEVOU0lPTl9PQkxJR0FUSU9OX0NVUlRBSUwuMTk5Ny4wNi8wMy8yMDI2Li4uVVNELkgBAAAA3rYBAAMAAAAAAHrioufNe94Izkn0OM573ghAQ0lRLk5ZU0U6SUJNLklRX0FDQ1VNX0FNT1JUX0lOVEFOX0FTU0VUUy4xOTk3LjA2LzAzLzIwMjYuLi5VU0QuSAEAAADetgEAAgAAAAUtODY3NQEIAAAABQAAAAExAQAAAAstMTk0ODgzNzU0MAMAAAADMTYwAgAAAAUyNDMzMQQAAAABMAcAAAAIMy82LzIwMjYIAAAACTMvMzEvMjAyNQkAAAABMHrioufNe94Izkn0OM573gg8Q0lRLk5ZU0U6SUJNLklRX1dBUlJBTlRZX0xJQUJJTElUSUVTLjE5OTcuMDYvMDMvMjAyNi4uLlVTRC5IAQAAAN62AQADAAAAAAB64qLnzXveCBNx9DjOe94IOUNJUS5OWVNFOklCTS5JUV9GSU5fRElWX1NUX0lOVkVTVC4xOTk3LjA2LzAzLzIwMjYuLi5VU0QuSAEAAADetgEAAwAAAAAAeuKi58173ggTcfQ4znveCD5DSVEuTllTRTpJQk0uSVFfTElBQklMSVRJRVNfRkFJUl9WQUxVRS4xOTk3LjA2LzAzLzIwMjYuLi5VU0QuSAEAAADetgEAAgAAAAU1NDQxNQB64qLnzXveCBNx9DjOe94IRkNJUS5OWVNFOklCTS5JUV9UT1RBTF9HRU5FUkFMX1BBUlRORVJfSU5URVJFU1QuMTk5Ny4wNi8wMy8yMDI2</t>
  </si>
  <si>
    <t>Li4uVVNELkgBAAAA3rYBAAMAAAAAAHrioufNe94IE3H0OM573ggxQ0lRLk5ZU0U6SUJNLklRX01BQ0hJTkVSWS4xOTk3LjA2LzAzLzIwMjYuLi5VU0QuSAEAAADetgEAAwAAAAAAeuKi58173ggTcfQ4znveCDFDSVEuTllTRTpJQk0uSVFfT1RIRVJfSU5WLjE5OTcuMDYvMDMvMjAyNi4uLlVTRC5IAQAAAN62AQADAAAAAAB64qLnzXveCDqY9DjOe94IMENJUS5OWVNFOklCTS5JUV9ORVRfREVCVC4xOTk3LjA2LzAzLzIwMjYuLi5VU0QuSAEAAADetgEAAgAAAAU0OTM3MAEIAAAABQAAAAExAQAAAAstMTk0ODgzNzU0MAMAAAADMTYwAgAAAAQ0MzY0BAAAAAEwBwAAAAgzLzYvMjAyNggAAAAJMy8zMS8yMDI1CQAAAAEweuKi58173gg6mPQ4znveCC1DSVEuTllTRTpJQk0uSVFfRklMSU5HREFURV9CUy4xOTk3LjA2LzAzLzIwMjYBAAAA3rYBAAUAAAAKMjQvMDQvMjAyNQB64qLnzXveCBNx9DjOe94IPUNJUS5OWVNFOklCTS5JUV9OUFBFX0VYQ0xfT1BFUl9MRUFTRVMuMTk5Ny4wNi8wMy8yMDI2Li4uVVNELkgBAAAA3rYBAAIAAAAENTc0MgEIAAAABQAAAAExAQAAAAstMTk0ODgzNzU0MAMAAAADMTYwAgAAAAU0ODk3NgQAAAABMAcAAAAIMy82LzIwMjYIAAAACTMvMzEvMjAyNQkAAAABMHrioufNe94IE3H0OM573gg0Q0lRLk5ZU0U6SUJNLklRX1RPVEFMX0VRVUlUWS4xOTk3LjA2LzAzLzIwMjYuLi5VU0Qu</t>
  </si>
  <si>
    <t>SAEAAADetgEAAgAAAAUyNjk1MgEIAAAABQAAAAExAQAAAAstMTk0ODgzNzU0MAMAAAADMTYwAgAAAAQxMjc1BAAAAAEwBwAAAAgzLzYvMjAyNggAAAAJMy8zMS8yMDI1CQAAAAEweuKi58173ggTcfQ4znveCDRDSVEuTllTRTpJQk0uSVFfT1RIRVJfRVFVSVRZLjE5OTcuMDYvMDMvMjAyNi4uLlVTRC5IAQAAAN62AQACAAAABi0xNTU3NgEIAAAABQAAAAExAQAAAAstMTk0ODgzNzU0MAMAAAADMTYwAgAAAAQxMDI4BAAAAAEwBwAAAAgzLzYvMjAyNggAAAAJMy8zMS8yMDI1CQAAAAEweuKi58173gg6mPQ4znveCC9DSVEuTllTRTpJQk0uSVFfUEVOU0lPTi4xOTk3LjA2LzAzLzIwMjYuLi5VU0QuSAEAAADetgEAAgAAAAQ5NTM2AQgAAAAFAAAAATEBAAAACy0xOTQ4ODM3NTQwAwAAAAMxNjACAAAABDEyMTMEAAAAATAHAAAACDMvNi8yMDI2CAAAAAkzLzMxLzIwMjUJAAAAATB64qLnzXveCDqY9DjOe94IO0NJUS5OWVNFOklCTS5JUV9DVVJSRU5UX1BPUlRfTEVBU0VTLjE5OTcuMDYvMDMvMjAyNi4uLlVTRC5IAQAAAN62AQACAAAAAzc5OAEIAAAABQAAAAExAQAAAAstMTk0ODgzNzU0MAMAAAADMTYwAgAAAAQxMDkwBAAAAAEwBwAAAAgzLzYvMjAyNggAAAAJMy8zMS8yMDI1CQAAAAEweuKi58173gg6mPQ4znveCDNDSVEuTllTRTpJQk0uSVFfT1RIRVJfSU5UQU4uMTk5Ny4wNi8wMy8yMDI2Li4uVVNELkgB</t>
  </si>
  <si>
    <t>AAAA3rYBAAIAAAAFMTIzOTIBCAAAAAUAAAABMQEAAAALLTE5NDg4Mzc1NDADAAAAAzE2MAIAAAAEMTA0MAQAAAABMAcAAAAIMy82LzIwMjYIAAAACTMvMzEvMjAyNQkAAAABMHrioufNe94IOpj0OM573ghHQ0lRLk5ZU0U6SUJNLklRX1BFTlNJT05fQ09OVFJJQlVUSU9OX1RPVEFMX0NPU1QuMTk5Ny4wNi8wMy8yMDI2Li4uVVNELkgBAAAA3rYBAAMAAAAAAHrioufNe94IOpj0OM573gg7Q0lRLk5ZU0U6SUJNLklRX0lOVEVSQ09NUEFOWV9OT05fQ0wuMTk5Ny4wNi8wMy8yMDI2Li4uVVNELkgBAAAA3rYBAAMAAAAAAHrioufNe94IOpj0OM573gg7Q0lRLk5ZU0U6SUJNLklRX0lOVEVSQ09NUEFOWV9OT05fQ0EuMTk5Ny4wNi8wMy8yMDI2Li4uVVNELkgBAAAA3rYBAAMAAAAAAHrioufNe94IOpj0OM573gg8Q0lRLk5ZU0U6SUJNLklRX0RFUklWQVRJVkVfQVNTRVRTX0xULjE5OTcuMDYvMDMvMjAyNi4uLlVTRC5IAQAAAN62AQACAAAAAzEyNQEIAAAABQAAAAExAQAAAAstMTk0ODgzNzU0MAMAAAADMTYwAgAAAAQxMTEwBAAAAAEwBwAAAAgzLzYvMjAyNggAAAAJMy8zMS8yMDI1CQAAAAEweuKi58173gg6mPQ4znveCEVDSVEuTllTRTpJQk0uSVFfT1BFQl9PQkxJR0FUSU9OX0lOVEVSRVNUX0NPU1QuMTk5Ny4wNi8wMy8yMDI2Li4uVVNELkgBAAAA3rYBAAMAAAAAAHrioufNe94IOpj0OM573gg5Q0lRLk5Z</t>
  </si>
  <si>
    <t>U0U6SUJNLklRX1BFTlNJT05fQkVORUZJVF9JTkZPX0RBVEUuMTk5Ny4wNi8wMy8yMDI2AQAAAN62AQADAAAAAAB64qLnzXveCG6/9DjOe94IPkNJUS5OWVNFOklCTS5JUV9QRU5TSU9OX09CTElHQVRJT05fQkVHLjE5OTcuMDYvMDMvMjAyNi4uLlVTRC5IAQAAAN62AQADAAAAAAB64qLnzXveCG6/9DjOe94IMkNJUS5OWVNFOklCTS5JUV9BVkdfVEVNUF9FTVBMT1lFRVMuMTk5Ny4wNi8wMy8yMDI2AQAAAN62AQADAAAAAAB64qLnzXveCG6/9DjOe94ISENJUS5OWVNFOklCTS5JUV9BU1NFVFNfTkVUVElOR19PVEhFUl9BREpVU1RNRU5UUy4xOTk3LjA2LzAzLzIwMjYuLi5VU0QuSAEAAADetgEAAwAAAAAAeuKi58173ghuv/Q4znveCDZDSVEuTllTRTpJQk0uSVFfQVNTRVRTX0xFVkVMXzEuMTk5Ny4wNi8wMy8yMDI2Li4uVVNELkgBAAAA3rYBAAIAAAADNzE2AHrioufNe94Ibr/0OM573gg9Q0lRLk5ZU0U6SUJNLklRX0xFQVNFSE9MRF9JTVBST1ZFTUVOVC4xOTk3LjA2LzAzLzIwMjYuLi5VU0QuSAEAAADetgEAAwAAAAAAeuKi58173ghuv/Q4znveCDNDSVEuTllTRTpJQk0uSVFfQVJfVU5CSUxMRUQuMTk5Ny4wNi8wMy8yMDI2Li4uVVNELkgBAAAA3rYBAAIAAAADNDY1AQgAAAAFAAAAATEBAAAACy0xOTQ4ODM3NTQwAwAAAAMxNjACAAAABTQ1NDIwBAAAAAEwBwAAAAgzLzYvMjAyNggAAAAJMy8zMS8y</t>
  </si>
  <si>
    <t>MDI1CQAAAAEweuKi58173ghuv/Q4znveCEFDSVEuTllTRTpJQk0uSVFfT1BFQl9BU1NFVFNfQUNUVUFMX1JFVFVSTi4xOTk3LjA2LzAzLzIwMjYuLi5VU0QuSAEAAADetgEAAwAAAAAAeuKi58173ghuv/Q4znveCDlDSVEuTllTRTpJQk0uSVFfUEVOU0lPTl9MVF9BU1NFVFMuMTk5Ny4wNi8wMy8yMDI2Li4uVVNELkgBAAAA3rYBAAMAAAAAAHrioufNe94Ibr/0OM573gg+Q0lRLk5ZU0U6SUJNLklRX1BFTlNJT05fUkFURV9DT01QX0lOQ1JFQVNFX01JTi4xOTk3LjA2LzAzLzIwMjYBAAAA3rYBAAMAAAAAAHrioufNe94Ieeb0OM573gg2Q0lRLk5ZU0U6SUJNLklRX1BFTlNJT05fQVNTRVRTLjE5OTcuMDYvMDMvMjAyNi4uLlVTRC5IAQAAAN62AQADAAAAAAB64qLnzXveCG6/9DjOe94IQUNJUS5OWVNFOklCTS5JUV9ERVJJVkFUSVZFX1RSQURJTkdfQVNTRVRTLjE5OTcuMDYvMDMvMjAyNi4uLlVTRC5IAQAAAN62AQADAAAAAAB64qLnzXveCG6/9DjOe94INUNJUS5OWVNFOklCTS5JUV9PUkRFUl9CQUNLTE9HLjE5OTcuMDYvMDMvMjAyNi4uLlVTRC5IAQAAAN62AQADAAAAAAB64qLnzXveCG6/9DjOe94IPENJUS5OWVNFOklCTS5JUV9QRU5TSU9OX0JSRUFLRE9XTl9GSS4xOTk3LjA2LzAzLzIwMjYuLi5VU0QuSAEAAADetgEAAwAAAAAAeuKi58173ghuv/Q4znveCE1DSVEuTllTRTpJQk0uSVFfUEVOU0lP</t>
  </si>
  <si>
    <t>Tl9BU1NFVFNfUEFSVElDSVBfQ09OVFJJQlVUSU9OUy4xOTk3LjA2LzAzLzIwMjYuLi5VU0QuSAEAAADetgEAAwAAAAAAeuKi58173gh55vQ4znveCC5DSVEuTllTRTpJQk0uSVFfUkVTVEFURU1FTlRfQlMuMTk5Ny4wNi8wMy8yMDI2AQAAAN62AQADAAAAAU8AeuKi58173gh55vQ4znveCD9DSVEuTllTRTpJQk0uSVFfREVSSVZBVElWRV9MSUFCX0NVUlJFTlQuMTk5Ny4wNi8wMy8yMDI2Li4uVVNELkgBAAAA3rYBAAIAAAADMjc2AQgAAAAFAAAAATEBAAAACy0xOTQ4ODM3NTQwAwAAAAMxNjACAAAABTQwNDE3BAAAAAEwBwAAAAgzLzYvMjAyNggAAAAJMy8zMS8yMDI1CQAAAAEweuKi58173gh55vQ4znveCDpDSVEuTllTRTpJQk0uSVFfREVCVF9FUVVJVl9ORVRfUEJPLjE5OTcuMDYvMDMvMjAyNi4uLlVTRC5IAQAAAN62AQADAAAAAAB64qLnzXveCHnm9DjOe94IOkNJUS5OWVNFOklCTS5JUV9GSU5fRElWX0RFQlRfVE9UQUwuMTk5Ny4wNi8wMy8yMDI2Li4uVVNELkgBAAAA3rYBAAIAAAAFMTAwMjIBCAAAAAUAAAABMQEAAAALLTE5NDg4Mzc1NDADAAAAAzE2MAIAAAAFMjQ1MTYEAAAAATAHAAAACDMvNi8yMDI2CAAAAAkzLzMxLzIwMjUJAAAAATB64qLnzXveCHnm9DjOe94IO0NJUS5OWVNFOklCTS5JUV9MSUFCSUxJVElFU19MRVZFTF8zLjE5OTcuMDYvMDMvMjAyNi4uLlVTRC5IAQAAAN62AQADAAAA</t>
  </si>
  <si>
    <t>AAB64qLnzXveCHnm9DjOe94IOUNJUS5OWVNFOklCTS5JUV9QRU5TSU9OX09USEVSX0FESi4xOTk3LjA2LzAzLzIwMjYuLi5VU0QuSAEAAADetgEAAwAAAAAAeuKi58173gh55vQ4znveCEVDSVEuTllTRTpJQk0uSVFfUEVOU0lPTl9PQkxJR0FUSU9OX09USEVSX0NPU1QuMTk5Ny4wNi8wMy8yMDI2Li4uVVNELkgBAAAA3rYBAAMAAAAAAHrioufNe94Ieeb0OM573ggnQ0lRLk5ZU0U6SUJNLklRX0dBQVBfQlMuMTk5Ny4wNi8wMy8yMDI2AQAAAN62AQADAAAAB1VTIEdBQVAAeuKi58173gh55vQ4znveCD5DSVEuTllTRTpJQk0uSVFfUEVOU0lPTl9BQ0NVTV9PVEhFUl9DSS4xOTk3LjA2LzAzLzIwMjYuLi5VU0QuSAEAAADetgEAAwAAAAAAeuKi58173gh55vQ4znveCD1DSVEuTllTRTpJQk0uSVFfUkVTVFJJQ1RFRF9DQVNIX1RPVEFMLjE5OTcuMDYvMDMvMjAyNi4uLlVTRC5IAQAAAN62AQACAAAAAzEyNgEIAAAABQAAAAExAQAAAAstMTk0ODgzNzU0MAMAAAADMTYwAgAAAAUyNDE5MgQAAAABMAcAAAAIMy82LzIwMjYIAAAACTMvMzEvMjAyNQkAAAABMHrioufNe94Ifg31OM573gg/Q0lRLk5ZU0U6SUJNLklRX0VNUExPWUVFU19VTkRFUl9VTklPTl9DT05UUkFDVFMuMTk5Ny4wNi8wMy8yMDI2AQAAAN62AQADAAAAAAB64qLnzXveCH4N9TjOe94INkNJUS5OWVNFOklCTS5JUV9BU1NFVFNfTEVWRUxfMi4x</t>
  </si>
  <si>
    <t>OTk3LjA2LzAzLzIwMjYuLi5VU0QuSAEAAADetgEAAgAAAAUxMjg3NwB64qLnzXveCH4N9TjOe94IO0NJUS5OWVNFOklCTS5JUV9NSU5PUklUWV9JTlRfUkVERUVNLjE5OTcuMDYvMDMvMjAyNi4uLlVTRC5IAQAAAN62AQADAAAAAAB64qLnzXveCH4N9TjOe94IPkNJUS5OWVNFOklCTS5JUV9OQVRVUkFMX1JFU09VUkNFU19DT1NULjE5OTcuMDYvMDMvMjAyNi4uLlVTRC5IAQAAAN62AQADAAAAAAB64qLnzXveCHnm9DjOe94IOENJUS5OWVNFOklCTS5JUV9BTExPV19ET1VCVF9BQ0NULjE5OTcuMDYvMDMvMjAyNi4uLlVTRC5IAQAAAN62AQACAAAAAzEwMgEIAAAABQAAAAExAQAAAAstMTk0ODgzNzU0MAMAAAADMTYwAgAAAAQzMDEyBAAAAAEwBwAAAAgzLzYvMjAyNggAAAAJMy8zMS8yMDI1CQAAAAEweuKi58173gh+DfU4znveCDFDSVEuTllTRTpJQk0uSVFfVEJWX1NIQVJFLjE5OTcuMDYvMDMvMjAyNi4uLlVTRC5IAQAAAN62AQACAAAACi01NS40OTUxNDcBCAAAAAUAAAABMQEAAAALLTE5NDg4Mzc1NDADAAAAAzE2MAIAAAAENDE1NgQAAAABMAcAAAAIMy82LzIwMjYIAAAACTMvMzEvMjAyNQkAAAABMHrioufNe94Ifg31OM573ggvQ0lRLk5ZU0U6SUJNLklRX0FVRElUT1JfT1BJTklPTi4xOTk3LjA2LzAzLzIwMjYBAAAA3rYBAAMAAAAAAHrioufNe94Ifg31OM573gg3Q0lRLk5ZU0U6SUJNLklRX0lO</t>
  </si>
  <si>
    <t>VEVSQ09NUEFOWV9DTC4xOTk3LjA2LzAzLzIwMjYuLi5VU0QuSAEAAADetgEAAwAAAAAAeuKi58173gh+DfU4znveCC5DSVEuTllTRTpJQk0uSVFfR1dfTkVULjE5OTcuMDYvMDMvMjAyNi4uLlVTRC5IAQAAAN62AQACAAAABTY2MDY1AQgAAAAFAAAAATEBAAAACy0xOTQ4ODM3NTQwAwAAAAMxNjACAAAABTQ4OTYwBAAAAAEwBwAAAAgzLzYvMjAyNggAAAAJMy8zMS8yMDI1CQAAAAEweuKi58173gh+DfU4znveCD9DSVEuTllTRTpJQk0uSVFfUEVOU0lPTl9FU1RfQkVORUZJVF80WVIuMTk5Ny4wNi8wMy8yMDI2Li4uVVNELkgBAAAA3rYBAAMAAAAAAHrioufNe94ImTT1OM573gg7Q0lRLk5ZU0U6SUJNLklRX1BFTlNJT05fRVhQX1JBVEVfUkVUVVJOX01JTi4xOTk3LjA2LzAzLzIwMjYBAAAA3rYBAAMAAAAAAHrioufNe94Ifg31OM573ghFQ0lRLk5ZU0U6SUJNLklRX1BFTlNJT05fQVNTRVRTX09USEVSX1BMQU5fQURKLjE5OTcuMDYvMDMvMjAyNi4uLlVTRC5IAQAAAN62AQADAAAAAAB64qLnzXveCH4N9TjOe94IPUNJUS5OWVNFOklCTS5JUV9BRFZBTkNFU19GT1JfU1VQUExJRVMuMTk5Ny4wNi8wMy8yMDI2Li4uVVNELkgBAAAA3rYBAAMAAAAAAHrioufNe94Ifg31OM573ghBQ0lRLk5ZU0U6SUJNLklRX0RFUklWQVRJVkVfQVNTRVRTX0NVUlJFTlQuMTk5Ny4wNi8wMy8yMDI2Li4uVVNELkgBAAAA3rYB</t>
  </si>
  <si>
    <t>AAIAAAADMjY0AQgAAAAFAAAAATEBAAAACy0xOTQ4ODM3NTQwAwAAAAMxNjACAAAABDExMDkEAAAAATAHAAAACDMvNi8yMDI2CAAAAAkzLzMxLzIwMjUJAAAAATB64qLnzXveCH4N9TjOe94IOkNJUS5OWVNFOklCTS5JUV9GSU5fRElWX0NBU0hfRVFVSVYuMTk5Ny4wNi8wMy8yMDI2Li4uVVNELkgBAAAA3rYBAAMAAAAAAHrioufNe94ImTT1OM573ghNQ0lRLk5ZU0U6SUJNLklRX0xJQUJJTElUSUVTX05FVFRJTkdfT1RIRVJfQURKVVNUTUVOVFMuMTk5Ny4wNi8wMy8yMDI2Li4uVVNELkgBAAAA3rYBAAMAAAAAAHrioufNe94ImTT1OM573gg7Q0lRLk5ZU0U6SUJNLklRX0xJQUJJTElUSUVTX0xFVkVMXzEuMTk5Ny4wNi8wMy8yMDI2Li4uVVNELkgBAAAA3rYBAAMAAAAAAHrioufNe94ImTT1OM573ghDQ0lRLk5ZU0U6SUJNLklRX0RFRl9UQVhfVkFMVUFUSU9OX0FMTE9XQU5DRS4xOTk3LjA2LzAzLzIwMjYuLi5VU0QuSAEAAADetgEAAwAAAAAAeuKi58173giZNPU4znveCDRDSVEuTllTRTpJQk0uSVFfRklOSVNIRURfSU5WLjE5OTcuMDYvMDMvMjAyNi4uLlVTRC5IAQAAAN62AQACAAAAAzIwMwEIAAAABQAAAAExAQAAAAstMTk0ODgzNzU0MAMAAAADMTYwAgAAAAQzMDc1BAAAAAEwBwAAAAgzLzYvMjAyNggAAAAJMy8zMS8yMDI1CQAAAAEweuKi58173giZNPU4znveCD9DSVEuTllTRTpJQk0uSVFfT1BF</t>
  </si>
  <si>
    <t>Ql9PQkxJR0FUSU9OX0NVUlRBSUwuMTk5Ny4wNi8wMy8yMDI2Li4uVVNELkgBAAAA3rYBAAMAAAAAAHrioufNe94ImTT1OM573gg4Q0lRLk5ZU0U6SUJNLklRX1BFTlNJT05fQlJFQUtET1dOX1BDVF9GSS4xOTk3LjA2LzAzLzIwMjYBAAAA3rYBAAMAAAAAAHrioufNe94ImTT1OM573gg7Q0lRLk5ZU0U6SUJNLklRX1RPVEFMX0RFQlRfRVhDTF9GSU4uMTk5Ny4wNi8wMy8yMDI2Li4uVVNELkgBAAAA3rYBAAIAAAAFNjY4MzUBCAAAAAUAAAABMQEAAAALLTE5NDg4Mzc1NDADAAAAAzE2MAIAAAAFMjE4NjAEAAAAATAHAAAACDMvNi8yMDI2CAAAAAkzLzMxLzIwMjUJAAAAATB64qLnzXveCJk09TjOe94ILkNJUS5OWVNFOklCTS5JUV9DT1NUX0JPUlJPV0lORy4xOTk3LjA2LzAzLzIwMjYBAAAA3rYBAAIAAAAGMi42NzUyAQgAAAAFAAAAATEBAAAACy0xOTQ4ODM3NTQwAwAAAAMxNjACAAAABTIxNjgxBAAAAAEwBwAAAAgzLzYvMjAyNggAAAAJMy8zMS8yMDI1CQAAAAEweuKi58173giZNPU4znveCClDSVEuTllTRTpJQk0uSVFfUEFSVF9USU1FLjE5OTcuMDYvMDMvMjAyNgEAAADetgEAAwAAAAAAeuKi58173giZNPU4znveCEpDSVEuTllTRTpJQk0uSVFfTElRVUlEQVRJT05fVkFMVUVfUFJFRkVSUkVEX1JFREVFTS4xOTk3LjA2LzAzLzIwMjYuLi5VU0QuSAEAAADetgEAAwAAAAAAeuKi58173giZNPU4znve</t>
  </si>
  <si>
    <t>CCtDSVEuTllTRTpJQk0uSVFfQ0lQLjE5OTcuMDYvMDMvMjAyNi4uLlVTRC5IAQAAAN62AQADAAAAAAB64qLnzXveCJk09TjOe94INUNJUS5OWVNFOklCTS5JUV9FUVVJVFlfTUVUSE9ELjE5OTcuMDYvMDMvMjAyNi4uLlVTRC5IAQAAAN62AQADAAAAAAB64qLnzXveCJk09TjOe94IM0NJUS5OWVNFOklCTS5JUV9XT1JLSU5HX0NBUC4xOTk3LjA2LzAzLzIwMjYuLi5VU0QuSAEAAADetgEAAgAAAAMyMzABCAAAAAUAAAABMQEAAAALLTE5NDg4Mzc1NDADAAAAAzE2MAIAAAAENDE2NQQAAAABMAcAAAAIMy82LzIwMjYIAAAACTMvMzEvMjAyNQkAAAABMHrioufNe94ImTT1OM573ggwQ0lRLk5ZU0U6SUJNLklRX0JWX1NIQVJFLjE5OTcuMDYvMDMvMjAyNi4uLlVTRC5IAQAAAN62AQACAAAACTI4LjkyMTk5MQEIAAAABQAAAAExAQAAAAstMTk0ODgzNzU0MAMAAAADMTYwAgAAAAQ0MDIwBAAAAAEwBwAAAAgzLzYvMjAyNggAAAAJMy8zMS8yMDI1CQAAAAEweuKi58173gh5b/U4znveCDxDSVEuTllTRTpJQk0uSVFfVE9UQUxfRklOQU5DRV9MRUFTRVMuMTk5Ny4wNi8wMy8yMDI2Li4uVVNELkgBAAAA3rYBAAIAAAAEMTAzMQEIAAAABQAAAAExAQAAAAstMTk0ODgzNzU0MAMAAAADMTYwAgAAAAU0OTAzMQQAAAABMAcAAAAIMy82LzIwMjYIAAAACTMvMzEvMjAyNQkAAAABMHrioufNe94ImTT1OM573gg1Q0lRLk5Z</t>
  </si>
  <si>
    <t>U0U6SUJNLklRX1JVQV9BQ0NVTV9ERVAuMTk5Ny4wNi8wMy8yMDI2Li4uVVNELkgBAAAA3rYBAAMAAAAAAHrioufNe94ImTT1OM573gg0Q0lRLk5ZU0U6SUJNLklRX1BSRUZfQ09OVkVSVC4xOTk3LjA2LzAzLzIwMjYuLi5VU0QuSAEAAADetgEAAwAAAAAAeuKi58173giZNPU4znveCDJDSVEuTllTRTpJQk0uSVFfVE9UQUxfTElBQi4xOTk3LjA2LzAzLzIwMjYuLi5VU0QuSAEAAADetgEAAgAAAAYxMTg3MTUBCAAAAAUAAAABMQEAAAALLTE5NDg4Mzc1NDADAAAAAzE2MAIAAAAEMTI3NgQAAAABMAcAAAAIMy82LzIwMjYIAAAACTMvMzEvMjAyNQkAAAABMHrioufNe94ImTT1OM573gg7Q0lRLk5ZU0U6SUJNLklRX0lOQ19UQVhfUEFZX0NVUlJFTlQuMTk5Ny4wNi8wMy8yMDI2Li4uVVNELkgBAAAA3rYBAAIAAAAEMTU3MwEIAAAABQAAAAExAQAAAAstMTk0ODgzNzU0MAMAAAADMTYwAgAAAAQxMDk0BAAAAAEwBwAAAAgzLzYvMjAyNggAAAAJMy8zMS8yMDI1CQAAAAEweuKi58173gh5b/U4znveCC1DSVEuTllTRTpJQk0uSVFfQVJfTFQuMTk5Ny4wNi8wMy8yMDI2Li4uVVNELkgBAAAA3rYBAAMAAAAAAHrioufNe94IeW/1OM573gg2Q0lRLk5ZU0U6SUJNLklRX0xPQU5TX0ZPUl9TQUxFLjE5OTcuMDYvMDMvMjAyNi4uLlVTRC5IAQAAAN62AQADAAAAAAB64qLnzXveCHlv9TjOe94ITENJUS5OWVNFOklCTS5J</t>
  </si>
  <si>
    <t>UV9QRU5TSU9OX1FVQVJUX0VNUExPWUVSX0NPTlRSSUJVVElPTlMuMTk5Ny4wNi8wMy8yMDI2Li4uVVNELkgBAAAA3rYBAAMAAAAAAHrioufNe94IeW/1OM573gg/Q0lRLk5ZU0U6SUJNLklRX1BFTlNJT05fRVNUX0JFTkVGSVRfM1lSLjE5OTcuMDYvMDMvMjAyNi4uLlVTRC5IAQAAAN62AQADAAAAAAB64qLnzXveCHlv9TjOe94IQUNJUS5OWVNFOklCTS5JUV9QRU5TSU9OX0NJX09USEVSX01JU0NfQURKLjE5OTcuMDYvMDMvMjAyNi4uLlVTRC5IAQAAAN62AQADAAAAAAB64qLnzXveCHlv9TjOe94IO0NJUS5OWVNFOklCTS5JUV9MVF9ERUJUX0RFUklWQVRJVkVTLjE5OTcuMDYvMDMvMjAyNi4uLlVTRC5IAQAAAN62AQADAAAAAAB64qLnzXveCHlv9TjOe94IPkNJUS5OWVNFOklCTS5JUV9QRU5TSU9OX1JBVEVfQ09NUF9JTkNSRUFTRV9NQVguMTk5Ny4wNi8wMy8yMDI2AQAAAN62AQADAAAAAAB64qLnzXveCHlv9TjOe94IPUNJUS5OWVNFOklCTS5JUV9GSU5fRElWX1NUX0RFQlRfVE9UQUwuMTk5Ny4wNi8wMy8yMDI2Li4uVVNELkgBAAAA3rYBAAMAAAAAAHrioufNe94IeW/1OM573gg7Q0lRLk5ZU0U6SUJNLklRX0xJQUJJTElUSUVTX0xFVkVMXzIuMTk5Ny4wNi8wMy8yMDI2Li4uVVNELkgBAAAA3rYBAAIAAAAFNTQ0MTUAeuKi58173gh5b/U4znveCEVDSVEuTllTRTpJQk0uSVFfR0VORVJBTF9QQVJU</t>
  </si>
  <si>
    <t>TkVSX0NPTU1PTl9FUVVJVFkuMTk5Ny4wNi8wMy8yMDI2Li4uVVNELkgBAAAA3rYBAAMAAAAAAHrioufNe94I35b1OM573gg/Q0lRLk5ZU0U6SUJNLklRX01JTk9SSVRZX0lOVF9SRURFRU1fVE9ULjE5OTcuMDYvMDMvMjAyNi4uLlVTRC5IAQAAAN62AQADAAAAAAB64qLnzXveCN+W9TjOe94IQkNJUS5OWVNFOklCTS5JUV9QRU5TSU9OX1BCT19SQVRFX0NPTVBfSU5DUkVBU0VfTUlOLjE5OTcuMDYvMDMvMjAyNgEAAADetgEAAwAAAAAAeuKi58173gjflvU4znveCDdDSVEuTllTRTpJQk0uSVFfT1BFQl9PVEhFUl9DT1NULjE5OTcuMDYvMDMvMjAyNi4uLlVTRC5IAQAAAN62AQADAAAAAAB64qLnzXveCHlv9TjOe94IPUNJUS5OWVNFOklCTS5JUV9QRU5TSU9OX0NJX1RSQU5TSVRJT04uMTk5Ny4wNi8wMy8yMDI2Li4uVVNELkgBAAAA3rYBAAMAAAAAAHrioufNe94IeW/1OM573gg6Q0lRLk5ZU0U6SUJNLklRX1BFTlNJT05fQVNTRVRTX0JFRy4xOTk3LjA2LzAzLzIwMjYuLi5VU0QuSAEAAADetgEAAwAAAAAAeuKi58173gjflvU4znveCFJDSVEuTllTRTpJQk0uSVFfUEVOU0lPTl9PQkxJR0FUSU9OX1NVUFBMRV9QTEFOU19UT1RBTF9DT1NULjE5OTcuMDYvMDMvMjAyNi4uLlVTRC5IAQAAAN62AQADAAAAAAB64qLnzXveCN+W9TjOe94IMUNJUS5OWVNFOklCTS5JUV9JTlRBTl9ORVQuMTk5Ny4wNi8wMy8y</t>
  </si>
  <si>
    <t>MDI2Li4uVVNELkgBAAAA3rYBAAIAAAAFMTIzOTIBCAAAAAUAAAABMQEAAAALLTE5NDg4Mzc1NDADAAAAAzE2MAIAAAAFNDg5NjIEAAAAATAHAAAACDMvNi8yMDI2CAAAAAkzLzMxLzIwMjUJAAAAATB64qLnzXveCN+W9TjOe94INENJUS5OWVNFOklCTS5JUV9HV19JTlRBTl9ORVQuMTk5Ny4wNi8wMy8yMDI2Li4uVVNELkgBAAAA3rYBAAMAAAAAAHrioufNe94I35b1OM573gg6Q0lRLk5ZU0U6SUJNLklRX0xUX01BUktfU0VDVVJJVElFUy4xOTk3LjA2LzAzLzIwMjYuLi5VU0QuSAEAAADetgEAAwAAAAAAeuKi58173gjflvU4znveCDtDSVEuTllTRTpJQk0uSVFfU1RfREVCVF9ERVJJVkFUSVZFUy4xOTk3LjA2LzAzLzIwMjYuLi5VU0QuSAEAAADetgEAAwAAAAAAeuKi58173gjZvfU4znveCENDSVEuTllTRTpJQk0uSVFfUkVTVFJJQ1RFRF9DQVNIX05PTl9DVVJSRU5ULjE5OTcuMDYvMDMvMjAyNi4uLlVTRC5IAQAAAN62AQADAAAAAAB64qLnzXveCN+W9TjOe94IL0NJUS5OWVNFOklCTS5JUV9UT1RBTF9FTVBMT1lFRVMuMTk5Ny4wNi8wMy8yMDI2AQAAAN62AQADAAAAAAB64qLnzXveCN+W9TjOe94IR0NJUS5OWVNFOklCTS5JUV9GQUlSX1ZBTFVFX0NIQU5HRV9JTkNMX0VBUk5JTkdTLjE5OTcuMDYvMDMvMjAyNi4uLlVTRC5IAQAAAN62AQADAAAAAAB64qLnzXveCN+W9TjOe94IS0NJUS5OWVNFOklC</t>
  </si>
  <si>
    <t>TS5JUV9MSVFVSURBVElPTl9WQUxVRV9QUkVGRVJSRURfQ09OVkVSVC4xOTk3LjA2LzAzLzIwMjYuLi5VU0QuSAEAAADetgEAAwAAAAAAeuKi58173gjflvU4znveCDBDSVEuTllTRTpJQk0uSVFfU09GVFdBUkUuMTk5Ny4wNi8wMy8yMDI2Li4uVVNELkgBAAAA3rYBAAMAAAAAAHrioufNe94I2b31OM573gg8Q0lRLk5ZU0U6SUJNLklRX1BFTlNJT05fUFJFUEFJRF9DT1NULjE5OTcuMDYvMDMvMjAyNi4uLlVTRC5IAQAAAN62AQADAAAAAAB64qLnzXveCNm99TjOe94IPUNJUS5OWVNFOklCTS5JUV9QRU5TSU9OX0FTU0VUU19GWF9BREouMTk5Ny4wNi8wMy8yMDI2Li4uVVNELkgBAAAA3rYBAAMAAAAAAHrioufNe94I2b31OM573ghJQ0lRLk5ZU0U6SUJNLklRX1BFTlNJT05fT0JMSUdBVElPTl9PVEhFUl9QTEFOX0FESi4xOTk3LjA2LzAzLzIwMjYuLi5VU0QuSAEAAADetgEAAwAAAAAAeuKi58173gjZvfU4znveCDBDSVEuTllTRTpJQk0uSVFfR1JPU1NfR1cuMTk5Ny4wNi8wMy8yMDI2Li4uVVNELkgBAAAA3rYBAAMAAAAAAHrioufNe94I2b31OM573gg6Q0lRLk5ZU0U6SUJNLklRX0dST1NTX0lOVEFOX0FTU0VUUy4xOTk3LjA2LzAzLzIwMjYuLi5VU0QuSAEAAADetgEAAgAAAAUyMDIyOQEIAAAABQAAAAExAQAAAAstMTk0ODgzNzU0MAMAAAADMTYwAgAAAAUyNDI5MwQAAAABMAcAAAAIMy82LzIwMjYI</t>
  </si>
  <si>
    <t>AAAACTMvMzEvMjAyNQkAAAABMHrioufNe94I2b31OM573ggzQ0lRLk5ZU0U6SUJNLklRX09QRUJfQVNTRVRTLjE5OTcuMDYvMDMvMjAyNi4uLlVTRC5IAQAAAN62AQADAAAAAAB64qLnzXveCNm99TjOe94IOENJUS5OWVNFOklCTS5JUV9QRU5TSU9OX0JSRUFLRE9XTl9QQ1RfRVEuMTk5Ny4wNi8wMy8yMDI2AQAAAN62AQADAAAAAAB64qLnzXveCNm99TjOe94ITUNJUS5OWVNFOklCTS5JUV9QRU5TSU9OX0FTU0VUU19FTVBMT1lFUl9DT05UUklCVVRJT05TLjE5OTcuMDYvMDMvMjAyNi4uLlVTRC5IAQAAAN62AQADAAAAAAB64qLnzXveCNm99TjOe94ITkNJUS5OWVNFOklCTS5JUV9QRU5TSU9OX09CTElHQVRJT05fQUNUVUFSSUFMX0dBSU5fTE9TUy4xOTk3LjA2LzAzLzIwMjYuLi5VU0QuSAEAAADetgEAAwAAAAAAeuKi58173gjZvfU4znveCDFDSVEuTllTRTpJQk0uSVFfTlVNQkVSX0FEUkhPTERFUlMuMTk5Ny4wNi8wMy8yMDI2AQAAAN62AQADAAAAAAB64qLnzXveCJ/m9TjOe94IOUNJUS5OWVNFOklCTS5JUV9BU1NFVFNfRkFJUl9WQUxVRS4xOTk3LjA2LzAzLzIwMjYuLi5VU0QuSAEAAADetgEAAgAAAAUxMzU5MwB64qLnzXveCJ/m9TjOe94IQUNJUS5OWVNFOklCTS5JUV9GSU5fRElWX01JTk9SSVRZX0lOVEVSRVNULjE5OTcuMDYvMDMvMjAyNi4uLlVTRC5IAQAAAN62AQADAAAAAAB64qLnzXve</t>
  </si>
  <si>
    <t>CNm99TjOe94IL0NJUS5OWVNFOklCTS5JUV9XSVBfSU5WLjE5OTcuMDYvMDMvMjAyNi4uLlVTRC5IAQAAAN62AQACAAAABDEyMjgBCAAAAAUAAAABMQEAAAALLTE5NDg4Mzc1NDADAAAAAzE2MAIAAAAEMzIxOQQAAAABMAcAAAAIMy82LzIwMjYIAAAACTMvMzEvMjAyNQkAAAABMHrioufNe94I2b31OM573ggqQ0lRLk5ZU0U6SUJNLklRX0lOVl9NRVRIT0QuMTk5Ny4wNi8wMy8yMDI2AQAAAN62AQADAAAAAAB64qLnzXveCNm99TjOe94IQENJUS5OWVNFOklCTS5JUV9QRU5TSU9OX1BCT19BU1NVTUVEX1JBVEVfUkVUX01BWC4xOTk3LjA2LzAzLzIwMjYBAAAA3rYBAAMAAAAAAHrioufNe94IVfr1OM573gg5Q0lRLk5ZU0U6SUJNLklRX1BFTlNJT05fVE9UQUxfRVhQLjE5OTcuMDYvMDMvMjAyNi4uLlVTRC5IAQAAAN62AQADAAAAAAB64qLnzXveCJ/m9TjOe94IPENJUS5OWVNFOklCTS5JUV9QRU5TSU9OX1NFUlZJQ0VfQ09TVC4xOTk3LjA2LzAzLzIwMjYuLi5VU0QuSAEAAADetgEAAwAAAAAAeuKi58173gif5vU4znveCD5DSVEuTllTRTpJQk0uSVFfQ09OVElOR0VOVF9MSUFCSUxJVElFUy4xOTk3LjA2LzAzLzIwMjYuLi5VU0QuSAEAAADetgEAAwAAAAAAeuKi58173gif5vU4znveCDhDSVEuTllTRTpJQk0uSVFfUEVOU0lPTl9BQ1RfTkVYVC4xOTk3LjA2LzAzLzIwMjYuLi5VU0QuSAEAAADetgEAAwAA</t>
  </si>
  <si>
    <t>AAAAeuKi58173gif5vU4znveCDVDSVEuTllTRTpJQk0uSVFfUEVOU0lPTl9ESVNDX1JBVEVfTUlOLjE5OTcuMDYvMDMvMjAyNgEAAADetgEAAwAAAAAAeuKi58173ghV+vU4znveCEdDSVEuTllTRTpJQk0uSVFfUEVOU0lPTl9PQkxJR0FUSU9OX1NFUlZJQ0VfQ09TVC4xOTk3LjA2LzAzLzIwMjYuLi5VU0QuSAEAAADetgEAAwAAAAAAeuKi58173ghV+vU4znveCD1DSVEuTllTRTpJQk0uSVFfREVCVF9FUVVJVl9PUEVSX0xFQVNFLjE5OTcuMDYvMDMvMjAyNi4uLlVTRC5IAQAAAN62AQADAAAAAAB64qLnzXveCFX69TjOe94IRENJUS5OWVNFOklCTS5JUV9QRU5TSU9OX0FTU0VUU19CRU5FRklUU19QQUlELjE5OTcuMDYvMDMvMjAyNi4uLlVTRC5IAQAAAN62AQADAAAAAAB64qLnzXveCFX69TjOe94ILENJUS5OWVNFOklCTS5JUV9DQUxDX1RZUEVfQlMuMTk5Ny4wNi8wMy8yMDI2AQAAAN62AQADAAAAA1JFUAB64qLnzXveCFX69TjOe94IRUNJUS5OWVNFOklCTS5JUV9DVVJSRU5UX1BPUlRfREVCVF9ERVJJVkFUSVZFUy4xOTk3LjA2LzAzLzIwMjYuLi5VU0QuSAEAAADetgEAAwAAAAAAeuKi58173giaIfY4znveCDlDSVEuTllTRTpJQk0uSVFfQ1VSUkVOVF9QT1JUX0RFQlQuMTk5Ny4wNi8wMy8yMDI2Li4uVVNELkgBAAAA3rYBAAIAAAAENjkxMgEIAAAABQAAAAExAQAAAAstMTk0ODgzNzU0MAMAAAAD</t>
  </si>
  <si>
    <t>MTYwAgAAAAQxMjk3BAAAAAEwBwAAAAgzLzYvMjAyNggAAAAJMy8zMS8yMDI1CQAAAAEweuKi58173ghV+vU4znveCDNDSVEuTllTRTpJQk0uSVFfUFJFUEFJRF9FWFAuMTk5Ny4wNi8wMy8yMDI2Li4uVVNELkgBAAAA3rYBAAIAAAAEMjA0MQEIAAAABQAAAAExAQAAAAstMTk0ODgzNzU0MAMAAAADMTYwAgAAAAQxMjEyBAAAAAEwBwAAAAgzLzYvMjAyNggAAAAJMy8zMS8yMDI1CQAAAAEweuKi58173ghV+vU4znveCDFDSVEuTllTRTpJQk0uSVFfQlVJTERJTkdTLjE5OTcuMDYvMDMvMjAyNi4uLlVTRC5IAQAAAN62AQADAAAAAAB64qLnzXveCFX69TjOe94IPUNJUS5OWVNFOklCTS5JUV9UT1RBTF9PVVRTVEFORElOR19GSUxJTkdfREFURS4xOTk3LjA2LzAzLzIwMjYBAAAA3rYBAAIAAAAKOTI5LjM5NjU3NQEEAAAABQAAAAE1AQAAAAstMTk0ODgzNzU0MAIAAAAFMjQxNTMGAAAAATB64qLnzXveCFX69TjOe94IL0NJUS5OWVNFOklCTS5JUV9SVUFfTkVULjE5OTcuMDYvMDMvMjAyNi4uLlVTRC5IAQAAAN62AQADAAAAAAB64qLnzXveCJoh9jjOe94IMUNJUS5OWVNFOklCTS5JUV9SVUFfR1JPU1MuMTk5Ny4wNi8wMy8yMDI2Li4uVVNELkgBAAAA3rYBAAMAAAAAAHrioufNe94ImiH2OM573ggzQ0lRLk5ZU0U6SUJNLklRX1BSRUZfUkVERUVNLjE5OTcuMDYvMDMvMjAyNi4uLlVTRC5IAQAAAN62AQADAAAA</t>
  </si>
  <si>
    <t>AAB64qLnzXveCJoh9jjOe94INUNJUS5OWVNFOklCTS5JUV9PVEhFUl9MSUFCX0xULjE5OTcuMDYvMDMvMjAyNi4uLlVTRC5IAQAAAN62AQACAAAABTExMTA1AQgAAAAFAAAAATEBAAAACy0xOTQ4ODM3NTQwAwAAAAMxNjACAAAABDEwNjIEAAAAATAHAAAACDMvNi8yMDI2CAAAAAkzLzMxLzIwMjUJAAAAATB64qLnzXveCJoh9jjOe94INkNJUS5OWVNFOklCTS5JUV9PVEhFUl9DQV9TVVBQTC4xOTk3LjA2LzAzLzIwMjYuLi5VU0QuSAEAAADetgEAAgAAAAQxMzQyAQgAAAAFAAAAATEBAAAACy0xOTQ4ODM3NTQwAwAAAAMxNjACAAAABDEwNTUEAAAAATAHAAAACDMvNi8yMDI2CAAAAAkzLzMxLzIwMjUJAAAAATB64qLnzXveCJoh9jjOe94IMkNJUS5OWVNFOklCTS5JUV9DQVNIX0VRVUlWLjE5OTcuMDYvMDMvMjAyNi4uLlVTRC5IAQAAAN62AQACAAAABTExMDM1AQgAAAAFAAAAATEBAAAACy0xOTQ4ODM3NTQwAwAAAAMxNjACAAAABDEwOTYEAAAAATAHAAAACDMvNi8yMDI2CAAAAAkzLzMxLzIwMjUJAAAAATB64qLnzXveCOtI9jjOe94IOkNJUS5OWVNFOklCTS5JUV9UT1RBTF9ERUJUX0NVUlJFTlQuMTk5Ny4wNi8wMy8yMDI2Li4uVVNELkgBAAAA3rYBAAIAAAAENzcxMQEIAAAABQAAAAExAQAAAAstMTk0ODgzNzU0MAMAAAADMTYwAgAAAAUyNTIyMwQAAAABMAcAAAAIMy82LzIwMjYIAAAACTMvMzEvMjAy</t>
  </si>
  <si>
    <t>NQkAAAABMHrioufNe94I60j2OM573gg6Q0lRLk5ZU0U6SUJNLklRX1RCVl9TSEFSRV9SRVBPUlRFRC4xOTk3LjA2LzAzLzIwMjYuLi5VU0QuSAEAAADetgEAAwAAAAAAeuKi58173giaIfY4znveCFRDSVEuTllTRTpJQk0uSVFfRklOQU5DSU5HX09CTElHX05PTl9DVVJSRU5UX0VYQ0xfT1BFUl9MRUFTRVMuMTk5Ny4wNi8wMy8yMDI2Li4uVVNELkgBAAAA3rYBAAIAAAAFNTYzNzEBCAAAAAUAAAABMQEAAAALLTE5NDg4Mzc1NDADAAAAAzE2MAIAAAAFNDg5ODEEAAAAATAHAAAACDMvNi8yMDI2CAAAAAkzLzMxLzIwMjUJAAAAATB64qLnzXveCJoh9jjOe94IP0NJUS5OWVNFOklCTS5JUV9SVUFfT1BFUkFUSU5HX0xFQVNFX05FVC4xOTk3LjA2LzAzLzIwMjYuLi5VU0QuSAEAAADetgEAAwAAAAAAeuKi58173giaIfY4znveCEFDSVEuTllTRTpJQk0uSVFfUlVBX09QRVJBVElOR19MRUFTRV9HUk9TUy4xOTk3LjA2LzAzLzIwMjYuLi5VU0QuSAEAAADetgEAAgAAAAQzMzIzAQgAAAAFAAAAATEBAAAACy0xOTQ4ODM3NTQwAwAAAAMxNjACAAAABTQ4Mzc3BAAAAAEwBwAAAAgzLzYvMjAyNggAAAAJMy8zMS8yMDI1CQAAAAEweuKi58173gjrSPY4znveCENDSVEuTllTRTpJQk0uSVFfUlVBX0NBUElUQUxfTEVBU0VfQUNDVU1fREVQLjE5OTcuMDYvMDMvMjAyNi4uLlVTRC5IAQAAAN62AQADAAAAAAB64qLnzXve</t>
  </si>
  <si>
    <t>COtI9jjOe94INENJUS5OWVNFOklCTS5JUV9UT1RBTF9SRUNFSVYuMTk5Ny4wNi8wMy8yMDI2Li4uVVNELkgBAAAA3rYBAAIAAAAENzIxNQEIAAAABQAAAAExAQAAAAstMTk0ODgzNzU0MAMAAAADMTYwAgAAAAQxMDAxBAAAAAEwBwAAAAgzLzYvMjAyNggAAAAJMy8zMS8yMDI1CQAAAAEweuKi58173gjrSPY4znveCDtDSVEuTllTRTpJQk0uSVFfR0FJTl9CQVJHQUlOX0FDUV9DRi4xOTk3LjA2LzAzLzIwMjYuLi5VU0QuSAEAAADetgEAAwAAAAAAeuKi58173gjrSPY4znveCEtDSVEuTllTRTpJQk0uSVFfT1BFUkFUSU5HX0xFQVNFX0xJQUJJTElUSUVTX05PTkNBU0guMTk5Ny4wNi8wMy8yMDI2Li4uVVNELkgBAAAA3rYBAAMAAAAAAHrioufNe94I60j2OM573gg5Q0lRLk5ZU0U6SUJNLklRX0NBU0hfVEFYRVNfSU5WRVNULjE5OTcuMDYvMDMvMjAyNi4uLlVTRC5IAQAAAN62AQADAAAAAAB64qLnzXveCOtI9jjOe94IPkNJUS5OWVNFOklCTS5JUV9EQV9DRl9FWENMX09QRVJfTEVBU0VTLjE5OTcuMDYvMDMvMjAyNi4uLlVTRC5IAQAAAN62AQACAAAABDMxNjgBCAAAAAUAAAABMQEAAAALLTE5NDg4Mzc1NDADAAAAAzE2MAIAAAAFNDg5ODUEAAAAATAHAAAACDMvNi8yMDI2CAAAAAkzLzMxLzIwMjUJAAAAATB64qLnzXveCOtI9jjOe94IMkNJUS5OWVNFOklCTS5JUV9DQVNIX0ZJTkFOLjE5OTcuMDYvMDMv</t>
  </si>
  <si>
    <t>MjAyNi4uLlVTRC5IAQAAAN62AQACAAAABS0zNTEzAQgAAAAFAAAAATEBAAAACy0xOTQ4ODM3NTQwAwAAAAMxNjACAAAABDIwMDQEAAAAATAHAAAACDMvNi8yMDI2CAAAAAkzLzMxLzIwMjUJAAAAATB64qLnzXveCOtI9jjOe94INkNJUS5OWVNFOklCTS5JUV9TVF9ERUJUX1JFUEFJRC4xOTk3LjA2LzAzLzIwMjYuLi5VU0QuSAEAAADetgEAAwAAAAAAeuKi58173gjrSPY4znveCDZDSVEuTllTRTpJQk0uSVFfU1RfREVCVF9JU1NVRUQuMTk5Ny4wNi8wMy8yMDI2Li4uVVNELkgBAAAA3rYBAAMAAAAAAHrioufNe94I60j2OM573gg2Q0lRLk5ZU0U6SUJNLklRX0NIQU5HRV9ERUZfVEFYLjE5OTcuMDYvMDMvMjAyNi4uLlVTRC5IAQAAAN62AQADAAAAAAB64qLnzXveCOaD9jjOe94INkNJUS5OWVNFOklCTS5JUV9DUkVESVRfTE9TU19DRi4xOTk3LjA2LzAzLzIwMjYuLi5VU0QuSAEAAADetgEAAwAAAAAAeuKi58173gjmg/Y4znveCDhDSVEuTllTRTpJQk0uSVFfU1RPQ0tfQkFTRURfQ09NUC4xOTk3LjA2LzAzLzIwMjYuLi5VU0QuSAEAAADetgEAAgAAAAM4NDkAeuKi58173gjmg/Y4znveCDdDSVEuTllTRTpJQk0uSVFfU1RPQ0tfQkFTRURfU0dBLjE5OTcuMDYvMDMvMjAyNi4uLlVTRC5IAQAAAN62AQACAAAAAzczNgEIAAAABQAAAAExAQAAAAstMTk0ODgzNzU0MAMAAAADMTYwAgAAAAUyMjY3OQQAAAAB</t>
  </si>
  <si>
    <t>MAcAAAAIMy82LzIwMjYIAAAACTMvMzEvMjAyNQkAAAABMHrioufNe94I5oP2OM573gg2Q0lRLk5ZU0U6SUJNLklRX1NUT0NLX0JBU0VEX1JELjE5OTcuMDYvMDMvMjAyNi4uLlVTRC5IAQAAAN62AQACAAAAAzQyNAEIAAAABQAAAAExAQAAAAstMTk0ODgzNzU0MAMAAAADMTYwAgAAAAUyMjY3OAQAAAABMAcAAAAIMy82LzIwMjYIAAAACTMvMzEvMjAyNQkAAAABMHrioufNe94I5oP2OM573gg1Q0lRLk5ZU0U6SUJNLklRX01FUkdFUl9TVVBQTEUuMTk5Ny4wNi8wMy8yMDI2Li4uVVNELkgBAAAA3rYBAAIAAAACLTEBCAAAAAUAAAABMQEAAAALLTE5NDg4Mzc1NDADAAAAAzE2MAIAAAAFMjQ0NTUEAAAAATAHAAAACDMvNi8yMDI2CAAAAAkzLzMxLzIwMjUJAAAAATB64qLnzXveCDKr9jjOe94ISUNJUS5OWVNFOklCTS5JUV9HRU5FUkFMX1BBUlRORVJfTUlOT1JJVFlfSU5URVJFU1QuMTk5Ny4wNi8wMy8yMDI2Li4uVVNELkgBAAAA3rYBAAMAAAAAAHrioufNe94IMqv2OM573ggsQ0lRLk5ZU0U6SUJNLklRX0xBTkQuMTk5Ny4wNi8wMy8yMDI2Li4uVVNELkgBAAAA3rYBAAMAAAAAAHrioufNe94I5oP2OM573gg+Q0lRLk5ZU0U6SUJNLklRX0RFRl9UQVhfQVNTRVRTX0NVUlJFTlQuMTk5Ny4wNi8wMy8yMDI2Li4uVVNELkgBAAAA3rYBAAMAAAAAAHrioufNe94I5oP2OM573ggwQ0lRLk5ZU0U6SUJNLklRX0dX</t>
  </si>
  <si>
    <t>X0lOVEFOLjE5OTcuMDYvMDMvMjAyNi4uLlVTRC5IAQAAAN62AQACAAAABTc4NDU3AQgAAAAFAAAAATEBAAAACy0xOTQ4ODM3NTQwAwAAAAMxNjACAAAABTM1MzgxBAAAAAEwBwAAAAgzLzYvMjAyNggAAAAJMy8zMS8yMDI1CQAAAAEweuKi58173gjmg/Y4znveCDdDSVEuTllTRTpJQk0uSVFfRklOX0RJVl9ERUJUX0xULjE5OTcuMDYvMDMvMjAyNi4uLlVTRC5IAQAAAN62AQADAAAAAAB64qLnzXveCDKr9jjOe94IL0NJUS5OWVNFOklCTS5JUV9MVF9ERUJULjE5OTcuMDYvMDMvMjAyNi4uLlVTRC5IAQAAAN62AQACAAAABTU1MzQwAQgAAAAFAAAAATEBAAAACy0xOTQ4ODM3NTQwAwAAAAMxNjACAAAABDEwNDkEAAAAATAHAAAACDMvNi8yMDI2CAAAAAkzLzMxLzIwMjUJAAAAATB64qLnzXveCDKr9jjOe94INkNJUS5OWVNFOklCTS5JUV9PVEhFUl9DTF9TVVBQTC4xOTk3LjA2LzAzLzIwMjYuLi5VU0QuSAEAAADetgEAAgAAAAMyNzcBCAAAAAUAAAABMQEAAAALLTE5NDg4Mzc1NDADAAAAAzE2MAIAAAAEMTA1NwQAAAABMAcAAAAIMy82LzIwMjYIAAAACTMvMzEvMjAyNQkAAAABMHrioufNe94IMqv2OM573gg3Q0lRLk5ZU0U6SUJNLklRX09USEVSX0xUX0FTU0VUUy4xOTk3LjA2LzAzLzIwMjYuLi5VU0QuSAEAAADetgEAAgAAAAQ3Nzk1AQgAAAAFAAAAATEBAAAACy0xOTQ4ODM3NTQwAwAAAAMxNjACAAAA</t>
  </si>
  <si>
    <t>BDEwNjAEAAAAATAHAAAACDMvNi8yMDI2CAAAAAkzLzMxLzIwMjUJAAAAATB64qLnzXveCDKr9jjOe94IOUNJUS5OWVNFOklCTS5JUV9ERUZfVEFYX0FTU0VUU19MVC4xOTk3LjA2LzAzLzIwMjYuLi5VU0QuSAEAAADetgEAAgAAAAQ3NTk0AQgAAAAFAAAAATEBAAAACy0xOTQ4ODM3NTQwAwAAAAMxNjACAAAABDEwMjYEAAAAATAHAAAACDMvNi8yMDI2CAAAAAkzLzMxLzIwMjUJAAAAATB64qLnzXveCDKr9jjOe94IJ0NJUS5OWVNFOklCTS5JUV9HQUFQX0NGLjE5OTcuMDYvMDMvMjAyNgEAAADetgEAAwAAAAAAeuKi58173ggyq/Y4znveCDdDSVEuTllTRTpJQk0uSVFfTkVUX0RFQlRfSVNTVUVELjE5OTcuMDYvMDMvMjAyNi4uLlVTRC5IAQAAAN62AQACAAAABDI4MzEBCAAAAAUAAAABMQEAAAALLTE5NDg4Mzc1NDADAAAAAzE2MAIAAAAEMjAwMwQAAAABMAcAAAAIMy82LzIwMjYIAAAACTMvMzEvMjAyNQkAAAABMHrioufNe94IMqv2OM573gg+Q0lRLk5ZU0U6SUJNLklRX0NBU0hfSU5URVJFU1RfUkVDRUlWRUQuMTk5Ny4wNi8wMy8yMDI2Li4uVVNELkgBAAAA3rYBAAMAAAAAAHrioufNe94IMqv2OM573gg+Q0lRLk5ZU0U6SUJNLklRX1RPVEFMX0RFQlRfRVhDTF9MRUFTRVMuMTk5Ny4wNi8wMy8yMDI2Li4uVVNELkgBAAAA3rYBAAIAAAAFNjIyNTMBCAAAAAUAAAABMQEAAAALLTE5NDg4Mzc1NDADAAAA</t>
  </si>
  <si>
    <t>AzE2MAIAAAAFNDg5OTIEAAAAATAHAAAACDMvNi8yMDI2CAAAAAkzLzMxLzIwMjUJAAAAATB64qLnzXveCDKr9jjOe94IQ0NJUS5OWVNFOklCTS5JUV9HRU5FUkFMX1BBUlRORVJfUFJFRl9FUVVJVFkuMTk5Ny4wNi8wMy8yMDI2Li4uVVNELkgBAAAA3rYBAAMAAAAAAHrioufNe94IMqv2OM573ggvQ0lRLk5ZU0U6SUJNLklRX1JBV19JTlYuMTk5Ny4wNi8wMy8yMDI2Li4uVVNELkgBAAAA3rYBAAMAAAAAAHrioufNe94IbNL2OM573ghOQ0lRLk5ZU0U6SUJNLklRX0NVUlJFTlRfUE9SVElPTl9PUEVSX0xFQVNFX0xJQUJJTElUSUVTLjE5OTcuMDYvMDMvMjAyNi4uLlVTRC5IAQAAAN62AQACAAAAAzc5OAEIAAAABQAAAAExAQAAAAstMTk0ODgzNzU0MAMAAAADMTYwAgAAAAU0ODM4NQQAAAABMAcAAAAIMy82LzIwMjYIAAAACTMvMzEvMjAyNQkAAAABMHrioufNe94IbNL2OM573gg5Q0lRLk5ZU0U6SUJNLklRX1RPVEFMX0xJQUJfRVFVSVRZLjE5OTcuMDYvMDMvMjAyNi4uLlVTRC5IAQAAAN62AQACAAAABjE0NTY2NwEIAAAABQAAAAExAQAAAAstMTk0ODgzNzU0MAMAAAADMTYwAgAAAAQxMDEzBAAAAAEwBwAAAAgzLzYvMjAyNggAAAAJMy8zMS8yMDI1CQAAAAEweuKi58173ghs0vY4znveCDlDSVEuTllTRTpJQk0uSVFfTUlOT1JJVFlfSU5URVJFU1QuMTk5Ny4wNi8wMy8yMDI2Li4uVVNELkgBAAAA3rYB</t>
  </si>
  <si>
    <t>AAIAAAACNzIBCAAAAAUAAAABMQEAAAALLTE5NDg4Mzc1NDADAAAAAzE2MAIAAAAEMTA1MgQAAAABMAcAAAAIMy82LzIwMjYIAAAACTMvMzEvMjAyNQkAAAABMHrioufNe94IbNL2OM573gg3Q0lRLk5ZU0U6SUJNLklRX0RFRl9UQVhfTElBQl9MVC4xOTk3LjA2LzAzLzIwMjYuLi5VU0QuSAEAAADetgEAAwAAAAAAeuKi58173ghs0vY4znveCCpDSVEuTllTRTpJQk0uSVFfR1cuMTk5Ny4wNi8wMy8yMDI2Li4uVVNELkgBAAAA3rYBAAIAAAAFNjYwNjUBCAAAAAUAAAABMQEAAAALLTE5NDg4Mzc1NDADAAAAAzE2MAIAAAAEMTE3MQQAAAABMAcAAAAIMy82LzIwMjYIAAAACTMvMzEvMjAyNQkAAAABMHrioufNe94IbPn2OM573gg+Q0lRLk5ZU0U6SUJNLklRX0ZJTl9ESVZfQVNTRVRTX0NVUlJFTlQuMTk5Ny4wNi8wMy8yMDI2Li4uVVNELkgBAAAA3rYBAAIAAAADNTg4AQgAAAAFAAAAATEBAAAACy0xOTQ4ODM3NTQwAwAAAAMxNjACAAAABDEwMjkEAAAAATAHAAAACDMvNi8yMDI2CAAAAAkzLzMxLzIwMjUJAAAAATB64qLnzXveCGz59jjOe94INENJUS5OWVNFOklCTS5JUV9PVEhFUl9SRUNFSVYuMTk5Ny4wNi8wMy8yMDI2Li4uVVNELkgBAAAA3rYBAAIAAAADODkzAQgAAAAFAAAAATEBAAAACy0xOTQ4ODM3NTQwAwAAAAMxNjACAAAABDEyMDYEAAAAATAHAAAACDMvNi8yMDI2CAAAAAkzLzMxLzIwMjUJAAAA</t>
  </si>
  <si>
    <t>ATB64qLnzXveCGz59jjOe94IMkNJUS5OWVNFOklCTS5JUV9UT1RBTF9ERUJULjE5OTcuMDYvMDMvMjAyNi4uLlVTRC5IAQAAAN62AQACAAAABTY2ODM1AQgAAAAFAAAAATEBAAAACy0xOTQ4ODM3NTQwAwAAAAMxNjACAAAABDQxNzMEAAAAATAHAAAACDMvNi8yMDI2CAAAAAkzLzMxLzIwMjUJAAAAATB64qLnzXveCGzS9jjOe94IQ0NJUS5OWVNFOklCTS5JUV9GSU5fRElWX01JTk9SSVRZX0lOVF9SRURFRU0uMTk5Ny4wNi8wMy8yMDI2Li4uVVNELkgBAAAA3rYBAAMAAAAAAHrioufNe94IbNL2OM573gg5Q0lRLk5ZU0U6SUJNLklRX1RPVEFMX09QRVJfTEVBU0VTLjE5OTcuMDYvMDMvMjAyNi4uLlVTRC5IAQAAAN62AQACAAAABDM1NTEBCAAAAAUAAAABMQEAAAALLTE5NDg4Mzc1NDADAAAAAzE2MAIAAAAFNDg5NzgEAAAAATAHAAAACDMvNi8yMDI2CAAAAAkzLzMxLzIwMjUJAAAAATB64qLnzXveCGz59jjOe94IP0NJUS5OWVNFOklCTS5JUV9SVUFfQ0FQSVRBTF9MRUFTRV9HUk9TUy4xOTk3LjA2LzAzLzIwMjYuLi5VU0QuSAEAAADetgEAAwAAAAAAeuKi58173ghs+fY4znveCDxDSVEuTllTRTpJQk0uSVFfRklOX0RJVl9ERUJUX0NVUlJFTlQuMTk5Ny4wNi8wMy8yMDI2Li4uVVNELkgBAAAA3rYBAAMAAAAAAHrioufNe94IbPn2OM573gg3Q0lRLk5ZU0U6SUJNLklRX1JFU1RSSUNURURfQ0FTSC4xOTk3</t>
  </si>
  <si>
    <t>LjA2LzAzLzIwMjYuLi5VU0QuSAEAAADetgEAAgAAAAMxMjYBCAAAAAUAAAABMQEAAAALLTE5NDg4Mzc1NDADAAAAAzE2MAIAAAAEMTEwNAQAAAABMAcAAAAIMy82LzIwMjYIAAAACTMvMzEvMjAyNQkAAAABMHrioufNe94IbPn2OM573gguQ0lRLk5ZU0U6SUJNLklRX1JFU1RBVEVNRU5UX0NGLjE5OTcuMDYvMDMvMjAyNgEAAADetgEAAwAAAAFPAHrioufNe94IbPn2OM573gg1Q0lRLk5ZU0U6SUJNLklRX1VOTEVWRVJFRF9GQ0YuMTk5Ny4wNi8wMy8yMDI2Li4uVVNELkgBAAAA3rYBAAIAAAAJMTE2NDguNjI1AQgAAAAFAAAAATEBAAAACy0xOTQ4ODM3NTQwAwAAAAMxNjACAAAABDQ0MjMEAAAAATAHAAAACDMvNi8yMDI2CAAAAAkzLzMxLzIwMjUJAAAAATB64qLnzXveCGz59jjOe94INUNJUS5OWVNFOklCTS5JUV9DQVNIX0lOVEVSRVNULjE5OTcuMDYvMDMvMjAyNi4uLlVTRC5IAQAAAN62AQACAAAABDIwMDMBCAAAAAUAAAABMQEAAAALLTE5NDg4Mzc1NDADAAAAAzE2MAIAAAAEMzAyOAQAAAABMAcAAAAIMy82LzIwMjYIAAAACTMvMzEvMjAyNQkAAAABMHrioufNe94IbPn2OM573ghOQ0lRLk5ZU0U6SUJNLklRX0xJUVVJREFUSU9OX1ZBTFVFX1BSRUZFUlJFRF9OT05fUkVERUVNLjE5OTcuMDYvMDMvMjAyNi4uLlVTRC5IAQAAAN62AQADAAAAAAB64qLnzXveCGz59jjOe94IK0NJUS5OWVNFOklCTS5J</t>
  </si>
  <si>
    <t>UV9UQlYuMTk5Ny4wNi8wMy8yMDI2Li4uVVNELkgBAAAA3rYBAAIAAAAGLTUxNTc3AQgAAAAFAAAAATEBAAAACy0xOTQ4ODM3NTQwAwAAAAMxNjACAAAABDEzMTAEAAAAATAHAAAACDMvNi8yMDI2CAAAAAkzLzMxLzIwMjUJAAAAATB64qLnzXveCGz59jjOe94IUENJUS5OWVNFOklCTS5JUV9GSU5BTkNJTkdfT0JMSUdfQ1VSUkVOVF9FWENMX09QRVJfTEVBU0VTLjE5OTcuMDYvMDMvMjAyNi4uLlVTRC5IAQAAAN62AQACAAAABDY5MTMBCAAAAAUAAAABMQEAAAALLTE5NDg4Mzc1NDADAAAAAzE2MAIAAAAFNDg5ODAEAAAAATAHAAAACDMvNi8yMDI2CAAAAAkzLzMxLzIwMjUJAAAAATB64qLnzXveCHon9zjOe94IOUNJUS5OWVNFOklCTS5JUV9UT1RBTF9PVVRTVEFORElOR19CU19EQVRFLjE5OTcuMDYvMDMvMjAyNgEAAADetgEAAgAAAAo5MjkuMzk2NTc1AQQAAAAFAAAAATUBAAAACy0xOTQ4ODM3NTQwAgAAAAUyNDE1MgYAAAABMHrioufNe94Ieif3OM573ghDQ0lRLk5ZU0U6SUJNLklRX1RPVEFMX0RFQlRfRVhDTF9PUEVSX0xFQVNFUy4xOTk3LjA2LzAzLzIwMjYuLi5VU0QuSAEAAADetgEAAgAAAAU2MzI4NAEIAAAABQAAAAExAQAAAAstMTk0ODgzNzU0MAMAAAADMTYwAgAAAAU0ODk4MgQAAAABMAcAAAAIMy82LzIwMjYIAAAACTMvMzEvMjAyNQkAAAABMFAdo+fNe94Ieif3OM573ggsQ0lRLk5ZU0U6</t>
  </si>
  <si>
    <t>SUJNLklRX0FQSUMuMTk5Ny4wNi8wMy8yMDI2Li4uVVNELkgBAAAA3rYBAAMAAAAAAFAdo+fNe94IbPn2OM573ggzQ0lRLk5ZU0U6SUJNLklRX1BSRUZfRVFVSVRZLjE5OTcuMDYvMDMvMjAyNi4uLlVTRC5IAQAAAN62AQADAAAAAABQHaPnzXveCGz59jjOe94IMENJUS5OWVNFOklCTS5JUV9UT1RBTF9DTC4xOTk3LjA2LzAzLzIwMjYuLi5VU0QuSAEAAADetgEAAgAAAAUzNTEwNgEIAAAABQAAAAExAQAAAAstMTk0ODgzNzU0MAMAAAADMTYwAgAAAAQxMDA5BAAAAAEwBwAAAAgzLzYvMjAyNggAAAAJMy8zMS8yMDI1CQAAAAEwUB2j58173gh6J/c4znveCDxDSVEuTllTRTpJQk0uSVFfREVGX1RBWF9MSUFCX0NVUlJFTlQuMTk5Ny4wNi8wMy8yMDI2Li4uVVNELkgBAAAA3rYBAAMAAAAAAFAdo+fNe94Ieif3OM573gg2Q0lRLk5ZU0U6SUJNLklRX0NBU0hfU1RfSU5WRVNULjE5OTcuMDYvMDMvMjAyNi4uLlVTRC5IAQAAAN62AQACAAAABTE3NDY1AQgAAAAFAAAAATEBAAAACy0xOTQ4ODM3NTQwAwAAAAMxNjACAAAABDEwMDIEAAAAATAHAAAACDMvNi8yMDI2CAAAAAkzLzMxLzIwMjUJAAAAATBQHaPnzXveCHon9zjOe94IQ0NJUS5OWVNFOklCTS5JUV9PUEVSQVRJTkdfTEVBU0VfTElBQklMSVRJRVMuMTk5Ny4wNi8wMy8yMDI2Li4uVVNELkgBAAAA3rYBAAMAAAAAAFAdo+fNe94Ieif3OM573gg3Q0lRLk5Z</t>
  </si>
  <si>
    <t>U0U6SUJNLklRX0NBU0hfVEFYRVNfT1BFUi4xOTk3LjA2LzAzLzIwMjYuLi5VU0QuSAEAAADetgEAAwAAAAAAUB2j58173gh6J/c4znveCERDSVEuTllTRTpJQk0uSVFfREFfU1VQUExfQ0ZfRVhDTF9PUEVSX0xFQVNFUy4xOTk3LjA2LzAzLzIwMjYuLi5VU0QuSAEAAADetgEAAgAAAAQxMjcxAQgAAAAFAAAAATEBAAAACy0xOTQ4ODM3NTQwAwAAAAMxNjACAAAABTQ4OTgzBAAAAAEwBwAAAAgzLzYvMjAyNggAAAAJMy8zMS8yMDI1CQAAAAEwUB2j58173gizTvc4znveCDJDSVEuTllTRTpJQk0uSVFfREVQUkVfU1VQUC4xOTk3LjA2LzAzLzIwMjYuLi5VU0QuSAEAAADetgEAAwAAAAAAUB2j58173gh6J/c4znveCDpDSVEuTllTRTpJQk0uSVFfQ09NTU9OX1BSRUZfRElWX0NGLjE5OTcuMDYvMDMvMjAyNi4uLlVTRC5IAQAAAN62AQADAAAAAABQHaPnzXveCHon9zjOe94IM0NJUS5OWVNFOklCTS5JUV9DQVNIX0lOVkVTVC4xOTk3LjA2LzAzLzIwMjYuLi5VU0QuSAEAAADetgEAAgAAAAYtMTM3MDYBCAAAAAUAAAABMQEAAAALLTE5NDg4Mzc1NDADAAAAAzE2MAIAAAAEMjAwNQQAAAABMAcAAAAIMy82LzIwMjYIAAAACTMvMzEvMjAyNQkAAAABMFAdo+fNe94Ieif3OM573gg2Q0lRLk5ZU0U6SUJNLklRX0NIQU5HRV9JTkNfVEFYLjE5OTcuMDYvMDMvMjAyNi4uLlVTRC5IAQAAAN62AQADAAAAAABQHaPnzXve</t>
  </si>
  <si>
    <t>CHon9zjOe94IMENJUS5OWVNFOklCTS5JUV9MT0FOU19DRi4xOTk3LjA2LzAzLzIwMjYuLi5VU0QuSAEAAADetgEAAwAAAAAAUB2j58173gizTvc4znveCDZDSVEuTllTRTpJQk0uSVFfR0FJTl9BU1NFVFNfQ0YuMTk5Ny4wNi8wMy8yMDI2Li4uVVNELkgBAAAA3rYBAAIAAAAELTQyMQEIAAAABQAAAAExAQAAAAstMTk0ODgzNzU0MAMAAAADMTYwAgAAAAQyMDI2BAAAAAEwBwAAAAgzLzYvMjAyNggAAAAJMy8zMS8yMDI1CQAAAAEwUB2j58173gizTvc4znveCD5DSVEuTllTRTpJQk0uSVFfU1RPQ0tfT1BUSU9OU19DT01QX1RBWC4xOTk3LjA2LzAzLzIwMjYuLi5VU0QuSAEAAADetgEAAwAAAAAAUB2j58173gizTvc4znveCC1DSVEuTllTRTpJQk0uSVFfTElGT1IuMTk5Ny4wNi8wMy8yMDI2Li4uVVNELkgBAAAA3rYBAAMAAAAAAFAdo+fNe94Is073OM573ggwQ0lRLk5ZU0U6SUJNLklRX1RSRUFTVVJZLjE5OTcuMDYvMDMvMjAyNi4uLlVTRC5IAQAAAN62AQACAAAABy0xNzAxNjABCAAAAAUAAAABMQEAAAALLTE5NDg4Mzc1NDADAAAAAzE2MAIAAAAEMTI0OAQAAAABMAcAAAAIMy82LzIwMjYIAAAACTMvMzEvMjAyNQkAAAABMFAdo+fNe94Is073OM573gg+Q0lRLk5ZU0U6SUJNLklRX1RPVEFMX0RFQlRfTk9OX0NVUlJFTlQuMTk5Ny4wNi8wMy8yMDI2Li4uVVNELkgBAAAA3rYBAAIAAAAFNTkxMjQBCAAA</t>
  </si>
  <si>
    <t>AAUAAAABMQEAAAALLTE5NDg4Mzc1NDADAAAAAzE2MAIAAAAFMjUyMjQEAAAAATAHAAAACDMvNi8yMDI2CAAAAAkzLzMxLzIwMjUJAAAAATBQHaPnzXveCLNO9zjOe94IOUNJUS5OWVNFOklCTS5JUV9CVl9TSEFSRV9SRVBPUlRFRC4xOTk3LjA2LzAzLzIwMjYuLi5VU0QuSAEAAADetgEAAwAAAAAAUB2j58173gizTvc4znveCD5DSVEuTllTRTpJQk0uSVFfRklOQU5DRV9MRUFTRVNfQ1VSUkVOVC4xOTk3LjA2LzAzLzIwMjYuLi5VU0QuSAEAAADetgEAAwAAAAAAUB2j58173gizTvc4znveCDtDSVEuTllTRTpJQk0uSVFfQURfRVhDTF9PUEVSX0xFQVNFUy4xOTk3LjA2LzAzLzIwMjYuLi5VU0QuSAEAAADetgEAAgAAAAYtMTIwODUBCAAAAAUAAAABMQEAAAALLTE5NDg4Mzc1NDADAAAAAzE2MAIAAAAFNDg5NzUEAAAAATAHAAAACDMvNi8yMDI2CAAAAAkzLzMxLzIwMjUJAAAAATBQHaPnzXveCLNO9zjOe94IO0NJUS5OWVNFOklCTS5JUV9UT1RBTF9DT01NT05fRVFVSVRZLjE5OTcuMDYvMDMvMjAyNi4uLlVTRC5IAQAAAN62AQACAAAABTI2ODgwAQgAAAAFAAAAATEBAAAACy0xOTQ4ODM3NTQwAwAAAAMxNjACAAAABDEwMDYEAAAAATAHAAAACDMvNi8yMDI2CAAAAAkzLzMxLzIwMjUJAAAAATBQHaPnzXveCMV19zjOe94IOENJUS5OWVNFOklCTS5JUV9MT05HX1RFUk1fTEVBU0VTLjE5OTcuMDYvMDMvMjAy</t>
  </si>
  <si>
    <t>Ni4uLlVTRC5IAQAAAN62AQACAAAABDM3ODQBCAAAAAUAAAABMQEAAAALLTE5NDg4Mzc1NDADAAAAAzE2MAIAAAAEMTE4MwQAAAABMAcAAAAIMy82LzIwMjYIAAAACTMvMzEvMjAyNQkAAAABMFAdo+fNe94IxXX3OM573gg5Q0lRLk5ZU0U6SUJNLklRX0ZJTl9ESVZfQVNTRVRTX0xULjE5OTcuMDYvMDMvMjAyNi4uLlVTRC5IAQAAAN62AQADAAAAAABQHaPnzXveCMV19zjOe94IMUNJUS5OWVNFOklCTS5JUV9MVF9JTlZFU1QuMTk5Ny4wNi8wMy8yMDI2Li4uVVNELkgBAAAA3rYBAAIAAAAEMTYzMQEIAAAABQAAAAExAQAAAAstMTk0ODgzNzU0MAMAAAADMTYwAgAAAAQxMDU0BAAAAAEwBwAAAAgzLzYvMjAyNggAAAAJMy8zMS8yMDI1CQAAAAEwUB2j58173gizTvc4znveCCxDSVEuTllTRTpJQk0uSVFfQ0FMQ19UWVBFX0NGLjE5OTcuMDYvMDMvMjAyNgEAAADetgEAAwAAAANMVE0AUB2j58173gizTvc4znveCDBDSVEuTllTRTpJQk0uSVFfQ0ZfU0hBUkUuMTk5Ny4wNi8wMy8yMDI2Li4uVVNELkgBAAAA3rYBAAIAAAAJMTIuOTE1NDQxAQgAAAAFAAAAATEBAAAACy0xOTQ4ODM3NTQwAwAAAAMxNjACAAAABTQzOTIzBAAAAAEwBwAAAAgzLzYvMjAyNggAAAAJMy8zMS8yMDI1CQAAAAEwUB2j58173gjFdfc4znveCEJDSVEuTllTRTpJQk0uSVFfQ0hBTkdFX05FVF9XT1JLSU5HX0NBUElUQUwuMTk5Ny4wNi8w</t>
  </si>
  <si>
    <t>My8yMDI2Li4uVVNELkgBAAAA3rYBAAIAAAAELTkzMAEIAAAABQAAAAExAQAAAAstMTk0ODgzNzU0MAMAAAADMTYwAgAAAAQ0NDIxBAAAAAEwBwAAAAgzLzYvMjAyNggAAAAJMy8zMS8yMDI1CQAAAAEwUB2j58173gjFdfc4znveCEBDSVEuTllTRTpJQk0uSVFfQU1PUlRfU09GVFdBUkVfQVNTRVRTX0NGLjE5OTcuMDYvMDMvMjAyNi4uLlVTRC5IAQAAAN62AQACAAAAAzY0NQEIAAAABQAAAAExAQAAAAstMTk0ODgzNzU0MAMAAAADMTYwAgAAAAU0NjAxMQQAAAABMAcAAAAIMy82LzIwMjYIAAAACTMvMzEvMjAyNQkAAAABMFAdo+fNe94IxXX3OM573ggyQ0lRLk5ZU0U6SUJNLklRX05FVF9DSEFOR0UuMTk5Ny4wNi8wMy8yMDI2Li4uVVNELkgBAAAA3rYBAAIAAAAFLTM2MDQBCAAAAAUAAAABMQEAAAALLTE5NDg4Mzc1NDADAAAAAzE2MAIAAAAEMjA5MwQAAAABMAcAAAAIMy82LzIwMjYIAAAACTMvMzEvMjAyNQkAAAABMFAdo+fNe94IxXX3OM573gg1Q0lRLk5ZU0U6SUJNLklRX0NPTU1PTl9JU1NVRUQuMTk5Ny4wNi8wMy8yMDI2Li4uVVNELkgBAAAA3rYBAAIAAAADNzAxAQgAAAAFAAAAATEBAAAACy0xOTQ4ODM3NTQwAwAAAAMxNjACAAAABDIxNjkEAAAAATAHAAAACDMvNi8yMDI2CAAAAAkzLzMxLzIwMjUJAAAAATBQHaPnzXveCMV19zjOe94IKUNJUS5OWVNFOklCTS5JUV9GVUxMX1RJTUUuMTk5Ny4w</t>
  </si>
  <si>
    <t>Ni8wMy8yMDI2AQAAAN62AQADAAAAAABQHaPnzXveCMV19zjOe94IKkNJUS5OWVNFOklCTS5JUV9BUC4xOTk3LjA2LzAzLzIwMjYuLi5VU0QuSAEAAADetgEAAgAAAAQzNTg1AQgAAAAFAAAAATEBAAAACy0xOTQ4ODM3NTQwAwAAAAMxNjACAAAABDEwMTgEAAAAATAHAAAACDMvNi8yMDI2CAAAAAkzLzMxLzIwMjUJAAAAATBQHaPnzXveCMV19zjOe94IKkNJUS5OWVNFOklCTS5JUV9BRC4xOTk3LjA2LzAzLzIwMjYuLi5VU0QuSAEAAADetgEAAgAAAAYtMTIwODUBCAAAAAUAAAABMQEAAAALLTE5NDg4Mzc1NDADAAAAAzE2MAIAAAAEMTA3NQQAAAABMAcAAAAIMy82LzIwMjYIAAAACTMvMzEvMjAyNQkAAAABMFAdo+fNe94IxXX3OM573gg9Q0lRLk5ZU0U6SUJNLklRX0ZJTl9ESVZfTE9BTlNfQ1VSUkVOVC4xOTk3LjA2LzAzLzIwMjYuLi5VU0QuSAEAAADetgEAAgAAAAQ1MTI4AQgAAAAFAAAAATEBAAAACy0xOTQ4ODM3NTQwAwAAAAMxNjACAAAABDEwMzIEAAAAATAHAAAACDMvNi8yMDI2CAAAAAkzLzMxLzIwMjUJAAAAATBQHaPnzXveCMV19zjOe94ISUNJUS5OWVNFOklCTS5JUV9MVF9QT1JUSU9OX09QRVJfTEVBU0VfTElBQklMSVRJRVMuMTk5Ny4wNi8wMy8yMDI2Li4uVVNELkgBAAAA3rYBAAIAAAAEMjc1MwEIAAAABQAAAAExAQAAAAstMTk0ODgzNzU0MAMAAAADMTYwAgAAAAU0ODM4MwQAAAABMAcA</t>
  </si>
  <si>
    <t>AAAIMy82LzIwMjYIAAAACTMvMzEvMjAyNQkAAAABMFAdo+fNe94IxXX3OM573ggvQ0lRLk5ZU0U6SUJNLklRX1NUX0RFQlQuMTk5Ny4wNi8wMy8yMDI2Li4uVVNELkgBAAAA3rYBAAIAAAABMQEIAAAABQAAAAExAQAAAAstMTk0ODgzNzU0MAMAAAADMTYwAgAAAAQxMDQ2BAAAAAEwBwAAAAgzLzYvMjAyNggAAAAJMy8zMS8yMDI1CQAAAAEwUB2j58173gjWnPc4znveCDBDSVEuTllTRTpJQk0uSVFfVE9UQUxfQ0EuMTk5Ny4wNi8wMy8yMDI2Li4uVVNELkgBAAAA3rYBAAIAAAAFMzUzMzYBCAAAAAUAAAABMQEAAAALLTE5NDg4Mzc1NDADAAAAAzE2MAIAAAAEMTAwOAQAAAABMAcAAAAIMy82LzIwMjYIAAAACTMvMzEvMjAyNQkAAAABMFAdo+fNe94I1pz3OM573ggqQ0lRLk5ZU0U6SUJNLklRX0FSLjE5OTcuMDYvMDMvMjAyNi4uLlVTRC5IAQAAAN62AQACAAAABDYzMjIBCAAAAAUAAAABMQEAAAALLTE5NDg4Mzc1NDADAAAAAzE2MAIAAAAEMTAyMQQAAAABMAcAAAAIMy82LzIwMjYIAAAACTMvMzEvMjAyNQkAAAABMFAdo+fNe94I1pz3OM573ggxQ0lRLk5ZU0U6SUJNLklRX1NUX0lOVkVTVC4xOTk3LjA2LzAzLzIwMjYuLi5VU0QuSAEAAADetgEAAgAAAAQ2NDMwAQgAAAAFAAAAATEBAAAACy0xOTQ4ODM3NTQwAwAAAAMxNjACAAAABDEwNjkEAAAAATAHAAAACDMvNi8yMDI2CAAAAAkzLzMxLzIwMjUJAAAA</t>
  </si>
  <si>
    <t>ATBQHaPnzXveCNac9zjOe94INUNJUS5OWVNFOklCTS5JUV9ET19GSU5BTkNFX0NGLjE5OTcuMDYvMDMvMjAyNi4uLlVTRC5IAQAAAN62AQADAAAAAABQHaPnzXveCNac9zjOe94IO0NJUS5OWVNFOklCTS5JUV9DQVNIX0lOVEVSRVNUX0ZJTkFOLjE5OTcuMDYvMDMvMjAyNi4uLlVTRC5IAQAAAN62AQADAAAAAABQHaPnzXveCNac9zjOe94IMUNJUS5OWVNFOklCTS5JUV9UT1RBTF9DQVAuMTk5Ny4wNi8wMy8yMDI2Li4uVVNELkgBAAAA3rYBAAIAAAAFOTM3ODcBCAAAAAUAAAABMQEAAAALLTE5NDg4Mzc1NDADAAAAAzE2MAIAAAAENDE3NQQAAAABMAcAAAAIMy82LzIwMjYIAAAACTMvMzEvMjAyNQkAAAABMFAdo+fNe94I1pz3OM573ggyQ0lRLk5ZU0U6SUJNLklRX0NBU0hfU0hBUkUuMTk5Ny4wNi8wMy8yMDI2Li4uVVNELkgBAAAA3rYBAAIAAAAJMTEuODczMjk1AQgAAAAFAAAAATEBAAAACy0xOTQ4ODM3NTQwAwAAAAMxNjACAAAABDQzODEEAAAAATAHAAAACDMvNi8yMDI2CAAAAAkzLzMxLzIwMjUJAAAAATBQHaPnzXveCNac9zjOe94INENJUS5OWVNFOklCTS5JUV9UT1RBTF9MRUFTRVMuMTk5Ny4wNi8wMy8yMDI2Li4uVVNELkgBAAAA3rYBAAIAAAAENDU4MgEIAAAABQAAAAExAQAAAAstMTk0ODgzNzU0MAMAAAADMTYwAgAAAAU0ODk3OQQAAAABMAcAAAAIMy82LzIwMjYIAAAACTMvMzEvMjAyNQkA</t>
  </si>
  <si>
    <t>AAABMFAdo+fNe94I1pz3OM573gg9Q0lRLk5ZU0U6SUJNLklRX1JVQV9DQVBJVEFMX0xFQVNFX05FVC4xOTk3LjA2LzAzLzIwMjYuLi5VU0QuSAEAAADetgEAAwAAAAAAUB2j58173gjWnPc4znveCDJDSVEuTllTRTpJQk0uSVFfUFJFRl9PVEhFUi4xOTk3LjA2LzAzLzIwMjYuLi5VU0QuSAEAAADetgEAAwAAAAAAUB2j58173gjsw/c4znveCDdDSVEuTllTRTpJQk0uSVFfUFJFRl9OT05fUkVERUVNLjE5OTcuMDYvMDMvMjAyNi4uLlVTRC5IAQAAAN62AQADAAAAAABQHaPnzXveCOzD9zjOe94IOkNJUS5OWVNFOklCTS5JUV9VTkVBUk5fUkVWX0NVUlJFTlQuMTk5Ny4wNi8wMy8yMDI2Li4uVVNELkgBAAAA3rYBAAIAAAAFMTUwNTcBCAAAAAUAAAABMQEAAAALLTE5NDg4Mzc1NDADAAAAAzE2MAIAAAAEMTA3NAQAAAABMAcAAAAIMy82LzIwMjYIAAAACTMvMzEvMjAyNQkAAAABMFAdo+fNe94I1pz3OM573gg8Q0lRLk5ZU0U6SUJNLklRX0ZJTl9ESVZfTElBQl9DVVJSRU5ULjE5OTcuMDYvMDMvMjAyNi4uLlVTRC5IAQAAAN62AQADAAAAAABQHaPnzXveCNac9zjOe94IMUNJUS5OWVNFOklCTS5JUV9JTlZFTlRPUlkuMTk5Ny4wNi8wMy8yMDI2Li4uVVNELkgBAAAA3rYBAAIAAAAEMTQzMQEIAAAABQAAAAExAQAAAAstMTk0ODgzNzU0MAMAAAADMTYwAgAAAAQxMDQzBAAAAAEwBwAAAAgzLzYvMjAyNggAAAAJ</t>
  </si>
  <si>
    <t>My8zMS8yMDI1CQAAAAEwUB2j58173gjWnPc4znveCDNDSVEuTllTRTpJQk0uSVFfTEVWRVJFRF9GQ0YuMTk5Ny4wNi8wMy8yMDI2Li4uVVNELkgBAAAA3rYBAAIAAAAIMTA1NjQuMjUBCAAAAAUAAAABMQEAAAALLTE5NDg4Mzc1NDADAAAAAzE2MAIAAAAENDQyMgQAAAABMAcAAAAIMy82LzIwMjYIAAAACTMvMzEvMjAyNQkAAAABMFAdo+fNe94I7MP3OM573ghDQ0lRLk5ZU0U6SUJNLklRX1NBTEVfUFJPQ0VFRFNfUkVOVEFMX0FTU0VUUy4xOTk3LjA2LzAzLzIwMjYuLi5VU0QuSAEAAADetgEAAwAAAAAAUB2j58173gjsw/c4znveCDxDSVEuTllTRTpJQk0uSVFfTkVHQVRJVkVfR1dfQU1PUlRfQ0YuMTk5Ny4wNi8wMy8yMDI2Li4uVVNELkgBAAAA3rYBAAMAAAAAAFAdo+fNe94I7MP3OM573ggqQ0lRLk5ZU0U6SUJNLklRX0ZYLjE5OTcuMDYvMDMvMjAyNi4uLlVTRC5IAQAAAN62AQACAAAAAy0zMwEIAAAABQAAAAExAQAAAAstMTk0ODgzNzU0MAMAAAADMTYwAgAAAAQyMTQ0BAAAAAEwBwAAAAgzLzYvMjAyNggAAAAJMy8zMS8yMDI1CQAAAAEwUB2j58173gjsw/c4znveCDZDSVEuTllTRTpJQk0uSVFfTFRfREVCVF9SRVBBSUQuMTk5Ny4wNi8wMy8yMDI2Li4uVVNELkgBAAAA3rYBAAMAAAAAAFAdo+fNe94I7MP3OM573ggzQ0lRLk5ZU0U6SUJNLklRX1NBTEVfUFBFX0NGLjE5OTcuMDYvMDMvMjAyNi4u</t>
  </si>
  <si>
    <t>LlVTRC5IAQAAAN62AQACAAAAAzYxOQEIAAAABQAAAAExAQAAAAstMTk0ODgzNzU0MAMAAAADMTYwAgAAAAQyMDQyBAAAAAEwBwAAAAgzLzYvMjAyNggAAAAJMy8zMS8yMDI1CQAAAAEwUB2j58173gjsw/c4znveCDlDSVEuTllTRTpJQk0uSVFfUFJPVl9CQURfREVCVFNfQ0YuMTk5Ny4wNi8wMy8yMDI2Li4uVVNELkgBAAAA3rYBAAMAAAAAAFAdo+fNe94I7MP3OM573gg1Q0lRLk5ZU0U6SUJNLklRX0lOQ19FUVVJVFlfQ0YuMTk5Ny4wNi8wMy8yMDI2Li4uVVNELkgBAAAA3rYBAAMAAAAAAFAdo+fNe94I7MP3OM573ghFQ0lRLk5ZU0U6SUJNLklRX1JVQV9PUEVSQVRJTkdfTEVBU0VfQUNDVU1fREVQLjE5OTcuMDYvMDMvMjAyNi4uLlVTRC5IAQAAAN62AQADAAAAAABQHaPnzXveCOzD9zjOe94IP0NJUS5OWVNFOklCTS5JUV9NSU5PUklUWV9JTlRFUkVTVF9UT1RBTC4xOTk3LjA2LzAzLzIwMjYuLi5VU0QuSAEAAADetgEAAgAAAAI3MgEIAAAABQAAAAExAQAAAAstMTk0ODgzNzU0MAMAAAADMTYwAgAAAAQxMzEyBAAAAAEwBwAAAAgzLzYvMjAyNggAAAAJMy8zMS8yMDI1CQAAAAEwUB2j58173gj66vc4znveCD1DSVEuTllTRTpJQk0uSVFfR1BQRV9FWENMX09QRVJfTEVBU0VTLjE5OTcuMDYvMDMvMjAyNi4uLlVTRC5IAQAAAN62AQACAAAABTE3ODI3AQgAAAAFAAAAATEBAAAACy0xOTQ4ODM3NTQwAwAA</t>
  </si>
  <si>
    <t>AAMxNjACAAAABTQ4OTc0BAAAAAEwBwAAAAgzLzYvMjAyNggAAAAJMy8zMS8yMDI1CQAAAAEwUB2j58173gj66vc4znveCDdDSVEuTllTRTpJQk0uSVFfTE9BTlNfUkVDRUlWX0xULjE5OTcuMDYvMDMvMjAyNi4uLlVTRC5IAQAAAN62AQACAAAAAzEwMAEIAAAABQAAAAExAQAAAAstMTk0ODgzNzU0MAMAAAADMTYwAgAAAAQxMDUwBAAAAAEwBwAAAAgzLzYvMjAyNggAAAAJMy8zMS8yMDI1CQAAAAEwUB2j58173gj66vc4znveCCxDSVEuTllTRTpJQk0uSVFfTlBQRS4xOTk3LjA2LzAzLzIwMjYuLi5VU0QuSAEAAADetgEAAgAAAAQ5MDY1AQgAAAAFAAAAATEBAAAACy0xOTQ4ODM3NTQwAwAAAAMxNjACAAAABDEwMDQEAAAAATAHAAAACDMvNi8yMDI2CAAAAAkzLzMxLzIwMjUJAAAAATBQHaPnzXveCPrq9zjOe94INkNJUS5OWVNFOklCTS5JUV9BU1NFVFNfTEVWRUxfMy4xOTk3LjA2LzAzLzIwMjYuLi5VU0QuSAEAAADetgEAAwAAAAAAUB2j58173gjsw/c4znveCDdDSVEuTllTRTpJQk0uSVFfTkVUX1dPUktJTkdfQ0FQLjE5OTcuMDYvMDMvMjAyNi4uLlVTRC5IAQAAAN62AQACAAAABS05NTI0AQgAAAAFAAAAATEBAAAACy0xOTQ4ODM3NTQwAwAAAAMxNjACAAAABDEzMTEEAAAAATAHAAAACDMvNi8yMDI2CAAAAAkzLzMxLzIwMjUJAAAAATBQHaPnzXveCAv/9zjOe94IPENJUS5OWVNFOklCTS5JUV9DSEFO</t>
  </si>
  <si>
    <t>R0VfREVGX1RBWF9UT1RBTC4xOTk3LjA2LzAzLzIwMjYuLi5VU0QuSAEAAADetgEAAgAAAAUtMjMzMAEIAAAABQAAAAExAQAAAAstMTk0ODgzNzU0MAMAAAADMTYwAgAAAAUzMDkyNAQAAAABMAcAAAAIMy82LzIwMjYIAAAACTMvMzEvMjAyNQkAAAABMFAdo+fNe94IC//3OM573ggyQ0lRLk5ZU0U6SUJNLklRX0NBU0hfVEFYRVMuMTk5Ny4wNi8wMy8yMDI2Li4uVVNELkgBAAAA3rYBAAIAAAAEMTcyMwEIAAAABQAAAAExAQAAAAstMTk0ODgzNzU0MAMAAAADMTYwAgAAAAQzMDUzBAAAAAEwBwAAAAgzLzYvMjAyNggAAAAJMy8zMS8yMDI1CQAAAAEwUB2j58173ggL//c4znveCDBDSVEuTllTRTpJQk0uSVFfUFJFRl9SRVAuMTk5Ny4wNi8wMy8yMDI2Li4uVVNELkgBAAAA3rYBAAMAAAAAAFAdo+fNe94I+ur3OM573gg3Q0lRLk5ZU0U6SUJNLklRX0lOVkVTVF9MT0FOU19DRi4xOTk3LjA2LzAzLzIwMjYuLi5VU0QuSAEAAADetgEAAwAAAAAAUB2j58173gj66vc4znveCDhDSVEuTllTRTpJQk0uSVFfQ0hBTkdFX0lOVkVOVE9SWS4xOTk3LjA2LzAzLzIwMjYuLi5VU0QuSAEAAADetgEAAgAAAAQtMTY2AQgAAAAFAAAAATEBAAAACy0xOTQ4ODM3NTQwAwAAAAMxNjACAAAABDIwOTkEAAAAATAHAAAACDMvNi8yMDI2CAAAAAkzLzMxLzIwMjUJAAAAATBQHaPnzXveCAv/9zjOe94IP0NJUS5OWVNFOklCTS5JUV9T</t>
  </si>
  <si>
    <t>VE9DS19CQVNFRF9DT01QX1BSRVRBWC4xOTk3LjA2LzAzLzIwMjYuLi5VU0QuSAEAAADetgEAAgAAAAQxMzkyAFAdo+fNe94IC//3OM573gg4Q0lRLk5ZU0U6SUJNLklRX1JFU1RSX1NUT0NLX0NPTVAuMTk5Ny4wNi8wMy8yMDI2Li4uVVNELkgBAAAA3rYBAAMAAAAAAFAdo+fNe94IC//3OM573ggnQ0lRLk5ZU0U6SUJNLklRX0dBQVBfSVMuMTk5Ny4wNi8wMy8yMDI2AQAAAN62AQADAAAAAABQHaPnzXveCAv/9zjOe94IOkNJUS5OWVNFOklCTS5JUV9ESVNUUklCVVRBQkxFX0NBU0guMTk5Ny4wNi8wMy8yMDI2Li4uVVNELkgBAAAA3rYBAAMAAAAAAFAdo+fNe94IC//3OM573ggyQ0lRLk5ZU0U6SUJNLklRX0NVUlJfVEFYRVMuMTk5Ny4wNi8wMy8yMDI2Li4uVVNELkgBAAAA3rYBAAIAAAAEMjExOAEIAAAABQAAAAExAQAAAAstMTk0ODgzNzU0MAMAAAADMTYwAgAAAAUzNTM4MwQAAAABMAcAAAAIMy82LzIwMjYIAAAACTMvMzEvMjAyNQkAAAABMFAdo+fNe94IC//3OM573gg5Q0lRLk5ZU0U6SUJNLklRX0ZFRVNfT1RIRVJfSU5DT01FLjE5OTcuMDYvMDMvMjAyNi4uLlVTRC5IAQAAAN62AQADAAAAAABQHaPnzXveCAv/9zjOe94IP0NJUS5OWVNFOklCTS5JUV9FQklUREFSX0VRX0lOQ19FWENMX1NCQy4xOTk3LjA2LzAzLzIwMjYuLi5VU0QuSAEAAADetgEAAwAAAAAAUB2j58173ggL//c4znveCD1DSVEu</t>
  </si>
  <si>
    <t>TllTRTpJQk0uSVFfRUJJVERBX0xFQVNFX0FESlVTVEVELjE5OTcuMDYvMDMvMjAyNi4uLlVTRC5IAQAAAN62AQACAAAACDE0NTk0LjI1AQgAAAAFAAAAATEBAAAACy0xOTQ4ODM3NTQwAwAAAAMxNjACAAAABTQ4OTkzBAAAAAEwBwAAAAgzLzYvMjAyNggAAAAJMy8zMS8yMDI1CQAAAAEwUB2j58173ggL//c4znveCEBDSVEuTllTRTpJQk0uSVFfT1BFUkFUSU5HX0xFQVNFX1BBWU1FTlRTLjE5OTcuMDYvMDMvMjAyNi4uLlVTRC5IAQAAAN62AQADAAAAAABQHaPnzXveCEsm+DjOe94IQENJUS5OWVNFOklCTS5JUV9GSU5BTkNFX0xFQVNFU19MT05HX1RFUk0uMTk5Ny4wNi8wMy8yMDI2Li4uVVNELkgBAAAA3rYBAAIAAAAEMTAzMQEIAAAABQAAAAExAQAAAAstMTk0ODgzNzU0MAMAAAADMTYwAgAAAAU0ODk5MQQAAAABMAcAAAAIMy82LzIwMjYIAAAACTMvMzEvMjAyNQkAAAABMFAdo+fNe94ISyb4OM573gg2Q0lRLk5ZU0U6SUJNLklRX1NQRUNJQUxfRElWX0NGLjE5OTcuMDYvMDMvMjAyNi4uLlVTRC5IAQAAAN62AQADAAAAAABQHaPnzXveCEsm+DjOe94IM0NJUS5OWVNFOklCTS5JUV9QUkVGX0RJVl9DRi4xOTk3LjA2LzAzLzIwMjYuLi5VU0QuSAEAAADetgEAAwAAAAAAUB2j58173ghLJvg4znveCC1DSVEuTllTRTpJQk0uSVFfQ0FQRVguMTk5Ny4wNi8wMy8yMDI2Li4uVVNELkgBAAAA3rYBAAIAAAAF</t>
  </si>
  <si>
    <t>LTEwNTMBCAAAAAUAAAABMQEAAAALLTE5NDg4Mzc1NDADAAAAAzE2MAIAAAAEMjAyMQQAAAABMAcAAAAIMy82LzIwMjYIAAAACTMvMzEvMjAyNQkAAAABMFAdo+fNe94ISyb4OM573gg4Q0lRLk5ZU0U6SUJNLklRX0NBU0hfVEFYRVNfRklOQU4uMTk5Ny4wNi8wMy8yMDI2Li4uVVNELkgBAAAA3rYBAAMAAAAAAFAdo+fNe94ISyb4OM573gg3Q0lRLk5ZU0U6SUJNLklRX0NBU0hfQUNRVUlSRV9DRi4xOTk3LjA2LzAzLzIwMjYuLi5VU0QuSAEAAADetgEAAgAAAAYtMTAzMDUBCAAAAAUAAAABMQEAAAALLTE5NDg4Mzc1NDADAAAAAzE2MAIAAAAEMjA1NwQAAAABMAcAAAAIMy82LzIwMjYIAAAACTMvMzEvMjAyNQkAAAABMFAdo+fNe94ISyb4OM573gg2Q0lRLk5ZU0U6SUJNLklRX1NUT0NLX0JBU0VEX0NGLjE5OTcuMDYvMDMvMjAyNi4uLlVTRC5IAQAAAN62AQACAAAABDEzOTIBCAAAAAUAAAABMQEAAAALLTE5NDg4Mzc1NDADAAAAAzE2MAIAAAAEMjEyNwQAAAABMAcAAAAIMy82LzIwMjYIAAAACTMvMzEvMjAyNQkAAAABMFAdo+fNe94ISyb4OM573gg5Q0lRLk5ZU0U6SUJNLklRX05FR0FUSVZFX0dXX0FNT1JULjE5OTcuMDYvMDMvMjAyNi4uLlVTRC5IAQAAAN62AQADAAAAAABQHaPnzXveCEsm+DjOe94IQENJUS5OWVNFOklCTS5JUV9JTVBVVF9PUEVSX0xFQVNFX0lOVF9FWFAuMTk5Ny4wNi8wMy8yMDI2</t>
  </si>
  <si>
    <t>Li4uVVNELkgBAAAA3rYBAAMAAAAAAFAdo+fNe94ISyb4OM573ggqQ0lRLk5ZU0U6SUJNLklRX0FFLjE5OTcuMDYvMDMvMjAyNi4uLlVTRC5IAQAAAN62AQACAAAABDY5MDMBCAAAAAUAAAABMQEAAAALLTE5NDg4Mzc1NDADAAAAAzE2MAIAAAAEMTAxNgQAAAABMAcAAAAIMy82LzIwMjYIAAAACTMvMzEvMjAyNQkAAAABMFAdo+fNe94ISyb4OM573gg2Q0lRLk5ZU0U6SUJNLklRX1NUX05PVEVfUkVDRUlWLjE5OTcuMDYvMDMvMjAyNi4uLlVTRC5IAQAAAN62AQADAAAAAABQHaPnzXveCEsm+DjOe94IPENJUS5OWVNFOklCTS5JUV9DQVNIX0lOVEVSRVNUX0lOVkVTVC4xOTk3LjA2LzAzLzIwMjYuLi5VU0QuSAEAAADetgEAAwAAAAAAUB2j58173ghLJvg4znveCDlDSVEuTllTRTpJQk0uSVFfQ0FTSF9JTlRFUkVTVF9ORVQuMTk5Ny4wNi8wMy8yMDI2Li4uVVNELkgBAAAA3rYBAAMAAAAAAFAdo+fNe94ISyb4OM573gg6Q0lRLk5ZU0U6SUJNLklRX0lOVkVTVF9TRUNVUklUWV9DRi4xOTk3LjA2LzAzLzIwMjYuLi5VU0QuSAEAAADetgEAAgAAAAUtMjMwNwEIAAAABQAAAAExAQAAAAstMTk0ODgzNzU0MAMAAAADMTYwAgAAAAQyMDI3BAAAAAEwBwAAAAgzLzYvMjAyNggAAAAJMy8zMS8yMDI1CQAAAAEwUB2j58173ghLJvg4znveCDlDSVEuTllTRTpJQk0uSVFfR1dfSU5UQU5fQU1PUlRfQ0YuMTk5Ny4wNi8w</t>
  </si>
  <si>
    <t>My8yMDI2Li4uVVNELkgBAAAA3rYBAAIAAAAEMTg5NwEIAAAABQAAAAExAQAAAAstMTk0ODgzNzU0MAMAAAADMTYwAgAAAAQyMTgyBAAAAAEwBwAAAAgzLzYvMjAyNggAAAAJMy8zMS8yMDI1CQAAAAEwUB2j58173ghLJvg4znveCEFDSVEuTllTRTpJQk0uSVFfU1RPQ0tfT1BUSU9OU19DT01QX1BSRVRBWC4xOTk3LjA2LzAzLzIwMjYuLi5VU0QuSAEAAADetgEAAwAAAAAAUB2j58173ghLJvg4znveCDRDSVEuTllTRTpJQk0uSVFfQU1PUlRfRElDX0NGLjE5OTcuMDYvMDMvMjAyNi4uLlVTRC5IAQAAAN62AQADAAAAAABQHaPnzXveCEsm+DjOe94IL0NJUS5OWVNFOklCTS5JUV9QRVJJT0RMRU5HVEhfQ0YuMTk5Ny4wNi8wMy8yMDI2AQAAAN62AQABAAAAAjEyAFAdo+fNe94ISyb4OM573gg5Q0lRLk5ZU0U6SUJNLklRX1RPVEFMX0RJVl9QQUlEX0NGLjE5OTcuMDYvMDMvMjAyNi4uLlVTRC5IAQAAAN62AQACAAAABS02MTc0AQgAAAAFAAAAATEBAAAACy0xOTQ4ODM3NTQwAwAAAAMxNjACAAAABDIwMjIEAAAAATAHAAAACDMvNi8yMDI2CAAAAAkzLzMxLzIwMjUJAAAAATBQHaPnzXveCDRh+DjOe94IPkNJUS5OWVNFOklCTS5JUV9PVEhFUl9JTlZFU1RfQUNUX1NVUFBMLjE5OTcuMDYvMDMvMjAyNi4uLlVTRC5IAQAAAN62AQADAAAAAABQHaPnzXveCDRh+DjOe94IPENJUS5OWVNFOklCTS5JUV9NSU5PUklU</t>
  </si>
  <si>
    <t>WV9JTlRFUkVTVF9DRi4xOTk3LjA2LzAzLzIwMjYuLi5VU0QuSAEAAADetgEAAwAAAAAAUB2j58173gg0Yfg4znveCC1DSVEuTllTRTpJQk0uSVFfREFfQ0YuMTk5Ny4wNi8wMy8yMDI2Li4uVVNELkgBAAAA3rYBAAIAAAAENDA2OAEIAAAABQAAAAExAQAAAAstMTk0ODgzNzU0MAMAAAADMTYwAgAAAAQyMTYwBAAAAAEwBwAAAAgzLzYvMjAyNggAAAAJMy8zMS8yMDI1CQAAAAEwUB2j58173gg0Yfg4znveCDxDSVEuTllTRTpJQk0uSVFfUkVTVFJfU1RPQ0tfQ09NUF9UQVguMTk5Ny4wNi8wMy8yMDI2Li4uVVNELkgBAAAA3rYBAAMAAAAAAFAdo+fNe94INGH4OM573gg5Q0lRLk5ZU0U6SUJNLklRX1NUT0NLX0JBU0VEX1RPVEFMLjE5OTcuMDYvMDMvMjAyNi4uLlVTRC5IAQAAAN62AQACAAAABDEzOTIBCAAAAAUAAAABMQEAAAALLTE5NDg4Mzc1NDADAAAAAzE2MAIAAAAFMjQwMzQEAAAAATAHAAAACDMvNi8yMDI2CAAAAAkzLzMxLzIwMjUJAAAAATBQHaPnzXveCDRh+DjOe94IOUNJUS5OWVNFOklCTS5JUV9TVE9DS19CQVNFRF9PVEhFUi4xOTk3LjA2LzAzLzIwMjYuLi5VU0QuSAEAAADetgEAAwAAAAAAUB2j58173gg0Yfg4znveCCxDSVEuTllTRTpJQk0uSVFfQ0FMQ19UWVBFX0lTLjE5OTcuMDYvMDMvMjAyNgEAAADetgEAAwAAAANMVE0AUB2j58173gg0Yfg4znveCDFDSVEuTllTRTpJQk0uSVFfREFf</t>
  </si>
  <si>
    <t>RUJJVERBLjE5OTcuMDYvMDMvMjAyNi4uLlVTRC5IAQAAAN62AQACAAAABDMxNjgBCAAAAAUAAAABMQEAAAALLTE5NDg4Mzc1NDADAAAAAzE2MAIAAAAEMjIwNgQAAAABMAcAAAAIMy82LzIwMjYIAAAACTMvMzEvMjAyNQkAAAABMFAdo+fNe94INGH4OM573ghJQ0lRLk5ZU0U6SUJNLklRX0lOVEVSRVNUX0VYUF9MRUFTRV9MSUFCSUxJVFlfREVCVC4xOTk3LjA2LzAzLzIwMjYuLi5VU0QuSAEAAADetgEAAwAAAAAAUB2j58173gg0Yfg4znveCDVDSVEuTllTRTpJQk0uSVFfVU5FQVJOX1JFVl9MVC4xOTk3LjA2LzAzLzIwMjYuLi5VU0QuSAEAAADetgEAAgAAAAQzODQ0AQgAAAAFAAAAATEBAAAACy0xOTQ4ODM3NTQwAwAAAAMxNjACAAAABDEyNTYEAAAAATAHAAAACDMvNi8yMDI2CAAAAAkzLzMxLzIwMjUJAAAAATBQHaPnzXveCLGI+DjOe94IOUNJUS5OWVNFOklCTS5JUV9DSEFOR0VfVU5FQVJOX1JFVi4xOTk3LjA2LzAzLzIwMjYuLi5VU0QuSAEAAADetgEAAwAAAAAAUB2j58173gixiPg4znveCDZDSVEuTllTRTpJQk0uSVFfR0FJTl9JTlZFU1RfQ0YuMTk5Ny4wNi8wMy8yMDI2Li4uVVNELkgBAAAA3rYBAAMAAAAAAFAdo+fNe94INGH4OM573gg1Q0lRLk5ZU0U6SUJNLklRX0FJUkNSQUZUX1JFTlQuMTk5Ny4wNi8wMy8yMDI2Li4uVVNELkgBAAAA3rYBAAMAAAAAAFAdo+fNe94INGH4OM573gg0Q0lR</t>
  </si>
  <si>
    <t>Lk5ZU0U6SUJNLklRX1RPVEFMX0FTU0VUUy4xOTk3LjA2LzAzLzIwMjYuLi5VU0QuSAEAAADetgEAAgAAAAYxNDU2NjcBCAAAAAUAAAABMQEAAAALLTE5NDg4Mzc1NDADAAAAAzE2MAIAAAAEMTAwNwQAAAABMAcAAAAIMy82LzIwMjYIAAAACTMvMzEvMjAyNQkAAAABMFAdo+fNe94INGH4OM573ggxQ0lRLk5ZU0U6SUJNLklRX0NBU0hfT1BFUi4xOTk3LjA2LzAzLzIwMjYuLi5VU0QuSAEAAADetgEAAgAAAAUxMzY0NwEIAAAABQAAAAExAQAAAAstMTk0ODgzNzU0MAMAAAADMTYwAgAAAAQyMDA2BAAAAAEwBwAAAAgzLzYvMjAyNggAAAAJMy8zMS8yMDI1CQAAAAEwUB2j58173ghfnPg4znveCDxDSVEuTllTRTpJQk0uSVFfTkVHQVRJVkVfR1dfQU1PUlRfQVQuMTk5Ny4wNi8wMy8yMDI2Li4uVVNELkgBAAAA3rYBAAMAAAAAAFAdo+fNe94IX5z4OM573gg/Q0lRLk5ZU0U6SUJNLklRX1NBTEFSSUVTX09USEVSX0JFTkVGSVRTLjE5OTcuMDYvMDMvMjAyNi4uLlVTRC5IAQAAAN62AQADAAAAAABQHaPnzXveCLGI+DjOe94IOUNJUS5OWVNFOklCTS5JUV9ORVRfUkVOVEFMX0VYUF9GTi4xOTk3LjA2LzAzLzIwMjYuLi5VU0QuSAEAAADetgEAAwAAAAAAUB2j58173gixiPg4znveCDdDSVEuTllTRTpJQk0uSVFfU0FMRVNfTUFSS0VUSU5HLjE5OTcuMDYvMDMvMjAyNi4uLlVTRC5IAQAAAN62AQACAAAABDExMzIB</t>
  </si>
  <si>
    <t>CAAAAAUAAAABMQEAAAALLTE5NDg4Mzc1NDADAAAAAzE2MAIAAAAFMjE1NjEEAAAAATAHAAAACDMvNi8yMDI2CAAAAAkzLzMxLzIwMjUJAAAAATBQHaPnzXveCLGI+DjOe94IN0NJUS5OWVNFOklCTS5JUV9GSU5fRElWX0xJQUJfTFQuMTk5Ny4wNi8wMy8yMDI2Li4uVVNELkgBAAAA3rYBAAMAAAAAAFAdo+fNe94IjrL4OM573ghFQ0lRLk5ZU0U6SUJNLklRX1RPVEFMX0RFQlRfUkVQQUlEX0VYQ0xfTEVBU0VTLjE5OTcuMDYvMDMvMjAyNi4uLlVTRC5IAQAAAN62AQACAAAABS01Nzk1AQgAAAAFAAAAATEBAAAACy0xOTQ4ODM3NTQwAwAAAAMxNjACAAAABTQ4OTg2BAAAAAEwBwAAAAgzLzYvMjAyNggAAAAJMy8zMS8yMDI1CQAAAAEwUB2j58173ghfnPg4znveCDpDSVEuTllTRTpJQk0uSVFfQ0FTSF9JTlRFUkVTVF9PUEVSLjE5OTcuMDYvMDMvMjAyNi4uLlVTRC5IAQAAAN62AQADAAAAAABQHaPnzXveCF+c+DjOe94IKkNJUS5OWVNFOklCTS5JUV9SRS4xOTk3LjA2LzAzLzIwMjYuLi5VU0QuSAEAAADetgEAAgAAAAYxNTA3MDMBCAAAAAUAAAABMQEAAAALLTE5NDg4Mzc1NDADAAAAAzE2MAIAAAAEMTIyMgQAAAABMAcAAAAIMy82LzIwMjYIAAAACTMvMzEvMjAyNQkAAAABMFAdo+fNe94IX5z4OM573ggzQ0lRLk5ZU0U6SUJNLklRX01BSU5UX0NBUEVYLjE5OTcuMDYvMDMvMjAyNi4uLlVTRC5IAQAAAN62</t>
  </si>
  <si>
    <t>AQADAAAAAABQHaPnzXveCF+c+DjOe94IL0NJUS5OWVNFOklCTS5JUV9ERVBfUlVBLjE5OTcuMDYvMDMvMjAyNi4uLlVTRC5IAQAAAN62AQACAAAAAzkwMAEIAAAABQAAAAExAQAAAAstMTk0ODgzNzU0MAMAAAADMTYwAgAAAAU0ODM1NwQAAAABMAcAAAAIMy82LzIwMjYIAAAACTMvMzEvMjAyNQkAAAABMFAdo+fNe94IjrL4OM573gg1Q0lRLk5ZU0U6SUJNLklRX0NPTU1PTl9ESVZfQ0YuMTk5Ny4wNi8wMy8yMDI2Li4uVVNELkgBAAAA3rYBAAIAAAAFLTYxNzQBCAAAAAUAAAABMQEAAAALLTE5NDg4Mzc1NDADAAAAAzE2MAIAAAAEMjA3NAQAAAABMAcAAAAIMy82LzIwMjYIAAAACTMvMzEvMjAyNQkAAAABMFAdo+fNe94IjrL4OM573gg5Q0lRLk5ZU0U6SUJNLklRX1RPVEFMX0RFQlRfUkVQQUlELjE5OTcuMDYvMDMvMjAyNi4uLlVTRC5IAQAAAN62AQACAAAABS01Nzk1AQgAAAAFAAAAATEBAAAACy0xOTQ4ODM3NTQwAwAAAAMxNjACAAAABDIxNjYEAAAAATAHAAAACDMvNi8yMDI2CAAAAAkzLzMxLzIwMjUJAAAAATBQHaPnzXveCI6y+DjOe94ISUNJUS5OWVNFOklCTS5JUV9MT05HX1RFUk1fREVCVF9SRVBBSURfRVhDTF9MRUFTRVMuMTk5Ny4wNi8wMy8yMDI2Li4uVVNELkgBAAAA3rYBAAIAAAAFLTU3NjYBCAAAAAUAAAABMQEAAAALLTE5NDg4Mzc1NDADAAAAAzE2MAIAAAAFNDg5ODQEAAAAATAHAAAA</t>
  </si>
  <si>
    <t>CDMvNi8yMDI2CAAAAAkzLzMxLzIwMjUJAAAAATBQHaPnzXveCI6y+DjOe94ILkNJUS5OWVNFOklCTS5JUV9DT01NT04uMTk5Ny4wNi8wMy8yMDI2Li4uVVNELkgBAAAA3rYBAAIAAAAFNjE5MTMBCAAAAAUAAAABMQEAAAALLTE5NDg4Mzc1NDADAAAAAzE2MAIAAAAEMTEwMwQAAAABMAcAAAAIMy82LzIwMjYIAAAACTMvMzEvMjAyNQkAAAABMFAdo+fNe94IjrL4OM573gg9Q0lRLk5ZU0U6SUJNLklRX0lNUFVUX09QRVJfTEVBU0VfREVQUi4xOTk3LjA2LzAzLzIwMjYuLi5VU0QuSAEAAADetgEAAwAAAAAAUB2j58173giOsvg4znveCDFDSVEuTllTRTpJQk0uSVFfTUFSS0VUSU5HLjE5OTcuMDYvMDMvMjAyNi4uLlVTRC5IAQAAAN62AQADAAAAAABQHaPnzXveCI6y+DjOe94IO0NJUS5OWVNFOklCTS5JUV9EQV9TVVBQTF9QQVJUSUFMX0NGLjE5OTcuMDYvMDMvMjAyNi4uLlVTRC5IAQAAAN62AQADAAAAAABQHaPnzXveCI6y+DjOe94IN0NJUS5OWVNFOklCTS5JUV9HQUlOX0JBUkdBSU5fQUNRX0NGLi4wNi8wMy8yMDI2Li4uVVNELkgBAAAA3rYBAAMAAAAAADKWLOnNe94IS84OOM573ggyQ0lRLk5ZU0U6SUJNLklRX1NUT0NLX0JBU0VEX1JELi4wNi8wMy8yMDI2Li4uVVNELkgBAAAA3rYBAAIAAAADNTQyAQgAAAAFAAAAATEBAAAACy0xOTA0ODYwNjU3AwAAAAMxNjACAAAABTIyNjc4BAAAAAEwBwAAAAgz</t>
  </si>
  <si>
    <t>LzYvMjAyNggAAAAKMTIvMzEvMjAyNQkAAAABMN/YTenNe94ImHIPOM573ggyQ0lRLk5ZU0U6SUJNLklRX1NUT0NLX0JBU0VEX1NNLi4wNi8wMy8yMDI2Li4uVVNELkgBAAAA3rYBAAMAAAAAAAKyTenNe94IP64POM573ggzQ0lRLk5ZU0U6SUJNLklRX1NUT0NLX0JBU0VEX1NHQS4uMDYvMDMvMjAyNi4uLlVTRC5IAQAAAN62AQACAAAAAzkwNAEIAAAABQAAAAExAQAAAAstMTkwNDg2MDY1NwMAAAADMTYwAgAAAAUyMjY3OQQAAAABMAcAAAAIMy82LzIwMjYIAAAACjEyLzMxLzIwMjUJAAAAATAovSzpzXveCAunDjjOe94IO0NJUS5OWVNFOklCTS5JUV9TVE9DS19CQVNFRF9DT01QX1BSRVRBWC4uMDYvMDMvMjAyNi4uLlVTRC5IAQAAAN62AQACAAAABDE3MTUAArJN6c173gg1WA84znveCC5DSVEuTllTRTpJQk0uSVFfT0lMX0lNUEFJUi4uMDYvMDMvMjAyNi4uLlVTRC5IAQAAAN62AQADAAAAAAAovSzpzXveCAmADjjOe94INkNJUS5OWVNFOklCTS5JUV9BU1NFVF9XUklURURPV05fQ0YuLjA2LzAzLzIwMjYuLi5VU0QuSAEAAADetgEAAwAAAAAAArJN6c173gg/rg84znveCDFDSVEuTllTRTpJQk0uSVFfSU5DX0VRVUlUWV9DRi4uMDYvMDMvMjAyNi4uLlVTRC5IAQAAAN62AQADAAAAAADf2E3pzXveCEvODjjOe94IL0NJUS5OWVNFOklCTS5JUV9TQUxFX1BQRV9DRi4uMDYvMDMvMjAyNi4uLlVTRC5IAQAA</t>
  </si>
  <si>
    <t>AN62AQACAAAAAzEyMQEIAAAABQAAAAExAQAAAAstMTkwNDg2MDY1NwMAAAADMTYwAgAAAAQyMDQyBAAAAAEwBwAAAAgzLzYvMjAyNggAAAAKMTIvMzEvMjAyNQkAAAABMN/YTenNe94IaQkPOM573ggzQ0lRLk5ZU0U6SUJNLklRX0NBU0hfQUNRVUlSRV9DRi4uMDYvMDMvMjAyNi4uLlVTRC5IAQAAAN62AQACAAAABS04Mjk0AQgAAAAFAAAAATEBAAAACy0xOTA0ODYwNjU3AwAAAAMxNjACAAAABDIwNTcEAAAAATAHAAAACDMvNi8yMDI2CAAAAAoxMi8zMS8yMDI1CQAAAAEwArJN6c173giYcg84znveCC5DSVEuTllTRTpJQk0uSVFfQ09NTU9OX1JFUC4uMDYvMDMvMjAyNi4uLlVTRC5IAQAAAN62AQACAAAABS0xMDE4AQgAAAAFAAAAATEBAAAACy0xOTA0ODYwNjU3AwAAAAMxNjACAAAABDIxNjQEAAAAATAHAAAACDMvNi8yMDI2CAAAAAoxMi8zMS8yMDI1CQAAAAEwKL0s6c173ggJgA44znveCDhDSVEuTllTRTpJQk0uSVFfTkVHQVRJVkVfR1dfQU1PUlRfQ0YuLjA2LzAzLzIwMjYuLi5VU0QuSAEAAADetgEAAwAAAAAA39hN6c173ghpCQ84znveCDBDSVEuTllTRTpJQk0uSVFfTUFJTlRfUkVQQUlSLi4wNi8wMy8yMDI2Li4uVVNELkgBAAAA3rYBAAMAAAAAAAKyTenNe94IP64POM573ggxQ0lRLk5ZU0U6SUJNLklRX01FUkdFUl9TVVBQTEUuLjA2LzAzLzIwMjYuLi5VU0QuSAEAAADetgEAAwAAAAAAKL0s</t>
  </si>
  <si>
    <t>6c173ghLzg44znveCDRDSVEuTllTRTpJQk0uSVFfR0FJTl9CQVJHQUlOX0FDUS4uMDYvMDMvMjAyNi4uLlVTRC5IAQAAAN62AQADAAAAAADf2E3pzXveCH0xDzjOe94IOkNJUS5OWVNFOklCTS5JUV9PVEhFUl9JTlZFU1RfQUNUX1NVUFBMLi4wNi8wMy8yMDI2Li4uVVNELkgBAAAA3rYBAAIAAAABMQEIAAAABQAAAAExAQAAAAstMTkwNDg2MDY1NwMAAAADMTYwAgAAAAQyMDUxBAAAAAEwBwAAAAgzLzYvMjAyNggAAAAKMTIvMzEvMjAyNQkAAAABMAKyTenNe94IddUPOM573gg1Q0lRLk5ZU0U6SUJNLklRX1RPVEFMX0RFQlRfSVNTVUVELi4wNi8wMy8yMDI2Li4uVVNELkgBAAAA3rYBAAIAAAAEODM5MQEIAAAABQAAAAExAQAAAAstMTkwNDg2MDY1NwMAAAADMTYwAgAAAAQyMTYxBAAAAAEwBwAAAAgzLzYvMjAyNggAAAAKMTIvMzEvMjAyNQkAAAABMN/YTenNe94IaQkPOM573gg7Q0lRLk5ZU0U6SUJNLklRX09USEVSX0ZJTkFOQ0VfQUNUX1NVUFBMLi4wNi8wMy8yMDI2Li4uVVNELkgBAAAA3rYBAAIAAAAELTEzOQEIAAAABQAAAAExAQAAAAstMTkwNDg2MDY1NwMAAAADMTYwAgAAAAQyMDUwBAAAAAEwBwAAAAgzLzYvMjAyNggAAAAKMTIvMzEvMjAyNQkAAAABMN/YTenNe94IaQkPOM573ggmQ0lRLk5ZU0U6SUJNLklRX0ZYLi4wNi8wMy8yMDI2Li4uVVNELkgBAAAA3rYBAAIAAAADNDE4AQgAAAAFAAAA</t>
  </si>
  <si>
    <t>ATEBAAAACy0xOTA0ODYwNjU3AwAAAAMxNjACAAAABDIxNDQEAAAAATAHAAAACDMvNi8yMDI2CAAAAAoxMi8zMS8yMDI1CQAAAAEwf4pN6c173gg/rg84znveCDJDSVEuTllTRTpJQk0uSVFfTFRfREVCVF9SRVBBSUQuLjA2LzAzLzIwMjYuLi5VU0QuSAEAAADetgEAAgAAAAUtNTQ4OQEIAAAABQAAAAExAQAAAAstMTkwNDg2MDY1NwMAAAADMTYwAgAAAAQyMDM2BAAAAAEwBwAAAAgzLzYvMjAyNggAAAAKMTIvMzEvMjAyNQkAAAABMAKyTenNe94IddUPOM573gg7Q0lRLk5ZU0U6SUJNLklRX0RJU1RSSUJVVEFCTEVfQ0FTSF9TSEFSRVNfQkFTSUMuLjA2LzAzLzIwMjYBAAAA3rYBAAMAAAAAAAKyTenNe94ICYAOOM573gg9Q0lRLk5ZU0U6SUJNLklRX0RJU1RSSUJVVEFCTEVfQ0FTSF9TSEFSRVNfRElMVVRFRC4uMDYvMDMvMjAyNgEAAADetgEAAwAAAAAA39hN6c173ghpCQ84znveCCxDSVEuTllTRTpJQk0uSVFfRFJfUkFUSU9fUFJJTUFSWS4uMDYvMDMvMjAyNgEAAADetgEAAgAAAAExAN/YTenNe94INVgPOM573gg8Q0lRLk5ZU0U6SUJNLklRX0RJU1RSSUJVVEFCTEVfQ0FTSF9TSEFSRS4uMDYvMDMvMjAyNi4uLlVTRC5IAQAAAN62AQADAAAAAADf2E3pzXveCJhyDzjOe94IL0NJUS5OWVNFOklCTS5JUV9FQklUX0VRX0lOQy4uMDYvMDMvMjAyNi4uLlVTRC5IAQAAAN62AQACAAAABTEyNTY4AQgAAAAF</t>
  </si>
  <si>
    <t>AAAAATEBAAAACy0xOTA0ODYwNjU3AwAAAAMxNjACAAAABTIxNjc1BAAAAAEwBwAAAAgzLzYvMjAyNggAAAAKMTIvMzEvMjAyNQkAAAABMAKyTenNe94ImHIPOM573ggpQ0lRLk5ZU0U6SUJNLklRX0VCSVRBLi4wNi8wMy8yMDI2Li4uVVNELkgBAAAA3rYBAAIAAAAFMTQ3MzQBCAAAAAUAAAABMQEAAAALLTE5MDQ4NjA2NTcDAAAAAzE2MAIAAAAGMTAwNjg5BAAAAAEwBwAAAAgzLzYvMjAyNggAAAAKMTIvMzEvMjAyNQkAAAABMIwLLenNe94IS84OOM573gg1Q0lRLk5ZU0U6SUJNLklRX0ZFRVNfT1RIRVJfSU5DT01FLi4wNi8wMy8yMDI2Li4uVVNELkgBAAAA3rYBAAMAAAAAAN/YTenNe94IS84OOM573ghGQ0lRLk5ZU0U6SUJNLklRX1BST1ZfQkFEX0RFQlRTX1BBVElFTlRfU0VSVklDRV9SRVYuLjA2LzAzLzIwMjYuLi5VU0QuSAEAAADetgEAAwAAAAAA39hN6c173ghpCQ84znveCCtDSVEuTllTRTpJQk0uSVFfTklfU0ZBUy4uMDYvMDMvMjAyNi4uLlVTRC5IAQAAAN62AQADAAAAAAACsk3pzXveCH0xDzjOe94ILkNJUS5OWVNFOklCTS5JUV9DVVJSX1RBWEVTLi4wNi8wMy8yMDI2Li4uVVNELkgBAAAA3rYBAAIAAAADNzE2AQgAAAAFAAAAATEBAAAACy0xOTA0ODYwNjU3AwAAAAMxNjACAAAABTM1MzgzBAAAAAEwBwAAAAgzLzYvMjAyNggAAAAKMTIvMzEvMjAyNQkAAAABMN/YTenNe94IaQkPOM573gg9</t>
  </si>
  <si>
    <t>Q0lRLk5ZU0U6SUJNLklRX05PTlJFQ1VSUklOR19JTkNPTUVfVEFYRVMuLjA2LzAzLzIwMjYuLi5VU0QuSAEAAADetgEAAgAAAAUtMTE2MQEIAAAABQAAAAExAQAAAAstMTkwNDg2MDY1NwMAAAADMTYwAgAAAAU0ODgzOQQAAAABMAcAAAAIMy82LzIwMjYIAAAACjEyLzMxLzIwMjUJAAAAATCMCy3pzXveCAmADjjOe94IRUNJUS5OWVNFOklCTS5JUV9JTlRFUkVTVF9FWFBfTEVBU0VfTElBQklMSVRZX0RFQlQuLjA2LzAzLzIwMjYuLi5VU0QuSAEAAADetgEAAwAAAAAA39hN6c173ghpCQ84znveCC1DSVEuTllTRTpJQk0uSVFfREFfRUJJVERBLi4wNi8wMy8yMDI2Li4uVVNELkgBAAAA3rYBAAIAAAAEMzU1MAEIAAAABQAAAAExAQAAAAstMTkwNDg2MDY1NwMAAAADMTYwAgAAAAQyMjA2BAAAAAEwBwAAAAgzLzYvMjAyNggAAAAKMTIvMzEvMjAyNQkAAAABMN/YTenNe94IP5oPOM573gg6Q0lRLk5ZU0U6SUJNLklRX0FOTlVfRElTVFJJQlVUSU9OX1VOSVQuLjA2LzAzLzIwMjYuLi5VU0QuSAEAAADetgEAAwAAAAAAArJN6c173giYcg84znveCCdDSVEuTllTRTpJQk0uSVFfRElDLi4wNi8wMy8yMDI2Li4uVVNELkgBAAAA3rYBAAMAAAAAAN/YTenNe94IP5oPOM573ggqQ0lRLk5ZU0U6SUJNLklRX1JFU1RBVEVNRU5UX0lTLi4wNi8wMy8yMDI2AQAAAN62AQADAAAAAU8A39hN6c173ghpCQ84znveCCpDSVEu</t>
  </si>
  <si>
    <t>TllTRTpJQk0uSVFfR0FfRVhQLi4wNi8wMy8yMDI2Li4uVVNELkgBAAAA3rYBAAMAAAAAAN/YTenNe94INVgPOM573gg1Q0lRLk5ZU0U6SUJNLklRX0NPTlRJTkdFTlRfUkVOVEFMLi4wNi8wMy8yMDI2Li4uVVNELkgBAAAA3rYBAAIAAAADMzAwAN/YTenNe94IaQkPOM573gg5Q0lRLk5ZU0U6SUJNLklRX0lNUFVUX09QRVJfTEVBU0VfREVQUi4uMDYvMDMvMjAyNi4uLlVTRC5IAQAAAN62AQACAAAACjk3OC4xMDE0NzIBCAAAAAUAAAABMQEAAAALLTE5MDQ4NjA2NTcDAAAAAzE2MAIAAAAFMjE2NzMEAAAAATAHAAAACDMvNi8yMDI2CAAAAAoxMi8zMS8yMDI1CQAAAAEwArJN6c173gh9MQ84znveCC9DSVEuTllTRTpJQk0uSVFfSVBSRF9TVVBQTEUuLjA2LzAzLzIwMjYuLi5VU0QuSAEAAADetgEAAwAAAAAAjAst6c173ghLzg44znveCDtDSVEuTllTRTpJQk0uSVFfUkVTVFJfU1RPQ0tfQ09NUF9QUkVUQVguLjA2LzAzLzIwMjYuLi5VU0QuSAEAAADetgEAAwAAAAAA39hN6c173gg/rg84znveCDJDSVEuTllTRTpJQk0uSVFfR0FJTl9JTlZFU1RfQ0YuLjA2LzAzLzIwMjYuLi5VU0QuSAEAAADetgEAAwAAAAAA39hN6c173gg1WA84znveCC5DSVEuTllTRTpJQk0uSVFfSU1QQUlSX09JTC4uMDYvMDMvMjAyNi4uLlVTRC5IAQAAAN62AQADAAAAAAACsk3pzXveCH0xDzjOe94INENJUS5OWVNFOklCTS5JUV9U</t>
  </si>
  <si>
    <t>T1RBTF9PVEhFUl9PUEVSLi4wNi8wMy8yMDI2Li4uVVNELkgBAAAA3rYBAAIAAAAFMjY3MjgBCAAAAAUAAAABMQEAAAALLTE5MDQ4NjA2NTcDAAAAAzE2MAIAAAADMzgwBAAAAAEwBwAAAAgzLzYvMjAyNggAAAAKMTIvMzEvMjAyNQkAAAABMH+KTenNe94IP5oPOM573ggvQ0lRLk5ZU0U6SUJNLklRX0dBSU5fQVNTRVRTLi4wNi8wMy8yMDI2Li4uVVNELkgBAAAA3rYBAAMAAAAAAH+KTenNe94ICYAOOM573ggoQ0lRLk5ZU0U6SUJNLklRX0lQUkQuLjA2LzAzLzIwMjYuLi5VU0QuSAEAAADetgEAAwAAAAAAjAst6c173ghLzg44znveCDBDSVEuTllTRTpJQk0uSVFfTEVHQUxfU0VUVExFLi4wNi8wMy8yMDI2Li4uVVNELkgBAAAA3rYBAAMAAAAAAN/YTenNe94IaQkPOM573ggzQ0lRLk5ZU0U6SUJNLklRX0VYVFJBX0FDQ19JVEVNUy4uMDYvMDMvMjAyNi4uLlVTRC5IAQAAAN62AQADAAAAAAACsk3pzXveCH0xDzjOe94IOENJUS5OWVNFOklCTS5JUV9NSU5PUklUWV9JTlRFUkVTVF9JUy4uMDYvMDMvMjAyNi4uLlVTRC5IAQAAAN62AQADAAAAAAB/ik3pzXveCHXVDzjOe94IMkNJUS5OWVNFOklCTS5JUV9ESUxVVF9FUFNfSU5DTC4uMDYvMDMvMjAyNi4uLlVTRC5IAQAAAN62AQACAAAACDExLjE2MzE5AQgAAAAFAAAAATEBAAAACy0xOTA0ODYwNjU3AwAAAAMxNjACAAAAATgEAAAAATAHAAAACDMvNi8yMDI2</t>
  </si>
  <si>
    <t>CAAAAAoxMi8zMS8yMDI1CQAAAAEwArJN6c173gg1WA84znveCDNDSVEuTllTRTpJQk0uSVFfVE9UQUxfUkVWX1NIQVJFLi4wNi8wMy8yMDI2Li4uVVNELkgBAAAA3rYBAAIAAAAHNzIuNDM5NgEIAAAABQAAAAExAQAAAAstMTkwNDg2MDY1NwMAAAADMTYwAgAAAAQ0MzgyBAAAAAEwBwAAAAgzLzYvMjAyNggAAAAKMTIvMzEvMjAyNQkAAAABMIwLLenNe94ICYAOOM573gg1Q0lRLk5ZU0U6SUJNLklRX1NQRUNJQUxfRElWX1NIQVJFLi4wNi8wMy8yMDI2Li4uVVNELkgBAAAA3rYBAAMAAAAAAIwLLenNe94ICYAOOM573gg5Q0lRLk5ZU0U6SUJNLklRX1RPVEFMX1JFVl9BU19SRVBPUlRFRC4uMDYvMDMvMjAyNi4uLlVTRC5IAQAAAN62AQACAAAABTY3NTM1AQgAAAAFAAAAATEBAAAACy0xOTA0ODYwNjU3AwAAAAMxNjACAAAAAzMzOQQAAAABMAcAAAAIMy82LzIwMjYIAAAACjEyLzMxLzIwMjUJAAAAATDf2E3pzXveCEvODjjOe94IOkNJUS5OWVNFOklCTS5JUV9ERUZFUlJFRF9GT1JFSUdOX1RBWEVTLi4wNi8wMy8yMDI2Li4uVVNELkgBAAAA3rYBAAIAAAAELTcwOAEIAAAABQAAAAExAQAAAAstMTkwNDg2MDY1NwMAAAADMTYwAgAAAAQzMDU1BAAAAAEwBwAAAAgzLzYvMjAyNggAAAAKMTIvMzEvMjAyNQkAAAABMN/YTenNe94IS84OOM573gg3Q0lRLk5ZU0U6SUJNLklRX05PTkNBU0hfUEVOU0lPTl9FWFAu</t>
  </si>
  <si>
    <t>LjA2LzAzLzIwMjYuLi5VU0QuSAEAAADetgEAAgAAAAMtNDkBCAAAAAUAAAABMQEAAAALLTE5MDQ4NjA2NTcDAAAAAzE2MAIAAAAFMjE2NzgEAAAAATAHAAAACDMvNi8yMDI2CAAAAAoxMi8zMS8yMDI1CQAAAAEwjAst6c173ggJgA44znveCDVDSVEuTllTRTpJQk0uSVFfRElTVFJJQlVUQUJMRV9DQVNIX1BBWU9VVC4uMDYvMDMvMjAyNgEAAADetgEAAwAAAAAAjAst6c173ggJgA44znveCDNDSVEuTllTRTpJQk0uSVFfU0FMRVNfTUFSS0VUSU5HLi4wNi8wMy8yMDI2Li4uVVNELkgBAAAA3rYBAAIAAAAEMTEyOQEIAAAABQAAAAExAQAAAAstMTkwNDg2MDY1NwMAAAADMTYwAgAAAAUyMTU2MQQAAAABMAcAAAAIMy82LzIwMjYIAAAACjEyLzMxLzIwMjUJAAAAATCMCy3pzXveCAmADjjOe94INUNJUS5OWVNFOklCTS5JUV9ORVRfUkVOVEFMX0VYUF9GTi4uMDYvMDMvMjAyNi4uLlVTRC5IAQAAAN62AQACAAAABDEzMDgBCAAAAAUAAAABMQEAAAALLTE5MDQ4NjA2NTcDAAAAAzE2MAIAAAAEMzE3MAQAAAABMAcAAAAIMy82LzIwMjYIAAAACjEyLzMxLzIwMjUJAAAAATDf2E3pzXveCEvODjjOe94IM0NJUS5OWVNFOklCTS5JUV9HQUlOX0lOVkVTVF9SRVYuLjA2LzAzLzIwMjYuLi5VU0QuSAEAAADetgEAAwAAAAAAf4pN6c173giSWQ44znveCChDSVEuTllTRTpJQk0uSVFfQ09HUy4uMDYvMDMvMjAyNi4uLlVT</t>
  </si>
  <si>
    <t>RC5IAQAAAN62AQACAAAABTI3ODM2AQgAAAAFAAAAATEBAAAACy0xOTA0ODYwNjU3AwAAAAMxNjACAAAAAjM0BAAAAAEwBwAAAAgzLzYvMjAyNggAAAAKMTIvMzEvMjAyNQkAAAABMAKyTenNe94ImHIPOM573ggtQ0lRLk5ZU0U6SUJNLklRX1NHQV9TVVBQTC4uMDYvMDMvMjAyNi4uLlVTRC5IAQAAAN62AQACAAAABTE5MzgwAQgAAAAFAAAAATEBAAAACy0xOTA0ODYwNjU3AwAAAAMxNjACAAAAAzEwMgQAAAABMAcAAAAIMy82LzIwMjYIAAAACjEyLzMxLzIwMjUJAAAAATB/ik3pzXveCAmADjjOe94ILkNJUS5OWVNFOklCTS5JUV9JTkNfRVFVSVRZLi4wNi8wMy8yMDI2Li4uVVNELkgBAAAA3rYBAAMAAAAAAAKyTenNe94IklkOOM573ggyQ0lRLk5ZU0U6SUJNLklRX0JBU0lDX0VQU19FWENMLi4wNi8wMy8yMDI2Li4uVVNELkgBAAAA3rYBAAIAAAAJMTEuMzM4Njk4AQgAAAAFAAAAATEBAAAACy0xOTA0ODYwNjU3AwAAAAMxNjACAAAABDMwNjQEAAAAATAHAAAACDMvNi8yMDI2CAAAAAoxMi8zMS8yMDI1CQAAAAEw39hN6c173ghpCQ84znveCDNDSVEuTllTRTpJQk0uSVFfT1RIRVJfUkVWX1NVUFBMLi4wNi8wMy8yMDI2Li4uVVNELkgBAAAA3rYBAAIAAAACLTEBCAAAAAUAAAABMQEAAAALLTE5MDQ4NjA2NTcDAAAAAzE2MAIAAAACOTAEAAAAATAHAAAACDMvNi8yMDI2CAAAAAoxMi8zMS8yMDI1CQAAAAEw</t>
  </si>
  <si>
    <t>ArJN6c173ghLzg44znveCCxDSVEuTllTRTpJQk0uSVFfREFfU1VQUEwuLjA2LzAzLzIwMjYuLi5VU0QuSAEAAADetgEAAwAAAAAA39hN6c173ggLpw44znveCC9DSVEuTllTRTpJQk0uSVFfRklOX0RJVl9SRVYuLjA2LzAzLzIwMjYuLi5VU0QuSAEAAADetgEAAgAAAAM3MzcBCAAAAAUAAAABMQEAAAALLTE5MDQ4NjA2NTcDAAAAAzE2MAIAAAACNTIEAAAAATAHAAAACDMvNi8yMDI2CAAAAAoxMi8zMS8yMDI1CQAAAAEwArJN6c173giYcg84znveCC9DSVEuTllTRTpJQk0uSVFfSU5TX0RJVl9FWFAuLjA2LzAzLzIwMjYuLi5VU0QuSAEAAADetgEAAwAAAAAAArJN6c173ggLpw44znveCDBDSVEuTllTRTpJQk0uSVFfSU5URVJFU1RfRVhQLi4wNi8wMy8yMDI2Li4uVVNELkgBAAAA3rYBAAIAAAAFLTE5MzUBCAAAAAUAAAABMQEAAAALLTE5MDQ4NjA2NTcDAAAAAzE2MAIAAAACODIEAAAAATAHAAAACDMvNi8yMDI2CAAAAAoxMi8zMS8yMDI1CQAAAAEw39hN6c173ggJgA44znveCC9DSVEuTllTRTpJQk0uSVFfR0FJTl9JTlZFU1QuLjA2LzAzLzIwMjYuLi5VU0QuSAEAAADetgEAAgAAAAItNwEIAAAABQAAAAExAQAAAAstMTkwNDg2MDY1NwMAAAADMTYwAgAAAAI2MgQAAAABMAcAAAAIMy82LzIwMjYIAAAACjEyLzMxLzIwMjUJAAAAATDf2E3pzXveCH0xDzjOe94ILkNJUS5OWVNFOklCTS5JUV9FQVJOSU5H</t>
  </si>
  <si>
    <t>X0NPLi4wNi8wMy8yMDI2Li4uVVNELkgBAAAA3rYBAAIAAAAFMTA1NzEBCAAAAAUAAAABMQEAAAALLTE5MDQ4NjA2NTcDAAAAAzE2MAIAAAABNwQAAAABMAcAAAAIMy82LzIwMjYIAAAACjEyLzMxLzIwMjUJAAAAATDf2E3pzXveCAunDjjOe94IMkNJUS5OWVNFOklCTS5JUV9QUkVGX0RJVl9PVEhFUi4uMDYvMDMvMjAyNi4uLlVTRC5IAQAAAN62AQADAAAAAADf2E3pzXveCJJZDjjOe94IMUNJUS5OWVNFOklCTS5JUV9OSV9BVkFJTF9FWENMLi4wNi8wMy8yMDI2Li4uVVNELkgBAAAA3rYBAAIAAAAFMTA1NzEBCAAAAAUAAAABMQEAAAALLTE5MDQ4NjA2NTcDAAAAAzE2MAIAAAADMzc5BAAAAAEwBwAAAAgzLzYvMjAyNggAAAAKMTIvMzEvMjAyNQkAAAABMN/YTenNe94IC6cOOM573gg4Q0lRLk5ZU0U6SUJNLklRX0VCSVRfRVFfSU5DX0VYQ0xfU0JDLi4wNi8wMy8yMDI2Li4uVVNELkgBAAAA3rYBAAIAAAAFMTQyODMBCAAAAAUAAAABMQEAAAALLTE5MDQ4NjA2NTcDAAAAAzE2MAIAAAAFMjQxMzAEAAAAATAHAAAACDMvNi8yMDI2CAAAAAoxMi8zMS8yMDI1CQAAAAEwjAst6c173ghLzg44znveCDFDSVEuTllTRTpJQk0uSVFfRUJJVERBX0VRX0lOQy4uMDYvMDMvMjAyNi4uLlVTRC5IAQAAAN62AQACAAAABTE3NDI2AQgAAAAFAAAAATEBAAAACy0xOTA0ODYwNjU3AwAAAAMxNjACAAAABTIxNjc3BAAAAAEw</t>
  </si>
  <si>
    <t>BwAAAAgzLzYvMjAyNggAAAAKMTIvMzEvMjAyNQkAAAABMN/YTenNe94ImHIPOM573ggzQ0lRLk5ZU0U6SUJNLklRX0VCSVREQV9FWENMX1NCQy4uMDYvMDMvMjAyNi4uLlVTRC5IAQAAAN62AQACAAAABTE3ODMzAQgAAAAFAAAAATEBAAAACy0xOTA0ODYwNjU3AwAAAAMxNjACAAAABTI0MTM1BAAAAAEwBwAAAAgzLzYvMjAyNggAAAAKMTIvMzEvMjAyNQkAAAABMN/YTenNe94IS84OOM573ggoQ0lRLk5ZU0U6SUJNLklRX0VCSVQuLjA2LzAzLzIwMjYuLi5VU0QuSAEAAADetgEAAgAAAAUxMjU2OAEIAAAABQAAAAExAQAAAAstMTkwNDg2MDY1NwMAAAADMTYwAgAAAAM0MDAEAAAAATAHAAAACDMvNi8yMDI2CAAAAAoxMi8zMS8yMDI1CQAAAAEw39hN6c173ghLzg44znveCDhDSVEuTllTRTpJQk0uSVFfQ0FQSVRBTElaRURfSU5URVJFU1QuLjA2LzAzLzIwMjYuLi5VU0QuSAEAAADetgEAAgAAAAE0AQgAAAAFAAAAATEBAAAACy0xOTA0ODYwNjU3AwAAAAMxNjACAAAABDMwMzIEAAAAATAHAAAACDMvNi8yMDI2CAAAAAoxMi8zMS8yMDI1CQAAAAEwArJN6c173gh9MQ84znveCDRDSVEuTllTRTpJQk0uSVFfTkVUX0lOVEVSRVNUX0VYUC4uMDYvMDMvMjAyNi4uLlVTRC5IAQAAAN62AQACAAAABS0xMjkwAQgAAAAFAAAAATEBAAAACy0xOTA0ODYwNjU3AwAAAAMxNjACAAAAAzM2OAQAAAABMAcAAAAIMy82LzIw</t>
  </si>
  <si>
    <t>MjYIAAAACjEyLzMxLzIwMjUJAAAAATDf2E3pzXveCGkJDzjOe94ILENJUS5OWVNFOklCTS5JUV9FQlRfRVhDTC4uMDYvMDMvMjAyNi4uLlVTRC5IAQAAAN62AQACAAAABTExMTU5AQgAAAAFAAAAATEBAAAACy0xOTA0ODYwNjU3AwAAAAMxNjACAAAAATQEAAAAATAHAAAACDMvNi8yMDI2CAAAAAoxMi8zMS8yMDI1CQAAAAEw39hN6c173giYcg84znveCDNDSVEuTllTRTpJQk0uSVFfQVNTRVRfV1JJVEVET1dOLi4wNi8wMy8yMDI2Li4uVVNELkgBAAAA3rYBAAMAAAAAAN/YTenNe94ImHIPOM573gguQ0lRLk5ZU0U6SUJNLklRX0NPTU1PTl9ESVYuLjA2LzAzLzIwMjYuLi5VU0QuSAEAAADetgEAAgAAAAQ2MjU1AN/YTenNe94INVgPOM573gg0Q0lRLk5ZU0U6SUJNLklRX0lOVF9FWFBfSU5DTF9DQVAuLjA2LzAzLzIwMjYuLi5VU0QuSAEAAADetgEAAgAAAAQxOTM5AQgAAAAFAAAAATEBAAAACy0xOTA0ODYwNjU3AwAAAAMxNjACAAAABTIxODYxBAAAAAEwBwAAAAgzLzYvMjAyNggAAAAKMTIvMzEvMjAyNQkAAAABMAKyTenNe94IP64POM573gg4Q0lRLk5ZU0U6SUJNLklRX0lNUEFJUk1FTlRfR1dfU1VQUExFLi4wNi8wMy8yMDI2Li4uVVNELkgBAAAA3rYBAAMAAAAAAN/YTenNe94ImHIPOM573ggxQ0lRLk5ZU0U6SUJNLklRX0FJUkNSQUZUX1JFTlQuLjA2LzAzLzIwMjYuLi5VU0QuSAEAAADetgEAAwAA</t>
  </si>
  <si>
    <t>AAAA39hN6c173gg/rg84znveCDJDSVEuTllTRTpJQk0uSVFfR1dfSU5UQU5fQU1PUlQuLjA2LzAzLzIwMjYuLi5VU0QuSAEAAADetgEAAwAAAAAAArJN6c173gg/rg84znveCDJDSVEuTllTRTpJQk0uSVFfRUJJVEFfRVhDTF9TQkMuLjA2LzAzLzIwMjYuLi5VU0QuSAEAAADetgEAAgAAAAUxNjQ0OQEIAAAABQAAAAExAQAAAAstMTkwNDg2MDY1NwMAAAADMTYwAgAAAAUyNDEzNgQAAAABMAcAAAAIMy82LzIwMjYIAAAACjEyLzMxLzIwMjUJAAAAATDf2E3pzXveCD+uDzjOe94IJENJUUFWRy5OWVNFOklCTS5JUV9URVZfRUJJVERBLjIwMDAuLgEAAADetgEAAwAAAAAAtPOQ6c173gg1WA84znveCB1DSVFBVkcuTllTRTpJQk0uSVFfUEJWLjIwMDAuLgEAAADetgEAAwAAAAAAtPOQ6c173gizcRA4znveCCFDSVFBVkcuTllTRTpJQk0uSVFfUEVfRVhDTC4yMDAwLi4BAAAA3rYBAAMAAAAAALTzkOnNe94IzJgQOM573ggeQ0lRQVZHLk5ZU0U6SUJNLklRX1BUQlYuMjAwMC4uAQAAAN62AQADAAAAAAC085DpzXveCMyYEDjOe94IJ0NJUUFWRy5OWVNFOklCTS5JUV9URVZfVE9UQUxfUkVWLjIwMDAuLgEAAADetgEAAwAAAAAAtPOQ6c173gjMmBA4znveCDFDSVEuTllTRTpJQk0uSVFfRVhQTE9SRV9EUklMTC4uMDYvMDMvMjAyNi4uLlVTRC5IAQAAAN62AQADAAAAAAACsk3pzXveCJhyDzjOe94IJkNJUS5OWVNF</t>
  </si>
  <si>
    <t>OklCTS5JUV9HUC4uMDYvMDMvMjAyNi4uLlVTRC5IAQAAAN62AQACAAAABTM5Mjk2AQgAAAAFAAAAATEBAAAACy0xOTA0ODYwNjU3AwAAAAMxNjACAAAAAjEwBAAAAAEwBwAAAAgzLzYvMjAyNggAAAAKMTIvMzEvMjAyNQkAAAABMAKyTenNe94IfTEPOM573ggvQ0lRLk5ZU0U6SUJNLklRX0lOVF9JTlZfSU5DLi4wNi8wMy8yMDI2Li4uVVNELkgBAAAA3rYBAAMAAAAAAAKyTenNe94INVgPOM573ggxQ0lRLk5ZU0U6SUJNLklRX0VCSVRfRVhDTF9TQkMuLjA2LzAzLzIwMjYuLi5VU0QuSAEAAADetgEAAgAAAAUxNDI4MwEIAAAABQAAAAExAQAAAAstMTkwNDg2MDY1NwMAAAADMTYwAgAAAAUyNDEzNAQAAAABMAcAAAAIMy82LzIwMjYIAAAACjEyLzMxLzIwMjUJAAAAATDf2E3pzXveCD+uDzjOe94IJkNJUS5OWVNFOklCTS5JUV9ETy4uMDYvMDMvMjAyNi4uLlVTRC5IAQAAAN62AQACAAAAAjIyAQgAAAAFAAAAATEBAAAACy0xOTA0ODYwNjU3AwAAAAMxNjACAAAAAjQwBAAAAAEwBwAAAAgzLzYvMjAyNggAAAAKMTIvMzEvMjAyNQkAAAABMAKyTenNe94IP64POM573ggiQ0lRQVZHLk5ZU0U6SUJNLklRX1RFVl9FQklULjIwMDAuLgEAAADetgEAAwAAAAAAtPOQ6c173gizcRA4znveCCtDSVFBVkcuTllTRTpJQk0uSVFfUEVfRVhDTC4yMDAwLi4zMS8wMy8yMDI1BQAAAAEAAAAIAAAAEihJbnZhbGlkIEVuZCBE</t>
  </si>
  <si>
    <t>YXRlKd/hzzrOe94I3+HPOs573ggoQ0lRQVZHLk5ZU0U6SUJNLklRX1BUQlYuMjAwMC4uMzEvMDMvMjAyNQUAAAABAAAACAAAABIoSW52YWxpZCBFbmQgRGF0ZSnf4c86znveCN/hzzrOe94IMUNJUUFWRy5OWVNFOklCTS5JUV9URVZfVE9UQUxfUkVWLjIwMDAuLjMxLzAzLzIwMjUFAAAAAQAAAAgAAAASKEludmFsaWQgRW5kIERhdGUp3+HPOs573gjf4c86znveCCxDSVFBVkcuTllTRTpJQk0uSVFfVEVWX0VCSVQuMjAwMC4uMzEvMDMvMjAyNQUAAAABAAAACAAAABIoSW52YWxpZCBFbmQgRGF0ZSnf4c86znveCN/hzzrOe94IJ0NJUUFWRy5OWVNFOklCTS5JUV9QQlYuMjAwMC4uMzEvMDMvMjAyNQUAAAABAAAACAAAABIoSW52YWxpZCBFbmQgRGF0ZSnf4c86znveCN/hzzrOe94ILkNJUUFWRy5OWVNFOklCTS5JUV9URVZfRUJJVERBLjIwMDAuLjMxLzAzLzIwMjUFAAAAAQAAAAgAAAASKEludmFsaWQgRW5kIERhdGUp3+HPOs573gjf4c86znveCChDSVEuTllTRTpPUkNMLklRX1BFX0VYQ0wuMjAwMC4zMS8wNS8yMDI1AQAAAOdWAAACAAAAEDM4Ljg2ODU1MDE5MzQ1MDUBBwAAAAUAAAABMQEAAAALLTE5NTYzMDQ5MjADAAAAATACAAAABjEwMDA2NgQAAAABMAcAAAAJNS8zMC8yMDI1CAAAAAk1LzMwLzIwMjXf4c86znveCC3BWD3Oe94IJ0NJUS5OWVNFOkFDTi5JUV9QRV9FWENMLjIwMDAuMzEvMDgvMjAy</t>
  </si>
  <si>
    <t>NQEAAACe1Q4AAgAAABAyMC42OTMyNDk3MzU2OTI4AQcAAAAFAAAAATEBAAAACy0xOTM3NzA0NTY0AwAAAAEwAgAAAAYxMDAwNjYEAAAAATAHAAAACTgvMjkvMjAyNQgAAAAJOC8yOS8yMDI13+HPOs573ggtwVg9znveCCdDSVEuTllTRTpIUEUuSVFfUEVfRVhDTC4yMDAwLjMxLzEwLzIwMjUBAAAADqlUEAIAAAAQMjguMzYwNzU1MzExMjU0MQEHAAAABQAAAAExAQAAAAstMTkyNTU1MzAwMgMAAAABMAIAAAAGMTAwMDY2BAAAAAEwBwAAAAoxMC8zMS8yMDI1CAAAAAoxMC8zMS8yMDI13+HPOs573ggg2Vg9znveCCtDSVEuTllTRTpPUkNMLklRX1RFVl9FQklUREEuMjAwMC4zMS8wNS8yMDI1AQAAAOdWAAACAAAAEDIzLjA1ODA4ODE1ODA2OTMBBwAAAAUAAAABMQEAAAALLTE5NTYzMDQ5MjADAAAAATACAAAABjEwMDA2MwQAAAABMAcAAAAJNS8zMC8yMDI1CAAAAAk1LzMwLzIwMjXf4c86znveCCDZWD3Oe94IKkNJUS5OWVNFOkFDTi5JUV9URVZfRUJJVERBLjIwMDAuMzEvMDgvMjAyNQEAAACe1Q4AAgAAABAxMi43MjI3NjEwODU3NTM5AQcAAAAFAAAAATEBAAAACy0xOTM3NzA0NTY0AwAAAAEwAgAAAAYxMDAwNjMEAAAAATAHAAAACTgvMjkvMjAyNQgAAAAJOC8yOS8yMDI13+HPOs573ggg2Vg9znveCCdDSVEuTllTRTpTTlguSVFfUEVfRVhDTC4yMDAwLjMwLzExLzIwMjUBAAAAxWcGAAIAAAAPMTYuNTYx</t>
  </si>
  <si>
    <t>OTc0MDIwNDY3AQcAAAAFAAAAATEBAAAACy0xOTIyNTc2OTA5AwAAAAEwAgAAAAYxMDAwNjYEAAAAATAHAAAACjExLzI4LzIwMjUIAAAACjExLzI4LzIwMjXf4c86znveCP6ZWD3Oe94ILkNJUS5OWVNFOk9SQ0wuSVFfVEVWX1RPVEFMX1JFVi4yMDAwLjMxLzA1LzIwMjUBAAAA51YAAAIAAAAQOS45Njg0Mjg2MjU1NjY5MwEHAAAABQAAAAExAQAAAAstMTk1NjMwNDkyMAMAAAABMAIAAAAGMTAwMDYxBAAAAAEwBwAAAAk1LzMwLzIwMjUIAAAACTUvMzAvMjAyNd/hzzrOe94ILcFYPc573ggqQ0lRLk5ZU0U6SFBFLklRX1RFVl9FQklUREEuMjAwMC4zMS8xMC8yMDI1AQAAAA6pVBACAAAAEDEwLjMyMDA1NzUzODkyNjUBBwAAAAUAAAABMQEAAAALLTE5MjU1NTMwMDIDAAAAATACAAAABjEwMDA2MwQAAAABMAcAAAAKMTAvMzEvMjAyNQgAAAAKMTAvMzEvMjAyNd/hzzrOe94ILcFYPc573ggsQ0lRLk5BU0RBUUdTOkNUU0guSVFfUEVfRVhDTC4yMDAwLjMxLzEyLzIwMjUBAAAA6OMFAAIAAAAQMTkuMjExODgyMjk0NTgzOQEHAAAABQAAAAExAQAAAAstMTkxOTc4MzQyNAMAAAABMAIAAAAGMTAwMDY2BAAAAAEwBwAAAAoxMi8zMS8yMDI1CAAAAAoxMi8zMS8yMDI13+HPOs573ggtwVg9znveCCxDSVEuTkFTREFRR1M6TVNGVC5JUV9QRV9FWENMLjIwMDAuMzAvMDYvMjAyNQEAAABLVQAAAgAAAA8zOC40NDA3NDM3</t>
  </si>
  <si>
    <t>MTA2NTIBBwAAAAUAAAABMQEAAAALLTE5NDczMTE2ODADAAAAATACAAAABjEwMDA2NgQAAAABMAcAAAAJNi8zMC8yMDI1CAAAAAk2LzMwLzIwMjXf4c86znveCC3BWD3Oe94IL0NJUS5OQVNEQVFHUzpDVFNILklRX1RFVl9FQklUREEuMjAwMC4zMS8xMi8yMDI1AQAAAOjjBQACAAAAEDkuODU0NDEyNDg2NDM4NTMBBwAAAAUAAAABMQEAAAALLTE5MTk3ODM0MjQDAAAAATACAAAABjEwMDA2MwQAAAABMAcAAAAKMTIvMzEvMjAyNQgAAAAKMTIvMzEvMjAyNd/hzzrOe94I/plYPc573ggtQ0lRLk5ZU0U6QUNOLklRX1RFVl9UT1RBTF9SRVYuMjAwMC4zMS8wOC8yMDI1AQAAAJ7VDgACAAAAEDIuMzU3NDcyMDk1MzU0MjEBBwAAAAUAAAABMQEAAAALLTE5Mzc3MDQ1NjQDAAAAATACAAAABjEwMDA2MQQAAAABMAcAAAAJOC8yOS8yMDI1CAAAAAk4LzI5LzIwMjXf4c86znveCP6ZWD3Oe94IKENJUS5OWVNFOkVQQU0uSVFfUEVfRVhDTC4yMDAwLjMxLzEyLzIwMjUBAAAAxtVIAAIAAAAQMzEuMjc2OTM5NjgzOTYwNgEHAAAABQAAAAExAQAAAAstMTkxNzkzMzQ2NAMAAAABMAIAAAAGMTAwMDY2BAAAAAEwBwAAAAoxMi8zMS8yMDI1CAAAAAoxMi8zMS8yMDI13+HPOs573gj+mVg9znveCCpDSVEuTllTRTpTTlguSVFfVEVWX0VCSVREQS4yMDAwLjMwLzExLzIwMjUBAAAAxWcGAAIAAAAQOC41NTkwMTgyNTY0MjQ5OAEH</t>
  </si>
  <si>
    <t>AAAABQAAAAExAQAAAAstMTkyMjU3NjkwOQMAAAABMAIAAAAGMTAwMDYzBAAAAAEwBwAAAAoxMS8yOC8yMDI1CAAAAAoxMS8yOC8yMDI13+HPOs573gj+mVg9znveCC1DSVEuTllTRTpIUEUuSVFfVEVWX1RPVEFMX1JFVi4yMDAwLjMxLzEwLzIwMjUBAAAADqlUEAIAAAAQMS41NzUzODgzNzUzMzAwMQEHAAAABQAAAAExAQAAAAstMTkyNTU1MzAwMgMAAAABMAIAAAAGMTAwMDYxBAAAAAEwBwAAAAoxMC8zMS8yMDI1CAAAAAoxMC8zMS8yMDI13+HPOs573gj+mVg9znveCCxDSVEuTkFTREFRR1M6TlRBUC5JUV9QRV9FWENMLjIwMDAuMjUvMDQvMjAyNQEAAAA0fQAAAgAAABAxNi4zNzg3NjgyMjc3NDUxAQcAAAAFAAAAATEBAAAACy0xOTU3NDg3NDMzAwAAAAEwAgAAAAYxMDAwNjYEAAAAATAHAAAACTQvMjUvMjAyNQgAAAAJNC8yNS8yMDI13+HPOs573ggVhlg9znveCC9DSVEuTkFTREFRR1M6TVNGVC5JUV9URVZfRUJJVERBLjIwMDAuMzAvMDYvMjAyNQEAAABLVQAAAgAAABAyNC42ODUxNTUwNjk2OTQ1AQcAAAAFAAAAATEBAAAACy0xOTQ3MzExNjgwAwAAAAEwAgAAAAYxMDAwNjMEAAAAATAHAAAACTYvMzAvMjAyNQgAAAAJNi8zMC8yMDI13+HPOs573ggVhlg9znveCDJDSVEuTkFTREFRR1M6Q1RTSC5JUV9URVZfVE9UQUxfUkVWLjIwMDAuMzEvMTIvMjAyNQEAAADo4wUAAgAAABAxLjg2MzkxNDE0MTk2</t>
  </si>
  <si>
    <t>NjczAQcAAAAFAAAAATEBAAAACy0xOTE5NzgzNDI0AwAAAAEwAgAAAAYxMDAwNjEEAAAAATAHAAAACjEyLzMxLzIwMjUIAAAACjEyLzMxLzIwMjXf4c86znveCP6ZWD3Oe94IK0NJUS5OWVNFOkVQQU0uSVFfVEVWX0VCSVREQS4yMDAwLjMxLzEyLzIwMjUBAAAAxtVIAAIAAAAQMTMuNDkxMjI5NjE1NTE0NAEHAAAABQAAAAExAQAAAAstMTkxNzkzMzQ2NAMAAAABMAIAAAAGMTAwMDYzBAAAAAEwBwAAAAoxMi8zMS8yMDI1CAAAAAoxMi8zMS8yMDI13+HPOs573gj+mVg9znveCC1DSVEuTllTRTpTTlguSVFfVEVWX1RPVEFMX1JFVi4yMDAwLjMwLzExLzIwMjUBAAAAxWcGAAIAAAAQMC4yNjYwMDk5ODM2MjA5MgEHAAAABQAAAAExAQAAAAstMTkyMjU3NjkwOQMAAAABMAIAAAAGMTAwMDYxBAAAAAEwBwAAAAoxMS8yOC8yMDI1CAAAAAoxMS8yOC8yMDI13+HPOs573gj+mVg9znveCC9DSVEuTkFTREFRR1M6TlRBUC5JUV9URVZfRUJJVERBLjIwMDAuMjUvMDQvMjAyNQEAAAA0fQAAAgAAABAxMC42NzMyNDc3NDkwMjAyAQcAAAAFAAAAATEBAAAACy0xOTU3NDg3NDMzAwAAAAEwAgAAAAYxMDAwNjMEAAAAATAHAAAACTQvMjUvMjAyNQgAAAAJNC8yNS8yMDI13+HPOs573ggVhlg9znveCDJDSVEuTkFTREFRR1M6TVNGVC5JUV9URVZfVE9UQUxfUkVWLjIwMDAuMzAvMDYvMjAyNQEAAABLVQAAAgAAABAxMy43ODYy</t>
  </si>
  <si>
    <t>Mzk5MzE0NDU3AQcAAAAFAAAAATEBAAAACy0xOTQ3MzExNjgwAwAAAAEwAgAAAAYxMDAwNjEEAAAAATAHAAAACTYvMzAvMjAyNQgAAAAJNi8zMC8yMDI13+HPOs573ggVhlg9znveCC5DSVEuTllTRTpFUEFNLklRX1RFVl9UT1RBTF9SRVYuMjAwMC4zMS8xMi8yMDI1AQAAAMbVSAACAAAAEDEuOTMxODY5MTkwMTQ2NDMBBwAAAAUAAAABMQEAAAALLTE5MTc5MzM0NjQDAAAAATACAAAABjEwMDA2MQQAAAABMAcAAAAKMTIvMzEvMjAyNQgAAAAKMTIvMzEvMjAyNd/hzzrOe94IFYZYPc573ggsQ0lRQVZHLk5ZU0U6SUJNLklRX1RFVl9FQklULjIwMDAuMzEvMTIvMjAyNC4BAAAA3rYBAAIAAAAQMjguMTQ4MjkxNjI1MzcxMQDf4c86znveCN/hzzrOe94IMUNJUUFWRy5OWVNFOklCTS5JUV9URVZfVE9UQUxfUkVWLjIwMDAuMzEvMTIvMjAyNC4BAAAA3rYBAAIAAAAQNC42NjYyODk1MjA3NDU3OQDf4c86znveCN/hzzrOe94IKENJUUFWRy5OWVNFOklCTS5JUV9QVEJWLjIwMDAuMzEvMTIvMjAyNC4BAAAA3rYBAAMAAAACTk0A3+HPOs573gjf4c86znveCCtDSVFBVkcuTllTRTpJQk0uSVFfUEVfRVhDTC4yMDAwLjMxLzEyLzIwMjQuAQAAAN62AQACAAAAEDM4Ljc4MzgwNTE0NDQxNzkA3+HPOs573gjf4c86znveCC5DSVFBVkcuTllTRTpJQk0uSVFfVEVWX0VCSVREQS4yMDAwLjMxLzEyLzIwMjQuAQAAAN62AQAC</t>
  </si>
  <si>
    <t>AAAAEDE5LjMzNTQwNzU1NTUyODkA3+HPOs573gjf4c86znveCDJDSVEuTkFTREFRR1M6TlRBUC5JUV9URVZfVE9UQUxfUkVWLjIwMDAuMjUvMDQvMjAyNQEAAAA0fQAAAgAAAA8yLjc2MTc5MzA1NjEzODYBBwAAAAUAAAABMQEAAAALLTE5NTc0ODc0MzMDAAAAATACAAAABjEwMDA2MQQAAAABMAcAAAAJNC8yNS8yMDI1CAAAAAk0LzI1LzIwMjXf4c86znveCPleWD3Oe94IMkNJUUFWRy5OWVNFOklCTS5JUV9QVEJWLjIwMDAuMzAvMDkvMjAyNS4zMS8xMi8yMDI1AQAAAN62AQADAAAAAk5NAN/hzzrOe94Ibq5XPc573gg2Q0lRQVZHLk5ZU0U6SUJNLklRX1RFVl9FQklULjIwMDAuMzAvMDkvMjAyNS4zMS8xMi8yMDI1AQAAAN62AQACAAAAEDI5LjEzNDQ2MzkwODg5NzIA3+HPOs573giU1Vc9znveCDFDSVFBVkcuTllTRTpJQk0uSVFfUEJWLjIwMDAuMzAvMDkvMjAyNS4zMS8xMi8yMDI1AQAAAN62AQACAAAAEDEwLjA0ODQ0NDgwOTc1MTUA3+HPOs573giU1Vc9znveCDhDSVFBVkcuTllTRTpJQk0uSVFfVEVWX0VCSVREQS4yMDAwLjMwLzA5LzIwMjUuMzEvMTIvMjAyNQEAAADetgEAAgAAAA8yMC41MTY1MDE0MTcyNDkA3+HPOs573giU1Vc9znveCDVDSVFBVkcuTllTRTpJQk0uSVFfUEVfRVhDTC4yMDAwLjMwLzA5LzIwMjUuMzEvMTIvMjAyNQEAAADetgEAAgAAABAzOC42NDkyOTkyNDc1ODQ0AN/hzzrO</t>
  </si>
  <si>
    <t>e94IlNVXPc573gg7Q0lRQVZHLk5ZU0U6SUJNLklRX1RFVl9UT1RBTF9SRVYuMjAwMC4zMC8wOS8yMDI1LjMxLzEyLzIwMjUBAAAA3rYBAAIAAAAQNS4wOTIzMTA3MTI1MTIxNQDf4c86znveCG6uVz3Oe94INUNJUUFWRy5OWVNFOklCTS5JUV9QRV9FWENMLjIwMDAuMzAvMDYvMjAyNS4zMC8wOS8yMDI1AQAAAN62AQACAAAAEDQyLjk2MDQ2NTc3Mjc0MjIA3+HPOs573ghurlc9znveCDJDSVFBVkcuTllTRTpJQk0uSVFfUFRCVi4yMDAwLjMwLzA2LzIwMjUuMzAvMDkvMjAyNQEAAADetgEAAwAAAAJOTQDf4c86znveCG6uVz3Oe94INkNJUUFWRy5OWVNFOklCTS5JUV9URVZfRUJJVC4yMDAwLjMwLzA2LzIwMjUuMzAvMDkvMjAyNQEAAADetgEAAgAAABAyNy43NDAxODczMDUyMTgyAN/hzzrOe94Ibq5XPc573gg7Q0lRQVZHLk5ZU0U6SUJNLklRX1RFVl9UT1RBTF9SRVYuMjAwMC4zMC8wNi8yMDI1LjMwLzA5LzIwMjUBAAAA3rYBAAIAAAAQNC42NDIwMTgwNjAzODYwNwDf4c86znveCG6uVz3Oe94IMUNJUUFWRy5OWVNFOklCTS5JUV9QQlYuMjAwMC4zMC8wNi8yMDI1LjMwLzA5LzIwMjUBAAAA3rYBAAIAAAAQOC45MzExMjA4ODkxMzUwNADf4c86znveCDeHVz3Oe94IOENJUUFWRy5OWVNFOklCTS5JUV9URVZfRUJJVERBLjIwMDAuMzAvMDYvMjAyNS4zMC8wOS8yMDI1AQAAAN62AQACAAAAEDE5LjM5NTMy</t>
  </si>
  <si>
    <t>NTY0OTE2NzQA3+HPOs573ghurlc9znveCDVDSVFBVkcuTllTRTpJQk0uSVFfUEVfRVhDTC4yMDAwLjMxLzAzLzIwMjUuMzAvMDYvMjAyNQEAAADetgEAAgAAABA0My4xMTIyODIyMjQ2OTA1AN/hzzrOe94Ibq5XPc573ggyQ0lRQVZHLk5ZU0U6SUJNLklRX1BUQlYuMjAwMC4zMS8wMy8yMDI1LjMwLzA2LzIwMjUBAAAA3rYBAAMAAAACTk0A3+HPOs573ghurlc9znveCDtDSVFBVkcuTllTRTpJQk0uSVFfVEVWX1RPVEFMX1JFVi4yMDAwLjMxLzAzLzIwMjUuMzAvMDYvMjAyNQEAAADetgEAAgAAABA0LjU3MjQwNTM0MTgwOTQzAJoI0DrOe94Ibq5XPc573gg2Q0lRQVZHLk5ZU0U6SUJNLklRX1RFVl9FQklULjIwMDAuMzEvMDMvMjAyNS4zMC8wNi8yMDI1AQAAAN62AQACAAAADzI4LjYxOTg5MDQ3MTQ3MwCaCNA6znveCDeHVz3Oe94IMUNJUUFWRy5OWVNFOklCTS5JUV9QQlYuMjAwMC4zMS8wMy8yMDI1LjMwLzA2LzIwMjUBAAAA3rYBAAIAAAAQOC44NjMzNTA0NzU5NTA5NwCaCNA6znveCDeHVz3Oe94IOENJUUFWRy5OWVNFOklCTS5JUV9URVZfRUJJVERBLjIwMDAuMzEvMDMvMjAyNS4zMC8wNi8yMDI1AQAAAN62AQACAAAAEDE5LjgwOTIzODcwODM5NDIAmgjQOs573gg3h1c9znveCDFDSVFBVkcuTllTRTpJQk0uSVFfUEJWLjIwMDAuMzAvMDkvMjAyNC4zMS8xMi8yMDI0AQAAAN62AQACAAAAEDguNDUy</t>
  </si>
  <si>
    <t>NDc5NjkwOTQzMzUAmgjQOs573gg3h1c9znveCDhDSVFBVkcuTllTRTpJQk0uSVFfVEVWX0VCSVREQS4yMDAwLjMwLzA5LzIwMjQuMzEvMTIvMjAyNAEAAADetgEAAgAAABAxNi41Mjg0NTAwMzQ5NjY2AJoI0DrOe94IQmBXPc573gg1Q0lRQVZHLk5ZU0U6SUJNLklRX1BFX0VYQ0wuMjAwMC4zMC8wOS8yMDI0LjMxLzEyLzIwMjQBAAAA3rYBAAIAAAAQMzAuNDQ3NTk1NTExODMzOQCaCNA6znveCEJgVz3Oe94IMkNJUUFWRy5OWVNFOklCTS5JUV9QVEJWLjIwMDAuMzAvMDkvMjAyNC4zMS8xMi8yMDI0AQAAAN62AQADAAAAAk5NAJoI0DrOe94IN4dXPc573gg7Q0lRQVZHLk5ZU0U6SUJNLklRX1RFVl9UT1RBTF9SRVYuMjAwMC4zMC8wOS8yMDI0LjMxLzEyLzIwMjQBAAAA3rYBAAIAAAAQNC4wMzE2NDQ5NzYzNzUzMgCaCNA6znveCDeHVz3Oe94INkNJUUFWRy5OWVNFOklCTS5JUV9URVZfRUJJVC4yMDAwLjMwLzA5LzIwMjQuMzEvMTIvMjAyNAEAAADetgEAAgAAAA8yNS4zMjM2ODgzNDEwNjgAmgjQOs573gg3h1c9znveCDhDSVFBVkcuTllTRTpJQk0uSVFfVEVWX0VCSVREQS4yMDAwLjMxLzEyLzIwMjQuMzEvMDMvMjAyNQEAAADetgEAAgAAABAxOC4zOTMyNDY2OTc2NjI1AJoI0DrOe94IQmBXPc573ggxQ0lRQVZHLk5ZU0U6SUJNLklRX1BCVi4yMDAwLjMxLzEyLzIwMjQuMzEvMDMvMjAyNQEAAADetgEA</t>
  </si>
  <si>
    <t>AgAAABA4LjUzODY2NDA1ODEyMjc2AJoI0DrOe94IQmBXPc573gg2Q0lRQVZHLk5ZU0U6SUJNLklRX1RFVl9FQklULjIwMDAuMzEvMTIvMjAyNC4zMS8wMy8yMDI1AQAAAN62AQACAAAAEDI4LjIyNzc3MTE2NDU2NzMAmgjQOs573ghCYFc9znveCDtDSVFBVkcuTllTRTpJQk0uSVFfVEVWX1RPVEFMX1JFVi4yMDAwLjMxLzEyLzIwMjQuMzEvMDMvMjAyNQEAAADetgEAAgAAABA0LjMxNzQ4ODAyNzg1NjYxAJoI0DrOe94IQmBXPc573ggyQ0lRQVZHLk5ZU0U6SUJNLklRX1BUQlYuMjAwMC4zMS8xMi8yMDI0LjMxLzAzLzIwMjUBAAAA3rYBAAMAAAACTk0AmgjQOs573ghCYFc9znveCDVDSVFBVkcuTllTRTpJQk0uSVFfUEVfRVhDTC4yMDAwLjMxLzEyLzIwMjQuMzEvMDMvMjAyNQEAAADetgEAAgAAABAzNy40MjAxMzc0NTk1ODI2AJoI0DrOe94IQmBXPc573ggyQ0lRQVZHLk5ZU0U6SUJNLklRX1BUQlYuMjAwMC4zMC8wNi8yMDI0LjMwLzA5LzIwMjQBAAAA3rYBAAMAAAACTk0AmgjQOs573ghCYFc9znveCDFDSVFBVkcuTllTRTpJQk0uSVFfUEJWLjIwMDAuMzAvMDYvMjAyNC4zMC8wOS8yMDI0AQAAAN62AQACAAAAEDcuNTY5MDA2MjQxMjA0OTIAmgjQOs573ghCYFc9znveCDtDSVFBVkcuTllTRTpJQk0uSVFfVEVWX1RPVEFMX1JFVi4yMDAwLjMwLzA2LzIwMjQuMzAvMDkvMjAyNAEAAADetgEAAgAAABAz</t>
  </si>
  <si>
    <t>LjYyOTM4NzAwMjkwNzc3AJoI0DrOe94IQmBXPc573gg2Q0lRQVZHLk5ZU0U6SUJNLklRX1RFVl9FQklULjIwMDAuMzAvMDYvMjAyNC4zMC8wOS8yMDI0AQAAAN62AQACAAAAEDIyLjY2MTgwNDUyNzEzNTkAmgjQOs573ghCYFc9znveCDhDSVFBVkcuTllTRTpJQk0uSVFfVEVWX0VCSVREQS4yMDAwLjMwLzA2LzIwMjQuMzAvMDkvMjAyNAEAAADetgEAAgAAABAxNC44NjMwNjkzMTE2NzMzAJoI0DrOe94I2jhXPc573gg1Q0lRQVZHLk5ZU0U6SUJNLklRX1BFX0VYQ0wuMjAwMC4zMC8wNi8yMDI0LjMwLzA5LzIwMjQBAAAA3rYBAAIAAAAQMjEuODE3MDMyMzAyMzM0NQCaCNA6znveCNo4Vz3Oe94IO0NJUUFWRy5OWVNFOklCTS5JUV9URVZfVE9UQUxfUkVWLjIwMDAuMzEvMDMvMjAyNC4zMC8wNi8yMDI0AQAAAN62AQACAAAAEDMuMjkwOTM5MDc5ODQwNjcAmgjQOs573gjaOFc9znveCDJDSVFBVkcuTllTRTpJQk0uSVFfUFRCVi4yMDAwLjMxLzAzLzIwMjQuMzAvMDYvMjAyNAEAAADetgEAAwAAAAJOTQCaCNA6znveCNo4Vz3Oe94INkNJUUFWRy5OWVNFOklCTS5JUV9URVZfRUJJVC4yMDAwLjMxLzAzLzIwMjQuMzAvMDYvMjAyNAEAAADetgEAAgAAABAyMC41OTIzNTcwODcyNjA1AJoI0DrOe94I2jhXPc573ggxQ0lRQVZHLk5ZU0U6SUJNLklRX1BCVi4yMDAwLjMxLzAzLzIwMjQuMzAvMDYvMjAyNAEAAADe</t>
  </si>
  <si>
    <t>tgEAAgAAABA2LjkxNzA3MTU1MTYzOTc4AJoI0DrOe94I2jhXPc573gg4Q0lRQVZHLk5ZU0U6SUJNLklRX1RFVl9FQklUREEuMjAwMC4zMS8wMy8yMDI0LjMwLzA2LzIwMjQBAAAA3rYBAAIAAAAQMTMuNjE2NzIyMTI5Njg1MwCaCNA6znveCNo4Vz3Oe94INUNJUUFWRy5OWVNFOklCTS5JUV9QRV9FWENMLjIwMDAuMzEvMDMvMjAyNC4zMC8wNi8yMDI0AQAAAN62AQACAAAAEDIwLjE4NTY4Njc2MDc5NzUAmgjQOs573gjaOFc9znveCDJDSVFBVkcuTllTRTpJQk0uSVFfUFRCVi4yMDAwLjMxLzEyLzIwMjMuMzEvMDMvMjAyNAEAAADetgEAAwAAAAJOTQCaCNA6znveCNo4Vz3Oe94IO0NJUUFWRy5OWVNFOklCTS5JUV9URVZfVE9UQUxfUkVWLjIwMDAuMzEvMTIvMjAyMy4zMS8wMy8yMDI0AQAAAN62AQACAAAAEDMuNDY0OTY4MjUwMzA0OTMAmgjQOs573gjaOFc9znveCDZDSVFBVkcuTllTRTpJQk0uSVFfVEVWX0VCSVQuMjAwMC4zMS8xMi8yMDIzLjMxLzAzLzIwMjQBAAAA3rYBAAIAAAAQMjIuMzYwOTc3OTcwMDA1MQCaCNA6znveCHP9Vj3Oe94IMUNJUUFWRy5OWVNFOklCTS5JUV9QQlYuMjAwMC4zMS8xMi8yMDIzLjMxLzAzLzIwMjQBAAAA3rYBAAIAAAAQNy4zNjQ3OTEyNzM5NjM3MwCaCNA6znveCHP9Vj3Oe94IOENJUUFWRy5OWVNFOklCTS5JUV9URVZfRUJJVERBLjIwMDAuMzEvMTIvMjAyMy4zMS8w</t>
  </si>
  <si>
    <t>My8yMDI0AQAAAN62AQACAAAAEDE0LjMyNTgzNjMyNDMxMzEAmgjQOs573ghz/VY9znveCDVDSVFBVkcuTllTRTpJQk0uSVFfUEVfRVhDTC4yMDAwLjMxLzEyLzIwMjMuMzEvMDMvMjAyNAEAAADetgEAAgAAABAyMi43MDI4ODMyMjgzNDk1AJoI0DrOe94Ic/1WPc573ggyQ0lRQVZHLk5ZU0U6SUJNLklRX1BUQlYuMjAwMC4zMC8wOS8yMDIzLjMxLzEyLzIwMjMBAAAA3rYBAAMAAAACTk0AmgjQOs573gjaOFc9znveCDtDSVFBVkcuTllTRTpJQk0uSVFfVEVWX1RPVEFMX1JFVi4yMDAwLjMwLzA5LzIwMjMuMzEvMTIvMjAyMwEAAADetgEAAgAAABAzLjAyNDk4MTk0NjY0NDc1AJoI0DrOe94Ic/1WPc573gg2Q0lRQVZHLk5ZU0U6SUJNLklRX1RFVl9FQklULjIwMDAuMzAvMDkvMjAyMy4zMS8xMi8yMDIzAQAAAN62AQACAAAAEDIwLjM3MzA4NDE0Njg5NTkAmgjQOs573ghz/VY9znveCDFDSVFBVkcuTllTRTpJQk0uSVFfUEJWLjIwMDAuMzAvMDkvMjAyMy4zMS8xMi8yMDIzAQAAAN62AQACAAAAEDYuMDMzNjMyOTYzMjM2MTkAmgjQOs573ghz/VY9znveCDhDSVFBVkcuTllTRTpJQk0uSVFfVEVWX0VCSVREQS4yMDAwLjMwLzA5LzIwMjMuMzEvMTIvMjAyMwEAAADetgEAAgAAAA8xMi42NTc1MTYwODM2NDQAmgjQOs573ghz/VY9znveCDVDSVFBVkcuTllTRTpJQk0uSVFfUEVfRVhDTC4yMDAwLjMwLzA5LzIw</t>
  </si>
  <si>
    <t>MjMuMzEvMTIvMjAyMwEAAADetgEAAgAAABAzMC43ODgzNjY4MjM4MzkyAJoI0DrOe94Ic/1WPc573gg7Q0lRQVZHLk5ZU0U6SUJNLklRX1RFVl9UT1RBTF9SRVYuMjAwMC4zMC8wNi8yMDIzLjMwLzA5LzIwMjMBAAAA3rYBAAIAAAAQMi44NjY1NDE2NDU1NTU0NQCaCNA6znveCHP9Vj3Oe94INkNJUUFWRy5OWVNFOklCTS5JUV9URVZfRUJJVC4yMDAwLjMwLzA2LzIwMjMuMzAvMDkvMjAyMwEAAADetgEAAgAAABAyMC42MTczNjI1NzcwMzUzAJoI0DrOe94Ic/1WPc573ggxQ0lRQVZHLk5ZU0U6SUJNLklRX1BCVi4yMDAwLjMwLzA2LzIwMjMuMzAvMDkvMjAyMwEAAADetgEAAgAAABA1Ljg1NzYzNDQ5NzAyNjQzAJoI0DrOe94Ic/1WPc573gg4Q0lRQVZHLk5ZU0U6SUJNLklRX1RFVl9FQklUREEuMjAwMC4zMC8wNi8yMDIzLjMwLzA5LzIwMjMBAAAA3rYBAAIAAAAQMTIuMzQwMDc1NjM1OTc5OQCaCNA6znveCHP9Vj3Oe94INUNJUUFWRy5OWVNFOklCTS5JUV9QRV9FWENMLjIwMDAuMzAvMDYvMjAyMy4zMC8wOS8yMDIzAQAAAN62AQACAAAAEDYwLjcwNTg0ODIwMDE1NjgAmgjQOs573ghz/VY9znveCDJDSVFBVkcuTllTRTpJQk0uSVFfUFRCVi4yMDAwLjMwLzA2LzIwMjMuMzAvMDkvMjAyMwEAAADetgEAAwAAAAJOTQCaCNA6znveCHP9Vj3Oe94INkNJUUFWRy5OWVNFOklCTS5JUV9URVZfRUJJVC4yMDAw</t>
  </si>
  <si>
    <t>LjMxLzAzLzIwMjMuMzAvMDYvMjAyMwEAAADetgEAAgAAABAyMC40Mjk4Mzk1NzU3MTc5AJoI0DrOe94Ic/1WPc573ggxQ0lRQVZHLk5ZU0U6SUJNLklRX1BCVi4yMDAwLjMxLzAzLzIwMjMuMzAvMDYvMjAyMwEAAADetgEAAgAAABA1LjQwNzIyMDcyMDI1ODA2AJoI0DrOe94Ic/1WPc573gg4Q0lRQVZHLk5ZU0U6SUJNLklRX1RFVl9FQklUREEuMjAwMC4zMS8wMy8yMDIzLjMwLzA2LzIwMjMBAAAA3rYBAAIAAAAPMTEuNzMzNTMxMzE1NDUzAJoI0DrOe94Ic/1WPc573gg1Q0lRQVZHLk5ZU0U6SUJNLklRX1BFX0VYQ0wuMjAwMC4zMS8wMy8yMDIzLjMwLzA2LzIwMjMBAAAA3rYBAAIAAAAQNTkuMjAxNTU1NTc2MzA5OACaCNA6znveCHP9Vj3Oe94IMkNJUUFWRy5OWVNFOklCTS5JUV9QVEJWLjIwMDAuMzEvMDMvMjAyMy4zMC8wNi8yMDIzAQAAAN62AQADAAAAAk5NAJoI0DrOe94Ih8JWPc573gg7Q0lRQVZHLk5ZU0U6SUJNLklRX1RFVl9UT1RBTF9SRVYuMjAwMC4zMS8wMy8yMDIzLjMwLzA2LzIwMjMBAAAA3rYBAAIAAAAQMi42Njk5MDUxODg0NzAwNQCaCNA6znveCHP9Vj3Oe94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</si>
</sst>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$&quot;#,##0.00_);\(&quot;$&quot;#,##0.00\)"/>
    <numFmt numFmtId="165" formatCode="0.0%"/>
    <numFmt numFmtId="166" formatCode="0.0\x"/>
    <numFmt numFmtId="167" formatCode="_(#,##0_);_(\(#,##0\);_(&quot; - &quot;??_);_(@_)"/>
    <numFmt numFmtId="168" formatCode="_(#,##0.0_);_(\(#,##0.0\);_(&quot; - &quot;??_);_(@_)"/>
    <numFmt numFmtId="169" formatCode="_(#,##0.00_);_(\(#,##0.00\);_(&quot; - &quot;??_);_(@_)"/>
    <numFmt numFmtId="170" formatCode="&quot;$&quot;#,##0.0_);\(&quot;$&quot;#,##0.0\)"/>
    <numFmt numFmtId="171" formatCode="#,##0.0_);\(#,##0.0\)"/>
    <numFmt numFmtId="172" formatCode="#,##0.000;\(#,##0.000\)"/>
    <numFmt numFmtId="173" formatCode="#,##0.0;\(#,##0.0\)"/>
    <numFmt numFmtId="174" formatCode="0.0;\ \(0.0\)"/>
    <numFmt numFmtId="175" formatCode="0.0;\(0.0\)"/>
    <numFmt numFmtId="176" formatCode="0.0"/>
    <numFmt numFmtId="177" formatCode="m/d/yy"/>
    <numFmt numFmtId="178" formatCode="mm/dd/yy"/>
    <numFmt numFmtId="179" formatCode="0.0%;\(0.0%\)"/>
    <numFmt numFmtId="180" formatCode="0.0\ "/>
    <numFmt numFmtId="181" formatCode="0.0\ ;\ \(0.0\)"/>
    <numFmt numFmtId="182" formatCode="0_);\(0\)"/>
    <numFmt numFmtId="183" formatCode="_(* #,##0.0_);_(* \(#,##0.0\);_(* &quot; - &quot;_);_(@_)"/>
    <numFmt numFmtId="184" formatCode="#,##0;\(#,##0\)"/>
    <numFmt numFmtId="185" formatCode="&quot;&quot;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24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"/>
      <family val="2"/>
    </font>
    <font>
      <b/>
      <i/>
      <sz val="10"/>
      <name val="Arial"/>
      <family val="2"/>
    </font>
    <font>
      <sz val="10"/>
      <color indexed="17"/>
      <name val="Arial"/>
      <family val="2"/>
    </font>
    <font>
      <b/>
      <sz val="11"/>
      <color theme="0"/>
      <name val="Arial"/>
      <family val="2"/>
      <scheme val="minor"/>
    </font>
    <font>
      <sz val="10"/>
      <name val="Times New Roman"/>
      <family val="1"/>
    </font>
    <font>
      <sz val="10"/>
      <name val="Arial"/>
      <family val="2"/>
      <scheme val="maj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9"/>
      </left>
      <right style="medium">
        <color indexed="64"/>
      </right>
      <top style="medium">
        <color indexed="9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5" fillId="0" borderId="0"/>
    <xf numFmtId="0" fontId="8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Protection="0">
      <alignment horizontal="left"/>
    </xf>
    <xf numFmtId="172" fontId="6" fillId="0" borderId="0" applyFill="0" applyBorder="0" applyProtection="0">
      <alignment horizontal="right" vertical="top"/>
    </xf>
    <xf numFmtId="14" fontId="6" fillId="0" borderId="0" applyFill="0" applyBorder="0" applyProtection="0">
      <alignment horizontal="left" vertical="top"/>
    </xf>
    <xf numFmtId="173" fontId="6" fillId="0" borderId="0" applyFill="0" applyBorder="0" applyProtection="0">
      <alignment horizontal="left" vertical="top" wrapText="1"/>
    </xf>
    <xf numFmtId="0" fontId="4" fillId="0" borderId="0"/>
    <xf numFmtId="0" fontId="25" fillId="0" borderId="0"/>
  </cellStyleXfs>
  <cellXfs count="271">
    <xf numFmtId="0" fontId="0" fillId="0" borderId="0" xfId="0"/>
    <xf numFmtId="167" fontId="7" fillId="0" borderId="0" xfId="0" applyNumberFormat="1" applyFont="1"/>
    <xf numFmtId="0" fontId="10" fillId="0" borderId="0" xfId="0" applyFont="1"/>
    <xf numFmtId="0" fontId="9" fillId="0" borderId="0" xfId="0" applyFont="1"/>
    <xf numFmtId="0" fontId="10" fillId="0" borderId="0" xfId="0" applyFont="1" applyAlignment="1">
      <alignment horizontal="centerContinuous"/>
    </xf>
    <xf numFmtId="0" fontId="11" fillId="0" borderId="0" xfId="0" applyFont="1"/>
    <xf numFmtId="0" fontId="7" fillId="0" borderId="0" xfId="0" applyFont="1" applyAlignment="1">
      <alignment horizontal="left"/>
    </xf>
    <xf numFmtId="167" fontId="12" fillId="0" borderId="0" xfId="0" applyNumberFormat="1" applyFont="1"/>
    <xf numFmtId="14" fontId="13" fillId="0" borderId="0" xfId="0" applyNumberFormat="1" applyFont="1" applyAlignment="1">
      <alignment horizontal="left"/>
    </xf>
    <xf numFmtId="0" fontId="7" fillId="0" borderId="0" xfId="0" applyFont="1"/>
    <xf numFmtId="0" fontId="13" fillId="0" borderId="0" xfId="0" applyFont="1"/>
    <xf numFmtId="0" fontId="9" fillId="0" borderId="0" xfId="0" applyFont="1" applyAlignment="1">
      <alignment horizontal="right"/>
    </xf>
    <xf numFmtId="182" fontId="9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7" fillId="0" borderId="1" xfId="0" applyFont="1" applyBorder="1" applyAlignment="1">
      <alignment horizontal="centerContinuous"/>
    </xf>
    <xf numFmtId="0" fontId="10" fillId="0" borderId="1" xfId="0" applyFont="1" applyBorder="1" applyAlignment="1">
      <alignment horizontal="centerContinuous"/>
    </xf>
    <xf numFmtId="167" fontId="10" fillId="0" borderId="0" xfId="0" applyNumberFormat="1" applyFont="1"/>
    <xf numFmtId="168" fontId="10" fillId="0" borderId="0" xfId="0" applyNumberFormat="1" applyFont="1"/>
    <xf numFmtId="171" fontId="11" fillId="0" borderId="0" xfId="0" applyNumberFormat="1" applyFont="1" applyAlignment="1">
      <alignment horizontal="right"/>
    </xf>
    <xf numFmtId="14" fontId="9" fillId="0" borderId="0" xfId="0" applyNumberFormat="1" applyFont="1" applyAlignment="1">
      <alignment horizontal="center"/>
    </xf>
    <xf numFmtId="168" fontId="7" fillId="0" borderId="0" xfId="0" applyNumberFormat="1" applyFont="1" applyAlignment="1">
      <alignment horizontal="left" indent="1"/>
    </xf>
    <xf numFmtId="171" fontId="15" fillId="0" borderId="3" xfId="0" applyNumberFormat="1" applyFont="1" applyBorder="1" applyAlignment="1">
      <alignment horizontal="right"/>
    </xf>
    <xf numFmtId="171" fontId="15" fillId="0" borderId="0" xfId="0" applyNumberFormat="1" applyFont="1" applyAlignment="1">
      <alignment horizontal="right"/>
    </xf>
    <xf numFmtId="171" fontId="11" fillId="0" borderId="1" xfId="0" applyNumberFormat="1" applyFont="1" applyBorder="1" applyAlignment="1">
      <alignment horizontal="right"/>
    </xf>
    <xf numFmtId="171" fontId="15" fillId="0" borderId="4" xfId="0" applyNumberFormat="1" applyFont="1" applyBorder="1" applyAlignment="1">
      <alignment horizontal="right"/>
    </xf>
    <xf numFmtId="171" fontId="15" fillId="0" borderId="5" xfId="0" applyNumberFormat="1" applyFont="1" applyBorder="1" applyAlignment="1">
      <alignment horizontal="right"/>
    </xf>
    <xf numFmtId="167" fontId="7" fillId="0" borderId="0" xfId="0" applyNumberFormat="1" applyFont="1" applyAlignment="1">
      <alignment horizontal="centerContinuous"/>
    </xf>
    <xf numFmtId="167" fontId="7" fillId="0" borderId="1" xfId="0" applyNumberFormat="1" applyFont="1" applyBorder="1" applyAlignment="1">
      <alignment horizontal="centerContinuous"/>
    </xf>
    <xf numFmtId="169" fontId="10" fillId="0" borderId="0" xfId="0" applyNumberFormat="1" applyFont="1"/>
    <xf numFmtId="3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0" fontId="16" fillId="0" borderId="0" xfId="1" applyFont="1"/>
    <xf numFmtId="164" fontId="11" fillId="0" borderId="0" xfId="0" applyNumberFormat="1" applyFont="1"/>
    <xf numFmtId="171" fontId="10" fillId="0" borderId="0" xfId="0" applyNumberFormat="1" applyFont="1"/>
    <xf numFmtId="14" fontId="11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8" fontId="10" fillId="0" borderId="0" xfId="0" applyNumberFormat="1" applyFont="1" applyAlignment="1">
      <alignment horizontal="left"/>
    </xf>
    <xf numFmtId="168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83" fontId="11" fillId="0" borderId="0" xfId="0" applyNumberFormat="1" applyFont="1" applyAlignment="1">
      <alignment horizontal="right"/>
    </xf>
    <xf numFmtId="167" fontId="10" fillId="0" borderId="1" xfId="0" applyNumberFormat="1" applyFont="1" applyBorder="1" applyAlignment="1">
      <alignment horizontal="centerContinuous"/>
    </xf>
    <xf numFmtId="0" fontId="10" fillId="0" borderId="0" xfId="1" applyFont="1"/>
    <xf numFmtId="168" fontId="11" fillId="0" borderId="0" xfId="0" applyNumberFormat="1" applyFont="1"/>
    <xf numFmtId="167" fontId="7" fillId="0" borderId="0" xfId="0" applyNumberFormat="1" applyFont="1" applyAlignment="1">
      <alignment horizontal="left"/>
    </xf>
    <xf numFmtId="168" fontId="7" fillId="0" borderId="0" xfId="0" applyNumberFormat="1" applyFont="1"/>
    <xf numFmtId="14" fontId="7" fillId="0" borderId="0" xfId="0" applyNumberFormat="1" applyFont="1"/>
    <xf numFmtId="170" fontId="7" fillId="0" borderId="0" xfId="0" applyNumberFormat="1" applyFont="1"/>
    <xf numFmtId="167" fontId="9" fillId="0" borderId="0" xfId="0" applyNumberFormat="1" applyFont="1"/>
    <xf numFmtId="37" fontId="11" fillId="0" borderId="0" xfId="0" applyNumberFormat="1" applyFont="1" applyAlignment="1">
      <alignment horizontal="right"/>
    </xf>
    <xf numFmtId="0" fontId="7" fillId="0" borderId="0" xfId="0" applyFont="1" applyAlignment="1">
      <alignment horizontal="left" vertical="top"/>
    </xf>
    <xf numFmtId="0" fontId="10" fillId="0" borderId="1" xfId="0" applyFont="1" applyBorder="1"/>
    <xf numFmtId="14" fontId="9" fillId="0" borderId="0" xfId="0" applyNumberFormat="1" applyFont="1"/>
    <xf numFmtId="0" fontId="10" fillId="0" borderId="0" xfId="0" applyFont="1" applyAlignment="1">
      <alignment horizontal="left"/>
    </xf>
    <xf numFmtId="167" fontId="9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right"/>
    </xf>
    <xf numFmtId="14" fontId="7" fillId="0" borderId="0" xfId="0" applyNumberFormat="1" applyFont="1" applyAlignment="1">
      <alignment horizontal="right"/>
    </xf>
    <xf numFmtId="170" fontId="11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171" fontId="10" fillId="0" borderId="0" xfId="0" applyNumberFormat="1" applyFont="1" applyAlignment="1">
      <alignment horizontal="right"/>
    </xf>
    <xf numFmtId="0" fontId="18" fillId="2" borderId="0" xfId="0" applyFont="1" applyFill="1" applyAlignment="1">
      <alignment horizontal="left"/>
    </xf>
    <xf numFmtId="0" fontId="9" fillId="2" borderId="0" xfId="0" applyFont="1" applyFill="1" applyAlignment="1">
      <alignment horizontal="centerContinuous"/>
    </xf>
    <xf numFmtId="0" fontId="9" fillId="2" borderId="0" xfId="0" applyFont="1" applyFill="1"/>
    <xf numFmtId="14" fontId="15" fillId="0" borderId="1" xfId="0" applyNumberFormat="1" applyFont="1" applyBorder="1" applyAlignment="1">
      <alignment horizontal="right"/>
    </xf>
    <xf numFmtId="14" fontId="15" fillId="0" borderId="0" xfId="0" applyNumberFormat="1" applyFont="1" applyAlignment="1">
      <alignment horizontal="right"/>
    </xf>
    <xf numFmtId="1" fontId="19" fillId="0" borderId="6" xfId="0" applyNumberFormat="1" applyFont="1" applyBorder="1" applyAlignment="1">
      <alignment horizontal="center"/>
    </xf>
    <xf numFmtId="0" fontId="20" fillId="0" borderId="0" xfId="0" applyFont="1" applyAlignment="1">
      <alignment horizontal="centerContinuous"/>
    </xf>
    <xf numFmtId="0" fontId="19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20" fillId="0" borderId="0" xfId="0" applyFont="1"/>
    <xf numFmtId="0" fontId="19" fillId="0" borderId="0" xfId="0" applyFont="1"/>
    <xf numFmtId="14" fontId="7" fillId="0" borderId="1" xfId="0" applyNumberFormat="1" applyFont="1" applyBorder="1" applyAlignment="1">
      <alignment horizontal="right"/>
    </xf>
    <xf numFmtId="165" fontId="10" fillId="0" borderId="0" xfId="0" applyNumberFormat="1" applyFont="1" applyAlignment="1">
      <alignment horizontal="right"/>
    </xf>
    <xf numFmtId="165" fontId="7" fillId="0" borderId="3" xfId="0" applyNumberFormat="1" applyFont="1" applyBorder="1" applyAlignment="1">
      <alignment horizontal="right"/>
    </xf>
    <xf numFmtId="171" fontId="7" fillId="0" borderId="0" xfId="0" applyNumberFormat="1" applyFont="1" applyAlignment="1">
      <alignment horizontal="right"/>
    </xf>
    <xf numFmtId="170" fontId="10" fillId="0" borderId="0" xfId="0" applyNumberFormat="1" applyFont="1"/>
    <xf numFmtId="165" fontId="10" fillId="0" borderId="1" xfId="0" applyNumberFormat="1" applyFont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164" fontId="10" fillId="0" borderId="0" xfId="0" applyNumberFormat="1" applyFont="1"/>
    <xf numFmtId="14" fontId="7" fillId="0" borderId="0" xfId="0" applyNumberFormat="1" applyFont="1" applyAlignment="1">
      <alignment horizontal="center"/>
    </xf>
    <xf numFmtId="167" fontId="10" fillId="0" borderId="1" xfId="0" applyNumberFormat="1" applyFont="1" applyBorder="1"/>
    <xf numFmtId="39" fontId="10" fillId="0" borderId="0" xfId="0" applyNumberFormat="1" applyFont="1"/>
    <xf numFmtId="0" fontId="7" fillId="0" borderId="7" xfId="0" applyFont="1" applyBorder="1"/>
    <xf numFmtId="0" fontId="7" fillId="3" borderId="8" xfId="0" applyFont="1" applyFill="1" applyBorder="1"/>
    <xf numFmtId="0" fontId="7" fillId="3" borderId="5" xfId="0" applyFont="1" applyFill="1" applyBorder="1"/>
    <xf numFmtId="0" fontId="14" fillId="0" borderId="0" xfId="0" applyFont="1"/>
    <xf numFmtId="0" fontId="7" fillId="3" borderId="9" xfId="0" applyFont="1" applyFill="1" applyBorder="1"/>
    <xf numFmtId="0" fontId="7" fillId="3" borderId="0" xfId="0" applyFont="1" applyFill="1"/>
    <xf numFmtId="0" fontId="7" fillId="3" borderId="10" xfId="0" applyFont="1" applyFill="1" applyBorder="1"/>
    <xf numFmtId="0" fontId="7" fillId="3" borderId="1" xfId="0" applyFont="1" applyFill="1" applyBorder="1"/>
    <xf numFmtId="0" fontId="17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0" fontId="10" fillId="4" borderId="0" xfId="0" applyFont="1" applyFill="1"/>
    <xf numFmtId="0" fontId="16" fillId="0" borderId="0" xfId="0" applyFont="1"/>
    <xf numFmtId="0" fontId="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Continuous"/>
    </xf>
    <xf numFmtId="10" fontId="7" fillId="0" borderId="0" xfId="0" applyNumberFormat="1" applyFont="1"/>
    <xf numFmtId="0" fontId="7" fillId="0" borderId="11" xfId="0" applyFont="1" applyBorder="1" applyAlignment="1">
      <alignment horizontal="centerContinuous"/>
    </xf>
    <xf numFmtId="0" fontId="7" fillId="0" borderId="5" xfId="0" applyFont="1" applyBorder="1"/>
    <xf numFmtId="0" fontId="7" fillId="0" borderId="1" xfId="0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10" fontId="7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Continuous"/>
    </xf>
    <xf numFmtId="0" fontId="11" fillId="0" borderId="0" xfId="0" applyFont="1" applyAlignment="1">
      <alignment horizontal="left"/>
    </xf>
    <xf numFmtId="165" fontId="10" fillId="0" borderId="0" xfId="3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4" fontId="9" fillId="0" borderId="0" xfId="0" applyNumberFormat="1" applyFont="1" applyAlignment="1">
      <alignment horizontal="right"/>
    </xf>
    <xf numFmtId="174" fontId="10" fillId="0" borderId="0" xfId="0" applyNumberFormat="1" applyFont="1" applyAlignment="1">
      <alignment horizontal="right"/>
    </xf>
    <xf numFmtId="175" fontId="10" fillId="0" borderId="0" xfId="0" applyNumberFormat="1" applyFont="1" applyAlignment="1">
      <alignment horizontal="right"/>
    </xf>
    <xf numFmtId="4" fontId="7" fillId="3" borderId="5" xfId="0" applyNumberFormat="1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165" fontId="7" fillId="3" borderId="5" xfId="3" applyNumberFormat="1" applyFont="1" applyFill="1" applyBorder="1" applyAlignment="1">
      <alignment horizontal="right"/>
    </xf>
    <xf numFmtId="171" fontId="7" fillId="3" borderId="5" xfId="0" applyNumberFormat="1" applyFont="1" applyFill="1" applyBorder="1" applyAlignment="1">
      <alignment horizontal="right"/>
    </xf>
    <xf numFmtId="171" fontId="7" fillId="3" borderId="12" xfId="0" applyNumberFormat="1" applyFont="1" applyFill="1" applyBorder="1" applyAlignment="1">
      <alignment horizontal="right"/>
    </xf>
    <xf numFmtId="39" fontId="7" fillId="3" borderId="5" xfId="0" applyNumberFormat="1" applyFont="1" applyFill="1" applyBorder="1" applyAlignment="1">
      <alignment horizontal="right"/>
    </xf>
    <xf numFmtId="39" fontId="7" fillId="3" borderId="12" xfId="0" applyNumberFormat="1" applyFont="1" applyFill="1" applyBorder="1" applyAlignment="1">
      <alignment horizontal="right"/>
    </xf>
    <xf numFmtId="166" fontId="7" fillId="3" borderId="5" xfId="0" applyNumberFormat="1" applyFont="1" applyFill="1" applyBorder="1" applyAlignment="1">
      <alignment horizontal="right"/>
    </xf>
    <xf numFmtId="166" fontId="7" fillId="3" borderId="12" xfId="0" applyNumberFormat="1" applyFont="1" applyFill="1" applyBorder="1" applyAlignment="1">
      <alignment horizontal="right"/>
    </xf>
    <xf numFmtId="4" fontId="7" fillId="3" borderId="0" xfId="0" applyNumberFormat="1" applyFont="1" applyFill="1" applyAlignment="1">
      <alignment horizontal="right"/>
    </xf>
    <xf numFmtId="0" fontId="7" fillId="3" borderId="0" xfId="0" applyFont="1" applyFill="1" applyAlignment="1">
      <alignment horizontal="right"/>
    </xf>
    <xf numFmtId="165" fontId="7" fillId="3" borderId="0" xfId="3" applyNumberFormat="1" applyFont="1" applyFill="1" applyBorder="1" applyAlignment="1">
      <alignment horizontal="right"/>
    </xf>
    <xf numFmtId="171" fontId="7" fillId="3" borderId="0" xfId="0" applyNumberFormat="1" applyFont="1" applyFill="1" applyAlignment="1">
      <alignment horizontal="right"/>
    </xf>
    <xf numFmtId="171" fontId="7" fillId="3" borderId="7" xfId="0" applyNumberFormat="1" applyFont="1" applyFill="1" applyBorder="1" applyAlignment="1">
      <alignment horizontal="right"/>
    </xf>
    <xf numFmtId="39" fontId="7" fillId="3" borderId="0" xfId="0" applyNumberFormat="1" applyFont="1" applyFill="1" applyAlignment="1">
      <alignment horizontal="right"/>
    </xf>
    <xf numFmtId="39" fontId="7" fillId="3" borderId="7" xfId="0" applyNumberFormat="1" applyFont="1" applyFill="1" applyBorder="1" applyAlignment="1">
      <alignment horizontal="right"/>
    </xf>
    <xf numFmtId="4" fontId="7" fillId="3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5" fontId="7" fillId="3" borderId="1" xfId="3" applyNumberFormat="1" applyFont="1" applyFill="1" applyBorder="1" applyAlignment="1">
      <alignment horizontal="right"/>
    </xf>
    <xf numFmtId="171" fontId="7" fillId="3" borderId="1" xfId="0" applyNumberFormat="1" applyFont="1" applyFill="1" applyBorder="1" applyAlignment="1">
      <alignment horizontal="right"/>
    </xf>
    <xf numFmtId="171" fontId="7" fillId="3" borderId="13" xfId="0" applyNumberFormat="1" applyFont="1" applyFill="1" applyBorder="1" applyAlignment="1">
      <alignment horizontal="right"/>
    </xf>
    <xf numFmtId="39" fontId="7" fillId="3" borderId="1" xfId="0" applyNumberFormat="1" applyFont="1" applyFill="1" applyBorder="1" applyAlignment="1">
      <alignment horizontal="right"/>
    </xf>
    <xf numFmtId="39" fontId="7" fillId="3" borderId="13" xfId="0" applyNumberFormat="1" applyFont="1" applyFill="1" applyBorder="1" applyAlignment="1">
      <alignment horizontal="right"/>
    </xf>
    <xf numFmtId="1" fontId="7" fillId="0" borderId="0" xfId="0" applyNumberFormat="1" applyFont="1" applyAlignment="1">
      <alignment horizontal="left"/>
    </xf>
    <xf numFmtId="0" fontId="14" fillId="2" borderId="0" xfId="0" applyFont="1" applyFill="1" applyAlignment="1">
      <alignment horizontal="left"/>
    </xf>
    <xf numFmtId="0" fontId="10" fillId="2" borderId="0" xfId="0" applyFont="1" applyFill="1"/>
    <xf numFmtId="0" fontId="7" fillId="0" borderId="1" xfId="0" applyFont="1" applyBorder="1" applyAlignment="1">
      <alignment horizontal="left"/>
    </xf>
    <xf numFmtId="0" fontId="22" fillId="0" borderId="0" xfId="0" applyFont="1" applyAlignment="1">
      <alignment horizontal="right"/>
    </xf>
    <xf numFmtId="0" fontId="17" fillId="0" borderId="0" xfId="0" applyFont="1"/>
    <xf numFmtId="178" fontId="7" fillId="0" borderId="1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10" fillId="3" borderId="8" xfId="0" applyFont="1" applyFill="1" applyBorder="1"/>
    <xf numFmtId="0" fontId="10" fillId="3" borderId="5" xfId="0" applyFont="1" applyFill="1" applyBorder="1"/>
    <xf numFmtId="2" fontId="10" fillId="3" borderId="5" xfId="0" applyNumberFormat="1" applyFont="1" applyFill="1" applyBorder="1" applyAlignment="1">
      <alignment horizontal="right"/>
    </xf>
    <xf numFmtId="0" fontId="10" fillId="3" borderId="5" xfId="0" applyFont="1" applyFill="1" applyBorder="1" applyAlignment="1">
      <alignment horizontal="right"/>
    </xf>
    <xf numFmtId="171" fontId="10" fillId="3" borderId="5" xfId="0" applyNumberFormat="1" applyFont="1" applyFill="1" applyBorder="1" applyAlignment="1">
      <alignment horizontal="right"/>
    </xf>
    <xf numFmtId="4" fontId="10" fillId="3" borderId="5" xfId="0" applyNumberFormat="1" applyFont="1" applyFill="1" applyBorder="1" applyAlignment="1">
      <alignment horizontal="right"/>
    </xf>
    <xf numFmtId="4" fontId="10" fillId="3" borderId="12" xfId="0" applyNumberFormat="1" applyFont="1" applyFill="1" applyBorder="1" applyAlignment="1">
      <alignment horizontal="right"/>
    </xf>
    <xf numFmtId="0" fontId="10" fillId="3" borderId="9" xfId="0" applyFont="1" applyFill="1" applyBorder="1"/>
    <xf numFmtId="0" fontId="10" fillId="3" borderId="0" xfId="0" applyFont="1" applyFill="1"/>
    <xf numFmtId="2" fontId="10" fillId="3" borderId="0" xfId="0" applyNumberFormat="1" applyFont="1" applyFill="1" applyAlignment="1">
      <alignment horizontal="right"/>
    </xf>
    <xf numFmtId="0" fontId="10" fillId="3" borderId="0" xfId="0" applyFont="1" applyFill="1" applyAlignment="1">
      <alignment horizontal="right"/>
    </xf>
    <xf numFmtId="171" fontId="10" fillId="3" borderId="0" xfId="0" applyNumberFormat="1" applyFont="1" applyFill="1" applyAlignment="1">
      <alignment horizontal="right"/>
    </xf>
    <xf numFmtId="4" fontId="10" fillId="3" borderId="0" xfId="0" applyNumberFormat="1" applyFont="1" applyFill="1" applyAlignment="1">
      <alignment horizontal="right"/>
    </xf>
    <xf numFmtId="4" fontId="10" fillId="3" borderId="7" xfId="0" applyNumberFormat="1" applyFont="1" applyFill="1" applyBorder="1" applyAlignment="1">
      <alignment horizontal="right"/>
    </xf>
    <xf numFmtId="0" fontId="10" fillId="3" borderId="10" xfId="0" applyFont="1" applyFill="1" applyBorder="1"/>
    <xf numFmtId="2" fontId="10" fillId="3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horizontal="right"/>
    </xf>
    <xf numFmtId="171" fontId="10" fillId="3" borderId="1" xfId="0" applyNumberFormat="1" applyFont="1" applyFill="1" applyBorder="1" applyAlignment="1">
      <alignment horizontal="right"/>
    </xf>
    <xf numFmtId="4" fontId="10" fillId="3" borderId="1" xfId="0" applyNumberFormat="1" applyFont="1" applyFill="1" applyBorder="1" applyAlignment="1">
      <alignment horizontal="right"/>
    </xf>
    <xf numFmtId="4" fontId="10" fillId="3" borderId="13" xfId="0" applyNumberFormat="1" applyFont="1" applyFill="1" applyBorder="1" applyAlignment="1">
      <alignment horizontal="right"/>
    </xf>
    <xf numFmtId="0" fontId="7" fillId="0" borderId="0" xfId="0" applyFont="1" applyAlignment="1">
      <alignment horizontal="centerContinuous"/>
    </xf>
    <xf numFmtId="179" fontId="10" fillId="0" borderId="0" xfId="0" applyNumberFormat="1" applyFont="1" applyAlignment="1">
      <alignment horizontal="right"/>
    </xf>
    <xf numFmtId="166" fontId="10" fillId="3" borderId="5" xfId="0" applyNumberFormat="1" applyFont="1" applyFill="1" applyBorder="1" applyAlignment="1">
      <alignment horizontal="right"/>
    </xf>
    <xf numFmtId="166" fontId="10" fillId="3" borderId="12" xfId="0" applyNumberFormat="1" applyFont="1" applyFill="1" applyBorder="1" applyAlignment="1">
      <alignment horizontal="right"/>
    </xf>
    <xf numFmtId="181" fontId="10" fillId="3" borderId="0" xfId="0" applyNumberFormat="1" applyFont="1" applyFill="1" applyAlignment="1">
      <alignment horizontal="right"/>
    </xf>
    <xf numFmtId="181" fontId="10" fillId="3" borderId="7" xfId="0" applyNumberFormat="1" applyFont="1" applyFill="1" applyBorder="1" applyAlignment="1">
      <alignment horizontal="right"/>
    </xf>
    <xf numFmtId="181" fontId="10" fillId="3" borderId="1" xfId="0" applyNumberFormat="1" applyFont="1" applyFill="1" applyBorder="1" applyAlignment="1">
      <alignment horizontal="right"/>
    </xf>
    <xf numFmtId="181" fontId="10" fillId="3" borderId="13" xfId="0" applyNumberFormat="1" applyFont="1" applyFill="1" applyBorder="1" applyAlignment="1">
      <alignment horizontal="right"/>
    </xf>
    <xf numFmtId="166" fontId="10" fillId="0" borderId="0" xfId="0" applyNumberFormat="1" applyFont="1"/>
    <xf numFmtId="176" fontId="10" fillId="0" borderId="0" xfId="0" applyNumberFormat="1" applyFont="1" applyAlignment="1">
      <alignment horizontal="right"/>
    </xf>
    <xf numFmtId="174" fontId="10" fillId="0" borderId="0" xfId="0" applyNumberFormat="1" applyFont="1"/>
    <xf numFmtId="180" fontId="10" fillId="0" borderId="0" xfId="0" applyNumberFormat="1" applyFont="1" applyAlignment="1">
      <alignment horizontal="right"/>
    </xf>
    <xf numFmtId="171" fontId="10" fillId="3" borderId="5" xfId="0" applyNumberFormat="1" applyFont="1" applyFill="1" applyBorder="1"/>
    <xf numFmtId="176" fontId="10" fillId="3" borderId="5" xfId="0" applyNumberFormat="1" applyFont="1" applyFill="1" applyBorder="1" applyAlignment="1">
      <alignment horizontal="right"/>
    </xf>
    <xf numFmtId="171" fontId="10" fillId="3" borderId="12" xfId="0" applyNumberFormat="1" applyFont="1" applyFill="1" applyBorder="1" applyAlignment="1">
      <alignment horizontal="right"/>
    </xf>
    <xf numFmtId="171" fontId="10" fillId="3" borderId="0" xfId="0" applyNumberFormat="1" applyFont="1" applyFill="1"/>
    <xf numFmtId="176" fontId="10" fillId="3" borderId="0" xfId="0" applyNumberFormat="1" applyFont="1" applyFill="1" applyAlignment="1">
      <alignment horizontal="right"/>
    </xf>
    <xf numFmtId="171" fontId="10" fillId="3" borderId="7" xfId="0" applyNumberFormat="1" applyFont="1" applyFill="1" applyBorder="1" applyAlignment="1">
      <alignment horizontal="right"/>
    </xf>
    <xf numFmtId="176" fontId="10" fillId="3" borderId="1" xfId="0" applyNumberFormat="1" applyFont="1" applyFill="1" applyBorder="1" applyAlignment="1">
      <alignment horizontal="right"/>
    </xf>
    <xf numFmtId="171" fontId="10" fillId="3" borderId="13" xfId="0" applyNumberFormat="1" applyFont="1" applyFill="1" applyBorder="1" applyAlignment="1">
      <alignment horizontal="right"/>
    </xf>
    <xf numFmtId="0" fontId="10" fillId="0" borderId="11" xfId="0" applyFont="1" applyBorder="1"/>
    <xf numFmtId="0" fontId="16" fillId="0" borderId="0" xfId="2" applyFont="1"/>
    <xf numFmtId="177" fontId="7" fillId="0" borderId="1" xfId="0" applyNumberFormat="1" applyFont="1" applyBorder="1" applyAlignment="1">
      <alignment horizontal="center"/>
    </xf>
    <xf numFmtId="0" fontId="14" fillId="2" borderId="0" xfId="0" applyFont="1" applyFill="1"/>
    <xf numFmtId="0" fontId="21" fillId="2" borderId="0" xfId="0" applyFont="1" applyFill="1" applyAlignment="1">
      <alignment horizontal="right"/>
    </xf>
    <xf numFmtId="1" fontId="12" fillId="0" borderId="6" xfId="0" applyNumberFormat="1" applyFont="1" applyBorder="1" applyAlignment="1">
      <alignment horizontal="center"/>
    </xf>
    <xf numFmtId="171" fontId="23" fillId="0" borderId="0" xfId="0" applyNumberFormat="1" applyFont="1" applyAlignment="1">
      <alignment horizontal="right"/>
    </xf>
    <xf numFmtId="171" fontId="7" fillId="3" borderId="8" xfId="0" applyNumberFormat="1" applyFont="1" applyFill="1" applyBorder="1" applyAlignment="1">
      <alignment horizontal="right"/>
    </xf>
    <xf numFmtId="171" fontId="7" fillId="3" borderId="9" xfId="0" applyNumberFormat="1" applyFont="1" applyFill="1" applyBorder="1" applyAlignment="1">
      <alignment horizontal="right"/>
    </xf>
    <xf numFmtId="171" fontId="7" fillId="3" borderId="10" xfId="0" applyNumberFormat="1" applyFont="1" applyFill="1" applyBorder="1" applyAlignment="1">
      <alignment horizontal="right"/>
    </xf>
    <xf numFmtId="166" fontId="7" fillId="3" borderId="8" xfId="0" applyNumberFormat="1" applyFont="1" applyFill="1" applyBorder="1" applyAlignment="1">
      <alignment horizontal="right"/>
    </xf>
    <xf numFmtId="0" fontId="9" fillId="5" borderId="14" xfId="0" applyFont="1" applyFill="1" applyBorder="1"/>
    <xf numFmtId="0" fontId="9" fillId="5" borderId="11" xfId="0" applyFont="1" applyFill="1" applyBorder="1"/>
    <xf numFmtId="2" fontId="9" fillId="5" borderId="11" xfId="0" applyNumberFormat="1" applyFont="1" applyFill="1" applyBorder="1" applyAlignment="1">
      <alignment horizontal="right"/>
    </xf>
    <xf numFmtId="0" fontId="9" fillId="5" borderId="11" xfId="0" applyFont="1" applyFill="1" applyBorder="1" applyAlignment="1">
      <alignment horizontal="right"/>
    </xf>
    <xf numFmtId="171" fontId="9" fillId="5" borderId="11" xfId="0" applyNumberFormat="1" applyFont="1" applyFill="1" applyBorder="1" applyAlignment="1">
      <alignment horizontal="right"/>
    </xf>
    <xf numFmtId="4" fontId="9" fillId="5" borderId="11" xfId="0" applyNumberFormat="1" applyFont="1" applyFill="1" applyBorder="1" applyAlignment="1">
      <alignment horizontal="right"/>
    </xf>
    <xf numFmtId="4" fontId="9" fillId="5" borderId="15" xfId="0" applyNumberFormat="1" applyFont="1" applyFill="1" applyBorder="1" applyAlignment="1">
      <alignment horizontal="right"/>
    </xf>
    <xf numFmtId="166" fontId="9" fillId="5" borderId="11" xfId="0" applyNumberFormat="1" applyFont="1" applyFill="1" applyBorder="1" applyAlignment="1">
      <alignment horizontal="right"/>
    </xf>
    <xf numFmtId="166" fontId="9" fillId="5" borderId="15" xfId="0" applyNumberFormat="1" applyFont="1" applyFill="1" applyBorder="1" applyAlignment="1">
      <alignment horizontal="right"/>
    </xf>
    <xf numFmtId="171" fontId="9" fillId="5" borderId="11" xfId="0" applyNumberFormat="1" applyFont="1" applyFill="1" applyBorder="1"/>
    <xf numFmtId="176" fontId="9" fillId="5" borderId="11" xfId="0" applyNumberFormat="1" applyFont="1" applyFill="1" applyBorder="1" applyAlignment="1">
      <alignment horizontal="right"/>
    </xf>
    <xf numFmtId="171" fontId="9" fillId="5" borderId="15" xfId="0" applyNumberFormat="1" applyFont="1" applyFill="1" applyBorder="1" applyAlignment="1">
      <alignment horizontal="right"/>
    </xf>
    <xf numFmtId="0" fontId="5" fillId="0" borderId="0" xfId="1"/>
    <xf numFmtId="171" fontId="7" fillId="0" borderId="1" xfId="0" applyNumberFormat="1" applyFont="1" applyBorder="1" applyAlignment="1">
      <alignment horizontal="centerContinuous"/>
    </xf>
    <xf numFmtId="171" fontId="15" fillId="0" borderId="1" xfId="0" applyNumberFormat="1" applyFont="1" applyBorder="1" applyAlignment="1">
      <alignment horizontal="right"/>
    </xf>
    <xf numFmtId="0" fontId="5" fillId="0" borderId="0" xfId="0" applyFont="1"/>
    <xf numFmtId="1" fontId="24" fillId="6" borderId="0" xfId="8" applyNumberFormat="1" applyFont="1" applyFill="1"/>
    <xf numFmtId="0" fontId="24" fillId="6" borderId="0" xfId="8" applyFont="1" applyFill="1"/>
    <xf numFmtId="0" fontId="4" fillId="0" borderId="0" xfId="8"/>
    <xf numFmtId="0" fontId="5" fillId="0" borderId="0" xfId="8" applyFont="1" applyAlignment="1">
      <alignment horizontal="left"/>
    </xf>
    <xf numFmtId="0" fontId="5" fillId="0" borderId="0" xfId="8" applyFont="1"/>
    <xf numFmtId="0" fontId="3" fillId="0" borderId="0" xfId="8" applyFont="1"/>
    <xf numFmtId="0" fontId="5" fillId="0" borderId="0" xfId="0" applyFont="1" applyAlignment="1">
      <alignment horizontal="left"/>
    </xf>
    <xf numFmtId="0" fontId="26" fillId="0" borderId="0" xfId="9" applyFont="1"/>
    <xf numFmtId="0" fontId="26" fillId="0" borderId="0" xfId="9" applyFont="1" applyAlignment="1">
      <alignment horizontal="left"/>
    </xf>
    <xf numFmtId="0" fontId="26" fillId="7" borderId="0" xfId="9" applyFont="1" applyFill="1"/>
    <xf numFmtId="1" fontId="26" fillId="0" borderId="0" xfId="9" applyNumberFormat="1" applyFont="1"/>
    <xf numFmtId="0" fontId="5" fillId="0" borderId="2" xfId="0" applyFont="1" applyBorder="1"/>
    <xf numFmtId="49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center"/>
    </xf>
    <xf numFmtId="184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70" fontId="5" fillId="0" borderId="0" xfId="0" applyNumberFormat="1" applyFont="1"/>
    <xf numFmtId="170" fontId="5" fillId="0" borderId="0" xfId="0" applyNumberFormat="1" applyFont="1" applyAlignment="1">
      <alignment horizontal="left"/>
    </xf>
    <xf numFmtId="39" fontId="5" fillId="0" borderId="0" xfId="0" applyNumberFormat="1" applyFont="1"/>
    <xf numFmtId="39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164" fontId="5" fillId="0" borderId="0" xfId="0" applyNumberFormat="1" applyFont="1"/>
    <xf numFmtId="171" fontId="5" fillId="0" borderId="0" xfId="0" applyNumberFormat="1" applyFont="1" applyAlignment="1">
      <alignment horizontal="right"/>
    </xf>
    <xf numFmtId="171" fontId="5" fillId="0" borderId="0" xfId="0" applyNumberFormat="1" applyFont="1"/>
    <xf numFmtId="171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183" fontId="5" fillId="0" borderId="0" xfId="0" applyNumberFormat="1" applyFont="1" applyAlignment="1">
      <alignment horizontal="right"/>
    </xf>
    <xf numFmtId="170" fontId="7" fillId="0" borderId="0" xfId="0" applyNumberFormat="1" applyFont="1" applyAlignment="1">
      <alignment horizontal="left"/>
    </xf>
    <xf numFmtId="39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3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0" fontId="27" fillId="0" borderId="0" xfId="0" applyFont="1"/>
    <xf numFmtId="0" fontId="27" fillId="0" borderId="0" xfId="0" applyFont="1" applyAlignment="1">
      <alignment horizontal="left"/>
    </xf>
    <xf numFmtId="0" fontId="5" fillId="0" borderId="0" xfId="9" applyFont="1" applyAlignment="1">
      <alignment horizontal="left"/>
    </xf>
    <xf numFmtId="0" fontId="4" fillId="0" borderId="0" xfId="8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8" fillId="0" borderId="0" xfId="0" applyFont="1"/>
    <xf numFmtId="0" fontId="2" fillId="0" borderId="0" xfId="8" applyFont="1"/>
    <xf numFmtId="168" fontId="5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right"/>
    </xf>
    <xf numFmtId="182" fontId="30" fillId="0" borderId="0" xfId="0" applyNumberFormat="1" applyFont="1" applyAlignment="1">
      <alignment horizontal="right"/>
    </xf>
    <xf numFmtId="49" fontId="30" fillId="0" borderId="0" xfId="0" applyNumberFormat="1" applyFont="1"/>
    <xf numFmtId="0" fontId="30" fillId="0" borderId="0" xfId="0" applyFont="1" applyAlignment="1">
      <alignment horizontal="left"/>
    </xf>
    <xf numFmtId="49" fontId="30" fillId="0" borderId="0" xfId="0" applyNumberFormat="1" applyFont="1" applyAlignment="1">
      <alignment horizontal="left"/>
    </xf>
    <xf numFmtId="185" fontId="30" fillId="0" borderId="0" xfId="0" applyNumberFormat="1" applyFont="1"/>
    <xf numFmtId="0" fontId="29" fillId="0" borderId="0" xfId="0" applyFont="1"/>
    <xf numFmtId="0" fontId="1" fillId="0" borderId="0" xfId="8" applyFont="1"/>
    <xf numFmtId="185" fontId="5" fillId="0" borderId="0" xfId="0" applyNumberFormat="1" applyFont="1"/>
    <xf numFmtId="49" fontId="5" fillId="0" borderId="0" xfId="0" applyNumberFormat="1" applyFont="1"/>
    <xf numFmtId="0" fontId="16" fillId="0" borderId="0" xfId="1" applyFont="1" applyAlignment="1">
      <alignment horizontal="left" vertical="top" wrapText="1"/>
    </xf>
  </cellXfs>
  <cellStyles count="10">
    <cellStyle name="Normal" xfId="0" builtinId="0"/>
    <cellStyle name="Normal 2" xfId="9" xr:uid="{00000000-0005-0000-0000-000001000000}"/>
    <cellStyle name="Normal 4" xfId="8" xr:uid="{00000000-0005-0000-0000-000002000000}"/>
    <cellStyle name="Normal_eps-stock_9zdq01_" xfId="1" xr:uid="{00000000-0005-0000-0000-000003000000}"/>
    <cellStyle name="Normal_VF Corp" xfId="2" xr:uid="{00000000-0005-0000-0000-000004000000}"/>
    <cellStyle name="Per cent" xfId="3" builtinId="5"/>
    <cellStyle name="Style 21" xfId="4" xr:uid="{00000000-0005-0000-0000-000006000000}"/>
    <cellStyle name="Style 22" xfId="5" xr:uid="{00000000-0005-0000-0000-000007000000}"/>
    <cellStyle name="Style 23" xfId="6" xr:uid="{00000000-0005-0000-0000-000008000000}"/>
    <cellStyle name="Style 24" xfId="7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26D"/>
      <rgbColor rgb="000000FF"/>
      <rgbColor rgb="00009EA6"/>
      <rgbColor rgb="00DFB793"/>
      <rgbColor rgb="001E3086"/>
      <rgbColor rgb="00800000"/>
      <rgbColor rgb="00008000"/>
      <rgbColor rgb="00000080"/>
      <rgbColor rgb="00808000"/>
      <rgbColor rgb="00800080"/>
      <rgbColor rgb="00008080"/>
      <rgbColor rgb="00FFE26D"/>
      <rgbColor rgb="005A5A5A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1E1E1"/>
      <rgbColor rgb="000059C2"/>
      <rgbColor rgb="00A5BF88"/>
      <rgbColor rgb="00DCDCFF"/>
      <rgbColor rgb="00E41F1F"/>
      <rgbColor rgb="00FF0000"/>
      <rgbColor rgb="0073868B"/>
      <rgbColor rgb="00969696"/>
      <rgbColor rgb="003366FF"/>
      <rgbColor rgb="0033CCCC"/>
      <rgbColor rgb="0099CC00"/>
      <rgbColor rgb="00008C03"/>
      <rgbColor rgb="00FF9900"/>
      <rgbColor rgb="00FF6600"/>
      <rgbColor rgb="00666699"/>
      <rgbColor rgb="00DFDFDF"/>
      <rgbColor rgb="00003366"/>
      <rgbColor rgb="00339966"/>
      <rgbColor rgb="00003300"/>
      <rgbColor rgb="00333300"/>
      <rgbColor rgb="00993300"/>
      <rgbColor rgb="003264A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6" fmlaLink="'Language Index'!$A$4" fmlaRange="Languages" noThreeD="1" sel="1" val="0"/>
</file>

<file path=xl/ctrlProps/ctrlProp2.xml><?xml version="1.0" encoding="utf-8"?>
<formControlPr xmlns="http://schemas.microsoft.com/office/spreadsheetml/2009/9/main" objectType="Drop" dropStyle="combo" dx="20" fmlaLink="$T$1" fmlaRange="$U$1:$U$8" noThreeD="1" sel="4" val="0"/>
</file>

<file path=xl/ctrlProps/ctrlProp3.xml><?xml version="1.0" encoding="utf-8"?>
<formControlPr xmlns="http://schemas.microsoft.com/office/spreadsheetml/2009/9/main" objectType="Drop" dropStyle="combo" dx="20" fmlaLink="$W$1" fmlaRange="$W$2:$W$3" noThreeD="1" sel="1" val="0"/>
</file>

<file path=xl/ctrlProps/ctrlProp4.xml><?xml version="1.0" encoding="utf-8"?>
<formControlPr xmlns="http://schemas.microsoft.com/office/spreadsheetml/2009/9/main" objectType="Drop" dropStyle="combo" dx="20" fmlaLink="$X$1" fmlaRange="$X$2:$X$3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750793</xdr:colOff>
      <xdr:row>6</xdr:row>
      <xdr:rowOff>33618</xdr:rowOff>
    </xdr:from>
    <xdr:to>
      <xdr:col>15</xdr:col>
      <xdr:colOff>769843</xdr:colOff>
      <xdr:row>7</xdr:row>
      <xdr:rowOff>14568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528" y="907677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0</xdr:row>
          <xdr:rowOff>9525</xdr:rowOff>
        </xdr:from>
        <xdr:to>
          <xdr:col>9</xdr:col>
          <xdr:colOff>323850</xdr:colOff>
          <xdr:row>1</xdr:row>
          <xdr:rowOff>38100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2</xdr:row>
          <xdr:rowOff>19050</xdr:rowOff>
        </xdr:from>
        <xdr:to>
          <xdr:col>3</xdr:col>
          <xdr:colOff>19050</xdr:colOff>
          <xdr:row>2</xdr:row>
          <xdr:rowOff>200025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3</xdr:row>
          <xdr:rowOff>19050</xdr:rowOff>
        </xdr:from>
        <xdr:to>
          <xdr:col>3</xdr:col>
          <xdr:colOff>19050</xdr:colOff>
          <xdr:row>4</xdr:row>
          <xdr:rowOff>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3</xdr:row>
          <xdr:rowOff>38100</xdr:rowOff>
        </xdr:from>
        <xdr:to>
          <xdr:col>6</xdr:col>
          <xdr:colOff>342900</xdr:colOff>
          <xdr:row>4</xdr:row>
          <xdr:rowOff>19050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728390</xdr:colOff>
      <xdr:row>6</xdr:row>
      <xdr:rowOff>33618</xdr:rowOff>
    </xdr:from>
    <xdr:to>
      <xdr:col>15</xdr:col>
      <xdr:colOff>747441</xdr:colOff>
      <xdr:row>6</xdr:row>
      <xdr:rowOff>395568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9714" y="907677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257738</xdr:colOff>
      <xdr:row>0</xdr:row>
      <xdr:rowOff>44824</xdr:rowOff>
    </xdr:from>
    <xdr:to>
      <xdr:col>30</xdr:col>
      <xdr:colOff>388847</xdr:colOff>
      <xdr:row>1</xdr:row>
      <xdr:rowOff>3362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0973" y="44824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52</xdr:col>
      <xdr:colOff>593909</xdr:colOff>
      <xdr:row>0</xdr:row>
      <xdr:rowOff>44824</xdr:rowOff>
    </xdr:from>
    <xdr:to>
      <xdr:col>55</xdr:col>
      <xdr:colOff>41459</xdr:colOff>
      <xdr:row>1</xdr:row>
      <xdr:rowOff>3362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17615" y="44824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80</xdr:col>
      <xdr:colOff>504264</xdr:colOff>
      <xdr:row>0</xdr:row>
      <xdr:rowOff>33618</xdr:rowOff>
    </xdr:from>
    <xdr:to>
      <xdr:col>83</xdr:col>
      <xdr:colOff>164726</xdr:colOff>
      <xdr:row>0</xdr:row>
      <xdr:rowOff>395568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84764" y="33618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104</xdr:col>
      <xdr:colOff>717176</xdr:colOff>
      <xdr:row>0</xdr:row>
      <xdr:rowOff>33618</xdr:rowOff>
    </xdr:from>
    <xdr:to>
      <xdr:col>106</xdr:col>
      <xdr:colOff>803462</xdr:colOff>
      <xdr:row>0</xdr:row>
      <xdr:rowOff>395568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69205" y="33618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128</xdr:col>
      <xdr:colOff>661145</xdr:colOff>
      <xdr:row>0</xdr:row>
      <xdr:rowOff>44824</xdr:rowOff>
    </xdr:from>
    <xdr:to>
      <xdr:col>131</xdr:col>
      <xdr:colOff>19048</xdr:colOff>
      <xdr:row>1</xdr:row>
      <xdr:rowOff>3362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48410" y="44824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148</xdr:col>
      <xdr:colOff>627536</xdr:colOff>
      <xdr:row>0</xdr:row>
      <xdr:rowOff>33618</xdr:rowOff>
    </xdr:from>
    <xdr:to>
      <xdr:col>151</xdr:col>
      <xdr:colOff>63880</xdr:colOff>
      <xdr:row>0</xdr:row>
      <xdr:rowOff>395568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82801" y="33618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170</xdr:col>
      <xdr:colOff>11206</xdr:colOff>
      <xdr:row>0</xdr:row>
      <xdr:rowOff>33618</xdr:rowOff>
    </xdr:from>
    <xdr:to>
      <xdr:col>171</xdr:col>
      <xdr:colOff>198345</xdr:colOff>
      <xdr:row>0</xdr:row>
      <xdr:rowOff>395568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39588" y="33618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504270</xdr:colOff>
      <xdr:row>0</xdr:row>
      <xdr:rowOff>33618</xdr:rowOff>
    </xdr:from>
    <xdr:to>
      <xdr:col>25</xdr:col>
      <xdr:colOff>635379</xdr:colOff>
      <xdr:row>0</xdr:row>
      <xdr:rowOff>395568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5976" y="33618"/>
          <a:ext cx="915521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janam/Desktop/20.02%20Release%20-%20Copy/Key%20Stats/Key%20Stats%20-%20Standard%2020.2.xlsm" TargetMode="External"/><Relationship Id="rId1" Type="http://schemas.openxmlformats.org/officeDocument/2006/relationships/externalLinkPath" Target="/Users/yjanam/Desktop/20.02%20Release%20-%20Copy/Key%20Stats/Key%20Stats%20-%20Standard%2020.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rego/AppData/Local/Capital%20IQ/Office%20Plug-in/Templates/+Multi-Language/Financial%20Snapshot%20Tearsheet.xls" TargetMode="External"/><Relationship Id="rId1" Type="http://schemas.openxmlformats.org/officeDocument/2006/relationships/externalLinkPath" Target="/Users/crego/AppData/Local/Capital%20IQ/Office%20Plug-in/Templates/+Multi-Language/Financial%20Snapshot%20Tearsheet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Portfolio%20Snapshot.xlsm" TargetMode="External"/><Relationship Id="rId2" Type="http://schemas.openxmlformats.org/officeDocument/2006/relationships/externalLinkPath" Target="file:///C:\Users\patri\AppData\Local\Capital%20IQ\Office%20Plug-in\Templates\Portfolio%20and%20Index\Portfolio%20Snapshot.xlsm" TargetMode="External"/><Relationship Id="rId1" Type="http://schemas.openxmlformats.org/officeDocument/2006/relationships/externalLinkPath" Target="/Users/patri/AppData/Local/Capital%20IQ/Office%20Plug-in/Templates/Portfolio%20and%20Index/Portfolio%20Snapshot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CIQ%20Alpha%20Models.xls" TargetMode="External"/><Relationship Id="rId2" Type="http://schemas.openxmlformats.org/officeDocument/2006/relationships/externalLinkPath" Target="file:///C:\Users\patri\AppData\Local\Capital%20IQ\Office%20Plug-in\Templates\Portfolio%20and%20Index\CIQ%20Alpha%20Models.xls" TargetMode="External"/><Relationship Id="rId1" Type="http://schemas.openxmlformats.org/officeDocument/2006/relationships/externalLinkPath" Target="/Users/patri/AppData/Local/Capital%20IQ/Office%20Plug-in/Templates/Portfolio%20and%20Index/CIQ%20Alpha%20Mod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ey Stats"/>
      <sheetName val="Income Statement"/>
      <sheetName val="Balance Sheet"/>
      <sheetName val="Cash Flow"/>
      <sheetName val="Multiples"/>
      <sheetName val="Capitalization"/>
      <sheetName val="Capital Structure Summary"/>
      <sheetName val="Capital Structure Details"/>
      <sheetName val="Ratios"/>
      <sheetName val="Supplemental"/>
      <sheetName val="Pension-OP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U6" t="str">
            <v>IQDCS921164068</v>
          </cell>
        </row>
        <row r="7">
          <cell r="U7" t="str">
            <v>IQDCS922008726</v>
          </cell>
        </row>
        <row r="8">
          <cell r="U8" t="str">
            <v>IQDCS921164065</v>
          </cell>
        </row>
        <row r="9">
          <cell r="U9" t="str">
            <v>IQDCS923200891</v>
          </cell>
        </row>
        <row r="10">
          <cell r="U10" t="str">
            <v>IQDCS922584855</v>
          </cell>
        </row>
        <row r="11">
          <cell r="U11" t="str">
            <v>IQDCS920779925</v>
          </cell>
        </row>
        <row r="12">
          <cell r="U12" t="str">
            <v>IQDCS922920408</v>
          </cell>
        </row>
        <row r="13">
          <cell r="U13" t="str">
            <v>IQDCS920779921</v>
          </cell>
        </row>
        <row r="14">
          <cell r="U14" t="str">
            <v>IQDCS920779609</v>
          </cell>
        </row>
        <row r="15">
          <cell r="U15" t="str">
            <v>IQDCS920779615</v>
          </cell>
        </row>
        <row r="16">
          <cell r="U16" t="str">
            <v>IQDCS920779926</v>
          </cell>
        </row>
        <row r="17">
          <cell r="U17" t="str">
            <v>IQDCS922921278</v>
          </cell>
        </row>
        <row r="18">
          <cell r="U18" t="str">
            <v>IQDCS920779614</v>
          </cell>
        </row>
        <row r="19">
          <cell r="U19" t="str">
            <v>IQDCS920779928</v>
          </cell>
        </row>
        <row r="20">
          <cell r="U20" t="str">
            <v>IQDCS922921284</v>
          </cell>
        </row>
        <row r="21">
          <cell r="U21" t="str">
            <v>IQDCS921345359</v>
          </cell>
        </row>
        <row r="22">
          <cell r="U22" t="str">
            <v>IQDCS922920407</v>
          </cell>
        </row>
        <row r="23">
          <cell r="U23" t="str">
            <v>IQDCS920779608</v>
          </cell>
        </row>
        <row r="24">
          <cell r="U24" t="str">
            <v>IQDCS922921285</v>
          </cell>
        </row>
        <row r="25">
          <cell r="U25" t="str">
            <v>IQDCS920779922</v>
          </cell>
        </row>
        <row r="26">
          <cell r="U26" t="str">
            <v>IQDCS922921279</v>
          </cell>
        </row>
        <row r="27">
          <cell r="U27" t="str">
            <v>IQDCS920779620</v>
          </cell>
        </row>
        <row r="28">
          <cell r="U28" t="str">
            <v>IQDCS919289665</v>
          </cell>
        </row>
        <row r="29">
          <cell r="U29" t="str">
            <v>IQDCS920779612</v>
          </cell>
        </row>
        <row r="30">
          <cell r="U30" t="str">
            <v>IQDCS922921287</v>
          </cell>
        </row>
        <row r="35">
          <cell r="U35" t="str">
            <v>IQDCS921164068</v>
          </cell>
        </row>
        <row r="36">
          <cell r="U36" t="str">
            <v>IQDCS922008726</v>
          </cell>
        </row>
        <row r="37">
          <cell r="U37" t="str">
            <v>IQDCS921164065</v>
          </cell>
        </row>
        <row r="38">
          <cell r="U38" t="str">
            <v>IQDCS922031102</v>
          </cell>
        </row>
        <row r="39">
          <cell r="U39" t="str">
            <v>IQDCS922373212</v>
          </cell>
        </row>
        <row r="40">
          <cell r="U40" t="str">
            <v>IQDCS921164072</v>
          </cell>
        </row>
        <row r="41">
          <cell r="U41" t="str">
            <v>IQDCS920779925</v>
          </cell>
        </row>
        <row r="42">
          <cell r="U42" t="str">
            <v>IQDCS920779921</v>
          </cell>
        </row>
        <row r="43">
          <cell r="U43" t="str">
            <v>IQDCS920779609</v>
          </cell>
        </row>
        <row r="44">
          <cell r="U44" t="str">
            <v>IQDCS920779615</v>
          </cell>
        </row>
        <row r="45">
          <cell r="U45" t="str">
            <v>IQDCS920779926</v>
          </cell>
        </row>
        <row r="46">
          <cell r="U46" t="str">
            <v>IQDCS920779614</v>
          </cell>
        </row>
        <row r="47">
          <cell r="U47" t="str">
            <v>IQDCS920779928</v>
          </cell>
        </row>
        <row r="48">
          <cell r="U48" t="str">
            <v>IQDCS920780032</v>
          </cell>
        </row>
        <row r="49">
          <cell r="U49" t="str">
            <v>IQDCS921345359</v>
          </cell>
        </row>
        <row r="50">
          <cell r="U50" t="str">
            <v>IQDCS920779608</v>
          </cell>
        </row>
        <row r="51">
          <cell r="U51" t="str">
            <v>IQDCS920779922</v>
          </cell>
        </row>
        <row r="52">
          <cell r="U52" t="str">
            <v>IQDCS920779620</v>
          </cell>
        </row>
        <row r="53">
          <cell r="U53" t="str">
            <v>IQDCS919289665</v>
          </cell>
        </row>
        <row r="54">
          <cell r="U54" t="str">
            <v>IQDCS920779612</v>
          </cell>
        </row>
        <row r="55">
          <cell r="U55" t="str">
            <v>IQDCS919289795</v>
          </cell>
        </row>
        <row r="56">
          <cell r="U56" t="str">
            <v>IQDCS920779918</v>
          </cell>
        </row>
        <row r="57">
          <cell r="U57" t="str">
            <v>IQDCS920779617</v>
          </cell>
        </row>
        <row r="58">
          <cell r="U58" t="str">
            <v>IQDCS920779919</v>
          </cell>
        </row>
        <row r="59">
          <cell r="U59" t="str">
            <v>IQDCS921164084</v>
          </cell>
        </row>
        <row r="64">
          <cell r="U64" t="str">
            <v>IQDCS921164068</v>
          </cell>
        </row>
        <row r="65">
          <cell r="U65" t="str">
            <v>IQDCS921164072</v>
          </cell>
        </row>
        <row r="66">
          <cell r="U66" t="str">
            <v>IQDCS920779925</v>
          </cell>
        </row>
        <row r="67">
          <cell r="U67" t="str">
            <v>IQDCS920779921</v>
          </cell>
        </row>
        <row r="68">
          <cell r="U68" t="str">
            <v>IQDCS920779609</v>
          </cell>
        </row>
        <row r="69">
          <cell r="U69" t="str">
            <v>IQDCS920779615</v>
          </cell>
        </row>
        <row r="70">
          <cell r="U70" t="str">
            <v>IQDCS920779926</v>
          </cell>
        </row>
        <row r="71">
          <cell r="U71" t="str">
            <v>IQDCS920779614</v>
          </cell>
        </row>
        <row r="72">
          <cell r="U72" t="str">
            <v>IQDCS920779928</v>
          </cell>
        </row>
        <row r="73">
          <cell r="U73" t="str">
            <v>IQDCS920780032</v>
          </cell>
        </row>
        <row r="74">
          <cell r="U74" t="str">
            <v>IQDCS920779608</v>
          </cell>
        </row>
        <row r="75">
          <cell r="U75" t="str">
            <v>IQDCS920779922</v>
          </cell>
        </row>
        <row r="76">
          <cell r="U76" t="str">
            <v>IQDCS920779620</v>
          </cell>
        </row>
        <row r="77">
          <cell r="U77" t="str">
            <v>IQDCS919289665</v>
          </cell>
        </row>
        <row r="78">
          <cell r="U78" t="str">
            <v>IQDCS920779612</v>
          </cell>
        </row>
        <row r="79">
          <cell r="U79" t="str">
            <v>IQDCS919289795</v>
          </cell>
        </row>
        <row r="80">
          <cell r="U80" t="str">
            <v>IQDCS920779918</v>
          </cell>
        </row>
        <row r="81">
          <cell r="U81" t="str">
            <v>IQDCS920779617</v>
          </cell>
        </row>
        <row r="82">
          <cell r="U82" t="str">
            <v>IQDCS920779919</v>
          </cell>
        </row>
        <row r="83">
          <cell r="U83" t="str">
            <v>IQDCS919771151</v>
          </cell>
        </row>
        <row r="84">
          <cell r="U84" t="str">
            <v>IQDCS921164084</v>
          </cell>
        </row>
        <row r="85">
          <cell r="U85" t="str">
            <v>IQDCS921164085</v>
          </cell>
        </row>
        <row r="86">
          <cell r="U86" t="str">
            <v>IQDCS921164070</v>
          </cell>
        </row>
        <row r="87">
          <cell r="U87" t="str">
            <v>IQDCS921164071</v>
          </cell>
        </row>
        <row r="88">
          <cell r="U88" t="str">
            <v>IQDCS916957982</v>
          </cell>
        </row>
      </sheetData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apshot"/>
      <sheetName val="Data"/>
      <sheetName val="Lanugage Index"/>
    </sheetNames>
    <sheetDataSet>
      <sheetData sheetId="0" refreshError="1"/>
      <sheetData sheetId="1">
        <row r="9">
          <cell r="A9">
            <v>43558</v>
          </cell>
          <cell r="B9">
            <v>143.63</v>
          </cell>
          <cell r="C9">
            <v>2.6816499999999999</v>
          </cell>
        </row>
        <row r="10">
          <cell r="A10">
            <v>43559</v>
          </cell>
          <cell r="B10">
            <v>142.78</v>
          </cell>
          <cell r="C10">
            <v>2.7714599999999998</v>
          </cell>
        </row>
        <row r="11">
          <cell r="A11">
            <v>43560</v>
          </cell>
          <cell r="B11">
            <v>143.28</v>
          </cell>
          <cell r="C11">
            <v>2.7319900000000001</v>
          </cell>
        </row>
        <row r="12">
          <cell r="A12">
            <v>43563</v>
          </cell>
          <cell r="B12">
            <v>143.38999999999999</v>
          </cell>
          <cell r="C12">
            <v>2.1182300000000001</v>
          </cell>
        </row>
        <row r="13">
          <cell r="A13">
            <v>43564</v>
          </cell>
          <cell r="B13">
            <v>142.11000000000001</v>
          </cell>
          <cell r="C13">
            <v>3.0384600000000002</v>
          </cell>
        </row>
        <row r="14">
          <cell r="A14">
            <v>43565</v>
          </cell>
          <cell r="B14">
            <v>143.02000000000001</v>
          </cell>
          <cell r="C14">
            <v>2.6783100000000002</v>
          </cell>
        </row>
        <row r="15">
          <cell r="A15">
            <v>43566</v>
          </cell>
          <cell r="B15">
            <v>143.78</v>
          </cell>
          <cell r="C15">
            <v>2.9419900000000001</v>
          </cell>
        </row>
        <row r="16">
          <cell r="A16">
            <v>43567</v>
          </cell>
          <cell r="B16">
            <v>144.35</v>
          </cell>
          <cell r="C16">
            <v>2.8988999999999998</v>
          </cell>
        </row>
        <row r="17">
          <cell r="A17">
            <v>43570</v>
          </cell>
          <cell r="B17">
            <v>143.9</v>
          </cell>
          <cell r="C17">
            <v>3.6031599999999999</v>
          </cell>
        </row>
        <row r="18">
          <cell r="A18">
            <v>43571</v>
          </cell>
          <cell r="B18">
            <v>145.13999999999999</v>
          </cell>
          <cell r="C18">
            <v>6.3016699999999997</v>
          </cell>
        </row>
        <row r="19">
          <cell r="A19">
            <v>43572</v>
          </cell>
          <cell r="B19">
            <v>139.11000000000001</v>
          </cell>
          <cell r="C19">
            <v>12.525690000000001</v>
          </cell>
        </row>
        <row r="20">
          <cell r="A20">
            <v>43573</v>
          </cell>
          <cell r="B20">
            <v>140.33000000000001</v>
          </cell>
          <cell r="C20">
            <v>4.9600200000000001</v>
          </cell>
        </row>
        <row r="21">
          <cell r="A21">
            <v>43577</v>
          </cell>
          <cell r="B21">
            <v>138.88999999999999</v>
          </cell>
          <cell r="C21">
            <v>4.4943299999999997</v>
          </cell>
        </row>
        <row r="22">
          <cell r="A22">
            <v>43578</v>
          </cell>
          <cell r="B22">
            <v>140.44</v>
          </cell>
          <cell r="C22">
            <v>4.4622400000000004</v>
          </cell>
        </row>
        <row r="23">
          <cell r="A23">
            <v>43579</v>
          </cell>
          <cell r="B23">
            <v>139.94999999999999</v>
          </cell>
          <cell r="C23">
            <v>2.7748699999999999</v>
          </cell>
        </row>
        <row r="24">
          <cell r="A24">
            <v>43580</v>
          </cell>
          <cell r="B24">
            <v>138.63</v>
          </cell>
          <cell r="C24">
            <v>2.91011</v>
          </cell>
        </row>
        <row r="25">
          <cell r="A25">
            <v>43581</v>
          </cell>
          <cell r="B25">
            <v>139.44</v>
          </cell>
          <cell r="C25">
            <v>2.3198300000000001</v>
          </cell>
        </row>
        <row r="26">
          <cell r="A26">
            <v>43584</v>
          </cell>
          <cell r="B26">
            <v>139.05000000000001</v>
          </cell>
          <cell r="C26">
            <v>2.9583300000000001</v>
          </cell>
        </row>
        <row r="27">
          <cell r="A27">
            <v>43585</v>
          </cell>
          <cell r="B27">
            <v>140.27000000000001</v>
          </cell>
          <cell r="C27">
            <v>4.6388299999999996</v>
          </cell>
        </row>
        <row r="28">
          <cell r="A28">
            <v>43586</v>
          </cell>
          <cell r="B28">
            <v>140.56</v>
          </cell>
          <cell r="C28">
            <v>3.0536799999999999</v>
          </cell>
        </row>
        <row r="29">
          <cell r="A29">
            <v>43587</v>
          </cell>
          <cell r="B29">
            <v>139.59</v>
          </cell>
          <cell r="C29">
            <v>3.54135</v>
          </cell>
        </row>
        <row r="30">
          <cell r="A30">
            <v>43588</v>
          </cell>
          <cell r="B30">
            <v>140.25</v>
          </cell>
          <cell r="C30">
            <v>2.5800299999999998</v>
          </cell>
        </row>
        <row r="31">
          <cell r="A31">
            <v>43591</v>
          </cell>
          <cell r="B31">
            <v>140.38</v>
          </cell>
          <cell r="C31">
            <v>2.79366</v>
          </cell>
        </row>
        <row r="32">
          <cell r="A32">
            <v>43592</v>
          </cell>
          <cell r="B32">
            <v>137.63999999999999</v>
          </cell>
          <cell r="C32">
            <v>4.7267700000000001</v>
          </cell>
        </row>
        <row r="33">
          <cell r="A33">
            <v>43593</v>
          </cell>
          <cell r="B33">
            <v>138</v>
          </cell>
          <cell r="C33">
            <v>3.8189099999999998</v>
          </cell>
        </row>
        <row r="34">
          <cell r="A34">
            <v>43594</v>
          </cell>
          <cell r="B34">
            <v>135.34</v>
          </cell>
          <cell r="C34">
            <v>4.1929400000000001</v>
          </cell>
        </row>
        <row r="35">
          <cell r="A35">
            <v>43595</v>
          </cell>
          <cell r="B35">
            <v>135.32</v>
          </cell>
          <cell r="C35">
            <v>3.9776899999999999</v>
          </cell>
        </row>
        <row r="36">
          <cell r="A36">
            <v>43598</v>
          </cell>
          <cell r="B36">
            <v>131.41999999999999</v>
          </cell>
          <cell r="C36">
            <v>4.9580200000000003</v>
          </cell>
        </row>
        <row r="37">
          <cell r="A37">
            <v>43599</v>
          </cell>
          <cell r="B37">
            <v>133.31</v>
          </cell>
          <cell r="C37">
            <v>3.28037</v>
          </cell>
        </row>
        <row r="38">
          <cell r="A38">
            <v>43600</v>
          </cell>
          <cell r="B38">
            <v>134.4</v>
          </cell>
          <cell r="C38">
            <v>2.5510100000000002</v>
          </cell>
        </row>
        <row r="39">
          <cell r="A39">
            <v>43601</v>
          </cell>
          <cell r="B39">
            <v>135.88</v>
          </cell>
          <cell r="C39">
            <v>3.0174699999999999</v>
          </cell>
        </row>
        <row r="40">
          <cell r="A40">
            <v>43602</v>
          </cell>
          <cell r="B40">
            <v>134.32</v>
          </cell>
          <cell r="C40">
            <v>2.6191399999999998</v>
          </cell>
        </row>
        <row r="41">
          <cell r="A41">
            <v>43605</v>
          </cell>
          <cell r="B41">
            <v>135.12</v>
          </cell>
          <cell r="C41">
            <v>3.2646500000000001</v>
          </cell>
        </row>
        <row r="42">
          <cell r="A42">
            <v>43606</v>
          </cell>
          <cell r="B42">
            <v>136.44999999999999</v>
          </cell>
          <cell r="C42">
            <v>2.5034999999999998</v>
          </cell>
        </row>
        <row r="43">
          <cell r="A43">
            <v>43607</v>
          </cell>
          <cell r="B43">
            <v>136.35</v>
          </cell>
          <cell r="C43">
            <v>1.84982</v>
          </cell>
        </row>
        <row r="44">
          <cell r="A44">
            <v>43608</v>
          </cell>
          <cell r="B44">
            <v>132.38999999999999</v>
          </cell>
          <cell r="C44">
            <v>5.3434400000000002</v>
          </cell>
        </row>
        <row r="45">
          <cell r="A45">
            <v>43609</v>
          </cell>
          <cell r="B45">
            <v>132.28</v>
          </cell>
          <cell r="C45">
            <v>2.59612</v>
          </cell>
        </row>
        <row r="46">
          <cell r="A46">
            <v>43613</v>
          </cell>
          <cell r="B46">
            <v>130.46</v>
          </cell>
          <cell r="C46">
            <v>4.9091199999999997</v>
          </cell>
        </row>
        <row r="47">
          <cell r="A47">
            <v>43614</v>
          </cell>
          <cell r="B47">
            <v>129.69</v>
          </cell>
          <cell r="C47">
            <v>3.6789800000000001</v>
          </cell>
        </row>
        <row r="48">
          <cell r="A48">
            <v>43615</v>
          </cell>
          <cell r="B48">
            <v>129.57</v>
          </cell>
          <cell r="C48">
            <v>2.7418800000000001</v>
          </cell>
        </row>
        <row r="49">
          <cell r="A49">
            <v>43616</v>
          </cell>
          <cell r="B49">
            <v>126.99</v>
          </cell>
          <cell r="C49">
            <v>3.5393400000000002</v>
          </cell>
        </row>
        <row r="50">
          <cell r="A50">
            <v>43619</v>
          </cell>
          <cell r="B50">
            <v>128.27000000000001</v>
          </cell>
          <cell r="C50">
            <v>4.26708</v>
          </cell>
        </row>
        <row r="51">
          <cell r="A51">
            <v>43620</v>
          </cell>
          <cell r="B51">
            <v>132.69</v>
          </cell>
          <cell r="C51">
            <v>3.9135399999999998</v>
          </cell>
        </row>
        <row r="52">
          <cell r="A52">
            <v>43621</v>
          </cell>
          <cell r="B52">
            <v>131.49</v>
          </cell>
          <cell r="C52">
            <v>3.1615799999999998</v>
          </cell>
        </row>
        <row r="53">
          <cell r="A53">
            <v>43622</v>
          </cell>
          <cell r="B53">
            <v>132.22</v>
          </cell>
          <cell r="C53">
            <v>2.2982499999999999</v>
          </cell>
        </row>
        <row r="54">
          <cell r="A54">
            <v>43623</v>
          </cell>
          <cell r="B54">
            <v>133.31</v>
          </cell>
          <cell r="C54">
            <v>2.5533999999999999</v>
          </cell>
        </row>
        <row r="55">
          <cell r="A55">
            <v>43626</v>
          </cell>
          <cell r="B55">
            <v>134.74</v>
          </cell>
          <cell r="C55">
            <v>2.91133</v>
          </cell>
        </row>
        <row r="56">
          <cell r="A56">
            <v>43627</v>
          </cell>
          <cell r="B56">
            <v>135.94999999999999</v>
          </cell>
          <cell r="C56">
            <v>3.4073500000000001</v>
          </cell>
        </row>
        <row r="57">
          <cell r="A57">
            <v>43628</v>
          </cell>
          <cell r="B57">
            <v>134.87</v>
          </cell>
          <cell r="C57">
            <v>2.25474</v>
          </cell>
        </row>
        <row r="58">
          <cell r="A58">
            <v>43629</v>
          </cell>
          <cell r="B58">
            <v>135.76</v>
          </cell>
          <cell r="C58">
            <v>2.9554200000000002</v>
          </cell>
        </row>
        <row r="59">
          <cell r="A59">
            <v>43630</v>
          </cell>
          <cell r="B59">
            <v>135.15</v>
          </cell>
          <cell r="C59">
            <v>2.1933699999999998</v>
          </cell>
        </row>
        <row r="60">
          <cell r="A60">
            <v>43633</v>
          </cell>
          <cell r="B60">
            <v>134.94999999999999</v>
          </cell>
          <cell r="C60">
            <v>2.1941299999999999</v>
          </cell>
        </row>
        <row r="61">
          <cell r="A61">
            <v>43634</v>
          </cell>
          <cell r="B61">
            <v>136.38</v>
          </cell>
          <cell r="C61">
            <v>2.9146999999999998</v>
          </cell>
        </row>
        <row r="62">
          <cell r="A62">
            <v>43635</v>
          </cell>
          <cell r="B62">
            <v>137.08000000000001</v>
          </cell>
          <cell r="C62">
            <v>2.38252</v>
          </cell>
        </row>
        <row r="63">
          <cell r="A63">
            <v>43636</v>
          </cell>
          <cell r="B63">
            <v>138.85</v>
          </cell>
          <cell r="C63">
            <v>3.0710199999999999</v>
          </cell>
        </row>
        <row r="64">
          <cell r="A64">
            <v>43637</v>
          </cell>
          <cell r="B64">
            <v>139.19999999999999</v>
          </cell>
          <cell r="C64">
            <v>5.2887599999999999</v>
          </cell>
        </row>
        <row r="65">
          <cell r="A65">
            <v>43640</v>
          </cell>
          <cell r="B65">
            <v>139.35</v>
          </cell>
          <cell r="C65">
            <v>2.18614</v>
          </cell>
        </row>
        <row r="66">
          <cell r="A66">
            <v>43641</v>
          </cell>
          <cell r="B66">
            <v>138.36000000000001</v>
          </cell>
          <cell r="C66">
            <v>2.80125</v>
          </cell>
        </row>
        <row r="67">
          <cell r="A67">
            <v>43642</v>
          </cell>
          <cell r="B67">
            <v>138.52000000000001</v>
          </cell>
          <cell r="C67">
            <v>2.28457</v>
          </cell>
        </row>
        <row r="68">
          <cell r="A68">
            <v>43643</v>
          </cell>
          <cell r="B68">
            <v>138.52000000000001</v>
          </cell>
          <cell r="C68">
            <v>2.1498200000000001</v>
          </cell>
        </row>
        <row r="69">
          <cell r="A69">
            <v>43644</v>
          </cell>
          <cell r="B69">
            <v>137.9</v>
          </cell>
          <cell r="C69">
            <v>6.1540400000000002</v>
          </cell>
        </row>
        <row r="70">
          <cell r="A70">
            <v>43647</v>
          </cell>
          <cell r="B70">
            <v>139.88</v>
          </cell>
          <cell r="C70">
            <v>3.3871799999999999</v>
          </cell>
        </row>
        <row r="71">
          <cell r="A71">
            <v>43648</v>
          </cell>
          <cell r="B71">
            <v>140.22</v>
          </cell>
          <cell r="C71">
            <v>2.4100899999999998</v>
          </cell>
        </row>
        <row r="72">
          <cell r="A72">
            <v>43649</v>
          </cell>
          <cell r="B72">
            <v>141.54</v>
          </cell>
          <cell r="C72">
            <v>1.9303600000000001</v>
          </cell>
        </row>
        <row r="73">
          <cell r="A73">
            <v>43651</v>
          </cell>
          <cell r="B73">
            <v>141.38</v>
          </cell>
          <cell r="C73">
            <v>2.1350899999999999</v>
          </cell>
        </row>
        <row r="74">
          <cell r="A74">
            <v>43654</v>
          </cell>
          <cell r="B74">
            <v>140.57</v>
          </cell>
          <cell r="C74">
            <v>2.3954900000000001</v>
          </cell>
        </row>
        <row r="75">
          <cell r="A75">
            <v>43655</v>
          </cell>
          <cell r="B75">
            <v>139.33000000000001</v>
          </cell>
          <cell r="C75">
            <v>3.3652299999999999</v>
          </cell>
        </row>
        <row r="76">
          <cell r="A76">
            <v>43656</v>
          </cell>
          <cell r="B76">
            <v>140.47</v>
          </cell>
          <cell r="C76">
            <v>2.5139300000000002</v>
          </cell>
        </row>
        <row r="77">
          <cell r="A77">
            <v>43657</v>
          </cell>
          <cell r="B77">
            <v>141.24</v>
          </cell>
          <cell r="C77">
            <v>2.1333299999999999</v>
          </cell>
        </row>
        <row r="78">
          <cell r="A78">
            <v>43658</v>
          </cell>
          <cell r="B78">
            <v>142.74</v>
          </cell>
          <cell r="C78">
            <v>2.7862800000000001</v>
          </cell>
        </row>
        <row r="79">
          <cell r="A79">
            <v>43661</v>
          </cell>
          <cell r="B79">
            <v>143.32</v>
          </cell>
          <cell r="C79">
            <v>2.3683100000000001</v>
          </cell>
        </row>
        <row r="80">
          <cell r="A80">
            <v>43662</v>
          </cell>
          <cell r="B80">
            <v>143.53</v>
          </cell>
          <cell r="C80">
            <v>3.4746899999999998</v>
          </cell>
        </row>
        <row r="81">
          <cell r="A81">
            <v>43663</v>
          </cell>
          <cell r="B81">
            <v>143.07</v>
          </cell>
          <cell r="C81">
            <v>6.0642699999999996</v>
          </cell>
        </row>
        <row r="82">
          <cell r="A82">
            <v>43664</v>
          </cell>
          <cell r="B82">
            <v>149.63</v>
          </cell>
          <cell r="C82">
            <v>12.69539</v>
          </cell>
        </row>
        <row r="83">
          <cell r="A83">
            <v>43665</v>
          </cell>
          <cell r="B83">
            <v>149.68</v>
          </cell>
          <cell r="C83">
            <v>7.29068</v>
          </cell>
        </row>
        <row r="84">
          <cell r="A84">
            <v>43668</v>
          </cell>
          <cell r="B84">
            <v>149.74</v>
          </cell>
          <cell r="C84">
            <v>4.0932399999999998</v>
          </cell>
        </row>
        <row r="85">
          <cell r="A85">
            <v>43669</v>
          </cell>
          <cell r="B85">
            <v>150.38</v>
          </cell>
          <cell r="C85">
            <v>3.7422</v>
          </cell>
        </row>
        <row r="86">
          <cell r="A86">
            <v>43670</v>
          </cell>
          <cell r="B86">
            <v>150.03</v>
          </cell>
          <cell r="C86">
            <v>2.9524400000000002</v>
          </cell>
        </row>
        <row r="87">
          <cell r="A87">
            <v>43671</v>
          </cell>
          <cell r="B87">
            <v>150.38999999999999</v>
          </cell>
          <cell r="C87">
            <v>3.1021100000000001</v>
          </cell>
        </row>
        <row r="88">
          <cell r="A88">
            <v>43672</v>
          </cell>
          <cell r="B88">
            <v>151.36000000000001</v>
          </cell>
          <cell r="C88">
            <v>2.90449</v>
          </cell>
        </row>
        <row r="89">
          <cell r="A89">
            <v>43675</v>
          </cell>
          <cell r="B89">
            <v>150.88</v>
          </cell>
          <cell r="C89">
            <v>2.0755300000000001</v>
          </cell>
        </row>
        <row r="90">
          <cell r="A90">
            <v>43676</v>
          </cell>
          <cell r="B90">
            <v>149.77000000000001</v>
          </cell>
          <cell r="C90">
            <v>2.63273</v>
          </cell>
        </row>
        <row r="91">
          <cell r="A91">
            <v>43677</v>
          </cell>
          <cell r="B91">
            <v>148.24</v>
          </cell>
          <cell r="C91">
            <v>3.7229100000000002</v>
          </cell>
        </row>
        <row r="92">
          <cell r="A92">
            <v>43678</v>
          </cell>
          <cell r="B92">
            <v>150.32</v>
          </cell>
          <cell r="C92">
            <v>6.3440099999999999</v>
          </cell>
        </row>
        <row r="93">
          <cell r="A93">
            <v>43679</v>
          </cell>
          <cell r="B93">
            <v>147.25</v>
          </cell>
          <cell r="C93">
            <v>8.1017200000000003</v>
          </cell>
        </row>
        <row r="94">
          <cell r="A94">
            <v>43682</v>
          </cell>
          <cell r="B94">
            <v>140.76</v>
          </cell>
          <cell r="C94">
            <v>7.1148699999999998</v>
          </cell>
        </row>
        <row r="95">
          <cell r="A95">
            <v>43683</v>
          </cell>
          <cell r="B95">
            <v>140.72999999999999</v>
          </cell>
          <cell r="C95">
            <v>5.0706499999999997</v>
          </cell>
        </row>
        <row r="96">
          <cell r="A96">
            <v>43684</v>
          </cell>
          <cell r="B96">
            <v>139.11000000000001</v>
          </cell>
          <cell r="C96">
            <v>5.9318799999999996</v>
          </cell>
        </row>
        <row r="97">
          <cell r="A97">
            <v>43685</v>
          </cell>
          <cell r="B97">
            <v>140.1</v>
          </cell>
          <cell r="C97">
            <v>5.2614400000000003</v>
          </cell>
        </row>
        <row r="98">
          <cell r="A98">
            <v>43686</v>
          </cell>
          <cell r="B98">
            <v>136.13</v>
          </cell>
          <cell r="C98">
            <v>5.2445899999999996</v>
          </cell>
        </row>
        <row r="99">
          <cell r="A99">
            <v>43689</v>
          </cell>
          <cell r="B99">
            <v>134.12</v>
          </cell>
          <cell r="C99">
            <v>4.1936400000000003</v>
          </cell>
        </row>
        <row r="100">
          <cell r="A100">
            <v>43690</v>
          </cell>
          <cell r="B100">
            <v>135.79</v>
          </cell>
          <cell r="C100">
            <v>4.5511699999999999</v>
          </cell>
        </row>
        <row r="101">
          <cell r="A101">
            <v>43691</v>
          </cell>
          <cell r="B101">
            <v>131.25</v>
          </cell>
          <cell r="C101">
            <v>5.11416</v>
          </cell>
        </row>
        <row r="102">
          <cell r="A102">
            <v>43692</v>
          </cell>
          <cell r="B102">
            <v>131.91999999999999</v>
          </cell>
          <cell r="C102">
            <v>3.73895</v>
          </cell>
        </row>
        <row r="103">
          <cell r="A103">
            <v>43693</v>
          </cell>
          <cell r="B103">
            <v>133.76</v>
          </cell>
          <cell r="C103">
            <v>3.0119899999999999</v>
          </cell>
        </row>
        <row r="104">
          <cell r="A104">
            <v>43696</v>
          </cell>
          <cell r="B104">
            <v>135.04</v>
          </cell>
          <cell r="C104">
            <v>3.1654399999999998</v>
          </cell>
        </row>
        <row r="105">
          <cell r="A105">
            <v>43697</v>
          </cell>
          <cell r="B105">
            <v>133</v>
          </cell>
          <cell r="C105">
            <v>3.0189300000000001</v>
          </cell>
        </row>
        <row r="106">
          <cell r="A106">
            <v>43698</v>
          </cell>
          <cell r="B106">
            <v>134.25</v>
          </cell>
          <cell r="C106">
            <v>2.8067700000000002</v>
          </cell>
        </row>
        <row r="107">
          <cell r="A107">
            <v>43699</v>
          </cell>
          <cell r="B107">
            <v>134.32</v>
          </cell>
          <cell r="C107">
            <v>2.6950099999999999</v>
          </cell>
        </row>
        <row r="108">
          <cell r="A108">
            <v>43700</v>
          </cell>
          <cell r="B108">
            <v>129.57</v>
          </cell>
          <cell r="C108">
            <v>4.8187600000000002</v>
          </cell>
        </row>
        <row r="109">
          <cell r="A109">
            <v>43703</v>
          </cell>
          <cell r="B109">
            <v>129.99</v>
          </cell>
          <cell r="C109">
            <v>2.83684</v>
          </cell>
        </row>
        <row r="110">
          <cell r="A110">
            <v>43704</v>
          </cell>
          <cell r="B110">
            <v>131.16999999999999</v>
          </cell>
          <cell r="C110">
            <v>4.7283900000000001</v>
          </cell>
        </row>
        <row r="111">
          <cell r="A111">
            <v>43705</v>
          </cell>
          <cell r="B111">
            <v>132.76</v>
          </cell>
          <cell r="C111">
            <v>2.7203599999999999</v>
          </cell>
        </row>
        <row r="112">
          <cell r="A112">
            <v>43706</v>
          </cell>
          <cell r="B112">
            <v>134.88</v>
          </cell>
          <cell r="C112">
            <v>2.9728400000000001</v>
          </cell>
        </row>
        <row r="113">
          <cell r="A113">
            <v>43707</v>
          </cell>
          <cell r="B113">
            <v>135.53</v>
          </cell>
          <cell r="C113">
            <v>2.9605899999999998</v>
          </cell>
        </row>
        <row r="114">
          <cell r="A114">
            <v>43711</v>
          </cell>
          <cell r="B114">
            <v>134.1</v>
          </cell>
          <cell r="C114">
            <v>2.8282400000000001</v>
          </cell>
        </row>
        <row r="115">
          <cell r="A115">
            <v>43712</v>
          </cell>
          <cell r="B115">
            <v>136.32</v>
          </cell>
          <cell r="C115">
            <v>2.2620800000000001</v>
          </cell>
        </row>
        <row r="116">
          <cell r="A116">
            <v>43713</v>
          </cell>
          <cell r="B116">
            <v>140.97</v>
          </cell>
          <cell r="C116">
            <v>5.0129099999999998</v>
          </cell>
        </row>
        <row r="117">
          <cell r="A117">
            <v>43714</v>
          </cell>
          <cell r="B117">
            <v>140.57</v>
          </cell>
          <cell r="C117">
            <v>2.5771999999999999</v>
          </cell>
        </row>
        <row r="118">
          <cell r="A118">
            <v>43717</v>
          </cell>
          <cell r="B118">
            <v>142.6</v>
          </cell>
          <cell r="C118">
            <v>4.2269399999999999</v>
          </cell>
        </row>
        <row r="119">
          <cell r="A119">
            <v>43718</v>
          </cell>
          <cell r="B119">
            <v>145.05000000000001</v>
          </cell>
          <cell r="C119">
            <v>4.9797399999999996</v>
          </cell>
        </row>
        <row r="120">
          <cell r="A120">
            <v>43719</v>
          </cell>
          <cell r="B120">
            <v>143.6</v>
          </cell>
          <cell r="C120">
            <v>3.8697300000000001</v>
          </cell>
        </row>
        <row r="121">
          <cell r="A121">
            <v>43720</v>
          </cell>
          <cell r="B121">
            <v>143.62</v>
          </cell>
          <cell r="C121">
            <v>2.50543</v>
          </cell>
        </row>
        <row r="122">
          <cell r="A122">
            <v>43721</v>
          </cell>
          <cell r="B122">
            <v>143.66999999999999</v>
          </cell>
          <cell r="C122">
            <v>2.20661</v>
          </cell>
        </row>
        <row r="123">
          <cell r="A123">
            <v>43724</v>
          </cell>
          <cell r="B123">
            <v>142.47999999999999</v>
          </cell>
          <cell r="C123">
            <v>1.9285000000000001</v>
          </cell>
        </row>
        <row r="124">
          <cell r="A124">
            <v>43725</v>
          </cell>
          <cell r="B124">
            <v>142.19999999999999</v>
          </cell>
          <cell r="C124">
            <v>2.94049</v>
          </cell>
        </row>
        <row r="125">
          <cell r="A125">
            <v>43726</v>
          </cell>
          <cell r="B125">
            <v>142.22</v>
          </cell>
          <cell r="C125">
            <v>1.99516</v>
          </cell>
        </row>
        <row r="126">
          <cell r="A126">
            <v>43727</v>
          </cell>
          <cell r="B126">
            <v>142.97</v>
          </cell>
          <cell r="C126">
            <v>3.1820900000000001</v>
          </cell>
        </row>
        <row r="127">
          <cell r="A127">
            <v>43728</v>
          </cell>
          <cell r="B127">
            <v>141.88</v>
          </cell>
          <cell r="C127">
            <v>5.2178800000000001</v>
          </cell>
        </row>
        <row r="128">
          <cell r="A128">
            <v>43731</v>
          </cell>
          <cell r="B128">
            <v>142.07</v>
          </cell>
          <cell r="C128">
            <v>1.85006</v>
          </cell>
        </row>
        <row r="129">
          <cell r="A129">
            <v>43732</v>
          </cell>
          <cell r="B129">
            <v>141.68</v>
          </cell>
          <cell r="C129">
            <v>3.3111700000000002</v>
          </cell>
        </row>
        <row r="130">
          <cell r="A130">
            <v>43733</v>
          </cell>
          <cell r="B130">
            <v>143.16</v>
          </cell>
          <cell r="C130">
            <v>2.5462099999999999</v>
          </cell>
        </row>
        <row r="131">
          <cell r="A131">
            <v>43734</v>
          </cell>
          <cell r="B131">
            <v>143.55000000000001</v>
          </cell>
          <cell r="C131">
            <v>2.31454</v>
          </cell>
        </row>
        <row r="132">
          <cell r="A132">
            <v>43735</v>
          </cell>
          <cell r="B132">
            <v>143.24</v>
          </cell>
          <cell r="C132">
            <v>2.3570799999999998</v>
          </cell>
        </row>
        <row r="133">
          <cell r="A133">
            <v>43738</v>
          </cell>
          <cell r="B133">
            <v>145.41999999999999</v>
          </cell>
          <cell r="C133">
            <v>4.0044300000000002</v>
          </cell>
        </row>
        <row r="134">
          <cell r="A134">
            <v>43739</v>
          </cell>
          <cell r="B134">
            <v>143.66</v>
          </cell>
          <cell r="C134">
            <v>2.9737100000000001</v>
          </cell>
        </row>
        <row r="135">
          <cell r="A135">
            <v>43740</v>
          </cell>
          <cell r="B135">
            <v>141.69</v>
          </cell>
          <cell r="C135">
            <v>3.34728</v>
          </cell>
        </row>
        <row r="136">
          <cell r="A136">
            <v>43741</v>
          </cell>
          <cell r="B136">
            <v>142.02000000000001</v>
          </cell>
          <cell r="C136">
            <v>3.1617199999999999</v>
          </cell>
        </row>
        <row r="137">
          <cell r="A137">
            <v>43742</v>
          </cell>
          <cell r="B137">
            <v>142.99</v>
          </cell>
          <cell r="C137">
            <v>2.4494799999999999</v>
          </cell>
        </row>
        <row r="138">
          <cell r="A138">
            <v>43745</v>
          </cell>
          <cell r="B138">
            <v>141.28</v>
          </cell>
          <cell r="C138">
            <v>2.4887999999999999</v>
          </cell>
        </row>
        <row r="139">
          <cell r="A139">
            <v>43746</v>
          </cell>
          <cell r="B139">
            <v>138.38</v>
          </cell>
          <cell r="C139">
            <v>3.3440799999999999</v>
          </cell>
        </row>
        <row r="140">
          <cell r="A140">
            <v>43747</v>
          </cell>
          <cell r="B140">
            <v>139.66999999999999</v>
          </cell>
          <cell r="C140">
            <v>2.63347</v>
          </cell>
        </row>
        <row r="141">
          <cell r="A141">
            <v>43748</v>
          </cell>
          <cell r="B141">
            <v>141.13</v>
          </cell>
          <cell r="C141">
            <v>2.64669</v>
          </cell>
        </row>
        <row r="142">
          <cell r="A142">
            <v>43749</v>
          </cell>
          <cell r="B142">
            <v>142.76</v>
          </cell>
          <cell r="C142">
            <v>3.0186700000000002</v>
          </cell>
        </row>
        <row r="143">
          <cell r="A143">
            <v>43752</v>
          </cell>
          <cell r="B143">
            <v>142.04</v>
          </cell>
          <cell r="C143">
            <v>2.3256100000000002</v>
          </cell>
        </row>
        <row r="144">
          <cell r="A144">
            <v>43753</v>
          </cell>
          <cell r="B144">
            <v>143</v>
          </cell>
          <cell r="C144">
            <v>3.0470000000000002</v>
          </cell>
        </row>
        <row r="145">
          <cell r="A145">
            <v>43754</v>
          </cell>
          <cell r="B145">
            <v>142.11000000000001</v>
          </cell>
          <cell r="C145">
            <v>5.9157099999999998</v>
          </cell>
        </row>
        <row r="146">
          <cell r="A146">
            <v>43755</v>
          </cell>
          <cell r="B146">
            <v>134.26</v>
          </cell>
          <cell r="C146">
            <v>15.83081</v>
          </cell>
        </row>
        <row r="147">
          <cell r="A147">
            <v>43756</v>
          </cell>
          <cell r="B147">
            <v>134.09</v>
          </cell>
          <cell r="C147">
            <v>7.1783799999999998</v>
          </cell>
        </row>
        <row r="148">
          <cell r="A148">
            <v>43759</v>
          </cell>
          <cell r="B148">
            <v>132.58000000000001</v>
          </cell>
          <cell r="C148">
            <v>6.3729800000000001</v>
          </cell>
        </row>
        <row r="149">
          <cell r="A149">
            <v>43760</v>
          </cell>
          <cell r="B149">
            <v>133.96</v>
          </cell>
          <cell r="C149">
            <v>4.1958000000000002</v>
          </cell>
        </row>
        <row r="150">
          <cell r="A150">
            <v>43761</v>
          </cell>
          <cell r="B150">
            <v>134.38</v>
          </cell>
          <cell r="C150">
            <v>3.6273499999999999</v>
          </cell>
        </row>
        <row r="151">
          <cell r="A151">
            <v>43762</v>
          </cell>
          <cell r="B151">
            <v>134.07</v>
          </cell>
          <cell r="C151">
            <v>2.61931</v>
          </cell>
        </row>
        <row r="152">
          <cell r="A152">
            <v>43763</v>
          </cell>
          <cell r="B152">
            <v>135.44</v>
          </cell>
          <cell r="C152">
            <v>2.5790600000000001</v>
          </cell>
        </row>
        <row r="153">
          <cell r="A153">
            <v>43766</v>
          </cell>
          <cell r="B153">
            <v>135.97</v>
          </cell>
          <cell r="C153">
            <v>3.2261299999999999</v>
          </cell>
        </row>
        <row r="154">
          <cell r="A154">
            <v>43767</v>
          </cell>
          <cell r="B154">
            <v>133.82</v>
          </cell>
          <cell r="C154">
            <v>4.1607200000000004</v>
          </cell>
        </row>
        <row r="155">
          <cell r="A155">
            <v>43768</v>
          </cell>
          <cell r="B155">
            <v>135.25</v>
          </cell>
          <cell r="C155">
            <v>2.25299</v>
          </cell>
        </row>
        <row r="156">
          <cell r="A156">
            <v>43769</v>
          </cell>
          <cell r="B156">
            <v>133.72999999999999</v>
          </cell>
          <cell r="C156">
            <v>3.4121199999999998</v>
          </cell>
        </row>
        <row r="157">
          <cell r="A157">
            <v>43770</v>
          </cell>
          <cell r="B157">
            <v>135.53</v>
          </cell>
          <cell r="C157">
            <v>3.0897899999999998</v>
          </cell>
        </row>
        <row r="158">
          <cell r="A158">
            <v>43773</v>
          </cell>
          <cell r="B158">
            <v>137.66999999999999</v>
          </cell>
          <cell r="C158">
            <v>3.3353899999999999</v>
          </cell>
        </row>
        <row r="159">
          <cell r="A159">
            <v>43774</v>
          </cell>
          <cell r="B159">
            <v>137.88999999999999</v>
          </cell>
          <cell r="C159">
            <v>3.0149599999999999</v>
          </cell>
        </row>
        <row r="160">
          <cell r="A160">
            <v>43775</v>
          </cell>
          <cell r="B160">
            <v>138.78</v>
          </cell>
          <cell r="C160">
            <v>4.47729</v>
          </cell>
        </row>
        <row r="161">
          <cell r="A161">
            <v>43776</v>
          </cell>
          <cell r="B161">
            <v>137.69</v>
          </cell>
          <cell r="C161">
            <v>4.0739099999999997</v>
          </cell>
        </row>
        <row r="162">
          <cell r="A162">
            <v>43777</v>
          </cell>
          <cell r="B162">
            <v>137.61000000000001</v>
          </cell>
          <cell r="C162">
            <v>2.2786</v>
          </cell>
        </row>
        <row r="163">
          <cell r="A163">
            <v>43780</v>
          </cell>
          <cell r="B163">
            <v>135.47</v>
          </cell>
          <cell r="C163">
            <v>2.5687600000000002</v>
          </cell>
        </row>
        <row r="164">
          <cell r="A164">
            <v>43781</v>
          </cell>
          <cell r="B164">
            <v>135.59</v>
          </cell>
          <cell r="C164">
            <v>3.0465399999999998</v>
          </cell>
        </row>
        <row r="165">
          <cell r="A165">
            <v>43782</v>
          </cell>
          <cell r="B165">
            <v>134.47999999999999</v>
          </cell>
          <cell r="C165">
            <v>3.0609199999999999</v>
          </cell>
        </row>
        <row r="166">
          <cell r="A166">
            <v>43783</v>
          </cell>
          <cell r="B166">
            <v>134</v>
          </cell>
          <cell r="C166">
            <v>4.2314699999999998</v>
          </cell>
        </row>
        <row r="167">
          <cell r="A167">
            <v>43784</v>
          </cell>
          <cell r="B167">
            <v>134.4</v>
          </cell>
          <cell r="C167">
            <v>3.2626599999999999</v>
          </cell>
        </row>
        <row r="168">
          <cell r="A168">
            <v>43787</v>
          </cell>
          <cell r="B168">
            <v>134.31</v>
          </cell>
          <cell r="C168">
            <v>3.2108699999999999</v>
          </cell>
        </row>
        <row r="169">
          <cell r="A169">
            <v>43788</v>
          </cell>
          <cell r="B169">
            <v>134.52000000000001</v>
          </cell>
          <cell r="C169">
            <v>2.9950700000000001</v>
          </cell>
        </row>
        <row r="170">
          <cell r="A170">
            <v>43789</v>
          </cell>
          <cell r="B170">
            <v>133.19999999999999</v>
          </cell>
          <cell r="C170">
            <v>4.1401500000000002</v>
          </cell>
        </row>
        <row r="171">
          <cell r="A171">
            <v>43790</v>
          </cell>
          <cell r="B171">
            <v>133.84</v>
          </cell>
          <cell r="C171">
            <v>3.3453400000000002</v>
          </cell>
        </row>
        <row r="172">
          <cell r="A172">
            <v>43791</v>
          </cell>
          <cell r="B172">
            <v>134.34</v>
          </cell>
          <cell r="C172">
            <v>3.2978000000000001</v>
          </cell>
        </row>
        <row r="173">
          <cell r="A173">
            <v>43794</v>
          </cell>
          <cell r="B173">
            <v>135.97</v>
          </cell>
          <cell r="C173">
            <v>2.5901700000000001</v>
          </cell>
        </row>
        <row r="174">
          <cell r="A174">
            <v>43795</v>
          </cell>
          <cell r="B174">
            <v>135.09</v>
          </cell>
          <cell r="C174">
            <v>3.7933400000000002</v>
          </cell>
        </row>
        <row r="175">
          <cell r="A175">
            <v>43796</v>
          </cell>
          <cell r="B175">
            <v>133.77000000000001</v>
          </cell>
          <cell r="C175">
            <v>3.2828300000000001</v>
          </cell>
        </row>
        <row r="176">
          <cell r="A176">
            <v>43798</v>
          </cell>
          <cell r="B176">
            <v>134.44999999999999</v>
          </cell>
          <cell r="C176">
            <v>1.8252600000000001</v>
          </cell>
        </row>
        <row r="177">
          <cell r="A177">
            <v>43801</v>
          </cell>
          <cell r="B177">
            <v>132.91</v>
          </cell>
          <cell r="C177">
            <v>3.0678299999999998</v>
          </cell>
        </row>
        <row r="178">
          <cell r="A178">
            <v>43802</v>
          </cell>
          <cell r="B178">
            <v>132.12</v>
          </cell>
          <cell r="C178">
            <v>3.7110699999999999</v>
          </cell>
        </row>
        <row r="179">
          <cell r="A179">
            <v>43803</v>
          </cell>
          <cell r="B179">
            <v>131.99</v>
          </cell>
          <cell r="C179">
            <v>3.53077</v>
          </cell>
        </row>
        <row r="180">
          <cell r="A180">
            <v>43804</v>
          </cell>
          <cell r="B180">
            <v>131.91</v>
          </cell>
          <cell r="C180">
            <v>3.5985800000000001</v>
          </cell>
        </row>
        <row r="181">
          <cell r="A181">
            <v>43805</v>
          </cell>
          <cell r="B181">
            <v>133.22</v>
          </cell>
          <cell r="C181">
            <v>3.4379900000000001</v>
          </cell>
        </row>
        <row r="182">
          <cell r="A182">
            <v>43808</v>
          </cell>
          <cell r="B182">
            <v>133.91999999999999</v>
          </cell>
          <cell r="C182">
            <v>2.9788000000000001</v>
          </cell>
        </row>
        <row r="183">
          <cell r="A183">
            <v>43809</v>
          </cell>
          <cell r="B183">
            <v>133.91</v>
          </cell>
          <cell r="C183">
            <v>3.4803899999999999</v>
          </cell>
        </row>
        <row r="184">
          <cell r="A184">
            <v>43810</v>
          </cell>
          <cell r="B184">
            <v>133.76</v>
          </cell>
          <cell r="C184">
            <v>3.9533100000000001</v>
          </cell>
        </row>
        <row r="185">
          <cell r="A185">
            <v>43811</v>
          </cell>
          <cell r="B185">
            <v>135.32</v>
          </cell>
          <cell r="C185">
            <v>4.8241899999999998</v>
          </cell>
        </row>
        <row r="186">
          <cell r="A186">
            <v>43812</v>
          </cell>
          <cell r="B186">
            <v>134.21</v>
          </cell>
          <cell r="C186">
            <v>2.5349699999999999</v>
          </cell>
        </row>
        <row r="187">
          <cell r="A187">
            <v>43815</v>
          </cell>
          <cell r="B187">
            <v>134.13</v>
          </cell>
          <cell r="C187">
            <v>3.0493299999999999</v>
          </cell>
        </row>
        <row r="188">
          <cell r="A188">
            <v>43816</v>
          </cell>
          <cell r="B188">
            <v>134.22</v>
          </cell>
          <cell r="C188">
            <v>2.9075500000000001</v>
          </cell>
        </row>
        <row r="189">
          <cell r="A189">
            <v>43817</v>
          </cell>
          <cell r="B189">
            <v>134.41</v>
          </cell>
          <cell r="C189">
            <v>3.1023499999999999</v>
          </cell>
        </row>
        <row r="190">
          <cell r="A190">
            <v>43818</v>
          </cell>
          <cell r="B190">
            <v>134.56</v>
          </cell>
          <cell r="C190">
            <v>3.8667199999999999</v>
          </cell>
        </row>
        <row r="191">
          <cell r="A191">
            <v>43819</v>
          </cell>
          <cell r="B191">
            <v>135.59</v>
          </cell>
          <cell r="C191">
            <v>7.1120700000000001</v>
          </cell>
        </row>
        <row r="192">
          <cell r="A192">
            <v>43822</v>
          </cell>
          <cell r="B192">
            <v>135.55000000000001</v>
          </cell>
          <cell r="C192">
            <v>2.8031700000000002</v>
          </cell>
        </row>
        <row r="193">
          <cell r="A193">
            <v>43823</v>
          </cell>
          <cell r="B193">
            <v>134.97999999999999</v>
          </cell>
          <cell r="C193">
            <v>1.2020900000000001</v>
          </cell>
        </row>
        <row r="194">
          <cell r="A194">
            <v>43825</v>
          </cell>
          <cell r="B194">
            <v>134.91</v>
          </cell>
          <cell r="C194">
            <v>2.1307100000000001</v>
          </cell>
        </row>
        <row r="195">
          <cell r="A195">
            <v>43826</v>
          </cell>
          <cell r="B195">
            <v>135.27000000000001</v>
          </cell>
          <cell r="C195">
            <v>2.75271</v>
          </cell>
        </row>
        <row r="196">
          <cell r="A196">
            <v>43829</v>
          </cell>
          <cell r="B196">
            <v>132.81</v>
          </cell>
          <cell r="C196">
            <v>4.1189400000000003</v>
          </cell>
        </row>
        <row r="197">
          <cell r="A197">
            <v>43830</v>
          </cell>
          <cell r="B197">
            <v>134.04</v>
          </cell>
          <cell r="C197">
            <v>3.7780100000000001</v>
          </cell>
        </row>
        <row r="198">
          <cell r="A198">
            <v>43832</v>
          </cell>
          <cell r="B198">
            <v>135.41999999999999</v>
          </cell>
          <cell r="C198">
            <v>3.1488299999999998</v>
          </cell>
        </row>
        <row r="199">
          <cell r="A199">
            <v>43833</v>
          </cell>
          <cell r="B199">
            <v>134.34</v>
          </cell>
          <cell r="C199">
            <v>2.3736799999999998</v>
          </cell>
        </row>
        <row r="200">
          <cell r="A200">
            <v>43836</v>
          </cell>
          <cell r="B200">
            <v>134.1</v>
          </cell>
          <cell r="C200">
            <v>2.42631</v>
          </cell>
        </row>
        <row r="201">
          <cell r="A201">
            <v>43837</v>
          </cell>
          <cell r="B201">
            <v>134.19</v>
          </cell>
          <cell r="C201">
            <v>3.27597</v>
          </cell>
        </row>
        <row r="202">
          <cell r="A202">
            <v>43838</v>
          </cell>
          <cell r="B202">
            <v>135.31</v>
          </cell>
          <cell r="C202">
            <v>4.3461400000000001</v>
          </cell>
        </row>
        <row r="203">
          <cell r="A203">
            <v>43839</v>
          </cell>
          <cell r="B203">
            <v>136.74</v>
          </cell>
          <cell r="C203">
            <v>3.7328299999999999</v>
          </cell>
        </row>
        <row r="204">
          <cell r="A204">
            <v>43840</v>
          </cell>
          <cell r="B204">
            <v>136.69</v>
          </cell>
          <cell r="C204">
            <v>3.2556400000000001</v>
          </cell>
        </row>
        <row r="205">
          <cell r="A205">
            <v>43843</v>
          </cell>
          <cell r="B205">
            <v>136.6</v>
          </cell>
          <cell r="C205">
            <v>3.5315699999999999</v>
          </cell>
        </row>
        <row r="206">
          <cell r="A206">
            <v>43844</v>
          </cell>
          <cell r="B206">
            <v>135.82</v>
          </cell>
          <cell r="C206">
            <v>3.6834600000000002</v>
          </cell>
        </row>
        <row r="207">
          <cell r="A207">
            <v>43845</v>
          </cell>
          <cell r="B207">
            <v>136.62</v>
          </cell>
          <cell r="C207">
            <v>4.0459500000000004</v>
          </cell>
        </row>
        <row r="208">
          <cell r="A208">
            <v>43846</v>
          </cell>
          <cell r="B208">
            <v>137.97999999999999</v>
          </cell>
          <cell r="C208">
            <v>4.3209099999999996</v>
          </cell>
        </row>
        <row r="209">
          <cell r="A209">
            <v>43847</v>
          </cell>
          <cell r="B209">
            <v>138.31</v>
          </cell>
          <cell r="C209">
            <v>5.6233399999999998</v>
          </cell>
        </row>
        <row r="210">
          <cell r="A210">
            <v>43851</v>
          </cell>
          <cell r="B210">
            <v>139.16999999999999</v>
          </cell>
          <cell r="C210">
            <v>7.2440800000000003</v>
          </cell>
        </row>
        <row r="211">
          <cell r="A211">
            <v>43852</v>
          </cell>
          <cell r="B211">
            <v>143.88999999999999</v>
          </cell>
          <cell r="C211">
            <v>16.47043</v>
          </cell>
        </row>
        <row r="212">
          <cell r="A212">
            <v>43853</v>
          </cell>
          <cell r="B212">
            <v>142.87</v>
          </cell>
          <cell r="C212">
            <v>5.6577900000000003</v>
          </cell>
        </row>
        <row r="213">
          <cell r="A213">
            <v>43854</v>
          </cell>
          <cell r="B213">
            <v>140.56</v>
          </cell>
          <cell r="C213">
            <v>5.58019</v>
          </cell>
        </row>
        <row r="214">
          <cell r="A214">
            <v>43857</v>
          </cell>
          <cell r="B214">
            <v>138.62</v>
          </cell>
          <cell r="C214">
            <v>4.1665599999999996</v>
          </cell>
        </row>
        <row r="215">
          <cell r="A215">
            <v>43858</v>
          </cell>
          <cell r="B215">
            <v>139.55000000000001</v>
          </cell>
          <cell r="C215">
            <v>3.4515600000000002</v>
          </cell>
        </row>
        <row r="216">
          <cell r="A216">
            <v>43859</v>
          </cell>
          <cell r="B216">
            <v>137.69</v>
          </cell>
          <cell r="C216">
            <v>3.05471</v>
          </cell>
        </row>
        <row r="217">
          <cell r="A217">
            <v>43860</v>
          </cell>
          <cell r="B217">
            <v>136.77000000000001</v>
          </cell>
          <cell r="C217">
            <v>5.0579099999999997</v>
          </cell>
        </row>
        <row r="218">
          <cell r="A218">
            <v>43861</v>
          </cell>
          <cell r="B218">
            <v>143.72999999999999</v>
          </cell>
          <cell r="C218">
            <v>18.99456</v>
          </cell>
        </row>
        <row r="219">
          <cell r="A219">
            <v>43864</v>
          </cell>
          <cell r="B219">
            <v>146.27000000000001</v>
          </cell>
          <cell r="C219">
            <v>8.8874999999999993</v>
          </cell>
        </row>
        <row r="220">
          <cell r="A220">
            <v>43865</v>
          </cell>
          <cell r="B220">
            <v>149.11000000000001</v>
          </cell>
          <cell r="C220">
            <v>5.6209699999999998</v>
          </cell>
        </row>
        <row r="221">
          <cell r="A221">
            <v>43866</v>
          </cell>
          <cell r="B221">
            <v>156.33000000000001</v>
          </cell>
          <cell r="C221">
            <v>14.38682</v>
          </cell>
        </row>
        <row r="222">
          <cell r="A222">
            <v>43867</v>
          </cell>
          <cell r="B222">
            <v>156.76</v>
          </cell>
          <cell r="C222">
            <v>8.4005500000000008</v>
          </cell>
        </row>
        <row r="223">
          <cell r="A223">
            <v>43868</v>
          </cell>
          <cell r="B223">
            <v>153.41</v>
          </cell>
          <cell r="C223">
            <v>6.4234299999999998</v>
          </cell>
        </row>
        <row r="224">
          <cell r="A224">
            <v>43871</v>
          </cell>
          <cell r="B224">
            <v>154.43</v>
          </cell>
          <cell r="C224">
            <v>5.2398100000000003</v>
          </cell>
        </row>
        <row r="225">
          <cell r="A225">
            <v>43872</v>
          </cell>
          <cell r="B225">
            <v>153.47999999999999</v>
          </cell>
          <cell r="C225">
            <v>3.8351099999999998</v>
          </cell>
        </row>
        <row r="226">
          <cell r="A226">
            <v>43873</v>
          </cell>
          <cell r="B226">
            <v>155.31</v>
          </cell>
          <cell r="C226">
            <v>4.4380100000000002</v>
          </cell>
        </row>
        <row r="227">
          <cell r="A227">
            <v>43874</v>
          </cell>
          <cell r="B227">
            <v>154.31</v>
          </cell>
          <cell r="C227">
            <v>3.8207</v>
          </cell>
        </row>
        <row r="228">
          <cell r="A228">
            <v>43875</v>
          </cell>
          <cell r="B228">
            <v>150.69999999999999</v>
          </cell>
          <cell r="C228">
            <v>6.09924</v>
          </cell>
        </row>
        <row r="229">
          <cell r="A229">
            <v>43879</v>
          </cell>
          <cell r="B229">
            <v>151.1</v>
          </cell>
          <cell r="C229">
            <v>3.3435100000000002</v>
          </cell>
        </row>
        <row r="230">
          <cell r="A230">
            <v>43880</v>
          </cell>
          <cell r="B230">
            <v>150.86000000000001</v>
          </cell>
          <cell r="C230">
            <v>2.7332800000000002</v>
          </cell>
        </row>
        <row r="231">
          <cell r="A231">
            <v>43881</v>
          </cell>
          <cell r="B231">
            <v>151.22</v>
          </cell>
          <cell r="C231">
            <v>2.8807100000000001</v>
          </cell>
        </row>
        <row r="232">
          <cell r="A232">
            <v>43882</v>
          </cell>
          <cell r="B232">
            <v>149.84</v>
          </cell>
          <cell r="C232">
            <v>3.5372599999999998</v>
          </cell>
        </row>
        <row r="233">
          <cell r="A233">
            <v>43885</v>
          </cell>
          <cell r="B233">
            <v>146.43</v>
          </cell>
          <cell r="C233">
            <v>5.4524100000000004</v>
          </cell>
        </row>
        <row r="234">
          <cell r="A234">
            <v>43886</v>
          </cell>
          <cell r="B234">
            <v>141.71</v>
          </cell>
          <cell r="C234">
            <v>6.2115499999999999</v>
          </cell>
        </row>
        <row r="235">
          <cell r="A235">
            <v>43887</v>
          </cell>
          <cell r="B235">
            <v>139.75</v>
          </cell>
          <cell r="C235">
            <v>5.4095399999999998</v>
          </cell>
        </row>
        <row r="236">
          <cell r="A236">
            <v>43888</v>
          </cell>
          <cell r="B236">
            <v>133.11000000000001</v>
          </cell>
          <cell r="C236">
            <v>8.4211299999999998</v>
          </cell>
        </row>
        <row r="237">
          <cell r="A237">
            <v>43889</v>
          </cell>
          <cell r="B237">
            <v>130.15</v>
          </cell>
          <cell r="C237">
            <v>13.012230000000001</v>
          </cell>
        </row>
        <row r="238">
          <cell r="A238">
            <v>43892</v>
          </cell>
          <cell r="B238">
            <v>134.30000000000001</v>
          </cell>
          <cell r="C238">
            <v>8.5314200000000007</v>
          </cell>
        </row>
        <row r="239">
          <cell r="A239">
            <v>43893</v>
          </cell>
          <cell r="B239">
            <v>128.9</v>
          </cell>
          <cell r="C239">
            <v>7.8960699999999999</v>
          </cell>
        </row>
        <row r="240">
          <cell r="A240">
            <v>43894</v>
          </cell>
          <cell r="B240">
            <v>134.22</v>
          </cell>
          <cell r="C240">
            <v>4.9963699999999998</v>
          </cell>
        </row>
        <row r="241">
          <cell r="A241">
            <v>43895</v>
          </cell>
          <cell r="B241">
            <v>129.55000000000001</v>
          </cell>
          <cell r="C241">
            <v>5.4462299999999999</v>
          </cell>
        </row>
        <row r="242">
          <cell r="A242">
            <v>43896</v>
          </cell>
          <cell r="B242">
            <v>127.73</v>
          </cell>
          <cell r="C242">
            <v>8.1932600000000004</v>
          </cell>
        </row>
        <row r="243">
          <cell r="A243">
            <v>43899</v>
          </cell>
          <cell r="B243">
            <v>117.81</v>
          </cell>
          <cell r="C243">
            <v>10.757490000000001</v>
          </cell>
        </row>
        <row r="244">
          <cell r="A244">
            <v>43900</v>
          </cell>
          <cell r="B244">
            <v>124.77</v>
          </cell>
          <cell r="C244">
            <v>11.410690000000001</v>
          </cell>
        </row>
        <row r="245">
          <cell r="A245">
            <v>43901</v>
          </cell>
          <cell r="B245">
            <v>117.97</v>
          </cell>
          <cell r="C245">
            <v>8.4510400000000008</v>
          </cell>
        </row>
        <row r="246">
          <cell r="A246">
            <v>43902</v>
          </cell>
          <cell r="B246">
            <v>102.81</v>
          </cell>
          <cell r="C246">
            <v>12.51266</v>
          </cell>
        </row>
        <row r="247">
          <cell r="A247">
            <v>43903</v>
          </cell>
          <cell r="B247">
            <v>107.95</v>
          </cell>
          <cell r="C247">
            <v>12.50211</v>
          </cell>
        </row>
        <row r="248">
          <cell r="A248">
            <v>43906</v>
          </cell>
          <cell r="B248">
            <v>99.08</v>
          </cell>
          <cell r="C248">
            <v>10.567959999999999</v>
          </cell>
        </row>
        <row r="249">
          <cell r="A249">
            <v>43907</v>
          </cell>
          <cell r="B249">
            <v>106.65</v>
          </cell>
          <cell r="C249">
            <v>9.2583400000000005</v>
          </cell>
        </row>
        <row r="250">
          <cell r="A250">
            <v>43908</v>
          </cell>
          <cell r="B250">
            <v>103.55</v>
          </cell>
          <cell r="C250">
            <v>8.7724600000000006</v>
          </cell>
        </row>
        <row r="251">
          <cell r="A251">
            <v>43909</v>
          </cell>
          <cell r="B251">
            <v>100.34</v>
          </cell>
          <cell r="C251">
            <v>8.3965200000000006</v>
          </cell>
        </row>
        <row r="252">
          <cell r="A252">
            <v>43910</v>
          </cell>
          <cell r="B252">
            <v>95.39</v>
          </cell>
          <cell r="C252">
            <v>10.54646</v>
          </cell>
        </row>
        <row r="253">
          <cell r="A253">
            <v>43913</v>
          </cell>
          <cell r="B253">
            <v>94.77</v>
          </cell>
          <cell r="C253">
            <v>9.7293900000000004</v>
          </cell>
        </row>
        <row r="254">
          <cell r="A254">
            <v>43914</v>
          </cell>
          <cell r="B254">
            <v>105.48</v>
          </cell>
          <cell r="C254">
            <v>7.9739399999999998</v>
          </cell>
        </row>
        <row r="255">
          <cell r="A255">
            <v>43915</v>
          </cell>
          <cell r="B255">
            <v>105.85</v>
          </cell>
          <cell r="C255">
            <v>8.6540499999999998</v>
          </cell>
        </row>
        <row r="256">
          <cell r="A256">
            <v>43916</v>
          </cell>
          <cell r="B256">
            <v>112.89</v>
          </cell>
          <cell r="C256">
            <v>7.1580500000000002</v>
          </cell>
        </row>
        <row r="257">
          <cell r="A257">
            <v>43917</v>
          </cell>
          <cell r="B257">
            <v>108.03</v>
          </cell>
          <cell r="C257">
            <v>6.4230400000000003</v>
          </cell>
        </row>
        <row r="258">
          <cell r="A258">
            <v>43920</v>
          </cell>
          <cell r="B258">
            <v>112.93</v>
          </cell>
          <cell r="C258">
            <v>5.56454</v>
          </cell>
        </row>
        <row r="259">
          <cell r="A259">
            <v>43921</v>
          </cell>
          <cell r="B259">
            <v>110.93</v>
          </cell>
          <cell r="C259">
            <v>6.3466800000000001</v>
          </cell>
        </row>
        <row r="260">
          <cell r="A260">
            <v>43922</v>
          </cell>
          <cell r="B260">
            <v>105.14</v>
          </cell>
          <cell r="C260">
            <v>6.1129499999999997</v>
          </cell>
        </row>
        <row r="261">
          <cell r="A261">
            <v>43923</v>
          </cell>
          <cell r="B261">
            <v>110</v>
          </cell>
          <cell r="C261">
            <v>6.3286699999999998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Summary"/>
      <sheetName val="Portfolio"/>
      <sheetName val="Benchmark"/>
      <sheetName val="PortContrib"/>
      <sheetName val="BenchContrib"/>
      <sheetName val="Chart Data"/>
      <sheetName val="Data"/>
    </sheetNames>
    <sheetDataSet>
      <sheetData sheetId="0"/>
      <sheetData sheetId="1"/>
      <sheetData sheetId="2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3">
        <row r="7">
          <cell r="AI7" t="str">
            <v>NYSE:MMM</v>
          </cell>
          <cell r="AJ7">
            <v>531225000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  <row r="8">
          <cell r="AI8" t="str">
            <v>NYSE:AOS</v>
          </cell>
          <cell r="AJ8">
            <v>113372000</v>
          </cell>
        </row>
        <row r="9">
          <cell r="AI9" t="str">
            <v>NYSE:ABT</v>
          </cell>
          <cell r="AJ9">
            <v>1738872000</v>
          </cell>
        </row>
        <row r="10">
          <cell r="AI10" t="str">
            <v>NYSE:ABBV</v>
          </cell>
          <cell r="AJ10">
            <v>1767385000</v>
          </cell>
        </row>
        <row r="11">
          <cell r="AI11" t="str">
            <v>NYSE:ACN</v>
          </cell>
          <cell r="AJ11">
            <v>620139000</v>
          </cell>
        </row>
        <row r="12">
          <cell r="AI12" t="str">
            <v>NasdaqGS:ADBE</v>
          </cell>
          <cell r="AJ12">
            <v>418600000</v>
          </cell>
        </row>
        <row r="13">
          <cell r="AI13" t="str">
            <v>NasdaqGS:AMD</v>
          </cell>
          <cell r="AJ13">
            <v>1628042000</v>
          </cell>
        </row>
        <row r="14">
          <cell r="AI14" t="str">
            <v>NYSE:AFL</v>
          </cell>
          <cell r="AJ14">
            <v>471702600</v>
          </cell>
        </row>
        <row r="15">
          <cell r="AI15" t="str">
            <v>NYSE:A</v>
          </cell>
          <cell r="AJ15">
            <v>283500000</v>
          </cell>
        </row>
        <row r="16">
          <cell r="AI16" t="str">
            <v>NYSE:APD</v>
          </cell>
          <cell r="AJ16">
            <v>222554000</v>
          </cell>
        </row>
        <row r="17">
          <cell r="AI17" t="str">
            <v>NasdaqGS:ABNB</v>
          </cell>
          <cell r="AJ17">
            <v>425294000</v>
          </cell>
        </row>
        <row r="18">
          <cell r="AI18" t="str">
            <v>NasdaqGS:AKAM</v>
          </cell>
          <cell r="AJ18">
            <v>143865000</v>
          </cell>
        </row>
        <row r="19">
          <cell r="AI19" t="str">
            <v>NYSE:ALB</v>
          </cell>
          <cell r="AJ19">
            <v>117698000</v>
          </cell>
        </row>
        <row r="20">
          <cell r="AI20" t="str">
            <v>NYSE:ARE</v>
          </cell>
          <cell r="AJ20">
            <v>155542500</v>
          </cell>
        </row>
        <row r="21">
          <cell r="AI21" t="str">
            <v>NasdaqGS:ALGN</v>
          </cell>
          <cell r="AJ21">
            <v>66727500</v>
          </cell>
        </row>
        <row r="22">
          <cell r="AI22" t="str">
            <v>NYSE:ALLE</v>
          </cell>
          <cell r="AJ22">
            <v>86032000</v>
          </cell>
        </row>
        <row r="23">
          <cell r="AI23" t="str">
            <v>NasdaqGS:LNT</v>
          </cell>
          <cell r="AJ23">
            <v>257054000</v>
          </cell>
        </row>
        <row r="24">
          <cell r="AI24" t="str">
            <v>NasdaqGS:GOOG</v>
          </cell>
          <cell r="AJ24">
            <v>4650020000</v>
          </cell>
        </row>
        <row r="25">
          <cell r="AI25" t="str">
            <v>NasdaqGS:GOOGL</v>
          </cell>
          <cell r="AJ25">
            <v>5818000000</v>
          </cell>
        </row>
        <row r="26">
          <cell r="AI26" t="str">
            <v>NYSE:MO</v>
          </cell>
          <cell r="AJ26">
            <v>1678672000</v>
          </cell>
        </row>
        <row r="27">
          <cell r="AI27" t="str">
            <v>NasdaqGS:AMZN</v>
          </cell>
          <cell r="AJ27">
            <v>9728096560</v>
          </cell>
        </row>
        <row r="28">
          <cell r="AI28" t="str">
            <v>NYSE:AMCR</v>
          </cell>
          <cell r="AJ28">
            <v>461672000</v>
          </cell>
        </row>
        <row r="29">
          <cell r="AI29" t="str">
            <v>NYSE:AEE</v>
          </cell>
          <cell r="AJ29">
            <v>270495000</v>
          </cell>
        </row>
        <row r="30">
          <cell r="AI30" t="str">
            <v>NasdaqGS:AEP</v>
          </cell>
          <cell r="AJ30">
            <v>535266000</v>
          </cell>
        </row>
        <row r="31">
          <cell r="AI31" t="str">
            <v>NYSE:AXP</v>
          </cell>
          <cell r="AJ31">
            <v>537304560</v>
          </cell>
        </row>
        <row r="32">
          <cell r="AI32" t="str">
            <v>NYSE:AIG</v>
          </cell>
          <cell r="AJ32">
            <v>539576000</v>
          </cell>
        </row>
        <row r="33">
          <cell r="AI33" t="str">
            <v>NYSE:AMT</v>
          </cell>
          <cell r="AJ33">
            <v>468147000</v>
          </cell>
        </row>
        <row r="34">
          <cell r="AI34" t="str">
            <v>NYSE:AWK</v>
          </cell>
          <cell r="AJ34">
            <v>195124000</v>
          </cell>
        </row>
        <row r="35">
          <cell r="AI35" t="str">
            <v>NYSE:AMP</v>
          </cell>
          <cell r="AJ35">
            <v>92906000</v>
          </cell>
        </row>
        <row r="36">
          <cell r="AI36" t="str">
            <v>NYSE:AME</v>
          </cell>
          <cell r="AJ36">
            <v>230204000</v>
          </cell>
        </row>
        <row r="37">
          <cell r="AI37" t="str">
            <v>NasdaqGS:AMGN</v>
          </cell>
          <cell r="AJ37">
            <v>538481000</v>
          </cell>
        </row>
        <row r="38">
          <cell r="AI38" t="str">
            <v>NYSE:APH</v>
          </cell>
          <cell r="AJ38">
            <v>1224056000</v>
          </cell>
        </row>
        <row r="39">
          <cell r="AI39" t="str">
            <v>NasdaqGS:ADI</v>
          </cell>
          <cell r="AJ39">
            <v>491955000</v>
          </cell>
        </row>
        <row r="40">
          <cell r="AI40" t="str">
            <v>NYSE:AON</v>
          </cell>
          <cell r="AJ40">
            <v>214935000</v>
          </cell>
        </row>
        <row r="41">
          <cell r="AI41" t="str">
            <v>NasdaqGS:APA</v>
          </cell>
          <cell r="AJ41">
            <v>354669000</v>
          </cell>
        </row>
        <row r="42">
          <cell r="AI42" t="str">
            <v>NYSE:APO</v>
          </cell>
          <cell r="AJ42">
            <v>464338400</v>
          </cell>
        </row>
        <row r="43">
          <cell r="AI43" t="str">
            <v>NasdaqGS:AAPL</v>
          </cell>
          <cell r="AJ43">
            <v>14776353000</v>
          </cell>
        </row>
        <row r="44">
          <cell r="AI44" t="str">
            <v>NasdaqGS:AMAT</v>
          </cell>
          <cell r="AJ44">
            <v>796642000</v>
          </cell>
        </row>
        <row r="45">
          <cell r="AI45" t="str">
            <v>NasdaqGS:APP</v>
          </cell>
          <cell r="AJ45">
            <v>270685360</v>
          </cell>
        </row>
        <row r="46">
          <cell r="AI46" t="str">
            <v>NYSE:APTV</v>
          </cell>
          <cell r="AJ46">
            <v>216079000</v>
          </cell>
        </row>
        <row r="47">
          <cell r="AI47" t="str">
            <v>NasdaqGS:ACGL</v>
          </cell>
          <cell r="AJ47">
            <v>361097000</v>
          </cell>
        </row>
        <row r="48">
          <cell r="AI48" t="str">
            <v>NYSE:ADM</v>
          </cell>
          <cell r="AJ48">
            <v>480570000</v>
          </cell>
        </row>
        <row r="49">
          <cell r="AI49" t="str">
            <v>NYSE:ARES</v>
          </cell>
          <cell r="AJ49">
            <v>206009400</v>
          </cell>
        </row>
        <row r="50">
          <cell r="AI50" t="str">
            <v>NYSE:ANET</v>
          </cell>
          <cell r="AJ50">
            <v>1032613700</v>
          </cell>
        </row>
        <row r="51">
          <cell r="AI51" t="str">
            <v>NYSE:AJG</v>
          </cell>
          <cell r="AJ51">
            <v>256805000</v>
          </cell>
        </row>
        <row r="52">
          <cell r="AI52" t="str">
            <v>NYSE:AIZ</v>
          </cell>
          <cell r="AJ52">
            <v>50081000</v>
          </cell>
        </row>
        <row r="53">
          <cell r="AI53" t="str">
            <v>NYSE:T</v>
          </cell>
          <cell r="AJ53">
            <v>7089449000</v>
          </cell>
        </row>
        <row r="54">
          <cell r="AI54" t="str">
            <v>NYSE:ATO</v>
          </cell>
          <cell r="AJ54">
            <v>160524000</v>
          </cell>
        </row>
        <row r="55">
          <cell r="AI55" t="str">
            <v>NasdaqGS:ADSK</v>
          </cell>
          <cell r="AJ55">
            <v>213000000</v>
          </cell>
        </row>
        <row r="56">
          <cell r="AI56" t="str">
            <v>NasdaqGS:ADP</v>
          </cell>
          <cell r="AJ56">
            <v>404449000</v>
          </cell>
        </row>
        <row r="57">
          <cell r="AI57" t="str">
            <v>NYSE:AZO</v>
          </cell>
          <cell r="AJ57">
            <v>16633000</v>
          </cell>
        </row>
        <row r="58">
          <cell r="AI58" t="str">
            <v>NYSE:AVB</v>
          </cell>
          <cell r="AJ58">
            <v>141424000</v>
          </cell>
        </row>
        <row r="59">
          <cell r="AI59" t="str">
            <v>NYSE:AVY</v>
          </cell>
          <cell r="AJ59">
            <v>77295000</v>
          </cell>
        </row>
        <row r="60">
          <cell r="AI60" t="str">
            <v>NasdaqGS:AXON</v>
          </cell>
          <cell r="AJ60">
            <v>78910000</v>
          </cell>
        </row>
        <row r="61">
          <cell r="AI61" t="str">
            <v>NasdaqGS:BKR</v>
          </cell>
          <cell r="AJ61">
            <v>986774000</v>
          </cell>
        </row>
        <row r="62">
          <cell r="AI62" t="str">
            <v>NYSE:BALL</v>
          </cell>
          <cell r="AJ62">
            <v>267987000</v>
          </cell>
        </row>
        <row r="63">
          <cell r="AI63" t="str">
            <v>NYSE:BAC</v>
          </cell>
          <cell r="AJ63">
            <v>6718296320</v>
          </cell>
        </row>
        <row r="64">
          <cell r="AI64" t="str">
            <v>NYSE:BAX</v>
          </cell>
          <cell r="AJ64">
            <v>514056000</v>
          </cell>
        </row>
        <row r="65">
          <cell r="AI65" t="str">
            <v>NYSE:BDX</v>
          </cell>
          <cell r="AJ65">
            <v>286627000</v>
          </cell>
        </row>
        <row r="66">
          <cell r="AI66" t="str">
            <v>NYSE:BRK.B</v>
          </cell>
          <cell r="AJ66">
            <v>1833734750</v>
          </cell>
        </row>
        <row r="67">
          <cell r="AI67" t="str">
            <v>NYSE:BBY</v>
          </cell>
          <cell r="AJ67">
            <v>195393930</v>
          </cell>
        </row>
        <row r="68">
          <cell r="AI68" t="str">
            <v>NasdaqGS:TECH</v>
          </cell>
          <cell r="AJ68">
            <v>155813000</v>
          </cell>
        </row>
        <row r="69">
          <cell r="AI69" t="str">
            <v>NasdaqGS:BIIB</v>
          </cell>
          <cell r="AJ69">
            <v>146702000</v>
          </cell>
        </row>
        <row r="70">
          <cell r="AI70" t="str">
            <v>NYSE:BLK</v>
          </cell>
          <cell r="AJ70">
            <v>144290430</v>
          </cell>
        </row>
        <row r="71">
          <cell r="AI71" t="str">
            <v>NYSE:BX</v>
          </cell>
          <cell r="AJ71">
            <v>738451000</v>
          </cell>
        </row>
        <row r="72">
          <cell r="AI72" t="str">
            <v>NYSE:XYZ</v>
          </cell>
          <cell r="AJ72">
            <v>547667000</v>
          </cell>
        </row>
        <row r="73">
          <cell r="AI73" t="str">
            <v>NasdaqGS:BKNG</v>
          </cell>
          <cell r="AJ73">
            <v>32234000</v>
          </cell>
        </row>
        <row r="74">
          <cell r="AI74" t="str">
            <v>NYSE:BSX</v>
          </cell>
          <cell r="AJ74">
            <v>1482442000</v>
          </cell>
        </row>
        <row r="75">
          <cell r="AI75" t="str">
            <v>NYSE:BMY</v>
          </cell>
          <cell r="AJ75">
            <v>2035753000</v>
          </cell>
        </row>
        <row r="76">
          <cell r="AI76" t="str">
            <v>NasdaqGS:AVGO</v>
          </cell>
          <cell r="AJ76">
            <v>4722365000</v>
          </cell>
        </row>
        <row r="77">
          <cell r="AI77" t="str">
            <v>NYSE:BR</v>
          </cell>
          <cell r="AJ77">
            <v>116728000</v>
          </cell>
        </row>
        <row r="78">
          <cell r="AI78" t="str">
            <v>NYSE:BRO</v>
          </cell>
          <cell r="AJ78">
            <v>293622060</v>
          </cell>
        </row>
        <row r="79">
          <cell r="AI79" t="str">
            <v>NYSE:BF.B</v>
          </cell>
          <cell r="AJ79">
            <v>176093220</v>
          </cell>
        </row>
        <row r="80">
          <cell r="AI80" t="str">
            <v>NYSE:BLDR</v>
          </cell>
          <cell r="AJ80">
            <v>110581000</v>
          </cell>
        </row>
        <row r="81">
          <cell r="AI81" t="str">
            <v>NYSE:BG</v>
          </cell>
          <cell r="AJ81">
            <v>135352700</v>
          </cell>
        </row>
        <row r="82">
          <cell r="AI82" t="str">
            <v>NYSE:BXP</v>
          </cell>
          <cell r="AJ82">
            <v>147376170</v>
          </cell>
        </row>
        <row r="83">
          <cell r="AI83" t="str">
            <v>NasdaqGS:CHRW</v>
          </cell>
          <cell r="AJ83">
            <v>118137000</v>
          </cell>
        </row>
        <row r="84">
          <cell r="AI84" t="str">
            <v>NasdaqGS:CDNS</v>
          </cell>
          <cell r="AJ84">
            <v>272201000</v>
          </cell>
        </row>
        <row r="85">
          <cell r="AI85" t="str">
            <v>NYSE:CPT</v>
          </cell>
          <cell r="AJ85">
            <v>106395000</v>
          </cell>
        </row>
        <row r="86">
          <cell r="AI86" t="str">
            <v>NYSE:COF</v>
          </cell>
          <cell r="AJ86">
            <v>635734000</v>
          </cell>
        </row>
        <row r="87">
          <cell r="AI87" t="str">
            <v>NYSE:CAH</v>
          </cell>
          <cell r="AJ87">
            <v>237595000</v>
          </cell>
        </row>
        <row r="88">
          <cell r="AI88" t="str">
            <v>NYSE:CCL</v>
          </cell>
          <cell r="AJ88">
            <v>1085813130</v>
          </cell>
        </row>
        <row r="89">
          <cell r="AI89" t="str">
            <v>NYSE:CARR</v>
          </cell>
          <cell r="AJ89">
            <v>791677400</v>
          </cell>
        </row>
        <row r="90">
          <cell r="AI90" t="str">
            <v>NYSE:CVNA</v>
          </cell>
          <cell r="AJ90">
            <v>141423000</v>
          </cell>
        </row>
        <row r="91">
          <cell r="AI91" t="str">
            <v>NYSE:CAT</v>
          </cell>
          <cell r="AJ91">
            <v>467980000</v>
          </cell>
        </row>
        <row r="92">
          <cell r="AI92" t="str">
            <v>BATS:CBOE</v>
          </cell>
          <cell r="AJ92">
            <v>104645000</v>
          </cell>
        </row>
        <row r="93">
          <cell r="AI93" t="str">
            <v>NYSE:CBRE</v>
          </cell>
          <cell r="AJ93">
            <v>293136000</v>
          </cell>
        </row>
        <row r="94">
          <cell r="AI94" t="str">
            <v>NasdaqGS:CDW</v>
          </cell>
          <cell r="AJ94">
            <v>130194000</v>
          </cell>
        </row>
        <row r="95">
          <cell r="AI95" t="str">
            <v>NYSE:COR</v>
          </cell>
          <cell r="AJ95">
            <v>193878000</v>
          </cell>
        </row>
        <row r="96">
          <cell r="AI96" t="str">
            <v>NYSE:CNC</v>
          </cell>
          <cell r="AJ96">
            <v>466942100</v>
          </cell>
        </row>
        <row r="97">
          <cell r="AI97" t="str">
            <v>NYSE:CNP</v>
          </cell>
          <cell r="AJ97">
            <v>652868000</v>
          </cell>
        </row>
        <row r="98">
          <cell r="AI98" t="str">
            <v>NYSE:CF</v>
          </cell>
          <cell r="AJ98">
            <v>155975000</v>
          </cell>
        </row>
        <row r="99">
          <cell r="AI99" t="str">
            <v>NYSE:CRL</v>
          </cell>
          <cell r="AJ99">
            <v>49215000</v>
          </cell>
        </row>
        <row r="100">
          <cell r="AI100" t="str">
            <v>NasdaqGS:CHTR</v>
          </cell>
          <cell r="AJ100">
            <v>87998120</v>
          </cell>
        </row>
        <row r="101">
          <cell r="AI101" t="str">
            <v>NYSE:CVX</v>
          </cell>
          <cell r="AJ101">
            <v>1892710680</v>
          </cell>
        </row>
        <row r="102">
          <cell r="AI102" t="str">
            <v>NYSE:CMG</v>
          </cell>
          <cell r="AJ102">
            <v>1322278000</v>
          </cell>
        </row>
        <row r="103">
          <cell r="AI103" t="str">
            <v>NYSE:CB</v>
          </cell>
          <cell r="AJ103">
            <v>366002430</v>
          </cell>
        </row>
        <row r="104">
          <cell r="AI104" t="str">
            <v>NYSE:CHD</v>
          </cell>
          <cell r="AJ104">
            <v>240130000</v>
          </cell>
        </row>
        <row r="105">
          <cell r="AI105" t="str">
            <v>NYSE:CIEN</v>
          </cell>
          <cell r="AJ105">
            <v>141056000</v>
          </cell>
        </row>
        <row r="106">
          <cell r="AI106" t="str">
            <v>NasdaqGS:CINF</v>
          </cell>
          <cell r="AJ106">
            <v>156019000</v>
          </cell>
        </row>
        <row r="107">
          <cell r="AI107" t="str">
            <v>NasdaqGS:CTAS</v>
          </cell>
          <cell r="AJ107">
            <v>341586950</v>
          </cell>
        </row>
        <row r="108">
          <cell r="AI108" t="str">
            <v>NasdaqGS:CSCO</v>
          </cell>
          <cell r="AJ108">
            <v>3940725000</v>
          </cell>
        </row>
        <row r="109">
          <cell r="AI109" t="str">
            <v>NYSE:C</v>
          </cell>
          <cell r="AJ109">
            <v>1789300000</v>
          </cell>
        </row>
        <row r="110">
          <cell r="AI110" t="str">
            <v>NYSE:CFG</v>
          </cell>
          <cell r="AJ110">
            <v>429486000</v>
          </cell>
        </row>
        <row r="111">
          <cell r="AI111" t="str">
            <v>NasdaqGS:CME</v>
          </cell>
          <cell r="AJ111">
            <v>360597000</v>
          </cell>
        </row>
        <row r="112">
          <cell r="AI112" t="str">
            <v>NYSE:CMS</v>
          </cell>
          <cell r="AJ112">
            <v>304320000</v>
          </cell>
        </row>
        <row r="113">
          <cell r="AI113" t="str">
            <v>NasdaqGS:CTSH</v>
          </cell>
          <cell r="AJ113">
            <v>482646000</v>
          </cell>
        </row>
        <row r="114">
          <cell r="AI114" t="str">
            <v>NasdaqGS:COIN</v>
          </cell>
          <cell r="AJ114">
            <v>228162000</v>
          </cell>
        </row>
        <row r="115">
          <cell r="AI115" t="str">
            <v>NYSE:CL</v>
          </cell>
          <cell r="AJ115">
            <v>806065000</v>
          </cell>
        </row>
        <row r="116">
          <cell r="AI116" t="str">
            <v>NasdaqGS:CMCSA</v>
          </cell>
          <cell r="AJ116">
            <v>3634450000</v>
          </cell>
        </row>
        <row r="117">
          <cell r="AI117" t="str">
            <v>NYSE:FIX</v>
          </cell>
          <cell r="AJ117">
            <v>35193000</v>
          </cell>
        </row>
        <row r="118">
          <cell r="AI118" t="str">
            <v>NYSE:CAG</v>
          </cell>
          <cell r="AJ118">
            <v>478352000</v>
          </cell>
        </row>
        <row r="119">
          <cell r="AI119" t="str">
            <v>NYSE:COP</v>
          </cell>
          <cell r="AJ119">
            <v>1235718000</v>
          </cell>
        </row>
        <row r="120">
          <cell r="AI120" t="str">
            <v>NYSE:ED</v>
          </cell>
          <cell r="AJ120">
            <v>360936000</v>
          </cell>
        </row>
        <row r="121">
          <cell r="AI121" t="str">
            <v>NYSE:STZ</v>
          </cell>
          <cell r="AJ121">
            <v>140972400</v>
          </cell>
        </row>
        <row r="122">
          <cell r="AI122" t="str">
            <v>NasdaqGS:CEG</v>
          </cell>
          <cell r="AJ122">
            <v>312290000</v>
          </cell>
        </row>
        <row r="123">
          <cell r="AI123" t="str">
            <v>NasdaqGS:CPRT</v>
          </cell>
          <cell r="AJ123">
            <v>890407280</v>
          </cell>
        </row>
        <row r="124">
          <cell r="AI124" t="str">
            <v>NYSE:GLW</v>
          </cell>
          <cell r="AJ124">
            <v>780197600</v>
          </cell>
        </row>
        <row r="125">
          <cell r="AI125" t="str">
            <v>NYSE:CPAY</v>
          </cell>
          <cell r="AJ125">
            <v>69958000</v>
          </cell>
        </row>
        <row r="126">
          <cell r="AI126" t="str">
            <v>NYSE:CTVA</v>
          </cell>
          <cell r="AJ126">
            <v>675732000</v>
          </cell>
        </row>
        <row r="127">
          <cell r="AI127" t="str">
            <v>NasdaqGS:CSGP</v>
          </cell>
          <cell r="AJ127">
            <v>423823000</v>
          </cell>
        </row>
        <row r="128">
          <cell r="AI128" t="str">
            <v>NasdaqGS:COST</v>
          </cell>
          <cell r="AJ128">
            <v>443179000</v>
          </cell>
        </row>
        <row r="129">
          <cell r="AI129" t="str">
            <v>NYSE:CTRA</v>
          </cell>
          <cell r="AJ129">
            <v>761378000</v>
          </cell>
        </row>
        <row r="130">
          <cell r="AI130" t="str">
            <v>NYSE:CRH</v>
          </cell>
          <cell r="AJ130">
            <v>670271000</v>
          </cell>
        </row>
        <row r="131">
          <cell r="AI131" t="str">
            <v>NasdaqGS:CRWD</v>
          </cell>
          <cell r="AJ131">
            <v>250955000</v>
          </cell>
        </row>
        <row r="132">
          <cell r="AI132" t="str">
            <v>NYSE:CCI</v>
          </cell>
          <cell r="AJ132">
            <v>435479000</v>
          </cell>
        </row>
        <row r="133">
          <cell r="AI133" t="str">
            <v>NasdaqGS:CSX</v>
          </cell>
          <cell r="AJ133">
            <v>1862137000</v>
          </cell>
        </row>
        <row r="134">
          <cell r="AI134" t="str">
            <v>NYSE:CMI</v>
          </cell>
          <cell r="AJ134">
            <v>138036000</v>
          </cell>
        </row>
        <row r="135">
          <cell r="AI135" t="str">
            <v>NYSE:CVS</v>
          </cell>
          <cell r="AJ135">
            <v>1269432000</v>
          </cell>
        </row>
        <row r="136">
          <cell r="AI136" t="str">
            <v>NYSE:DHI</v>
          </cell>
          <cell r="AJ136">
            <v>273861750</v>
          </cell>
        </row>
        <row r="137">
          <cell r="AI137" t="str">
            <v>NYSE:DHR</v>
          </cell>
          <cell r="AJ137">
            <v>628651500</v>
          </cell>
        </row>
        <row r="138">
          <cell r="AI138" t="str">
            <v>NYSE:DRI</v>
          </cell>
          <cell r="AJ138">
            <v>116314000</v>
          </cell>
        </row>
        <row r="139">
          <cell r="AI139" t="str">
            <v>NasdaqGS:DDOG</v>
          </cell>
          <cell r="AJ139">
            <v>325443000</v>
          </cell>
        </row>
        <row r="140">
          <cell r="AI140" t="str">
            <v>NYSE:DVA</v>
          </cell>
          <cell r="AJ140">
            <v>35300000</v>
          </cell>
        </row>
        <row r="141">
          <cell r="AI141" t="str">
            <v>NYSE:DECK</v>
          </cell>
          <cell r="AJ141">
            <v>145745000</v>
          </cell>
        </row>
        <row r="142">
          <cell r="AI142" t="str">
            <v>NYSE:DE</v>
          </cell>
          <cell r="AJ142">
            <v>251405970</v>
          </cell>
        </row>
        <row r="143">
          <cell r="AI143" t="str">
            <v>NYSE:DELL</v>
          </cell>
          <cell r="AJ143">
            <v>301395830</v>
          </cell>
        </row>
        <row r="144">
          <cell r="AI144" t="str">
            <v>NYSE:DAL</v>
          </cell>
          <cell r="AJ144">
            <v>648638000</v>
          </cell>
        </row>
        <row r="145">
          <cell r="AI145" t="str">
            <v>NYSE:DVN</v>
          </cell>
          <cell r="AJ145">
            <v>627300000</v>
          </cell>
        </row>
        <row r="146">
          <cell r="AI146" t="str">
            <v>NasdaqGS:DXCM</v>
          </cell>
          <cell r="AJ146">
            <v>390016000</v>
          </cell>
        </row>
        <row r="147">
          <cell r="AI147" t="str">
            <v>NasdaqGS:FANG</v>
          </cell>
          <cell r="AJ147">
            <v>186241900</v>
          </cell>
        </row>
        <row r="148">
          <cell r="AI148" t="str">
            <v>NYSE:DLR</v>
          </cell>
          <cell r="AJ148">
            <v>322891880</v>
          </cell>
        </row>
        <row r="149">
          <cell r="AI149" t="str">
            <v>NYSE:DG</v>
          </cell>
          <cell r="AJ149">
            <v>220106000</v>
          </cell>
        </row>
        <row r="150">
          <cell r="AI150" t="str">
            <v>NasdaqGS:DLTR</v>
          </cell>
          <cell r="AJ150">
            <v>189690240</v>
          </cell>
        </row>
        <row r="151">
          <cell r="AI151" t="str">
            <v>NYSE:D</v>
          </cell>
          <cell r="AJ151">
            <v>853913000</v>
          </cell>
        </row>
        <row r="152">
          <cell r="AI152" t="str">
            <v>NasdaqGS:DPZ</v>
          </cell>
          <cell r="AJ152">
            <v>31083120</v>
          </cell>
        </row>
        <row r="153">
          <cell r="AI153" t="str">
            <v>NasdaqGS:DASH</v>
          </cell>
          <cell r="AJ153">
            <v>373828200</v>
          </cell>
        </row>
        <row r="154">
          <cell r="AI154" t="str">
            <v>NYSE:DOV</v>
          </cell>
          <cell r="AJ154">
            <v>137153000</v>
          </cell>
        </row>
        <row r="155">
          <cell r="AI155" t="str">
            <v>NYSE:DOW</v>
          </cell>
          <cell r="AJ155">
            <v>710767000</v>
          </cell>
        </row>
        <row r="156">
          <cell r="AI156" t="str">
            <v>NYSE:DTE</v>
          </cell>
          <cell r="AJ156">
            <v>207683000</v>
          </cell>
        </row>
        <row r="157">
          <cell r="AI157" t="str">
            <v>NYSE:DUK</v>
          </cell>
          <cell r="AJ157">
            <v>777661000</v>
          </cell>
        </row>
        <row r="158">
          <cell r="AI158" t="str">
            <v>NYSE:DD</v>
          </cell>
          <cell r="AJ158">
            <v>418975000</v>
          </cell>
        </row>
        <row r="159">
          <cell r="AI159" t="str">
            <v>NYSE:ETN</v>
          </cell>
          <cell r="AJ159">
            <v>388400000</v>
          </cell>
        </row>
        <row r="160">
          <cell r="AI160" t="str">
            <v>NasdaqGS:EBAY</v>
          </cell>
          <cell r="AJ160">
            <v>452000000</v>
          </cell>
        </row>
        <row r="161">
          <cell r="AI161" t="str">
            <v>NYSE:ECL</v>
          </cell>
          <cell r="AJ161">
            <v>254912400</v>
          </cell>
        </row>
        <row r="162">
          <cell r="AI162" t="str">
            <v>NYSE:EIX</v>
          </cell>
          <cell r="AJ162">
            <v>384787000</v>
          </cell>
        </row>
        <row r="163">
          <cell r="AI163" t="str">
            <v>NYSE:EW</v>
          </cell>
          <cell r="AJ163">
            <v>580300000</v>
          </cell>
        </row>
        <row r="164">
          <cell r="AI164" t="str">
            <v>NasdaqGS:EA</v>
          </cell>
          <cell r="AJ164">
            <v>224464500</v>
          </cell>
        </row>
        <row r="165">
          <cell r="AI165" t="str">
            <v>NYSE:ELV</v>
          </cell>
          <cell r="AJ165">
            <v>222239000</v>
          </cell>
        </row>
        <row r="166">
          <cell r="AI166" t="str">
            <v>NYSE:LLY</v>
          </cell>
          <cell r="AJ166">
            <v>794122560</v>
          </cell>
        </row>
        <row r="167">
          <cell r="AI167" t="str">
            <v>NYSE:EME</v>
          </cell>
          <cell r="AJ167">
            <v>44766000</v>
          </cell>
        </row>
        <row r="168">
          <cell r="AI168" t="str">
            <v>NYSE:EMR</v>
          </cell>
          <cell r="AJ168">
            <v>561800000</v>
          </cell>
        </row>
        <row r="169">
          <cell r="AI169" t="str">
            <v>NYSE:ETR</v>
          </cell>
          <cell r="AJ169">
            <v>446597000</v>
          </cell>
        </row>
        <row r="170">
          <cell r="AI170" t="str">
            <v>NYSE:EOG</v>
          </cell>
          <cell r="AJ170">
            <v>542598000</v>
          </cell>
        </row>
        <row r="171">
          <cell r="AI171" t="str">
            <v>NYSE:EPAM</v>
          </cell>
          <cell r="AJ171">
            <v>55243000</v>
          </cell>
        </row>
        <row r="172">
          <cell r="AI172" t="str">
            <v>NYSE:EQT</v>
          </cell>
          <cell r="AJ172">
            <v>624067000</v>
          </cell>
        </row>
        <row r="173">
          <cell r="AI173" t="str">
            <v>NYSE:EFX</v>
          </cell>
          <cell r="AJ173">
            <v>122394000</v>
          </cell>
        </row>
        <row r="174">
          <cell r="AI174" t="str">
            <v>NasdaqGS:EQIX</v>
          </cell>
          <cell r="AJ174">
            <v>98186000</v>
          </cell>
        </row>
        <row r="175">
          <cell r="AI175" t="str">
            <v>NYSE:EQR</v>
          </cell>
          <cell r="AJ175">
            <v>346232250</v>
          </cell>
        </row>
        <row r="176">
          <cell r="AI176" t="str">
            <v>NasdaqGS:ERIE</v>
          </cell>
          <cell r="AJ176">
            <v>25403950</v>
          </cell>
        </row>
        <row r="177">
          <cell r="AI177" t="str">
            <v>NYSE:ESS</v>
          </cell>
          <cell r="AJ177">
            <v>64404000</v>
          </cell>
        </row>
        <row r="178">
          <cell r="AI178" t="str">
            <v>NYSE:EG</v>
          </cell>
          <cell r="AJ178">
            <v>41978000</v>
          </cell>
        </row>
        <row r="179">
          <cell r="AI179" t="str">
            <v>NasdaqGS:EVRG</v>
          </cell>
          <cell r="AJ179">
            <v>230214000</v>
          </cell>
        </row>
        <row r="180">
          <cell r="AI180" t="str">
            <v>NYSE:ES</v>
          </cell>
          <cell r="AJ180">
            <v>375189000</v>
          </cell>
        </row>
        <row r="181">
          <cell r="AI181" t="str">
            <v>NasdaqGS:EXC</v>
          </cell>
          <cell r="AJ181">
            <v>1010290000</v>
          </cell>
        </row>
        <row r="182">
          <cell r="AI182" t="str">
            <v>NasdaqGS:EXE</v>
          </cell>
          <cell r="AJ182">
            <v>238170000</v>
          </cell>
        </row>
        <row r="183">
          <cell r="AI183" t="str">
            <v>NasdaqGS:EXPE</v>
          </cell>
          <cell r="AJ183">
            <v>117009000</v>
          </cell>
        </row>
        <row r="184">
          <cell r="AI184" t="str">
            <v>NYSE:EXPD</v>
          </cell>
          <cell r="AJ184">
            <v>134021000</v>
          </cell>
        </row>
        <row r="185">
          <cell r="AI185" t="str">
            <v>NYSE:EXR</v>
          </cell>
          <cell r="AJ185">
            <v>212248000</v>
          </cell>
        </row>
        <row r="186">
          <cell r="AI186" t="str">
            <v>NYSE:XOM</v>
          </cell>
          <cell r="AJ186">
            <v>4217166000</v>
          </cell>
        </row>
        <row r="187">
          <cell r="AI187" t="str">
            <v>NasdaqGS:FFIV</v>
          </cell>
          <cell r="AJ187">
            <v>57684000</v>
          </cell>
        </row>
        <row r="188">
          <cell r="AI188" t="str">
            <v>NYSE:FDS</v>
          </cell>
          <cell r="AJ188">
            <v>37456000</v>
          </cell>
        </row>
        <row r="189">
          <cell r="AI189" t="str">
            <v>NYSE:FICO</v>
          </cell>
          <cell r="AJ189">
            <v>23709000</v>
          </cell>
        </row>
        <row r="190">
          <cell r="AI190" t="str">
            <v>NasdaqGS:FAST</v>
          </cell>
          <cell r="AJ190">
            <v>1148036000</v>
          </cell>
        </row>
        <row r="191">
          <cell r="AI191" t="str">
            <v>NYSE:FRT</v>
          </cell>
          <cell r="AJ191">
            <v>78505700</v>
          </cell>
        </row>
        <row r="192">
          <cell r="AI192" t="str">
            <v>NYSE:FDX</v>
          </cell>
          <cell r="AJ192">
            <v>217078600</v>
          </cell>
        </row>
        <row r="193">
          <cell r="AI193" t="str">
            <v>NYSE:FIS</v>
          </cell>
          <cell r="AJ193">
            <v>517851000</v>
          </cell>
        </row>
        <row r="194">
          <cell r="AI194" t="str">
            <v>NasdaqGS:FITB</v>
          </cell>
          <cell r="AJ194">
            <v>899418760</v>
          </cell>
        </row>
        <row r="195">
          <cell r="AI195" t="str">
            <v>NasdaqGS:FSLR</v>
          </cell>
          <cell r="AJ195">
            <v>107308000</v>
          </cell>
        </row>
        <row r="196">
          <cell r="AI196" t="str">
            <v>NYSE:FE</v>
          </cell>
          <cell r="AJ196">
            <v>519899400</v>
          </cell>
        </row>
        <row r="197">
          <cell r="AI197" t="str">
            <v>NasdaqGS:FISV</v>
          </cell>
          <cell r="AJ197">
            <v>537852000</v>
          </cell>
        </row>
        <row r="198">
          <cell r="AI198" t="str">
            <v>NYSE:F</v>
          </cell>
          <cell r="AJ198">
            <v>3913646000</v>
          </cell>
        </row>
        <row r="199">
          <cell r="AI199" t="str">
            <v>NasdaqGS:FTNT</v>
          </cell>
          <cell r="AJ199">
            <v>632100800</v>
          </cell>
        </row>
        <row r="200">
          <cell r="AI200" t="str">
            <v>NYSE:FTV</v>
          </cell>
          <cell r="AJ200">
            <v>317612000</v>
          </cell>
        </row>
        <row r="201">
          <cell r="AI201" t="str">
            <v>NasdaqGS:FOX</v>
          </cell>
          <cell r="AJ201">
            <v>148416030</v>
          </cell>
        </row>
        <row r="202">
          <cell r="AI202" t="str">
            <v>NasdaqGS:FOXA</v>
          </cell>
          <cell r="AJ202">
            <v>208362000</v>
          </cell>
        </row>
        <row r="203">
          <cell r="AI203" t="str">
            <v>NYSE:BEN</v>
          </cell>
          <cell r="AJ203">
            <v>307372890</v>
          </cell>
        </row>
        <row r="204">
          <cell r="AI204" t="str">
            <v>NYSE:FCX</v>
          </cell>
          <cell r="AJ204">
            <v>1435931000</v>
          </cell>
        </row>
        <row r="205">
          <cell r="AI205" t="str">
            <v>NYSE:GRMN</v>
          </cell>
          <cell r="AJ205">
            <v>163484750</v>
          </cell>
        </row>
        <row r="206">
          <cell r="AI206" t="str">
            <v>NYSE:IT</v>
          </cell>
          <cell r="AJ206">
            <v>72077000</v>
          </cell>
        </row>
        <row r="207">
          <cell r="AI207" t="str">
            <v>NasdaqGS:GEHC</v>
          </cell>
          <cell r="AJ207">
            <v>455522000</v>
          </cell>
        </row>
        <row r="208">
          <cell r="AI208" t="str">
            <v>NYSE:GEV</v>
          </cell>
          <cell r="AJ208">
            <v>271320000</v>
          </cell>
        </row>
        <row r="209">
          <cell r="AI209" t="str">
            <v>NasdaqGS:GEN</v>
          </cell>
          <cell r="AJ209">
            <v>561211560</v>
          </cell>
        </row>
        <row r="210">
          <cell r="AI210" t="str">
            <v>NYSE:GNRC</v>
          </cell>
          <cell r="AJ210">
            <v>58684000</v>
          </cell>
        </row>
        <row r="211">
          <cell r="AI211" t="str">
            <v>NYSE:GD</v>
          </cell>
          <cell r="AJ211">
            <v>253533040</v>
          </cell>
        </row>
        <row r="212">
          <cell r="AI212" t="str">
            <v>NYSE:GE</v>
          </cell>
          <cell r="AJ212">
            <v>1054814000</v>
          </cell>
        </row>
        <row r="213">
          <cell r="AI213" t="str">
            <v>NYSE:GIS</v>
          </cell>
          <cell r="AJ213">
            <v>533416000</v>
          </cell>
        </row>
        <row r="214">
          <cell r="AI214" t="str">
            <v>NYSE:GM</v>
          </cell>
          <cell r="AJ214">
            <v>932861000</v>
          </cell>
        </row>
        <row r="215">
          <cell r="AI215" t="str">
            <v>NYSE:GPC</v>
          </cell>
          <cell r="AJ215">
            <v>139111000</v>
          </cell>
        </row>
        <row r="216">
          <cell r="AI216" t="str">
            <v>NasdaqGS:GILD</v>
          </cell>
          <cell r="AJ216">
            <v>1240680000</v>
          </cell>
        </row>
        <row r="217">
          <cell r="AI217" t="str">
            <v>NYSE:GPN</v>
          </cell>
          <cell r="AJ217">
            <v>236744000</v>
          </cell>
        </row>
        <row r="218">
          <cell r="AI218" t="str">
            <v>NYSE:GL</v>
          </cell>
          <cell r="AJ218">
            <v>79606000</v>
          </cell>
        </row>
        <row r="219">
          <cell r="AI219" t="str">
            <v>NYSE:GDDY</v>
          </cell>
          <cell r="AJ219">
            <v>135142000</v>
          </cell>
        </row>
        <row r="220">
          <cell r="AI220" t="str">
            <v>NYSE:HAL</v>
          </cell>
          <cell r="AJ220">
            <v>841627000</v>
          </cell>
        </row>
        <row r="221">
          <cell r="AI221" t="str">
            <v>NasdaqGS:HAS</v>
          </cell>
          <cell r="AJ221">
            <v>133320150</v>
          </cell>
        </row>
        <row r="222">
          <cell r="AI222" t="str">
            <v>NYSE:HCA</v>
          </cell>
          <cell r="AJ222">
            <v>159735800</v>
          </cell>
        </row>
        <row r="223">
          <cell r="AI223" t="str">
            <v>NYSE:DOC</v>
          </cell>
          <cell r="AJ223">
            <v>694950000</v>
          </cell>
        </row>
        <row r="224">
          <cell r="AI224" t="str">
            <v>NasdaqGS:HSIC</v>
          </cell>
          <cell r="AJ224">
            <v>100066250</v>
          </cell>
        </row>
        <row r="225">
          <cell r="AI225" t="str">
            <v>NYSE:HPE</v>
          </cell>
          <cell r="AJ225">
            <v>1319450000</v>
          </cell>
        </row>
        <row r="226">
          <cell r="AI226" t="str">
            <v>NYSE:HLT</v>
          </cell>
          <cell r="AJ226">
            <v>232435000</v>
          </cell>
        </row>
        <row r="227">
          <cell r="AI227" t="str">
            <v>NasdaqGS:HOLX</v>
          </cell>
          <cell r="AJ227">
            <v>222567000</v>
          </cell>
        </row>
        <row r="228">
          <cell r="AI228" t="str">
            <v>NasdaqGS:HON</v>
          </cell>
          <cell r="AJ228">
            <v>634887000</v>
          </cell>
        </row>
        <row r="229">
          <cell r="AI229" t="str">
            <v>NYSE:HRL</v>
          </cell>
          <cell r="AJ229">
            <v>291498940</v>
          </cell>
        </row>
        <row r="230">
          <cell r="AI230" t="str">
            <v>NasdaqGS:HST</v>
          </cell>
          <cell r="AJ230">
            <v>639550770</v>
          </cell>
        </row>
        <row r="231">
          <cell r="AI231" t="str">
            <v>NYSE:HWM</v>
          </cell>
          <cell r="AJ231">
            <v>402062000</v>
          </cell>
        </row>
        <row r="232">
          <cell r="AI232" t="str">
            <v>NYSE:HPQ</v>
          </cell>
          <cell r="AJ232">
            <v>934702000</v>
          </cell>
        </row>
        <row r="233">
          <cell r="AI233" t="str">
            <v>NYSE:HUBB</v>
          </cell>
          <cell r="AJ233">
            <v>53145000</v>
          </cell>
        </row>
        <row r="234">
          <cell r="AI234" t="str">
            <v>NYSE:HUM</v>
          </cell>
          <cell r="AJ234">
            <v>120273000</v>
          </cell>
        </row>
        <row r="235">
          <cell r="AI235" t="str">
            <v>NasdaqGS:HBAN</v>
          </cell>
          <cell r="AJ235">
            <v>2033196725</v>
          </cell>
        </row>
        <row r="236">
          <cell r="AI236" t="str">
            <v>NYSE:HII</v>
          </cell>
          <cell r="AJ236">
            <v>39241000</v>
          </cell>
        </row>
        <row r="237">
          <cell r="AI237" t="str">
            <v>NYSE:IEX</v>
          </cell>
          <cell r="AJ237">
            <v>74849000</v>
          </cell>
        </row>
        <row r="238">
          <cell r="AI238" t="str">
            <v>NasdaqGS:IDXX</v>
          </cell>
          <cell r="AJ238">
            <v>79851000</v>
          </cell>
        </row>
        <row r="239">
          <cell r="AI239" t="str">
            <v>NYSE:ITW</v>
          </cell>
          <cell r="AJ239">
            <v>263991000</v>
          </cell>
        </row>
        <row r="240">
          <cell r="AI240" t="str">
            <v>NasdaqGS:INCY</v>
          </cell>
          <cell r="AJ240">
            <v>164911320</v>
          </cell>
        </row>
        <row r="241">
          <cell r="AI241" t="str">
            <v>NYSE:IR</v>
          </cell>
          <cell r="AJ241">
            <v>359550100</v>
          </cell>
        </row>
        <row r="242">
          <cell r="AI242" t="str">
            <v>NasdaqGS:PODD</v>
          </cell>
          <cell r="AJ242">
            <v>70347000</v>
          </cell>
        </row>
        <row r="243">
          <cell r="AI243" t="str">
            <v>NasdaqGS:INTC</v>
          </cell>
          <cell r="AJ243">
            <v>4483800000</v>
          </cell>
        </row>
        <row r="244">
          <cell r="AI244" t="str">
            <v>NasdaqGS:IBKR</v>
          </cell>
          <cell r="AJ244">
            <v>445364000</v>
          </cell>
        </row>
        <row r="245">
          <cell r="AI245" t="str">
            <v>NYSE:ICE</v>
          </cell>
          <cell r="AJ245">
            <v>570179000</v>
          </cell>
        </row>
        <row r="246">
          <cell r="AI246" t="str">
            <v>NYSE:IBM</v>
          </cell>
          <cell r="AJ246">
            <v>934735000</v>
          </cell>
        </row>
        <row r="247">
          <cell r="AI247" t="str">
            <v>NYSE:IFF</v>
          </cell>
          <cell r="AJ247">
            <v>256096000</v>
          </cell>
        </row>
        <row r="248">
          <cell r="AI248" t="str">
            <v>NYSE:IP</v>
          </cell>
          <cell r="AJ248">
            <v>528038000</v>
          </cell>
        </row>
        <row r="249">
          <cell r="AI249" t="str">
            <v>NasdaqGS:INTU</v>
          </cell>
          <cell r="AJ249">
            <v>278805000</v>
          </cell>
        </row>
        <row r="250">
          <cell r="AI250" t="str">
            <v>NasdaqGS:ISRG</v>
          </cell>
          <cell r="AJ250">
            <v>354496000</v>
          </cell>
        </row>
        <row r="251">
          <cell r="AI251" t="str">
            <v>NYSE:IVZ</v>
          </cell>
          <cell r="AJ251">
            <v>445093000</v>
          </cell>
        </row>
        <row r="252">
          <cell r="AI252" t="str">
            <v>NYSE:INVH</v>
          </cell>
          <cell r="AJ252">
            <v>563979320</v>
          </cell>
        </row>
        <row r="253">
          <cell r="AI253" t="str">
            <v>NYSE:IQV</v>
          </cell>
          <cell r="AJ253">
            <v>170300000</v>
          </cell>
        </row>
        <row r="254">
          <cell r="AI254" t="str">
            <v>NYSE:IRM</v>
          </cell>
          <cell r="AJ254">
            <v>295589000</v>
          </cell>
        </row>
        <row r="255">
          <cell r="AI255" t="str">
            <v>NasdaqGS:JBHT</v>
          </cell>
          <cell r="AJ255">
            <v>75222220</v>
          </cell>
        </row>
        <row r="256">
          <cell r="AI256" t="str">
            <v>NYSE:JBL</v>
          </cell>
          <cell r="AJ256">
            <v>106837000</v>
          </cell>
        </row>
        <row r="257">
          <cell r="AI257" t="str">
            <v>NasdaqGS:JKHY</v>
          </cell>
          <cell r="AJ257">
            <v>72377000</v>
          </cell>
        </row>
        <row r="258">
          <cell r="AI258" t="str">
            <v>NYSE:J</v>
          </cell>
          <cell r="AJ258">
            <v>119536000</v>
          </cell>
        </row>
        <row r="259">
          <cell r="AI259" t="str">
            <v>NYSE:JNJ</v>
          </cell>
          <cell r="AJ259">
            <v>2409295000</v>
          </cell>
        </row>
        <row r="260">
          <cell r="AI260" t="str">
            <v>NYSE:JCI</v>
          </cell>
          <cell r="AJ260">
            <v>611136000</v>
          </cell>
        </row>
        <row r="261">
          <cell r="AI261" t="str">
            <v>NYSE:JPM</v>
          </cell>
          <cell r="AJ261">
            <v>2722262000</v>
          </cell>
        </row>
        <row r="262">
          <cell r="AI262" t="str">
            <v>NYSE:KVUE</v>
          </cell>
          <cell r="AJ262">
            <v>1915802000</v>
          </cell>
        </row>
        <row r="263">
          <cell r="AI263" t="str">
            <v>NasdaqGS:KDP</v>
          </cell>
          <cell r="AJ263">
            <v>1358583000</v>
          </cell>
        </row>
        <row r="264">
          <cell r="AI264" t="str">
            <v>NYSE:KEY</v>
          </cell>
          <cell r="AJ264">
            <v>928982000</v>
          </cell>
        </row>
        <row r="265">
          <cell r="AI265" t="str">
            <v>NYSE:KEYS</v>
          </cell>
          <cell r="AJ265">
            <v>171856000</v>
          </cell>
        </row>
        <row r="266">
          <cell r="AI266" t="str">
            <v>NasdaqGS:KMB</v>
          </cell>
          <cell r="AJ266">
            <v>331858000</v>
          </cell>
        </row>
        <row r="267">
          <cell r="AI267" t="str">
            <v>NYSE:KIM</v>
          </cell>
          <cell r="AJ267">
            <v>677194000</v>
          </cell>
        </row>
        <row r="268">
          <cell r="AI268" t="str">
            <v>NYSE:KMI</v>
          </cell>
          <cell r="AJ268">
            <v>1957788800</v>
          </cell>
        </row>
        <row r="269">
          <cell r="AI269" t="str">
            <v>NYSE:KKR</v>
          </cell>
          <cell r="AJ269">
            <v>686341810</v>
          </cell>
        </row>
        <row r="270">
          <cell r="AI270" t="str">
            <v>NasdaqGS:KLAC</v>
          </cell>
          <cell r="AJ270">
            <v>131392000</v>
          </cell>
        </row>
        <row r="271">
          <cell r="AI271" t="str">
            <v>NYSE:LHX</v>
          </cell>
          <cell r="AJ271">
            <v>187053000</v>
          </cell>
        </row>
        <row r="272">
          <cell r="AI272" t="str">
            <v>NYSE:LH</v>
          </cell>
          <cell r="AJ272">
            <v>82900000</v>
          </cell>
        </row>
        <row r="273">
          <cell r="AI273" t="str">
            <v>NasdaqGS:LRCX</v>
          </cell>
          <cell r="AJ273">
            <v>1256030000</v>
          </cell>
        </row>
        <row r="274">
          <cell r="AI274" t="str">
            <v>NYSE:LW</v>
          </cell>
          <cell r="AJ274">
            <v>139352000</v>
          </cell>
        </row>
        <row r="275">
          <cell r="AI275" t="str">
            <v>NYSE:LVS</v>
          </cell>
          <cell r="AJ275">
            <v>304250850</v>
          </cell>
        </row>
        <row r="276">
          <cell r="AI276" t="str">
            <v>NYSE:LDOS</v>
          </cell>
          <cell r="AJ276">
            <v>127855000</v>
          </cell>
        </row>
        <row r="277">
          <cell r="AI277" t="str">
            <v>NYSE:LEN</v>
          </cell>
          <cell r="AJ277">
            <v>215754000</v>
          </cell>
        </row>
        <row r="278">
          <cell r="AI278" t="str">
            <v>NYSE:LII</v>
          </cell>
          <cell r="AJ278">
            <v>31916430</v>
          </cell>
        </row>
        <row r="279">
          <cell r="AI279" t="str">
            <v>NasdaqGS:LIN</v>
          </cell>
          <cell r="AJ279">
            <v>466949000</v>
          </cell>
        </row>
        <row r="280">
          <cell r="AI280" t="str">
            <v>NYSE:LYV</v>
          </cell>
          <cell r="AJ280">
            <v>157902120</v>
          </cell>
        </row>
        <row r="281">
          <cell r="AI281" t="str">
            <v>NYSE:LMT</v>
          </cell>
          <cell r="AJ281">
            <v>203630240</v>
          </cell>
        </row>
        <row r="282">
          <cell r="AI282" t="str">
            <v>NYSE:L</v>
          </cell>
          <cell r="AJ282">
            <v>169461200</v>
          </cell>
        </row>
        <row r="283">
          <cell r="AI283" t="str">
            <v>NYSE:LOW</v>
          </cell>
          <cell r="AJ283">
            <v>560825000</v>
          </cell>
        </row>
        <row r="284">
          <cell r="AI284" t="str">
            <v>NasdaqGS:LULU</v>
          </cell>
          <cell r="AJ284">
            <v>107911440</v>
          </cell>
        </row>
        <row r="285">
          <cell r="AI285" t="str">
            <v>NYSE:LYB</v>
          </cell>
          <cell r="AJ285">
            <v>257498400</v>
          </cell>
        </row>
        <row r="286">
          <cell r="AI286" t="str">
            <v>NYSE:MTB</v>
          </cell>
          <cell r="AJ286">
            <v>153691000</v>
          </cell>
        </row>
        <row r="287">
          <cell r="AI287" t="str">
            <v>NYSE:MPC</v>
          </cell>
          <cell r="AJ287">
            <v>300602000</v>
          </cell>
        </row>
        <row r="288">
          <cell r="AI288" t="str">
            <v>NasdaqGS:MAR</v>
          </cell>
          <cell r="AJ288">
            <v>222732160</v>
          </cell>
        </row>
        <row r="289">
          <cell r="AI289" t="str">
            <v>NYSE:MRSH</v>
          </cell>
          <cell r="AJ289">
            <v>489910000</v>
          </cell>
        </row>
        <row r="290">
          <cell r="AI290" t="str">
            <v>NYSE:MLM</v>
          </cell>
          <cell r="AJ290">
            <v>60307000</v>
          </cell>
        </row>
        <row r="291">
          <cell r="AI291" t="str">
            <v>NYSE:MAS</v>
          </cell>
          <cell r="AJ291">
            <v>207696000</v>
          </cell>
        </row>
        <row r="292">
          <cell r="AI292" t="str">
            <v>NYSE:MA</v>
          </cell>
          <cell r="AJ292">
            <v>819957360</v>
          </cell>
        </row>
        <row r="293">
          <cell r="AI293" t="str">
            <v>NasdaqGS:MTCH</v>
          </cell>
          <cell r="AJ293">
            <v>236070000</v>
          </cell>
        </row>
        <row r="294">
          <cell r="AI294" t="str">
            <v>NYSE:MKC</v>
          </cell>
          <cell r="AJ294">
            <v>253240000</v>
          </cell>
        </row>
        <row r="295">
          <cell r="AI295" t="str">
            <v>NYSE:MCD</v>
          </cell>
          <cell r="AJ295">
            <v>712154000</v>
          </cell>
        </row>
        <row r="296">
          <cell r="AI296" t="str">
            <v>NYSE:MCK</v>
          </cell>
          <cell r="AJ296">
            <v>123427000</v>
          </cell>
        </row>
        <row r="297">
          <cell r="AI297" t="str">
            <v>NYSE:MDT</v>
          </cell>
          <cell r="AJ297">
            <v>1282616000</v>
          </cell>
        </row>
        <row r="298">
          <cell r="AI298" t="str">
            <v>NYSE:MRK</v>
          </cell>
          <cell r="AJ298">
            <v>2482023000</v>
          </cell>
        </row>
        <row r="299">
          <cell r="AI299" t="str">
            <v>NasdaqGS:META</v>
          </cell>
          <cell r="AJ299">
            <v>2177889000</v>
          </cell>
        </row>
        <row r="300">
          <cell r="AI300" t="str">
            <v>NYSE:MET</v>
          </cell>
          <cell r="AJ300">
            <v>553469280</v>
          </cell>
        </row>
        <row r="301">
          <cell r="AI301" t="str">
            <v>NYSE:MTD</v>
          </cell>
          <cell r="AJ301">
            <v>20428000</v>
          </cell>
        </row>
        <row r="302">
          <cell r="AI302" t="str">
            <v>NYSE:MGM</v>
          </cell>
          <cell r="AJ302">
            <v>205129500</v>
          </cell>
        </row>
        <row r="303">
          <cell r="AI303" t="str">
            <v>NasdaqGS:MCHP</v>
          </cell>
          <cell r="AJ303">
            <v>540447000</v>
          </cell>
        </row>
        <row r="304">
          <cell r="AI304" t="str">
            <v>NasdaqGS:MU</v>
          </cell>
          <cell r="AJ304">
            <v>1122466000</v>
          </cell>
        </row>
        <row r="305">
          <cell r="AI305" t="str">
            <v>NasdaqGS:MSFT</v>
          </cell>
          <cell r="AJ305">
            <v>7432378000</v>
          </cell>
        </row>
        <row r="306">
          <cell r="AI306" t="str">
            <v>NYSE:MAA</v>
          </cell>
          <cell r="AJ306">
            <v>117082000</v>
          </cell>
        </row>
        <row r="307">
          <cell r="AI307" t="str">
            <v>NasdaqGS:MRNA</v>
          </cell>
          <cell r="AJ307">
            <v>347705200</v>
          </cell>
        </row>
        <row r="308">
          <cell r="AI308" t="str">
            <v>NYSE:MOH</v>
          </cell>
          <cell r="AJ308">
            <v>51400000</v>
          </cell>
        </row>
        <row r="309">
          <cell r="AI309" t="str">
            <v>NYSE:TAP</v>
          </cell>
          <cell r="AJ309">
            <v>169304960</v>
          </cell>
        </row>
        <row r="310">
          <cell r="AI310" t="str">
            <v>NasdaqGS:MDLZ</v>
          </cell>
          <cell r="AJ310">
            <v>1290358000</v>
          </cell>
        </row>
        <row r="311">
          <cell r="AI311" t="str">
            <v>NasdaqGS:MPWR</v>
          </cell>
          <cell r="AJ311">
            <v>47907000</v>
          </cell>
        </row>
        <row r="312">
          <cell r="AI312" t="str">
            <v>NasdaqGS:MNST</v>
          </cell>
          <cell r="AJ312">
            <v>713225330</v>
          </cell>
        </row>
        <row r="313">
          <cell r="AI313" t="str">
            <v>NYSE:MCO</v>
          </cell>
          <cell r="AJ313">
            <v>153424000</v>
          </cell>
        </row>
        <row r="314">
          <cell r="AI314" t="str">
            <v>NYSE:MS</v>
          </cell>
          <cell r="AJ314">
            <v>1207874840</v>
          </cell>
        </row>
        <row r="315">
          <cell r="AI315" t="str">
            <v>NYSE:MSI</v>
          </cell>
          <cell r="AJ315">
            <v>166555000</v>
          </cell>
        </row>
        <row r="316">
          <cell r="AI316" t="str">
            <v>NYSE:MSCI</v>
          </cell>
          <cell r="AJ316">
            <v>75140000</v>
          </cell>
        </row>
        <row r="317">
          <cell r="AI317" t="str">
            <v>NasdaqGS:NDAQ</v>
          </cell>
          <cell r="AJ317">
            <v>451086050</v>
          </cell>
        </row>
        <row r="318">
          <cell r="AI318" t="str">
            <v>NasdaqGS:NTAP</v>
          </cell>
          <cell r="AJ318">
            <v>199618000</v>
          </cell>
        </row>
        <row r="319">
          <cell r="AI319" t="str">
            <v>NasdaqGS:NFLX</v>
          </cell>
          <cell r="AJ319">
            <v>4237323000</v>
          </cell>
        </row>
        <row r="320">
          <cell r="AI320" t="str">
            <v>NYSE:NEM</v>
          </cell>
          <cell r="AJ320">
            <v>1091263000</v>
          </cell>
        </row>
        <row r="321">
          <cell r="AI321" t="str">
            <v>NasdaqGS:NWS</v>
          </cell>
          <cell r="AJ321">
            <v>123439140</v>
          </cell>
        </row>
        <row r="322">
          <cell r="AI322" t="str">
            <v>NasdaqGS:NWSA</v>
          </cell>
          <cell r="AJ322">
            <v>374480000</v>
          </cell>
        </row>
        <row r="323">
          <cell r="AI323" t="str">
            <v>NYSE:NEE</v>
          </cell>
          <cell r="AJ323">
            <v>2082610000</v>
          </cell>
        </row>
        <row r="324">
          <cell r="AI324" t="str">
            <v>NYSE:NKE</v>
          </cell>
          <cell r="AJ324">
            <v>1189314000</v>
          </cell>
        </row>
        <row r="325">
          <cell r="AI325" t="str">
            <v>NYSE:NI</v>
          </cell>
          <cell r="AJ325">
            <v>477196000</v>
          </cell>
        </row>
        <row r="326">
          <cell r="AI326" t="str">
            <v>NasdaqGS:NDSN</v>
          </cell>
          <cell r="AJ326">
            <v>53376700</v>
          </cell>
        </row>
        <row r="327">
          <cell r="AI327" t="str">
            <v>NYSE:NSC</v>
          </cell>
          <cell r="AJ327">
            <v>224387000</v>
          </cell>
        </row>
        <row r="328">
          <cell r="AI328" t="str">
            <v>NasdaqGS:NTRS</v>
          </cell>
          <cell r="AJ328">
            <v>189117000</v>
          </cell>
        </row>
        <row r="329">
          <cell r="AI329" t="str">
            <v>NYSE:NOC</v>
          </cell>
          <cell r="AJ329">
            <v>134156800</v>
          </cell>
        </row>
        <row r="330">
          <cell r="AI330" t="str">
            <v>NYSE:NCLH</v>
          </cell>
          <cell r="AJ330">
            <v>455257000</v>
          </cell>
        </row>
        <row r="331">
          <cell r="AI331" t="str">
            <v>NYSE:NRG</v>
          </cell>
          <cell r="AJ331">
            <v>212376000</v>
          </cell>
        </row>
        <row r="332">
          <cell r="AI332" t="str">
            <v>NYSE:NUE</v>
          </cell>
          <cell r="AJ332">
            <v>228859000</v>
          </cell>
        </row>
        <row r="333">
          <cell r="AI333" t="str">
            <v>NasdaqGS:NVDA</v>
          </cell>
          <cell r="AJ333">
            <v>24300000000</v>
          </cell>
        </row>
        <row r="334">
          <cell r="AI334" t="str">
            <v>NYSE:NVR</v>
          </cell>
          <cell r="AJ334">
            <v>2839000</v>
          </cell>
        </row>
        <row r="335">
          <cell r="AI335" t="str">
            <v>NasdaqGS:NXPI</v>
          </cell>
          <cell r="AJ335">
            <v>251674000</v>
          </cell>
        </row>
        <row r="336">
          <cell r="AI336" t="str">
            <v>NasdaqGS:ORLY</v>
          </cell>
          <cell r="AJ336">
            <v>844104000</v>
          </cell>
        </row>
        <row r="337">
          <cell r="AI337" t="str">
            <v>NYSE:OXY</v>
          </cell>
          <cell r="AJ337">
            <v>719203300</v>
          </cell>
        </row>
        <row r="338">
          <cell r="AI338" t="str">
            <v>NasdaqGS:ODFL</v>
          </cell>
          <cell r="AJ338">
            <v>184006240</v>
          </cell>
        </row>
        <row r="339">
          <cell r="AI339" t="str">
            <v>NYSE:OMC</v>
          </cell>
          <cell r="AJ339">
            <v>318980000</v>
          </cell>
        </row>
        <row r="340">
          <cell r="AI340" t="str">
            <v>NasdaqGS:ON</v>
          </cell>
          <cell r="AJ340">
            <v>402378000</v>
          </cell>
        </row>
        <row r="341">
          <cell r="AI341" t="str">
            <v>NYSE:OKE</v>
          </cell>
          <cell r="AJ341">
            <v>629232000</v>
          </cell>
        </row>
        <row r="342">
          <cell r="AI342" t="str">
            <v>NYSE:ORCL</v>
          </cell>
          <cell r="AJ342">
            <v>1681967870</v>
          </cell>
        </row>
        <row r="343">
          <cell r="AI343" t="str">
            <v>NYSE:OTIS</v>
          </cell>
          <cell r="AJ343">
            <v>389716000</v>
          </cell>
        </row>
        <row r="344">
          <cell r="AI344" t="str">
            <v>NasdaqGS:PCAR</v>
          </cell>
          <cell r="AJ344">
            <v>525204000</v>
          </cell>
        </row>
        <row r="345">
          <cell r="AI345" t="str">
            <v>NYSE:PKG</v>
          </cell>
          <cell r="AJ345">
            <v>89371000</v>
          </cell>
        </row>
        <row r="346">
          <cell r="AI346" t="str">
            <v>NasdaqGS:PLTR</v>
          </cell>
          <cell r="AJ346">
            <v>2284334000</v>
          </cell>
        </row>
        <row r="347">
          <cell r="AI347" t="str">
            <v>NasdaqGS:PANW</v>
          </cell>
          <cell r="AJ347">
            <v>795057638</v>
          </cell>
        </row>
        <row r="348">
          <cell r="AI348" t="str">
            <v>NasdaqGS:PSKY</v>
          </cell>
          <cell r="AJ348">
            <v>310783430</v>
          </cell>
        </row>
        <row r="349">
          <cell r="AI349" t="str">
            <v>NYSE:PH</v>
          </cell>
          <cell r="AJ349">
            <v>126187000</v>
          </cell>
        </row>
        <row r="350">
          <cell r="AI350" t="str">
            <v>NasdaqGS:PAYX</v>
          </cell>
          <cell r="AJ350">
            <v>323904600</v>
          </cell>
        </row>
        <row r="351">
          <cell r="AI351" t="str">
            <v>NYSE:PAYC</v>
          </cell>
          <cell r="AJ351">
            <v>48866340</v>
          </cell>
        </row>
        <row r="352">
          <cell r="AI352" t="str">
            <v>NasdaqGS:PYPL</v>
          </cell>
          <cell r="AJ352">
            <v>935652000</v>
          </cell>
        </row>
        <row r="353">
          <cell r="AI353" t="str">
            <v>NYSE:PNR</v>
          </cell>
          <cell r="AJ353">
            <v>163642000</v>
          </cell>
        </row>
        <row r="354">
          <cell r="AI354" t="str">
            <v>NasdaqGS:PEP</v>
          </cell>
          <cell r="AJ354">
            <v>1367340000</v>
          </cell>
        </row>
        <row r="355">
          <cell r="AI355" t="str">
            <v>NYSE:PFE</v>
          </cell>
          <cell r="AJ355">
            <v>5685708000</v>
          </cell>
        </row>
        <row r="356">
          <cell r="AI356" t="str">
            <v>NYSE:PCG</v>
          </cell>
          <cell r="AJ356">
            <v>2197910000</v>
          </cell>
        </row>
        <row r="357">
          <cell r="AI357" t="str">
            <v>NYSE:PM</v>
          </cell>
          <cell r="AJ357">
            <v>1556639000</v>
          </cell>
        </row>
        <row r="358">
          <cell r="AI358" t="str">
            <v>NYSE:PSX</v>
          </cell>
          <cell r="AJ358">
            <v>402921000</v>
          </cell>
        </row>
        <row r="359">
          <cell r="AI359" t="str">
            <v>NYSE:PNW</v>
          </cell>
          <cell r="AJ359">
            <v>119690000</v>
          </cell>
        </row>
        <row r="360">
          <cell r="AI360" t="str">
            <v>NasdaqGS:POOL</v>
          </cell>
          <cell r="AJ360">
            <v>32779120</v>
          </cell>
        </row>
        <row r="361">
          <cell r="AI361" t="str">
            <v>NYSE:PPG</v>
          </cell>
          <cell r="AJ361">
            <v>224400000</v>
          </cell>
        </row>
        <row r="362">
          <cell r="AI362" t="str">
            <v>NYSE:PPL</v>
          </cell>
          <cell r="AJ362">
            <v>739739000</v>
          </cell>
        </row>
        <row r="363">
          <cell r="AI363" t="str">
            <v>NasdaqGS:PFG</v>
          </cell>
          <cell r="AJ363">
            <v>199921540</v>
          </cell>
        </row>
        <row r="364">
          <cell r="AI364" t="str">
            <v>NYSE:PLD</v>
          </cell>
          <cell r="AJ364">
            <v>928867000</v>
          </cell>
        </row>
        <row r="365">
          <cell r="AI365" t="str">
            <v>NYSE:PRU</v>
          </cell>
          <cell r="AJ365">
            <v>350000000</v>
          </cell>
        </row>
        <row r="366">
          <cell r="AI366" t="str">
            <v>NasdaqGS:PTC</v>
          </cell>
          <cell r="AJ366">
            <v>119793000</v>
          </cell>
        </row>
        <row r="367">
          <cell r="AI367" t="str">
            <v>NYSE:PEG</v>
          </cell>
          <cell r="AJ367">
            <v>499154000</v>
          </cell>
        </row>
        <row r="368">
          <cell r="AI368" t="str">
            <v>NYSE:PSA</v>
          </cell>
          <cell r="AJ368">
            <v>157916700</v>
          </cell>
        </row>
        <row r="369">
          <cell r="AI369" t="str">
            <v>NYSE:PHM</v>
          </cell>
          <cell r="AJ369">
            <v>194917000</v>
          </cell>
        </row>
        <row r="370">
          <cell r="AI370" t="str">
            <v>NYSE:Q</v>
          </cell>
          <cell r="AJ370">
            <v>209434000</v>
          </cell>
        </row>
        <row r="371">
          <cell r="AI371" t="str">
            <v>NasdaqGS:QCOM</v>
          </cell>
          <cell r="AJ371">
            <v>1071000000</v>
          </cell>
        </row>
        <row r="372">
          <cell r="AI372" t="str">
            <v>NYSE:PWR</v>
          </cell>
          <cell r="AJ372">
            <v>149116000</v>
          </cell>
        </row>
        <row r="373">
          <cell r="AI373" t="str">
            <v>NYSE:DGX</v>
          </cell>
          <cell r="AJ373">
            <v>111242000</v>
          </cell>
        </row>
        <row r="374">
          <cell r="AI374" t="str">
            <v>NYSE:RL</v>
          </cell>
          <cell r="AJ374">
            <v>38759000</v>
          </cell>
        </row>
        <row r="375">
          <cell r="AI375" t="str">
            <v>NYSE:RJF</v>
          </cell>
          <cell r="AJ375">
            <v>176309000</v>
          </cell>
        </row>
        <row r="376">
          <cell r="AI376" t="str">
            <v>NYSE:O</v>
          </cell>
          <cell r="AJ376">
            <v>919906000</v>
          </cell>
        </row>
        <row r="377">
          <cell r="AI377" t="str">
            <v>NasdaqGS:REG</v>
          </cell>
          <cell r="AJ377">
            <v>164610900</v>
          </cell>
        </row>
        <row r="378">
          <cell r="AI378" t="str">
            <v>NasdaqGS:REGN</v>
          </cell>
          <cell r="AJ378">
            <v>100782000</v>
          </cell>
        </row>
        <row r="379">
          <cell r="AI379" t="str">
            <v>NYSE:RF</v>
          </cell>
          <cell r="AJ379">
            <v>876876000</v>
          </cell>
        </row>
        <row r="380">
          <cell r="AI380" t="str">
            <v>NYSE:RSG</v>
          </cell>
          <cell r="AJ380">
            <v>201216600</v>
          </cell>
        </row>
        <row r="381">
          <cell r="AI381" t="str">
            <v>NYSE:RMD</v>
          </cell>
          <cell r="AJ381">
            <v>145966000</v>
          </cell>
        </row>
        <row r="382">
          <cell r="AI382" t="str">
            <v>NYSE:RVTY</v>
          </cell>
          <cell r="AJ382">
            <v>113376000</v>
          </cell>
        </row>
        <row r="383">
          <cell r="AI383" t="str">
            <v>NasdaqGS:HOOD</v>
          </cell>
          <cell r="AJ383">
            <v>786356000</v>
          </cell>
        </row>
        <row r="384">
          <cell r="AI384" t="str">
            <v>NYSE:ROK</v>
          </cell>
          <cell r="AJ384">
            <v>112274000</v>
          </cell>
        </row>
        <row r="385">
          <cell r="AI385" t="str">
            <v>NYSE:ROL</v>
          </cell>
          <cell r="AJ385">
            <v>293502110</v>
          </cell>
        </row>
        <row r="386">
          <cell r="AI386" t="str">
            <v>NasdaqGS:ROP</v>
          </cell>
          <cell r="AJ386">
            <v>107637000</v>
          </cell>
        </row>
        <row r="387">
          <cell r="AI387" t="str">
            <v>NasdaqGS:ROST</v>
          </cell>
          <cell r="AJ387">
            <v>325226000</v>
          </cell>
        </row>
        <row r="388">
          <cell r="AI388" t="str">
            <v>NYSE:RCL</v>
          </cell>
          <cell r="AJ388">
            <v>253623090</v>
          </cell>
        </row>
        <row r="389">
          <cell r="AI389" t="str">
            <v>NYSE:RTX</v>
          </cell>
          <cell r="AJ389">
            <v>1340772000</v>
          </cell>
        </row>
        <row r="390">
          <cell r="AI390" t="str">
            <v>NYSE:SPGI</v>
          </cell>
          <cell r="AJ390">
            <v>310000000</v>
          </cell>
        </row>
        <row r="391">
          <cell r="AI391" t="str">
            <v>NYSE:CRM</v>
          </cell>
          <cell r="AJ391">
            <v>952000000</v>
          </cell>
        </row>
        <row r="392">
          <cell r="AI392" t="str">
            <v>NasdaqGS:SNDK</v>
          </cell>
          <cell r="AJ392">
            <v>147601000</v>
          </cell>
        </row>
        <row r="393">
          <cell r="AI393" t="str">
            <v>NasdaqGS:SBAC</v>
          </cell>
          <cell r="AJ393">
            <v>106547000</v>
          </cell>
        </row>
        <row r="394">
          <cell r="AI394" t="str">
            <v>NasdaqGS:STX</v>
          </cell>
          <cell r="AJ394">
            <v>217872000</v>
          </cell>
        </row>
        <row r="395">
          <cell r="AI395" t="str">
            <v>NYSE:SRE</v>
          </cell>
          <cell r="AJ395">
            <v>652682000</v>
          </cell>
        </row>
        <row r="396">
          <cell r="AI396" t="str">
            <v>NYSE:NOW</v>
          </cell>
          <cell r="AJ396">
            <v>1037410000</v>
          </cell>
        </row>
        <row r="397">
          <cell r="AI397" t="str">
            <v>NYSE:SPG</v>
          </cell>
          <cell r="AJ397">
            <v>326462000</v>
          </cell>
        </row>
        <row r="398">
          <cell r="AI398" t="str">
            <v>NasdaqGS:SWKS</v>
          </cell>
          <cell r="AJ398">
            <v>148680000</v>
          </cell>
        </row>
        <row r="399">
          <cell r="AI399" t="str">
            <v>NYSE:SLB</v>
          </cell>
          <cell r="AJ399">
            <v>1493924000</v>
          </cell>
        </row>
        <row r="400">
          <cell r="AI400" t="str">
            <v>NYSE:SW</v>
          </cell>
          <cell r="AJ400">
            <v>522186000</v>
          </cell>
        </row>
        <row r="401">
          <cell r="AI401" t="str">
            <v>NYSE:SNA</v>
          </cell>
          <cell r="AJ401">
            <v>52008000</v>
          </cell>
        </row>
        <row r="402">
          <cell r="AI402" t="str">
            <v>NYSE:SOLV</v>
          </cell>
          <cell r="AJ402">
            <v>147430800</v>
          </cell>
        </row>
        <row r="403">
          <cell r="AI403" t="str">
            <v>NYSE:LUV</v>
          </cell>
          <cell r="AJ403">
            <v>517155000</v>
          </cell>
        </row>
        <row r="404">
          <cell r="AI404" t="str">
            <v>NYSE:SWK</v>
          </cell>
          <cell r="AJ404">
            <v>154885000</v>
          </cell>
        </row>
        <row r="405">
          <cell r="AI405" t="str">
            <v>NasdaqGS:SBUX</v>
          </cell>
          <cell r="AJ405">
            <v>1136900000</v>
          </cell>
        </row>
        <row r="406">
          <cell r="AI406" t="str">
            <v>NYSE:STT</v>
          </cell>
          <cell r="AJ406">
            <v>279312000</v>
          </cell>
        </row>
        <row r="407">
          <cell r="AI407" t="str">
            <v>NasdaqGS:STLD</v>
          </cell>
          <cell r="AJ407">
            <v>137272900</v>
          </cell>
        </row>
        <row r="408">
          <cell r="AI408" t="str">
            <v>NYSE:STE</v>
          </cell>
          <cell r="AJ408">
            <v>98147000</v>
          </cell>
        </row>
        <row r="409">
          <cell r="AI409" t="str">
            <v>NYSE:SYK</v>
          </cell>
          <cell r="AJ409">
            <v>344181600</v>
          </cell>
        </row>
        <row r="410">
          <cell r="AI410" t="str">
            <v>NasdaqGS:SMCI</v>
          </cell>
          <cell r="AJ410">
            <v>501455640</v>
          </cell>
        </row>
        <row r="411">
          <cell r="AI411" t="str">
            <v>NYSE:SYF</v>
          </cell>
          <cell r="AJ411">
            <v>360171000</v>
          </cell>
        </row>
        <row r="412">
          <cell r="AI412" t="str">
            <v>NasdaqGS:SNPS</v>
          </cell>
          <cell r="AJ412">
            <v>185749000</v>
          </cell>
        </row>
        <row r="413">
          <cell r="AI413" t="str">
            <v>NYSE:SYY</v>
          </cell>
          <cell r="AJ413">
            <v>478861000</v>
          </cell>
        </row>
        <row r="414">
          <cell r="AI414" t="str">
            <v>NasdaqGS:TMUS</v>
          </cell>
          <cell r="AJ414">
            <v>480958010</v>
          </cell>
        </row>
        <row r="415">
          <cell r="AI415" t="str">
            <v>NasdaqGS:TROW</v>
          </cell>
          <cell r="AJ415">
            <v>218237000</v>
          </cell>
        </row>
        <row r="416">
          <cell r="AI416" t="str">
            <v>NasdaqGS:TTWO</v>
          </cell>
          <cell r="AJ416">
            <v>173692260</v>
          </cell>
        </row>
        <row r="417">
          <cell r="AI417" t="str">
            <v>NYSE:TPR</v>
          </cell>
          <cell r="AJ417">
            <v>204650000</v>
          </cell>
        </row>
        <row r="418">
          <cell r="AI418" t="str">
            <v>NYSE:TRGP</v>
          </cell>
          <cell r="AJ418">
            <v>214659000</v>
          </cell>
        </row>
        <row r="419">
          <cell r="AI419" t="str">
            <v>NYSE:TGT</v>
          </cell>
          <cell r="AJ419">
            <v>454399000</v>
          </cell>
        </row>
        <row r="420">
          <cell r="AI420" t="str">
            <v>NYSE:TEL</v>
          </cell>
          <cell r="AJ420">
            <v>294189000</v>
          </cell>
        </row>
        <row r="421">
          <cell r="AI421" t="str">
            <v>NYSE:TDY</v>
          </cell>
          <cell r="AJ421">
            <v>46951000</v>
          </cell>
        </row>
        <row r="422">
          <cell r="AI422" t="str">
            <v>NasdaqGS:TER</v>
          </cell>
          <cell r="AJ422">
            <v>156608000</v>
          </cell>
        </row>
        <row r="423">
          <cell r="AI423" t="str">
            <v>NasdaqGS:TSLA</v>
          </cell>
          <cell r="AJ423">
            <v>2809942530</v>
          </cell>
        </row>
        <row r="424">
          <cell r="AI424" t="str">
            <v>NasdaqGS:TXN</v>
          </cell>
          <cell r="AJ424">
            <v>908623000</v>
          </cell>
        </row>
        <row r="425">
          <cell r="AI425" t="str">
            <v>NYSE:TPL</v>
          </cell>
          <cell r="AJ425">
            <v>57907080</v>
          </cell>
        </row>
        <row r="426">
          <cell r="AI426" t="str">
            <v>NYSE:TXT</v>
          </cell>
          <cell r="AJ426">
            <v>176224000</v>
          </cell>
        </row>
        <row r="427">
          <cell r="AI427" t="str">
            <v>NYSE:AES</v>
          </cell>
          <cell r="AJ427">
            <v>712121000</v>
          </cell>
        </row>
        <row r="428">
          <cell r="AI428" t="str">
            <v>NYSE:ALL</v>
          </cell>
          <cell r="AJ428">
            <v>261682000</v>
          </cell>
        </row>
        <row r="429">
          <cell r="AI429" t="str">
            <v>NYSE:BK</v>
          </cell>
          <cell r="AJ429">
            <v>697349000</v>
          </cell>
        </row>
        <row r="430">
          <cell r="AI430" t="str">
            <v>NYSE:BA</v>
          </cell>
          <cell r="AJ430">
            <v>783050000</v>
          </cell>
        </row>
        <row r="431">
          <cell r="AI431" t="str">
            <v>NasdaqGS:CPB</v>
          </cell>
          <cell r="AJ431">
            <v>196483980</v>
          </cell>
        </row>
        <row r="432">
          <cell r="AI432" t="str">
            <v>NYSE:SCHW</v>
          </cell>
          <cell r="AJ432">
            <v>1670320780</v>
          </cell>
        </row>
        <row r="433">
          <cell r="AI433" t="str">
            <v>NYSE:CI</v>
          </cell>
          <cell r="AJ433">
            <v>267126000</v>
          </cell>
        </row>
        <row r="434">
          <cell r="AI434" t="str">
            <v>NYSE:CLX</v>
          </cell>
          <cell r="AJ434">
            <v>121980000</v>
          </cell>
        </row>
        <row r="435">
          <cell r="AI435" t="str">
            <v>NYSE:KO</v>
          </cell>
          <cell r="AJ435">
            <v>3871448100</v>
          </cell>
        </row>
        <row r="436">
          <cell r="AI436" t="str">
            <v>NasdaqGS:COO</v>
          </cell>
          <cell r="AJ436">
            <v>198809000</v>
          </cell>
        </row>
        <row r="437">
          <cell r="AI437" t="str">
            <v>NYSE:EL</v>
          </cell>
          <cell r="AJ437">
            <v>245853000</v>
          </cell>
        </row>
        <row r="438">
          <cell r="AI438" t="str">
            <v>NYSE:GS</v>
          </cell>
          <cell r="AJ438">
            <v>299929000</v>
          </cell>
        </row>
        <row r="439">
          <cell r="AI439" t="str">
            <v>NYSE:HIG</v>
          </cell>
          <cell r="AJ439">
            <v>278650000</v>
          </cell>
        </row>
        <row r="440">
          <cell r="AI440" t="str">
            <v>NYSE:HSY</v>
          </cell>
          <cell r="AJ440">
            <v>148172000</v>
          </cell>
        </row>
        <row r="441">
          <cell r="AI441" t="str">
            <v>NYSE:HD</v>
          </cell>
          <cell r="AJ441">
            <v>995387000</v>
          </cell>
        </row>
        <row r="442">
          <cell r="AI442" t="str">
            <v>NYSE:SJM</v>
          </cell>
          <cell r="AJ442">
            <v>106685000</v>
          </cell>
        </row>
        <row r="443">
          <cell r="AI443" t="str">
            <v>NasdaqGS:KHC</v>
          </cell>
          <cell r="AJ443">
            <v>852232320</v>
          </cell>
        </row>
        <row r="444">
          <cell r="AI444" t="str">
            <v>NYSE:KR</v>
          </cell>
          <cell r="AJ444">
            <v>609663760</v>
          </cell>
        </row>
        <row r="445">
          <cell r="AI445" t="str">
            <v>NYSE:MOS</v>
          </cell>
          <cell r="AJ445">
            <v>317408000</v>
          </cell>
        </row>
        <row r="446">
          <cell r="AI446" t="str">
            <v>NYSE:PNC</v>
          </cell>
          <cell r="AJ446">
            <v>392158000</v>
          </cell>
        </row>
        <row r="447">
          <cell r="AI447" t="str">
            <v>NYSE:PG</v>
          </cell>
          <cell r="AJ447">
            <v>2336734000</v>
          </cell>
        </row>
        <row r="448">
          <cell r="AI448" t="str">
            <v>NYSE:PGR</v>
          </cell>
          <cell r="AJ448">
            <v>586397000</v>
          </cell>
        </row>
        <row r="449">
          <cell r="AI449" t="str">
            <v>NYSE:SHW</v>
          </cell>
          <cell r="AJ449">
            <v>230541420</v>
          </cell>
        </row>
        <row r="450">
          <cell r="AI450" t="str">
            <v>NYSE:SO</v>
          </cell>
          <cell r="AJ450">
            <v>1101105000</v>
          </cell>
        </row>
        <row r="451">
          <cell r="AI451" t="str">
            <v>NYSE:TJX</v>
          </cell>
          <cell r="AJ451">
            <v>1112939000</v>
          </cell>
        </row>
        <row r="452">
          <cell r="AI452" t="str">
            <v>NasdaqGM:TTD</v>
          </cell>
          <cell r="AJ452">
            <v>440319000</v>
          </cell>
        </row>
        <row r="453">
          <cell r="AI453" t="str">
            <v>NYSE:TRV</v>
          </cell>
          <cell r="AJ453">
            <v>223063000</v>
          </cell>
        </row>
        <row r="454">
          <cell r="AI454" t="str">
            <v>NYSE:DIS</v>
          </cell>
          <cell r="AJ454">
            <v>1785289000</v>
          </cell>
        </row>
        <row r="455">
          <cell r="AI455" t="str">
            <v>NYSE:WMB</v>
          </cell>
          <cell r="AJ455">
            <v>1221219000</v>
          </cell>
        </row>
        <row r="456">
          <cell r="AI456" t="str">
            <v>NYSE:TMO</v>
          </cell>
          <cell r="AJ456">
            <v>375708000</v>
          </cell>
        </row>
        <row r="457">
          <cell r="AI457" t="str">
            <v>NYSE:TKO</v>
          </cell>
          <cell r="AJ457">
            <v>66294480</v>
          </cell>
        </row>
        <row r="458">
          <cell r="AI458" t="str">
            <v>NasdaqGS:TSCO</v>
          </cell>
          <cell r="AJ458">
            <v>528404000</v>
          </cell>
        </row>
        <row r="459">
          <cell r="AI459" t="str">
            <v>NYSE:TT</v>
          </cell>
          <cell r="AJ459">
            <v>221739000</v>
          </cell>
        </row>
        <row r="460">
          <cell r="AI460" t="str">
            <v>NYSE:TDG</v>
          </cell>
          <cell r="AJ460">
            <v>56319000</v>
          </cell>
        </row>
        <row r="461">
          <cell r="AI461" t="str">
            <v>NasdaqGS:TRMB</v>
          </cell>
          <cell r="AJ461">
            <v>237921000</v>
          </cell>
        </row>
        <row r="462">
          <cell r="AI462" t="str">
            <v>NYSE:TFC</v>
          </cell>
          <cell r="AJ462">
            <v>1279246000</v>
          </cell>
        </row>
        <row r="463">
          <cell r="AI463" t="str">
            <v>NYSE:TYL</v>
          </cell>
          <cell r="AJ463">
            <v>43028000</v>
          </cell>
        </row>
        <row r="464">
          <cell r="AI464" t="str">
            <v>NYSE:TSN</v>
          </cell>
          <cell r="AJ464">
            <v>283045000</v>
          </cell>
        </row>
        <row r="465">
          <cell r="AI465" t="str">
            <v>NYSE:USB</v>
          </cell>
          <cell r="AJ465">
            <v>1554434000</v>
          </cell>
        </row>
        <row r="466">
          <cell r="AI466" t="str">
            <v>NYSE:UBER</v>
          </cell>
          <cell r="AJ466">
            <v>2077830000</v>
          </cell>
        </row>
        <row r="467">
          <cell r="AI467" t="str">
            <v>NYSE:UDR</v>
          </cell>
          <cell r="AJ467">
            <v>300742260</v>
          </cell>
        </row>
        <row r="468">
          <cell r="AI468" t="str">
            <v>NasdaqGS:ULTA</v>
          </cell>
          <cell r="AJ468">
            <v>44838000</v>
          </cell>
        </row>
        <row r="469">
          <cell r="AI469" t="str">
            <v>NYSE:UNP</v>
          </cell>
          <cell r="AJ469">
            <v>593161000</v>
          </cell>
        </row>
        <row r="470">
          <cell r="AI470" t="str">
            <v>NasdaqGS:UAL</v>
          </cell>
          <cell r="AJ470">
            <v>323738000</v>
          </cell>
        </row>
        <row r="471">
          <cell r="AI471" t="str">
            <v>NYSE:UPS</v>
          </cell>
          <cell r="AJ471">
            <v>738990000</v>
          </cell>
        </row>
        <row r="472">
          <cell r="AI472" t="str">
            <v>NYSE:URI</v>
          </cell>
          <cell r="AJ472">
            <v>63630000</v>
          </cell>
        </row>
        <row r="473">
          <cell r="AI473" t="str">
            <v>NYSE:UNH</v>
          </cell>
          <cell r="AJ473">
            <v>905839000</v>
          </cell>
        </row>
        <row r="474">
          <cell r="AI474" t="str">
            <v>NYSE:UHS</v>
          </cell>
          <cell r="AJ474">
            <v>55234000</v>
          </cell>
        </row>
        <row r="475">
          <cell r="AI475" t="str">
            <v>NYSE:VLO</v>
          </cell>
          <cell r="AJ475">
            <v>305010000</v>
          </cell>
        </row>
        <row r="476">
          <cell r="AI476" t="str">
            <v>NYSE:VTR</v>
          </cell>
          <cell r="AJ476">
            <v>469733000</v>
          </cell>
        </row>
        <row r="477">
          <cell r="AI477" t="str">
            <v>NYSE:VLTO</v>
          </cell>
          <cell r="AJ477">
            <v>248297000</v>
          </cell>
        </row>
        <row r="478">
          <cell r="AI478" t="str">
            <v>NasdaqGS:VRSN</v>
          </cell>
          <cell r="AJ478">
            <v>83430000</v>
          </cell>
        </row>
        <row r="479">
          <cell r="AI479" t="str">
            <v>NasdaqGS:VRSK</v>
          </cell>
          <cell r="AJ479">
            <v>139373000</v>
          </cell>
        </row>
        <row r="480">
          <cell r="AI480" t="str">
            <v>NYSE:VZ</v>
          </cell>
          <cell r="AJ480">
            <v>4216425000</v>
          </cell>
        </row>
        <row r="481">
          <cell r="AI481" t="str">
            <v>NasdaqGS:VRTX</v>
          </cell>
          <cell r="AJ481">
            <v>253719000</v>
          </cell>
        </row>
        <row r="482">
          <cell r="AI482" t="str">
            <v>NasdaqGS:VTRS</v>
          </cell>
          <cell r="AJ482">
            <v>1151770000</v>
          </cell>
        </row>
        <row r="483">
          <cell r="AI483" t="str">
            <v>NYSE:VICI</v>
          </cell>
          <cell r="AJ483">
            <v>1068811000</v>
          </cell>
        </row>
        <row r="484">
          <cell r="AI484" t="str">
            <v>NYSE:V</v>
          </cell>
          <cell r="AJ484">
            <v>1687630000</v>
          </cell>
        </row>
        <row r="485">
          <cell r="AI485" t="str">
            <v>NYSE:VST</v>
          </cell>
          <cell r="AJ485">
            <v>318495500</v>
          </cell>
        </row>
        <row r="486">
          <cell r="AI486" t="str">
            <v>NYSE:VMC</v>
          </cell>
          <cell r="AJ486">
            <v>132131000</v>
          </cell>
        </row>
        <row r="487">
          <cell r="AI487" t="str">
            <v>NYSE:WRB</v>
          </cell>
          <cell r="AJ487">
            <v>300216590</v>
          </cell>
        </row>
        <row r="488">
          <cell r="AI488" t="str">
            <v>NYSE:GWW</v>
          </cell>
          <cell r="AJ488">
            <v>43745080</v>
          </cell>
        </row>
        <row r="489">
          <cell r="AI489" t="str">
            <v>NasdaqGS:WMT</v>
          </cell>
          <cell r="AJ489">
            <v>4385068050</v>
          </cell>
        </row>
        <row r="490">
          <cell r="AI490" t="str">
            <v>NasdaqGS:WBD</v>
          </cell>
          <cell r="AJ490">
            <v>2477975000</v>
          </cell>
        </row>
        <row r="491">
          <cell r="AI491" t="str">
            <v>NYSE:WM</v>
          </cell>
          <cell r="AJ491">
            <v>370637640</v>
          </cell>
        </row>
        <row r="492">
          <cell r="AI492" t="str">
            <v>NYSE:WAT</v>
          </cell>
          <cell r="AJ492">
            <v>98328001</v>
          </cell>
        </row>
        <row r="493">
          <cell r="AI493" t="str">
            <v>NYSE:WEC</v>
          </cell>
          <cell r="AJ493">
            <v>325294000</v>
          </cell>
        </row>
        <row r="494">
          <cell r="AI494" t="str">
            <v>NYSE:WFC</v>
          </cell>
          <cell r="AJ494">
            <v>3139085000</v>
          </cell>
        </row>
        <row r="495">
          <cell r="AI495" t="str">
            <v>NYSE:WELL</v>
          </cell>
          <cell r="AJ495">
            <v>686328000</v>
          </cell>
        </row>
        <row r="496">
          <cell r="AI496" t="str">
            <v>NYSE:WST</v>
          </cell>
          <cell r="AJ496">
            <v>71943000</v>
          </cell>
        </row>
        <row r="497">
          <cell r="AI497" t="str">
            <v>NasdaqGS:WDC</v>
          </cell>
          <cell r="AJ497">
            <v>341899000</v>
          </cell>
        </row>
        <row r="498">
          <cell r="AI498" t="str">
            <v>NYSE:WAB</v>
          </cell>
          <cell r="AJ498">
            <v>170957000</v>
          </cell>
        </row>
        <row r="499">
          <cell r="AI499" t="str">
            <v>NYSE:WY</v>
          </cell>
          <cell r="AJ499">
            <v>720861000</v>
          </cell>
        </row>
        <row r="500">
          <cell r="AI500" t="str">
            <v>NYSE:WSM</v>
          </cell>
          <cell r="AJ500">
            <v>121790000</v>
          </cell>
        </row>
        <row r="501">
          <cell r="AI501" t="str">
            <v>NasdaqGS:WTW</v>
          </cell>
          <cell r="AJ501">
            <v>95749000</v>
          </cell>
        </row>
        <row r="502">
          <cell r="AI502" t="str">
            <v>NasdaqGS:WDAY</v>
          </cell>
          <cell r="AJ502">
            <v>217000000</v>
          </cell>
        </row>
        <row r="503">
          <cell r="AI503" t="str">
            <v>NasdaqGS:WYNN</v>
          </cell>
          <cell r="AJ503">
            <v>84423920</v>
          </cell>
        </row>
        <row r="504">
          <cell r="AI504" t="str">
            <v>NasdaqGS:XEL</v>
          </cell>
          <cell r="AJ504">
            <v>591540000</v>
          </cell>
        </row>
        <row r="505">
          <cell r="AI505" t="str">
            <v>NYSE:XYL</v>
          </cell>
          <cell r="AJ505">
            <v>243469000</v>
          </cell>
        </row>
        <row r="506">
          <cell r="AI506" t="str">
            <v>NYSE:YUM</v>
          </cell>
          <cell r="AJ506">
            <v>277653000</v>
          </cell>
        </row>
        <row r="507">
          <cell r="AI507" t="str">
            <v>NasdaqGS:ZBRA</v>
          </cell>
          <cell r="AJ507">
            <v>50660000</v>
          </cell>
        </row>
        <row r="508">
          <cell r="AI508" t="str">
            <v>NYSE:ZBH</v>
          </cell>
          <cell r="AJ508">
            <v>198182000</v>
          </cell>
        </row>
        <row r="509">
          <cell r="AI509" t="str">
            <v>NYSE:ZTS</v>
          </cell>
          <cell r="AJ509">
            <v>440693000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Value Model"/>
      <sheetName val="Growth Model"/>
      <sheetName val="Quality Model"/>
      <sheetName val="Momentum Model"/>
      <sheetName val="Factors"/>
    </sheetNames>
    <sheetDataSet>
      <sheetData sheetId="0"/>
      <sheetData sheetId="1">
        <row r="10">
          <cell r="A10" t="str">
            <v>(User access restricted)</v>
          </cell>
        </row>
      </sheetData>
      <sheetData sheetId="2">
        <row r="10">
          <cell r="A10" t="str">
            <v>(User access restricted)</v>
          </cell>
        </row>
      </sheetData>
      <sheetData sheetId="3">
        <row r="10">
          <cell r="A10" t="str">
            <v>(User access restricted)</v>
          </cell>
        </row>
      </sheetData>
      <sheetData sheetId="4">
        <row r="10">
          <cell r="A10" t="str">
            <v>(User access restricted)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drawing" Target="../drawings/drawing1.xml"/><Relationship Id="rId7" Type="http://schemas.openxmlformats.org/officeDocument/2006/relationships/ctrlProp" Target="../ctrlProps/ctrlProp3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3BDF-1BBD-4F58-8ED5-5BE1998E6734}">
  <dimension ref="A1:IV9"/>
  <sheetViews>
    <sheetView workbookViewId="0"/>
  </sheetViews>
  <sheetFormatPr defaultRowHeight="12.75" x14ac:dyDescent="0.2"/>
  <sheetData>
    <row r="1" spans="1:256" x14ac:dyDescent="0.2">
      <c r="A1">
        <v>2069</v>
      </c>
      <c r="B1" t="s">
        <v>8305</v>
      </c>
      <c r="C1" t="s">
        <v>8306</v>
      </c>
      <c r="D1" t="s">
        <v>8307</v>
      </c>
      <c r="E1" t="s">
        <v>8308</v>
      </c>
      <c r="F1" t="s">
        <v>8309</v>
      </c>
      <c r="G1" t="s">
        <v>8310</v>
      </c>
      <c r="H1" t="s">
        <v>8311</v>
      </c>
      <c r="I1" t="s">
        <v>8312</v>
      </c>
      <c r="J1" t="s">
        <v>8313</v>
      </c>
      <c r="K1" t="s">
        <v>8314</v>
      </c>
      <c r="L1" t="s">
        <v>8315</v>
      </c>
      <c r="M1" t="s">
        <v>8316</v>
      </c>
      <c r="N1" t="s">
        <v>8317</v>
      </c>
      <c r="O1" t="s">
        <v>8318</v>
      </c>
      <c r="P1" t="s">
        <v>8319</v>
      </c>
      <c r="Q1" t="s">
        <v>8320</v>
      </c>
      <c r="R1" t="s">
        <v>8321</v>
      </c>
      <c r="S1" t="s">
        <v>8322</v>
      </c>
      <c r="T1" t="s">
        <v>8323</v>
      </c>
      <c r="U1" t="s">
        <v>8324</v>
      </c>
      <c r="V1" t="s">
        <v>8325</v>
      </c>
      <c r="W1" t="s">
        <v>8326</v>
      </c>
      <c r="X1" t="s">
        <v>8327</v>
      </c>
      <c r="Y1" t="s">
        <v>8328</v>
      </c>
      <c r="Z1" t="s">
        <v>8329</v>
      </c>
      <c r="AA1" t="s">
        <v>8330</v>
      </c>
      <c r="AB1" t="s">
        <v>8331</v>
      </c>
      <c r="AC1" t="s">
        <v>8332</v>
      </c>
      <c r="AD1" t="s">
        <v>8333</v>
      </c>
      <c r="AE1" t="s">
        <v>8334</v>
      </c>
      <c r="AF1" t="s">
        <v>8335</v>
      </c>
      <c r="AG1" t="s">
        <v>8336</v>
      </c>
      <c r="AH1" t="s">
        <v>8337</v>
      </c>
      <c r="AI1" t="s">
        <v>8338</v>
      </c>
      <c r="AJ1" t="s">
        <v>8339</v>
      </c>
      <c r="AK1" t="s">
        <v>8340</v>
      </c>
      <c r="AL1" t="s">
        <v>8341</v>
      </c>
      <c r="AM1" t="s">
        <v>8342</v>
      </c>
      <c r="AN1" t="s">
        <v>8343</v>
      </c>
      <c r="AO1" t="s">
        <v>8344</v>
      </c>
      <c r="AP1" t="s">
        <v>8345</v>
      </c>
      <c r="AQ1" t="s">
        <v>8346</v>
      </c>
      <c r="AR1" t="s">
        <v>8347</v>
      </c>
      <c r="AS1" t="s">
        <v>8348</v>
      </c>
      <c r="AT1" t="s">
        <v>8349</v>
      </c>
      <c r="AU1" t="s">
        <v>8350</v>
      </c>
      <c r="AV1" t="s">
        <v>8351</v>
      </c>
      <c r="AW1" t="s">
        <v>8352</v>
      </c>
      <c r="AX1" t="s">
        <v>8353</v>
      </c>
      <c r="AY1" t="s">
        <v>8354</v>
      </c>
      <c r="AZ1" t="s">
        <v>8355</v>
      </c>
      <c r="BA1" t="s">
        <v>8356</v>
      </c>
      <c r="BB1" t="s">
        <v>8357</v>
      </c>
      <c r="BC1" t="s">
        <v>8358</v>
      </c>
      <c r="BD1" t="s">
        <v>8359</v>
      </c>
      <c r="BE1" t="s">
        <v>8360</v>
      </c>
      <c r="BF1" t="s">
        <v>8361</v>
      </c>
      <c r="BG1" t="s">
        <v>8362</v>
      </c>
      <c r="BH1" t="s">
        <v>8363</v>
      </c>
      <c r="BI1" t="s">
        <v>8364</v>
      </c>
      <c r="BJ1" t="s">
        <v>8365</v>
      </c>
      <c r="BK1" t="s">
        <v>8366</v>
      </c>
      <c r="BL1" t="s">
        <v>8367</v>
      </c>
      <c r="BM1" t="s">
        <v>8368</v>
      </c>
      <c r="BN1" t="s">
        <v>8369</v>
      </c>
      <c r="BO1" t="s">
        <v>8370</v>
      </c>
      <c r="BP1" t="s">
        <v>8371</v>
      </c>
      <c r="BQ1" t="s">
        <v>8372</v>
      </c>
      <c r="BR1" t="s">
        <v>8373</v>
      </c>
      <c r="BS1" t="s">
        <v>8374</v>
      </c>
      <c r="BT1" t="s">
        <v>8375</v>
      </c>
      <c r="BU1" t="s">
        <v>8376</v>
      </c>
      <c r="BV1" t="s">
        <v>8377</v>
      </c>
      <c r="BW1" t="s">
        <v>8378</v>
      </c>
      <c r="BX1" t="s">
        <v>8379</v>
      </c>
      <c r="BY1" t="s">
        <v>8380</v>
      </c>
      <c r="BZ1" t="s">
        <v>8381</v>
      </c>
      <c r="CA1" t="s">
        <v>8382</v>
      </c>
      <c r="CB1" t="s">
        <v>8383</v>
      </c>
      <c r="CC1" t="s">
        <v>8384</v>
      </c>
      <c r="CD1" t="s">
        <v>8385</v>
      </c>
      <c r="CE1" t="s">
        <v>8386</v>
      </c>
      <c r="CF1" t="s">
        <v>8387</v>
      </c>
      <c r="CG1" t="s">
        <v>8388</v>
      </c>
      <c r="CH1" t="s">
        <v>8389</v>
      </c>
      <c r="CI1" t="s">
        <v>8390</v>
      </c>
      <c r="CJ1" t="s">
        <v>8391</v>
      </c>
      <c r="CK1" t="s">
        <v>8392</v>
      </c>
      <c r="CL1" t="s">
        <v>8393</v>
      </c>
      <c r="CM1" t="s">
        <v>8394</v>
      </c>
      <c r="CN1" t="s">
        <v>8395</v>
      </c>
      <c r="CO1" t="s">
        <v>8396</v>
      </c>
      <c r="CP1" t="s">
        <v>8397</v>
      </c>
      <c r="CQ1" t="s">
        <v>8398</v>
      </c>
      <c r="CR1" t="s">
        <v>8399</v>
      </c>
      <c r="CS1" t="s">
        <v>8400</v>
      </c>
      <c r="CT1" t="s">
        <v>8401</v>
      </c>
      <c r="CU1" t="s">
        <v>8402</v>
      </c>
      <c r="CV1" t="s">
        <v>8403</v>
      </c>
      <c r="CW1" t="s">
        <v>8404</v>
      </c>
      <c r="CX1" t="s">
        <v>8405</v>
      </c>
      <c r="CY1" t="s">
        <v>8406</v>
      </c>
      <c r="CZ1" t="s">
        <v>8407</v>
      </c>
      <c r="DA1" t="s">
        <v>8408</v>
      </c>
      <c r="DB1" t="s">
        <v>8409</v>
      </c>
      <c r="DC1" t="s">
        <v>8410</v>
      </c>
      <c r="DD1" t="s">
        <v>8411</v>
      </c>
      <c r="DE1" t="s">
        <v>8412</v>
      </c>
      <c r="DF1" t="s">
        <v>8413</v>
      </c>
      <c r="DG1" t="s">
        <v>8414</v>
      </c>
      <c r="DH1" t="s">
        <v>8415</v>
      </c>
      <c r="DI1" t="s">
        <v>8416</v>
      </c>
      <c r="DJ1" t="s">
        <v>8417</v>
      </c>
      <c r="DK1" t="s">
        <v>8418</v>
      </c>
      <c r="DL1" t="s">
        <v>8419</v>
      </c>
      <c r="DM1" t="s">
        <v>8420</v>
      </c>
      <c r="DN1" t="s">
        <v>8421</v>
      </c>
      <c r="DO1" t="s">
        <v>8422</v>
      </c>
      <c r="DP1" t="s">
        <v>8423</v>
      </c>
      <c r="DQ1" t="s">
        <v>8424</v>
      </c>
      <c r="DR1" t="s">
        <v>8425</v>
      </c>
      <c r="DS1" t="s">
        <v>8426</v>
      </c>
      <c r="DT1" t="s">
        <v>8427</v>
      </c>
      <c r="DU1" t="s">
        <v>8428</v>
      </c>
      <c r="DV1" t="s">
        <v>8429</v>
      </c>
      <c r="DW1" t="s">
        <v>8430</v>
      </c>
      <c r="DX1" t="s">
        <v>8431</v>
      </c>
      <c r="DY1" t="s">
        <v>8432</v>
      </c>
      <c r="DZ1" t="s">
        <v>8433</v>
      </c>
      <c r="EA1" t="s">
        <v>8434</v>
      </c>
      <c r="EB1" t="s">
        <v>8435</v>
      </c>
      <c r="EC1" t="s">
        <v>8436</v>
      </c>
      <c r="ED1" t="s">
        <v>8437</v>
      </c>
      <c r="EE1" t="s">
        <v>8438</v>
      </c>
      <c r="EF1" t="s">
        <v>8439</v>
      </c>
      <c r="EG1" t="s">
        <v>8440</v>
      </c>
      <c r="EH1" t="s">
        <v>8441</v>
      </c>
      <c r="EI1" t="s">
        <v>8442</v>
      </c>
      <c r="EJ1" t="s">
        <v>8443</v>
      </c>
      <c r="EK1" t="s">
        <v>8444</v>
      </c>
      <c r="EL1" t="s">
        <v>8445</v>
      </c>
      <c r="EM1" t="s">
        <v>8446</v>
      </c>
      <c r="EN1" t="s">
        <v>8447</v>
      </c>
      <c r="EO1" t="s">
        <v>8448</v>
      </c>
      <c r="EP1" t="s">
        <v>8449</v>
      </c>
      <c r="EQ1" t="s">
        <v>8450</v>
      </c>
      <c r="ER1" t="s">
        <v>8451</v>
      </c>
      <c r="ES1" t="s">
        <v>8452</v>
      </c>
      <c r="ET1" t="s">
        <v>8453</v>
      </c>
      <c r="EU1" t="s">
        <v>8454</v>
      </c>
      <c r="EV1" t="s">
        <v>8455</v>
      </c>
      <c r="EW1" t="s">
        <v>8456</v>
      </c>
      <c r="EX1" t="s">
        <v>8457</v>
      </c>
      <c r="EY1" t="s">
        <v>8458</v>
      </c>
      <c r="EZ1" t="s">
        <v>8459</v>
      </c>
      <c r="FA1" t="s">
        <v>8460</v>
      </c>
      <c r="FB1" t="s">
        <v>8461</v>
      </c>
      <c r="FC1" t="s">
        <v>8462</v>
      </c>
      <c r="FD1" t="s">
        <v>8463</v>
      </c>
      <c r="FE1" t="s">
        <v>8464</v>
      </c>
      <c r="FF1" t="s">
        <v>8465</v>
      </c>
      <c r="FG1" t="s">
        <v>8466</v>
      </c>
      <c r="FH1" t="s">
        <v>8467</v>
      </c>
      <c r="FI1" t="s">
        <v>8468</v>
      </c>
      <c r="FJ1" t="s">
        <v>8469</v>
      </c>
      <c r="FK1" t="s">
        <v>8470</v>
      </c>
      <c r="FL1" t="s">
        <v>8471</v>
      </c>
      <c r="FM1" t="s">
        <v>8472</v>
      </c>
      <c r="FN1" t="s">
        <v>8473</v>
      </c>
      <c r="FO1" t="s">
        <v>8474</v>
      </c>
      <c r="FP1" t="s">
        <v>8475</v>
      </c>
      <c r="FQ1" t="s">
        <v>8476</v>
      </c>
      <c r="FR1" t="s">
        <v>8477</v>
      </c>
      <c r="FS1" t="s">
        <v>8478</v>
      </c>
      <c r="FT1" t="s">
        <v>8479</v>
      </c>
      <c r="FU1" t="s">
        <v>8480</v>
      </c>
      <c r="FV1" t="s">
        <v>8481</v>
      </c>
      <c r="FW1" t="s">
        <v>8482</v>
      </c>
      <c r="FX1" t="s">
        <v>8483</v>
      </c>
      <c r="FY1" t="s">
        <v>8484</v>
      </c>
      <c r="FZ1" t="s">
        <v>8485</v>
      </c>
      <c r="GA1" t="s">
        <v>8486</v>
      </c>
      <c r="GB1" t="s">
        <v>8487</v>
      </c>
      <c r="GC1" t="s">
        <v>8488</v>
      </c>
      <c r="GD1" t="s">
        <v>8489</v>
      </c>
      <c r="GE1" t="s">
        <v>8490</v>
      </c>
      <c r="GF1" t="s">
        <v>8491</v>
      </c>
      <c r="GG1" t="s">
        <v>8492</v>
      </c>
      <c r="GH1" t="s">
        <v>8493</v>
      </c>
      <c r="GI1" t="s">
        <v>8494</v>
      </c>
      <c r="GJ1" t="s">
        <v>8495</v>
      </c>
      <c r="GK1" t="s">
        <v>8496</v>
      </c>
      <c r="GL1" t="s">
        <v>8497</v>
      </c>
      <c r="GM1" t="s">
        <v>8498</v>
      </c>
      <c r="GN1" t="s">
        <v>8499</v>
      </c>
      <c r="GO1" t="s">
        <v>8500</v>
      </c>
      <c r="GP1" t="s">
        <v>8501</v>
      </c>
      <c r="GQ1" t="s">
        <v>8502</v>
      </c>
      <c r="GR1" t="s">
        <v>8503</v>
      </c>
      <c r="GS1" t="s">
        <v>8504</v>
      </c>
      <c r="GT1" t="s">
        <v>8505</v>
      </c>
      <c r="GU1" t="s">
        <v>8506</v>
      </c>
      <c r="GV1" t="s">
        <v>8507</v>
      </c>
      <c r="GW1" t="s">
        <v>8508</v>
      </c>
      <c r="GX1" t="s">
        <v>8509</v>
      </c>
      <c r="GY1" t="s">
        <v>8510</v>
      </c>
      <c r="GZ1" t="s">
        <v>8511</v>
      </c>
      <c r="HA1" t="s">
        <v>8512</v>
      </c>
      <c r="HB1" t="s">
        <v>8513</v>
      </c>
      <c r="HC1" t="s">
        <v>8514</v>
      </c>
      <c r="HD1" t="s">
        <v>8515</v>
      </c>
      <c r="HE1" t="s">
        <v>8516</v>
      </c>
      <c r="HF1" t="s">
        <v>8517</v>
      </c>
      <c r="HG1" t="s">
        <v>8518</v>
      </c>
      <c r="HH1" t="s">
        <v>8519</v>
      </c>
      <c r="HI1" t="s">
        <v>8520</v>
      </c>
      <c r="HJ1" t="s">
        <v>8521</v>
      </c>
      <c r="HK1" t="s">
        <v>8522</v>
      </c>
      <c r="HL1" t="s">
        <v>8523</v>
      </c>
      <c r="HM1" t="s">
        <v>8524</v>
      </c>
      <c r="HN1" t="s">
        <v>8525</v>
      </c>
      <c r="HO1" t="s">
        <v>8526</v>
      </c>
      <c r="HP1" t="s">
        <v>8527</v>
      </c>
      <c r="HQ1" t="s">
        <v>8528</v>
      </c>
      <c r="HR1" t="s">
        <v>8529</v>
      </c>
      <c r="HS1" t="s">
        <v>8530</v>
      </c>
      <c r="HT1" t="s">
        <v>8531</v>
      </c>
      <c r="HU1" t="s">
        <v>8532</v>
      </c>
      <c r="HV1" t="s">
        <v>8533</v>
      </c>
      <c r="HW1" t="s">
        <v>8534</v>
      </c>
      <c r="HX1" t="s">
        <v>8535</v>
      </c>
      <c r="HY1" t="s">
        <v>8536</v>
      </c>
      <c r="HZ1" t="s">
        <v>8537</v>
      </c>
      <c r="IA1" t="s">
        <v>8538</v>
      </c>
      <c r="IB1" t="s">
        <v>8539</v>
      </c>
      <c r="IC1" t="s">
        <v>8540</v>
      </c>
      <c r="ID1" t="s">
        <v>8541</v>
      </c>
      <c r="IE1" t="s">
        <v>8542</v>
      </c>
      <c r="IF1" t="s">
        <v>8543</v>
      </c>
      <c r="IG1" t="s">
        <v>8544</v>
      </c>
      <c r="IH1" t="s">
        <v>8545</v>
      </c>
      <c r="II1" t="s">
        <v>8546</v>
      </c>
      <c r="IJ1" t="s">
        <v>8547</v>
      </c>
      <c r="IK1" t="s">
        <v>8548</v>
      </c>
      <c r="IL1" t="s">
        <v>8549</v>
      </c>
      <c r="IM1" t="s">
        <v>8550</v>
      </c>
      <c r="IN1" t="s">
        <v>8551</v>
      </c>
      <c r="IO1" t="s">
        <v>8552</v>
      </c>
      <c r="IP1" t="s">
        <v>8553</v>
      </c>
      <c r="IQ1" t="s">
        <v>8554</v>
      </c>
      <c r="IR1" t="s">
        <v>8555</v>
      </c>
      <c r="IS1" t="s">
        <v>8556</v>
      </c>
      <c r="IT1" t="s">
        <v>8557</v>
      </c>
      <c r="IU1" t="s">
        <v>8558</v>
      </c>
      <c r="IV1" t="s">
        <v>8559</v>
      </c>
    </row>
    <row r="2" spans="1:256" x14ac:dyDescent="0.2">
      <c r="A2" t="s">
        <v>8560</v>
      </c>
      <c r="B2" t="s">
        <v>8561</v>
      </c>
      <c r="C2" t="s">
        <v>8562</v>
      </c>
      <c r="D2" t="s">
        <v>8563</v>
      </c>
      <c r="E2" t="s">
        <v>8564</v>
      </c>
      <c r="F2" t="s">
        <v>8565</v>
      </c>
      <c r="G2" t="s">
        <v>8566</v>
      </c>
      <c r="H2" t="s">
        <v>8567</v>
      </c>
      <c r="I2" t="s">
        <v>8568</v>
      </c>
      <c r="J2" t="s">
        <v>8569</v>
      </c>
      <c r="K2" t="s">
        <v>8570</v>
      </c>
      <c r="L2" t="s">
        <v>8571</v>
      </c>
      <c r="M2" t="s">
        <v>8572</v>
      </c>
      <c r="N2" t="s">
        <v>8573</v>
      </c>
      <c r="O2" t="s">
        <v>8574</v>
      </c>
      <c r="P2" t="s">
        <v>8575</v>
      </c>
      <c r="Q2" t="s">
        <v>8576</v>
      </c>
      <c r="R2" t="s">
        <v>8577</v>
      </c>
      <c r="S2" t="s">
        <v>8578</v>
      </c>
      <c r="T2" t="s">
        <v>8579</v>
      </c>
      <c r="U2" t="s">
        <v>8580</v>
      </c>
      <c r="V2" t="s">
        <v>8581</v>
      </c>
      <c r="W2" t="s">
        <v>8582</v>
      </c>
      <c r="X2" t="s">
        <v>8583</v>
      </c>
      <c r="Y2" t="s">
        <v>8584</v>
      </c>
      <c r="Z2" t="s">
        <v>8585</v>
      </c>
      <c r="AA2" t="s">
        <v>8586</v>
      </c>
      <c r="AB2" t="s">
        <v>8587</v>
      </c>
      <c r="AC2" t="s">
        <v>8588</v>
      </c>
      <c r="AD2" t="s">
        <v>8589</v>
      </c>
      <c r="AE2" t="s">
        <v>8590</v>
      </c>
      <c r="AF2" t="s">
        <v>8591</v>
      </c>
      <c r="AG2" t="s">
        <v>8592</v>
      </c>
      <c r="AH2" t="s">
        <v>8593</v>
      </c>
      <c r="AI2" t="s">
        <v>8594</v>
      </c>
      <c r="AJ2" t="s">
        <v>8595</v>
      </c>
      <c r="AK2" t="s">
        <v>8596</v>
      </c>
      <c r="AL2" t="s">
        <v>8597</v>
      </c>
      <c r="AM2" t="s">
        <v>8598</v>
      </c>
      <c r="AN2" t="s">
        <v>8599</v>
      </c>
      <c r="AO2" t="s">
        <v>8600</v>
      </c>
      <c r="AP2" t="s">
        <v>8601</v>
      </c>
      <c r="AQ2" t="s">
        <v>8602</v>
      </c>
      <c r="AR2" t="s">
        <v>8603</v>
      </c>
      <c r="AS2" t="s">
        <v>8604</v>
      </c>
      <c r="AT2" t="s">
        <v>8605</v>
      </c>
      <c r="AU2" t="s">
        <v>8606</v>
      </c>
      <c r="AV2" t="s">
        <v>8607</v>
      </c>
      <c r="AW2" t="s">
        <v>8608</v>
      </c>
      <c r="AX2" t="s">
        <v>8609</v>
      </c>
      <c r="AY2" t="s">
        <v>8610</v>
      </c>
      <c r="AZ2" t="s">
        <v>8611</v>
      </c>
      <c r="BA2" t="s">
        <v>8612</v>
      </c>
      <c r="BB2" t="s">
        <v>8613</v>
      </c>
      <c r="BC2" t="s">
        <v>8614</v>
      </c>
      <c r="BD2" t="s">
        <v>8615</v>
      </c>
      <c r="BE2" t="s">
        <v>8616</v>
      </c>
      <c r="BF2" t="s">
        <v>8617</v>
      </c>
      <c r="BG2" t="s">
        <v>8618</v>
      </c>
      <c r="BH2" t="s">
        <v>8619</v>
      </c>
      <c r="BI2" t="s">
        <v>8620</v>
      </c>
      <c r="BJ2" t="s">
        <v>8621</v>
      </c>
      <c r="BK2" t="s">
        <v>8622</v>
      </c>
      <c r="BL2" t="s">
        <v>8623</v>
      </c>
      <c r="BM2" t="s">
        <v>8624</v>
      </c>
      <c r="BN2" t="s">
        <v>8625</v>
      </c>
      <c r="BO2" t="s">
        <v>8626</v>
      </c>
      <c r="BP2" t="s">
        <v>8627</v>
      </c>
      <c r="BQ2" t="s">
        <v>8628</v>
      </c>
      <c r="BR2" t="s">
        <v>8629</v>
      </c>
      <c r="BS2" t="s">
        <v>8630</v>
      </c>
      <c r="BT2" t="s">
        <v>8631</v>
      </c>
      <c r="BU2" t="s">
        <v>8632</v>
      </c>
      <c r="BV2" t="s">
        <v>8633</v>
      </c>
      <c r="BW2" t="s">
        <v>8634</v>
      </c>
      <c r="BX2" t="s">
        <v>8635</v>
      </c>
      <c r="BY2" t="s">
        <v>8636</v>
      </c>
      <c r="BZ2" t="s">
        <v>8637</v>
      </c>
      <c r="CA2" t="s">
        <v>8638</v>
      </c>
      <c r="CB2" t="s">
        <v>8639</v>
      </c>
      <c r="CC2" t="s">
        <v>8640</v>
      </c>
      <c r="CD2" t="s">
        <v>8641</v>
      </c>
      <c r="CE2" t="s">
        <v>8642</v>
      </c>
      <c r="CF2" t="s">
        <v>8643</v>
      </c>
      <c r="CG2" t="s">
        <v>8644</v>
      </c>
      <c r="CH2" t="s">
        <v>8645</v>
      </c>
      <c r="CI2" t="s">
        <v>8646</v>
      </c>
      <c r="CJ2" t="s">
        <v>8647</v>
      </c>
      <c r="CK2" t="s">
        <v>8648</v>
      </c>
      <c r="CL2" t="s">
        <v>8649</v>
      </c>
      <c r="CM2" t="s">
        <v>8650</v>
      </c>
      <c r="CN2" t="s">
        <v>8651</v>
      </c>
      <c r="CO2" t="s">
        <v>8652</v>
      </c>
      <c r="CP2" t="s">
        <v>8653</v>
      </c>
      <c r="CQ2" t="s">
        <v>8654</v>
      </c>
      <c r="CR2" t="s">
        <v>8655</v>
      </c>
      <c r="CS2" t="s">
        <v>8656</v>
      </c>
      <c r="CT2" t="s">
        <v>8657</v>
      </c>
      <c r="CU2" t="s">
        <v>8658</v>
      </c>
      <c r="CV2" t="s">
        <v>8659</v>
      </c>
      <c r="CW2" t="s">
        <v>8660</v>
      </c>
      <c r="CX2" t="s">
        <v>8661</v>
      </c>
      <c r="CY2" t="s">
        <v>8662</v>
      </c>
      <c r="CZ2" t="s">
        <v>8663</v>
      </c>
      <c r="DA2" t="s">
        <v>8664</v>
      </c>
      <c r="DB2" t="s">
        <v>8665</v>
      </c>
      <c r="DC2" t="s">
        <v>8666</v>
      </c>
      <c r="DD2" t="s">
        <v>8667</v>
      </c>
      <c r="DE2" t="s">
        <v>8668</v>
      </c>
      <c r="DF2" t="s">
        <v>8669</v>
      </c>
      <c r="DG2" t="s">
        <v>8670</v>
      </c>
      <c r="DH2" t="s">
        <v>8671</v>
      </c>
      <c r="DI2" t="s">
        <v>8672</v>
      </c>
      <c r="DJ2" t="s">
        <v>8673</v>
      </c>
      <c r="DK2" t="s">
        <v>8674</v>
      </c>
      <c r="DL2" t="s">
        <v>8675</v>
      </c>
      <c r="DM2" t="s">
        <v>8676</v>
      </c>
      <c r="DN2" t="s">
        <v>8677</v>
      </c>
      <c r="DO2" t="s">
        <v>8678</v>
      </c>
      <c r="DP2" t="s">
        <v>8679</v>
      </c>
      <c r="DQ2" t="s">
        <v>8680</v>
      </c>
      <c r="DR2" t="s">
        <v>8681</v>
      </c>
      <c r="DS2" t="s">
        <v>8682</v>
      </c>
      <c r="DT2" t="s">
        <v>8683</v>
      </c>
      <c r="DU2" t="s">
        <v>8684</v>
      </c>
      <c r="DV2" t="s">
        <v>8685</v>
      </c>
      <c r="DW2" t="s">
        <v>8686</v>
      </c>
      <c r="DX2" t="s">
        <v>8687</v>
      </c>
      <c r="DY2" t="s">
        <v>8688</v>
      </c>
      <c r="DZ2" t="s">
        <v>8689</v>
      </c>
      <c r="EA2" t="s">
        <v>8690</v>
      </c>
      <c r="EB2" t="s">
        <v>8691</v>
      </c>
      <c r="EC2" t="s">
        <v>8692</v>
      </c>
      <c r="ED2" t="s">
        <v>8693</v>
      </c>
      <c r="EE2" t="s">
        <v>8694</v>
      </c>
      <c r="EF2" t="s">
        <v>8695</v>
      </c>
      <c r="EG2" t="s">
        <v>8696</v>
      </c>
      <c r="EH2" t="s">
        <v>8697</v>
      </c>
      <c r="EI2" t="s">
        <v>8698</v>
      </c>
      <c r="EJ2" t="s">
        <v>8699</v>
      </c>
      <c r="EK2" t="s">
        <v>8700</v>
      </c>
      <c r="EL2" t="s">
        <v>8701</v>
      </c>
      <c r="EM2" t="s">
        <v>8702</v>
      </c>
      <c r="EN2" t="s">
        <v>8703</v>
      </c>
      <c r="EO2" t="s">
        <v>8704</v>
      </c>
      <c r="EP2" t="s">
        <v>8705</v>
      </c>
      <c r="EQ2" t="s">
        <v>8706</v>
      </c>
      <c r="ER2" t="s">
        <v>8707</v>
      </c>
      <c r="ES2" t="s">
        <v>8708</v>
      </c>
      <c r="ET2" t="s">
        <v>8709</v>
      </c>
      <c r="EU2" t="s">
        <v>8710</v>
      </c>
      <c r="EV2" t="s">
        <v>8711</v>
      </c>
      <c r="EW2" t="s">
        <v>8712</v>
      </c>
      <c r="EX2" t="s">
        <v>8713</v>
      </c>
      <c r="EY2" t="s">
        <v>8714</v>
      </c>
      <c r="EZ2" t="s">
        <v>8715</v>
      </c>
      <c r="FA2" t="s">
        <v>8716</v>
      </c>
      <c r="FB2" t="s">
        <v>8717</v>
      </c>
      <c r="FC2" t="s">
        <v>8718</v>
      </c>
      <c r="FD2" t="s">
        <v>8719</v>
      </c>
      <c r="FE2" t="s">
        <v>8720</v>
      </c>
      <c r="FF2" t="s">
        <v>8721</v>
      </c>
      <c r="FG2" t="s">
        <v>8722</v>
      </c>
      <c r="FH2" t="s">
        <v>8723</v>
      </c>
      <c r="FI2" t="s">
        <v>8724</v>
      </c>
      <c r="FJ2" t="s">
        <v>8725</v>
      </c>
      <c r="FK2" t="s">
        <v>8726</v>
      </c>
      <c r="FL2" t="s">
        <v>8727</v>
      </c>
      <c r="FM2" t="s">
        <v>8728</v>
      </c>
      <c r="FN2" t="s">
        <v>8729</v>
      </c>
      <c r="FO2" t="s">
        <v>8730</v>
      </c>
      <c r="FP2" t="s">
        <v>8731</v>
      </c>
      <c r="FQ2" t="s">
        <v>8732</v>
      </c>
      <c r="FR2" t="s">
        <v>8733</v>
      </c>
      <c r="FS2" t="s">
        <v>8734</v>
      </c>
      <c r="FT2" t="s">
        <v>8735</v>
      </c>
      <c r="FU2" t="s">
        <v>8736</v>
      </c>
      <c r="FV2" t="s">
        <v>8737</v>
      </c>
      <c r="FW2" t="s">
        <v>8738</v>
      </c>
      <c r="FX2" t="s">
        <v>8739</v>
      </c>
      <c r="FY2" t="s">
        <v>8740</v>
      </c>
      <c r="FZ2" t="s">
        <v>8741</v>
      </c>
      <c r="GA2" t="s">
        <v>8742</v>
      </c>
      <c r="GB2" t="s">
        <v>8743</v>
      </c>
      <c r="GC2" t="s">
        <v>8744</v>
      </c>
      <c r="GD2" t="s">
        <v>8745</v>
      </c>
      <c r="GE2" t="s">
        <v>8746</v>
      </c>
      <c r="GF2" t="s">
        <v>8747</v>
      </c>
      <c r="GG2" t="s">
        <v>8748</v>
      </c>
      <c r="GH2" t="s">
        <v>8749</v>
      </c>
      <c r="GI2" t="s">
        <v>8750</v>
      </c>
      <c r="GJ2" t="s">
        <v>8751</v>
      </c>
      <c r="GK2" t="s">
        <v>8752</v>
      </c>
      <c r="GL2" t="s">
        <v>8753</v>
      </c>
      <c r="GM2" t="s">
        <v>8754</v>
      </c>
      <c r="GN2" t="s">
        <v>8755</v>
      </c>
      <c r="GO2" t="s">
        <v>8756</v>
      </c>
      <c r="GP2" t="s">
        <v>8757</v>
      </c>
      <c r="GQ2" t="s">
        <v>8758</v>
      </c>
      <c r="GR2" t="s">
        <v>8759</v>
      </c>
      <c r="GS2" t="s">
        <v>8760</v>
      </c>
      <c r="GT2" t="s">
        <v>8761</v>
      </c>
      <c r="GU2" t="s">
        <v>8762</v>
      </c>
      <c r="GV2" t="s">
        <v>8763</v>
      </c>
      <c r="GW2" t="s">
        <v>8764</v>
      </c>
      <c r="GX2" t="s">
        <v>8765</v>
      </c>
      <c r="GY2" t="s">
        <v>8766</v>
      </c>
      <c r="GZ2" t="s">
        <v>8767</v>
      </c>
      <c r="HA2" t="s">
        <v>8768</v>
      </c>
      <c r="HB2" t="s">
        <v>8769</v>
      </c>
      <c r="HC2" t="s">
        <v>8770</v>
      </c>
      <c r="HD2" t="s">
        <v>8771</v>
      </c>
      <c r="HE2" t="s">
        <v>8772</v>
      </c>
      <c r="HF2" t="s">
        <v>8773</v>
      </c>
      <c r="HG2" t="s">
        <v>8774</v>
      </c>
      <c r="HH2" t="s">
        <v>8775</v>
      </c>
      <c r="HI2" t="s">
        <v>8776</v>
      </c>
      <c r="HJ2" t="s">
        <v>8777</v>
      </c>
      <c r="HK2" t="s">
        <v>8778</v>
      </c>
      <c r="HL2" t="s">
        <v>8779</v>
      </c>
      <c r="HM2" t="s">
        <v>8780</v>
      </c>
      <c r="HN2" t="s">
        <v>8781</v>
      </c>
      <c r="HO2" t="s">
        <v>8782</v>
      </c>
      <c r="HP2" t="s">
        <v>8783</v>
      </c>
      <c r="HQ2" t="s">
        <v>8784</v>
      </c>
      <c r="HR2" t="s">
        <v>8785</v>
      </c>
      <c r="HS2" t="s">
        <v>8786</v>
      </c>
      <c r="HT2" t="s">
        <v>8787</v>
      </c>
      <c r="HU2" t="s">
        <v>8788</v>
      </c>
      <c r="HV2" t="s">
        <v>8789</v>
      </c>
      <c r="HW2" t="s">
        <v>8790</v>
      </c>
      <c r="HX2" t="s">
        <v>8791</v>
      </c>
      <c r="HY2" t="s">
        <v>8792</v>
      </c>
      <c r="HZ2" t="s">
        <v>8793</v>
      </c>
      <c r="IA2" t="s">
        <v>8794</v>
      </c>
      <c r="IB2" t="s">
        <v>8795</v>
      </c>
      <c r="IC2" t="s">
        <v>8796</v>
      </c>
      <c r="ID2" t="s">
        <v>8797</v>
      </c>
      <c r="IE2" t="s">
        <v>8798</v>
      </c>
      <c r="IF2" t="s">
        <v>8799</v>
      </c>
      <c r="IG2" t="s">
        <v>8800</v>
      </c>
      <c r="IH2" t="s">
        <v>8801</v>
      </c>
      <c r="II2" t="s">
        <v>8802</v>
      </c>
      <c r="IJ2" t="s">
        <v>8803</v>
      </c>
      <c r="IK2" t="s">
        <v>8804</v>
      </c>
      <c r="IL2" t="s">
        <v>8805</v>
      </c>
      <c r="IM2" t="s">
        <v>8806</v>
      </c>
      <c r="IN2" t="s">
        <v>8807</v>
      </c>
      <c r="IO2" t="s">
        <v>8808</v>
      </c>
      <c r="IP2" t="s">
        <v>8809</v>
      </c>
      <c r="IQ2" t="s">
        <v>8810</v>
      </c>
      <c r="IR2" t="s">
        <v>8811</v>
      </c>
      <c r="IS2" t="s">
        <v>8812</v>
      </c>
      <c r="IT2" t="s">
        <v>8813</v>
      </c>
      <c r="IU2" t="s">
        <v>8814</v>
      </c>
      <c r="IV2" t="s">
        <v>8815</v>
      </c>
    </row>
    <row r="3" spans="1:256" x14ac:dyDescent="0.2">
      <c r="A3" t="s">
        <v>8816</v>
      </c>
      <c r="B3" t="s">
        <v>8817</v>
      </c>
      <c r="C3" t="s">
        <v>8818</v>
      </c>
      <c r="D3" t="s">
        <v>8819</v>
      </c>
      <c r="E3" t="s">
        <v>8820</v>
      </c>
      <c r="F3" t="s">
        <v>8821</v>
      </c>
      <c r="G3" t="s">
        <v>8822</v>
      </c>
      <c r="H3" t="s">
        <v>8823</v>
      </c>
      <c r="I3" t="s">
        <v>8824</v>
      </c>
      <c r="J3" t="s">
        <v>8825</v>
      </c>
      <c r="K3" t="s">
        <v>8826</v>
      </c>
      <c r="L3" t="s">
        <v>8827</v>
      </c>
      <c r="M3" t="s">
        <v>8828</v>
      </c>
      <c r="N3" t="s">
        <v>8829</v>
      </c>
      <c r="O3" t="s">
        <v>8830</v>
      </c>
      <c r="P3" t="s">
        <v>8831</v>
      </c>
      <c r="Q3" t="s">
        <v>8832</v>
      </c>
      <c r="R3" t="s">
        <v>8833</v>
      </c>
      <c r="S3" t="s">
        <v>8834</v>
      </c>
      <c r="T3" t="s">
        <v>8835</v>
      </c>
      <c r="U3" t="s">
        <v>8836</v>
      </c>
      <c r="V3" t="s">
        <v>8837</v>
      </c>
      <c r="W3" t="s">
        <v>8838</v>
      </c>
      <c r="X3" t="s">
        <v>8839</v>
      </c>
      <c r="Y3" t="s">
        <v>8840</v>
      </c>
      <c r="Z3" t="s">
        <v>8841</v>
      </c>
      <c r="AA3" t="s">
        <v>8842</v>
      </c>
      <c r="AB3" t="s">
        <v>8843</v>
      </c>
      <c r="AC3" t="s">
        <v>8844</v>
      </c>
      <c r="AD3" t="s">
        <v>8845</v>
      </c>
      <c r="AE3" t="s">
        <v>8846</v>
      </c>
      <c r="AF3" t="s">
        <v>8847</v>
      </c>
      <c r="AG3" t="s">
        <v>8848</v>
      </c>
      <c r="AH3" t="s">
        <v>8849</v>
      </c>
      <c r="AI3" t="s">
        <v>8850</v>
      </c>
      <c r="AJ3" t="s">
        <v>8851</v>
      </c>
      <c r="AK3" t="s">
        <v>8852</v>
      </c>
      <c r="AL3" t="s">
        <v>8853</v>
      </c>
      <c r="AM3" t="s">
        <v>8854</v>
      </c>
      <c r="AN3" t="s">
        <v>8855</v>
      </c>
      <c r="AO3" t="s">
        <v>8856</v>
      </c>
      <c r="AP3" t="s">
        <v>8857</v>
      </c>
      <c r="AQ3" t="s">
        <v>8858</v>
      </c>
      <c r="AR3" t="s">
        <v>8859</v>
      </c>
      <c r="AS3" t="s">
        <v>8860</v>
      </c>
      <c r="AT3" t="s">
        <v>8861</v>
      </c>
      <c r="AU3" t="s">
        <v>8862</v>
      </c>
      <c r="AV3" t="s">
        <v>8863</v>
      </c>
      <c r="AW3" t="s">
        <v>8864</v>
      </c>
      <c r="AX3" t="s">
        <v>8865</v>
      </c>
      <c r="AY3" t="s">
        <v>8866</v>
      </c>
      <c r="AZ3" t="s">
        <v>8867</v>
      </c>
      <c r="BA3" t="s">
        <v>8868</v>
      </c>
      <c r="BB3" t="s">
        <v>8869</v>
      </c>
      <c r="BC3" t="s">
        <v>8870</v>
      </c>
      <c r="BD3" t="s">
        <v>8871</v>
      </c>
      <c r="BE3" t="s">
        <v>8872</v>
      </c>
      <c r="BF3" t="s">
        <v>8873</v>
      </c>
      <c r="BG3" t="s">
        <v>8874</v>
      </c>
      <c r="BH3" t="s">
        <v>8875</v>
      </c>
      <c r="BI3" t="s">
        <v>8876</v>
      </c>
      <c r="BJ3" t="s">
        <v>8877</v>
      </c>
      <c r="BK3" t="s">
        <v>8878</v>
      </c>
      <c r="BL3" t="s">
        <v>8879</v>
      </c>
      <c r="BM3" t="s">
        <v>8880</v>
      </c>
      <c r="BN3" t="s">
        <v>8881</v>
      </c>
      <c r="BO3" t="s">
        <v>8882</v>
      </c>
      <c r="BP3" t="s">
        <v>8883</v>
      </c>
      <c r="BQ3" t="s">
        <v>8884</v>
      </c>
      <c r="BR3" t="s">
        <v>8885</v>
      </c>
      <c r="BS3" t="s">
        <v>8886</v>
      </c>
      <c r="BT3" t="s">
        <v>8887</v>
      </c>
      <c r="BU3" t="s">
        <v>8888</v>
      </c>
      <c r="BV3" t="s">
        <v>8889</v>
      </c>
      <c r="BW3" t="s">
        <v>8890</v>
      </c>
      <c r="BX3" t="s">
        <v>8891</v>
      </c>
      <c r="BY3" t="s">
        <v>8892</v>
      </c>
      <c r="BZ3" t="s">
        <v>8893</v>
      </c>
      <c r="CA3" t="s">
        <v>8894</v>
      </c>
      <c r="CB3" t="s">
        <v>8895</v>
      </c>
      <c r="CC3" t="s">
        <v>8896</v>
      </c>
      <c r="CD3" t="s">
        <v>8897</v>
      </c>
      <c r="CE3" t="s">
        <v>8898</v>
      </c>
      <c r="CF3" t="s">
        <v>8899</v>
      </c>
      <c r="CG3" t="s">
        <v>8900</v>
      </c>
      <c r="CH3" t="s">
        <v>8901</v>
      </c>
      <c r="CI3" t="s">
        <v>8902</v>
      </c>
      <c r="CJ3" t="s">
        <v>8903</v>
      </c>
      <c r="CK3" t="s">
        <v>8904</v>
      </c>
      <c r="CL3" t="s">
        <v>8905</v>
      </c>
      <c r="CM3" t="s">
        <v>8906</v>
      </c>
      <c r="CN3" t="s">
        <v>8907</v>
      </c>
      <c r="CO3" t="s">
        <v>8908</v>
      </c>
      <c r="CP3" t="s">
        <v>8909</v>
      </c>
      <c r="CQ3" t="s">
        <v>8910</v>
      </c>
      <c r="CR3" t="s">
        <v>8911</v>
      </c>
      <c r="CS3" t="s">
        <v>8912</v>
      </c>
      <c r="CT3" t="s">
        <v>8913</v>
      </c>
      <c r="CU3" t="s">
        <v>8914</v>
      </c>
      <c r="CV3" t="s">
        <v>8915</v>
      </c>
      <c r="CW3" t="s">
        <v>8916</v>
      </c>
      <c r="CX3" t="s">
        <v>8917</v>
      </c>
      <c r="CY3" t="s">
        <v>8918</v>
      </c>
      <c r="CZ3" t="s">
        <v>8919</v>
      </c>
      <c r="DA3" t="s">
        <v>8920</v>
      </c>
      <c r="DB3" t="s">
        <v>8921</v>
      </c>
      <c r="DC3" t="s">
        <v>8922</v>
      </c>
      <c r="DD3" t="s">
        <v>8923</v>
      </c>
      <c r="DE3" t="s">
        <v>8924</v>
      </c>
      <c r="DF3" t="s">
        <v>8925</v>
      </c>
      <c r="DG3" t="s">
        <v>8926</v>
      </c>
      <c r="DH3" t="s">
        <v>8927</v>
      </c>
      <c r="DI3" t="s">
        <v>8928</v>
      </c>
      <c r="DJ3" t="s">
        <v>8929</v>
      </c>
      <c r="DK3" t="s">
        <v>8930</v>
      </c>
      <c r="DL3" t="s">
        <v>8931</v>
      </c>
      <c r="DM3" t="s">
        <v>8932</v>
      </c>
      <c r="DN3" t="s">
        <v>8933</v>
      </c>
      <c r="DO3" t="s">
        <v>8934</v>
      </c>
      <c r="DP3" t="s">
        <v>8935</v>
      </c>
      <c r="DQ3" t="s">
        <v>8936</v>
      </c>
      <c r="DR3" t="s">
        <v>8937</v>
      </c>
      <c r="DS3" t="s">
        <v>8938</v>
      </c>
      <c r="DT3" t="s">
        <v>8939</v>
      </c>
      <c r="DU3" t="s">
        <v>8940</v>
      </c>
      <c r="DV3" t="s">
        <v>8941</v>
      </c>
      <c r="DW3" t="s">
        <v>8942</v>
      </c>
      <c r="DX3" t="s">
        <v>8943</v>
      </c>
      <c r="DY3" t="s">
        <v>8944</v>
      </c>
      <c r="DZ3" t="s">
        <v>8945</v>
      </c>
      <c r="EA3" t="s">
        <v>8946</v>
      </c>
      <c r="EB3" t="s">
        <v>8947</v>
      </c>
      <c r="EC3" t="s">
        <v>8948</v>
      </c>
      <c r="ED3" t="s">
        <v>8949</v>
      </c>
      <c r="EE3" t="s">
        <v>8950</v>
      </c>
      <c r="EF3" t="s">
        <v>8951</v>
      </c>
      <c r="EG3" t="s">
        <v>8952</v>
      </c>
      <c r="EH3" t="s">
        <v>8953</v>
      </c>
      <c r="EI3" t="s">
        <v>8954</v>
      </c>
      <c r="EJ3" t="s">
        <v>8955</v>
      </c>
      <c r="EK3" t="s">
        <v>8956</v>
      </c>
      <c r="EL3" t="s">
        <v>8957</v>
      </c>
      <c r="EM3" t="s">
        <v>8958</v>
      </c>
      <c r="EN3" t="s">
        <v>8959</v>
      </c>
      <c r="EO3" t="s">
        <v>8960</v>
      </c>
      <c r="EP3" t="s">
        <v>8961</v>
      </c>
      <c r="EQ3" t="s">
        <v>8962</v>
      </c>
      <c r="ER3" t="s">
        <v>8963</v>
      </c>
      <c r="ES3" t="s">
        <v>8964</v>
      </c>
      <c r="ET3" t="s">
        <v>8965</v>
      </c>
      <c r="EU3" t="s">
        <v>8966</v>
      </c>
      <c r="EV3" t="s">
        <v>8967</v>
      </c>
      <c r="EW3" t="s">
        <v>8968</v>
      </c>
      <c r="EX3" t="s">
        <v>8969</v>
      </c>
      <c r="EY3" t="s">
        <v>8970</v>
      </c>
      <c r="EZ3" t="s">
        <v>8971</v>
      </c>
      <c r="FA3" t="s">
        <v>8972</v>
      </c>
      <c r="FB3" t="s">
        <v>8973</v>
      </c>
      <c r="FC3" t="s">
        <v>8974</v>
      </c>
      <c r="FD3" t="s">
        <v>8975</v>
      </c>
      <c r="FE3" t="s">
        <v>8976</v>
      </c>
      <c r="FF3" t="s">
        <v>8977</v>
      </c>
      <c r="FG3" t="s">
        <v>8978</v>
      </c>
      <c r="FH3" t="s">
        <v>8979</v>
      </c>
      <c r="FI3" t="s">
        <v>8980</v>
      </c>
      <c r="FJ3" t="s">
        <v>8981</v>
      </c>
      <c r="FK3" t="s">
        <v>8982</v>
      </c>
      <c r="FL3" t="s">
        <v>8983</v>
      </c>
      <c r="FM3" t="s">
        <v>8984</v>
      </c>
      <c r="FN3" t="s">
        <v>8985</v>
      </c>
      <c r="FO3" t="s">
        <v>8986</v>
      </c>
      <c r="FP3" t="s">
        <v>8987</v>
      </c>
      <c r="FQ3" t="s">
        <v>8988</v>
      </c>
      <c r="FR3" t="s">
        <v>8989</v>
      </c>
      <c r="FS3" t="s">
        <v>8990</v>
      </c>
      <c r="FT3" t="s">
        <v>8991</v>
      </c>
      <c r="FU3" t="s">
        <v>8992</v>
      </c>
      <c r="FV3" t="s">
        <v>8993</v>
      </c>
      <c r="FW3" t="s">
        <v>8994</v>
      </c>
      <c r="FX3" t="s">
        <v>8995</v>
      </c>
      <c r="FY3" t="s">
        <v>8996</v>
      </c>
      <c r="FZ3" t="s">
        <v>8997</v>
      </c>
      <c r="GA3" t="s">
        <v>8998</v>
      </c>
      <c r="GB3" t="s">
        <v>8999</v>
      </c>
      <c r="GC3" t="s">
        <v>9000</v>
      </c>
      <c r="GD3" t="s">
        <v>9001</v>
      </c>
      <c r="GE3" t="s">
        <v>9002</v>
      </c>
      <c r="GF3" t="s">
        <v>9003</v>
      </c>
      <c r="GG3" t="s">
        <v>9004</v>
      </c>
      <c r="GH3" t="s">
        <v>9005</v>
      </c>
      <c r="GI3" t="s">
        <v>9006</v>
      </c>
      <c r="GJ3" t="s">
        <v>9007</v>
      </c>
      <c r="GK3" t="s">
        <v>9008</v>
      </c>
      <c r="GL3" t="s">
        <v>9009</v>
      </c>
      <c r="GM3" t="s">
        <v>9010</v>
      </c>
      <c r="GN3" t="s">
        <v>9011</v>
      </c>
      <c r="GO3" t="s">
        <v>9012</v>
      </c>
      <c r="GP3" t="s">
        <v>9013</v>
      </c>
      <c r="GQ3" t="s">
        <v>9014</v>
      </c>
      <c r="GR3" t="s">
        <v>9015</v>
      </c>
      <c r="GS3" t="s">
        <v>9016</v>
      </c>
      <c r="GT3" t="s">
        <v>9017</v>
      </c>
      <c r="GU3" t="s">
        <v>9018</v>
      </c>
      <c r="GV3" t="s">
        <v>9019</v>
      </c>
      <c r="GW3" t="s">
        <v>9020</v>
      </c>
      <c r="GX3" t="s">
        <v>9021</v>
      </c>
      <c r="GY3" t="s">
        <v>9022</v>
      </c>
      <c r="GZ3" t="s">
        <v>9023</v>
      </c>
      <c r="HA3" t="s">
        <v>9024</v>
      </c>
      <c r="HB3" t="s">
        <v>9025</v>
      </c>
      <c r="HC3" t="s">
        <v>9026</v>
      </c>
      <c r="HD3" t="s">
        <v>9027</v>
      </c>
      <c r="HE3" t="s">
        <v>9028</v>
      </c>
      <c r="HF3" t="s">
        <v>9029</v>
      </c>
      <c r="HG3" t="s">
        <v>9030</v>
      </c>
      <c r="HH3" t="s">
        <v>9031</v>
      </c>
      <c r="HI3" t="s">
        <v>9032</v>
      </c>
      <c r="HJ3" t="s">
        <v>9033</v>
      </c>
      <c r="HK3" t="s">
        <v>9034</v>
      </c>
      <c r="HL3" t="s">
        <v>9035</v>
      </c>
      <c r="HM3" t="s">
        <v>9036</v>
      </c>
      <c r="HN3" t="s">
        <v>9037</v>
      </c>
      <c r="HO3" t="s">
        <v>9038</v>
      </c>
      <c r="HP3" t="s">
        <v>9039</v>
      </c>
      <c r="HQ3" t="s">
        <v>9040</v>
      </c>
      <c r="HR3" t="s">
        <v>9041</v>
      </c>
      <c r="HS3" t="s">
        <v>9042</v>
      </c>
      <c r="HT3" t="s">
        <v>9043</v>
      </c>
      <c r="HU3" t="s">
        <v>9044</v>
      </c>
      <c r="HV3" t="s">
        <v>9045</v>
      </c>
      <c r="HW3" t="s">
        <v>9046</v>
      </c>
      <c r="HX3" t="s">
        <v>9047</v>
      </c>
      <c r="HY3" t="s">
        <v>9048</v>
      </c>
      <c r="HZ3" t="s">
        <v>9049</v>
      </c>
      <c r="IA3" t="s">
        <v>9050</v>
      </c>
      <c r="IB3" t="s">
        <v>9051</v>
      </c>
      <c r="IC3" t="s">
        <v>9052</v>
      </c>
      <c r="ID3" t="s">
        <v>9053</v>
      </c>
      <c r="IE3" t="s">
        <v>9054</v>
      </c>
      <c r="IF3" t="s">
        <v>9055</v>
      </c>
      <c r="IG3" t="s">
        <v>9056</v>
      </c>
      <c r="IH3" t="s">
        <v>9057</v>
      </c>
      <c r="II3" t="s">
        <v>9058</v>
      </c>
      <c r="IJ3" t="s">
        <v>9059</v>
      </c>
      <c r="IK3" t="s">
        <v>9060</v>
      </c>
      <c r="IL3" t="s">
        <v>9061</v>
      </c>
      <c r="IM3" t="s">
        <v>9062</v>
      </c>
      <c r="IN3" t="s">
        <v>9063</v>
      </c>
      <c r="IO3" t="s">
        <v>9064</v>
      </c>
      <c r="IP3" t="s">
        <v>9065</v>
      </c>
      <c r="IQ3" t="s">
        <v>9066</v>
      </c>
      <c r="IR3" t="s">
        <v>9067</v>
      </c>
      <c r="IS3" t="s">
        <v>9068</v>
      </c>
      <c r="IT3" t="s">
        <v>9069</v>
      </c>
      <c r="IU3" t="s">
        <v>9070</v>
      </c>
      <c r="IV3" t="s">
        <v>9071</v>
      </c>
    </row>
    <row r="4" spans="1:256" x14ac:dyDescent="0.2">
      <c r="A4" t="s">
        <v>9072</v>
      </c>
      <c r="B4" t="s">
        <v>9073</v>
      </c>
      <c r="C4" t="s">
        <v>9074</v>
      </c>
      <c r="D4" t="s">
        <v>9075</v>
      </c>
      <c r="E4" t="s">
        <v>9076</v>
      </c>
      <c r="F4" t="s">
        <v>9077</v>
      </c>
      <c r="G4" t="s">
        <v>9078</v>
      </c>
      <c r="H4" t="s">
        <v>9079</v>
      </c>
      <c r="I4" t="s">
        <v>9080</v>
      </c>
      <c r="J4" t="s">
        <v>9081</v>
      </c>
      <c r="K4" t="s">
        <v>9082</v>
      </c>
      <c r="L4" t="s">
        <v>9083</v>
      </c>
      <c r="M4" t="s">
        <v>9084</v>
      </c>
      <c r="N4" t="s">
        <v>9085</v>
      </c>
      <c r="O4" t="s">
        <v>9086</v>
      </c>
      <c r="P4" t="s">
        <v>9087</v>
      </c>
      <c r="Q4" t="s">
        <v>9088</v>
      </c>
      <c r="R4" t="s">
        <v>9089</v>
      </c>
      <c r="S4" t="s">
        <v>9090</v>
      </c>
      <c r="T4" t="s">
        <v>9091</v>
      </c>
      <c r="U4" t="s">
        <v>9092</v>
      </c>
      <c r="V4" t="s">
        <v>9093</v>
      </c>
      <c r="W4" t="s">
        <v>9094</v>
      </c>
      <c r="X4" t="s">
        <v>9095</v>
      </c>
      <c r="Y4" t="s">
        <v>9096</v>
      </c>
      <c r="Z4" t="s">
        <v>9097</v>
      </c>
      <c r="AA4" t="s">
        <v>9098</v>
      </c>
      <c r="AB4" t="s">
        <v>9099</v>
      </c>
      <c r="AC4" t="s">
        <v>9100</v>
      </c>
      <c r="AD4" t="s">
        <v>9101</v>
      </c>
      <c r="AE4" t="s">
        <v>9102</v>
      </c>
      <c r="AF4" t="s">
        <v>9103</v>
      </c>
      <c r="AG4" t="s">
        <v>9104</v>
      </c>
      <c r="AH4" t="s">
        <v>9105</v>
      </c>
      <c r="AI4" t="s">
        <v>9106</v>
      </c>
      <c r="AJ4" t="s">
        <v>9107</v>
      </c>
      <c r="AK4" t="s">
        <v>9108</v>
      </c>
      <c r="AL4" t="s">
        <v>9109</v>
      </c>
      <c r="AM4" t="s">
        <v>9110</v>
      </c>
      <c r="AN4" t="s">
        <v>9111</v>
      </c>
      <c r="AO4" t="s">
        <v>9112</v>
      </c>
      <c r="AP4" t="s">
        <v>9113</v>
      </c>
      <c r="AQ4" t="s">
        <v>9114</v>
      </c>
      <c r="AR4" t="s">
        <v>9115</v>
      </c>
      <c r="AS4" t="s">
        <v>9116</v>
      </c>
      <c r="AT4" t="s">
        <v>9117</v>
      </c>
      <c r="AU4" t="s">
        <v>9118</v>
      </c>
      <c r="AV4" t="s">
        <v>9119</v>
      </c>
      <c r="AW4" t="s">
        <v>9120</v>
      </c>
      <c r="AX4" t="s">
        <v>9121</v>
      </c>
      <c r="AY4" t="s">
        <v>9122</v>
      </c>
      <c r="AZ4" t="s">
        <v>9123</v>
      </c>
      <c r="BA4" t="s">
        <v>9124</v>
      </c>
      <c r="BB4" t="s">
        <v>9125</v>
      </c>
      <c r="BC4" t="s">
        <v>9126</v>
      </c>
      <c r="BD4" t="s">
        <v>9127</v>
      </c>
      <c r="BE4" t="s">
        <v>9128</v>
      </c>
      <c r="BF4" t="s">
        <v>9129</v>
      </c>
      <c r="BG4" t="s">
        <v>9130</v>
      </c>
      <c r="BH4" t="s">
        <v>9131</v>
      </c>
      <c r="BI4" t="s">
        <v>9132</v>
      </c>
      <c r="BJ4" t="s">
        <v>9133</v>
      </c>
      <c r="BK4" t="s">
        <v>9134</v>
      </c>
      <c r="BL4" t="s">
        <v>9135</v>
      </c>
      <c r="BM4" t="s">
        <v>9136</v>
      </c>
      <c r="BN4" t="s">
        <v>9137</v>
      </c>
      <c r="BO4" t="s">
        <v>9138</v>
      </c>
      <c r="BP4" t="s">
        <v>9139</v>
      </c>
      <c r="BQ4" t="s">
        <v>9140</v>
      </c>
      <c r="BR4" t="s">
        <v>9141</v>
      </c>
      <c r="BS4" t="s">
        <v>9142</v>
      </c>
      <c r="BT4" t="s">
        <v>9143</v>
      </c>
      <c r="BU4" t="s">
        <v>9144</v>
      </c>
      <c r="BV4" t="s">
        <v>9145</v>
      </c>
      <c r="BW4" t="s">
        <v>9146</v>
      </c>
      <c r="BX4" t="s">
        <v>9147</v>
      </c>
      <c r="BY4" t="s">
        <v>9148</v>
      </c>
      <c r="BZ4" t="s">
        <v>9149</v>
      </c>
      <c r="CA4" t="s">
        <v>9150</v>
      </c>
      <c r="CB4" t="s">
        <v>9151</v>
      </c>
      <c r="CC4" t="s">
        <v>9152</v>
      </c>
      <c r="CD4" t="s">
        <v>9153</v>
      </c>
      <c r="CE4" t="s">
        <v>9154</v>
      </c>
      <c r="CF4" t="s">
        <v>9155</v>
      </c>
      <c r="CG4" t="s">
        <v>9156</v>
      </c>
      <c r="CH4" t="s">
        <v>9157</v>
      </c>
      <c r="CI4" t="s">
        <v>9158</v>
      </c>
      <c r="CJ4" t="s">
        <v>9159</v>
      </c>
      <c r="CK4" t="s">
        <v>9160</v>
      </c>
      <c r="CL4" t="s">
        <v>9161</v>
      </c>
      <c r="CM4" t="s">
        <v>9162</v>
      </c>
      <c r="CN4" t="s">
        <v>9163</v>
      </c>
      <c r="CO4" t="s">
        <v>9164</v>
      </c>
      <c r="CP4" t="s">
        <v>9165</v>
      </c>
      <c r="CQ4" t="s">
        <v>9166</v>
      </c>
      <c r="CR4" t="s">
        <v>9167</v>
      </c>
      <c r="CS4" t="s">
        <v>9168</v>
      </c>
      <c r="CT4" t="s">
        <v>9169</v>
      </c>
      <c r="CU4" t="s">
        <v>9170</v>
      </c>
      <c r="CV4" t="s">
        <v>9171</v>
      </c>
      <c r="CW4" t="s">
        <v>9172</v>
      </c>
      <c r="CX4" t="s">
        <v>9173</v>
      </c>
      <c r="CY4" t="s">
        <v>9174</v>
      </c>
      <c r="CZ4" t="s">
        <v>9175</v>
      </c>
      <c r="DA4" t="s">
        <v>9176</v>
      </c>
      <c r="DB4" t="s">
        <v>9177</v>
      </c>
      <c r="DC4" t="s">
        <v>9178</v>
      </c>
      <c r="DD4" t="s">
        <v>9179</v>
      </c>
      <c r="DE4" t="s">
        <v>9180</v>
      </c>
      <c r="DF4" t="s">
        <v>9181</v>
      </c>
      <c r="DG4" t="s">
        <v>9182</v>
      </c>
      <c r="DH4" t="s">
        <v>9183</v>
      </c>
      <c r="DI4" t="s">
        <v>9184</v>
      </c>
      <c r="DJ4" t="s">
        <v>9185</v>
      </c>
      <c r="DK4" t="s">
        <v>9186</v>
      </c>
      <c r="DL4" t="s">
        <v>9187</v>
      </c>
      <c r="DM4" t="s">
        <v>9188</v>
      </c>
      <c r="DN4" t="s">
        <v>9189</v>
      </c>
      <c r="DO4" t="s">
        <v>9190</v>
      </c>
      <c r="DP4" t="s">
        <v>9191</v>
      </c>
      <c r="DQ4" t="s">
        <v>9192</v>
      </c>
      <c r="DR4" t="s">
        <v>9193</v>
      </c>
      <c r="DS4" t="s">
        <v>9194</v>
      </c>
      <c r="DT4" t="s">
        <v>9195</v>
      </c>
      <c r="DU4" t="s">
        <v>9196</v>
      </c>
      <c r="DV4" t="s">
        <v>9197</v>
      </c>
      <c r="DW4" t="s">
        <v>9198</v>
      </c>
      <c r="DX4" t="s">
        <v>9199</v>
      </c>
      <c r="DY4" t="s">
        <v>9200</v>
      </c>
      <c r="DZ4" t="s">
        <v>9201</v>
      </c>
      <c r="EA4" t="s">
        <v>9202</v>
      </c>
      <c r="EB4" t="s">
        <v>9203</v>
      </c>
      <c r="EC4" t="s">
        <v>9204</v>
      </c>
      <c r="ED4" t="s">
        <v>9205</v>
      </c>
      <c r="EE4" t="s">
        <v>9206</v>
      </c>
      <c r="EF4" t="s">
        <v>9207</v>
      </c>
      <c r="EG4" t="s">
        <v>9208</v>
      </c>
      <c r="EH4" t="s">
        <v>9209</v>
      </c>
      <c r="EI4" t="s">
        <v>9210</v>
      </c>
      <c r="EJ4" t="s">
        <v>9211</v>
      </c>
      <c r="EK4" t="s">
        <v>9212</v>
      </c>
      <c r="EL4" t="s">
        <v>9213</v>
      </c>
      <c r="EM4" t="s">
        <v>9214</v>
      </c>
      <c r="EN4" t="s">
        <v>9215</v>
      </c>
      <c r="EO4" t="s">
        <v>9216</v>
      </c>
      <c r="EP4" t="s">
        <v>9217</v>
      </c>
      <c r="EQ4" t="s">
        <v>9218</v>
      </c>
      <c r="ER4" t="s">
        <v>9219</v>
      </c>
      <c r="ES4" t="s">
        <v>9220</v>
      </c>
      <c r="ET4" t="s">
        <v>9221</v>
      </c>
      <c r="EU4" t="s">
        <v>9222</v>
      </c>
      <c r="EV4" t="s">
        <v>9223</v>
      </c>
      <c r="EW4" t="s">
        <v>9224</v>
      </c>
      <c r="EX4" t="s">
        <v>9225</v>
      </c>
      <c r="EY4" t="s">
        <v>9226</v>
      </c>
      <c r="EZ4" t="s">
        <v>9227</v>
      </c>
      <c r="FA4" t="s">
        <v>9228</v>
      </c>
      <c r="FB4" t="s">
        <v>9229</v>
      </c>
      <c r="FC4" t="s">
        <v>9230</v>
      </c>
      <c r="FD4" t="s">
        <v>9231</v>
      </c>
      <c r="FE4" t="s">
        <v>9232</v>
      </c>
      <c r="FF4" t="s">
        <v>9233</v>
      </c>
      <c r="FG4" t="s">
        <v>9234</v>
      </c>
      <c r="FH4" t="s">
        <v>9235</v>
      </c>
      <c r="FI4" t="s">
        <v>9236</v>
      </c>
      <c r="FJ4" t="s">
        <v>9237</v>
      </c>
      <c r="FK4" t="s">
        <v>9238</v>
      </c>
      <c r="FL4" t="s">
        <v>9239</v>
      </c>
      <c r="FM4" t="s">
        <v>9240</v>
      </c>
      <c r="FN4" t="s">
        <v>9241</v>
      </c>
      <c r="FO4" t="s">
        <v>9242</v>
      </c>
      <c r="FP4" t="s">
        <v>9243</v>
      </c>
      <c r="FQ4" t="s">
        <v>9244</v>
      </c>
      <c r="FR4" t="s">
        <v>9245</v>
      </c>
      <c r="FS4" t="s">
        <v>9246</v>
      </c>
      <c r="FT4" t="s">
        <v>9247</v>
      </c>
      <c r="FU4" t="s">
        <v>9248</v>
      </c>
      <c r="FV4" t="s">
        <v>9249</v>
      </c>
      <c r="FW4" t="s">
        <v>9250</v>
      </c>
      <c r="FX4" t="s">
        <v>9251</v>
      </c>
      <c r="FY4" t="s">
        <v>9252</v>
      </c>
      <c r="FZ4" t="s">
        <v>9253</v>
      </c>
      <c r="GA4" t="s">
        <v>9254</v>
      </c>
      <c r="GB4" t="s">
        <v>9255</v>
      </c>
      <c r="GC4" t="s">
        <v>9256</v>
      </c>
      <c r="GD4" t="s">
        <v>9257</v>
      </c>
      <c r="GE4" t="s">
        <v>9258</v>
      </c>
      <c r="GF4" t="s">
        <v>9259</v>
      </c>
      <c r="GG4" t="s">
        <v>9260</v>
      </c>
      <c r="GH4" t="s">
        <v>9261</v>
      </c>
      <c r="GI4" t="s">
        <v>9262</v>
      </c>
      <c r="GJ4" t="s">
        <v>9263</v>
      </c>
      <c r="GK4" t="s">
        <v>9264</v>
      </c>
      <c r="GL4" t="s">
        <v>9265</v>
      </c>
      <c r="GM4" t="s">
        <v>9266</v>
      </c>
      <c r="GN4" t="s">
        <v>9267</v>
      </c>
      <c r="GO4" t="s">
        <v>9268</v>
      </c>
      <c r="GP4" t="s">
        <v>9269</v>
      </c>
      <c r="GQ4" t="s">
        <v>9270</v>
      </c>
      <c r="GR4" t="s">
        <v>9271</v>
      </c>
      <c r="GS4" t="s">
        <v>9272</v>
      </c>
      <c r="GT4" t="s">
        <v>9273</v>
      </c>
      <c r="GU4" t="s">
        <v>9274</v>
      </c>
      <c r="GV4" t="s">
        <v>9275</v>
      </c>
      <c r="GW4" t="s">
        <v>9276</v>
      </c>
      <c r="GX4" t="s">
        <v>9277</v>
      </c>
      <c r="GY4" t="s">
        <v>9278</v>
      </c>
      <c r="GZ4" t="s">
        <v>9279</v>
      </c>
      <c r="HA4" t="s">
        <v>9280</v>
      </c>
      <c r="HB4" t="s">
        <v>9281</v>
      </c>
      <c r="HC4" t="s">
        <v>9282</v>
      </c>
      <c r="HD4" t="s">
        <v>9283</v>
      </c>
      <c r="HE4" t="s">
        <v>9284</v>
      </c>
      <c r="HF4" t="s">
        <v>9285</v>
      </c>
      <c r="HG4" t="s">
        <v>9286</v>
      </c>
      <c r="HH4" t="s">
        <v>9287</v>
      </c>
      <c r="HI4" t="s">
        <v>9288</v>
      </c>
      <c r="HJ4" t="s">
        <v>9289</v>
      </c>
      <c r="HK4" t="s">
        <v>9290</v>
      </c>
      <c r="HL4" t="s">
        <v>9291</v>
      </c>
      <c r="HM4" t="s">
        <v>9292</v>
      </c>
      <c r="HN4" t="s">
        <v>9293</v>
      </c>
      <c r="HO4" t="s">
        <v>9294</v>
      </c>
      <c r="HP4" t="s">
        <v>9295</v>
      </c>
      <c r="HQ4" t="s">
        <v>9296</v>
      </c>
      <c r="HR4" t="s">
        <v>9297</v>
      </c>
      <c r="HS4" t="s">
        <v>9298</v>
      </c>
      <c r="HT4" t="s">
        <v>9299</v>
      </c>
      <c r="HU4" t="s">
        <v>9300</v>
      </c>
      <c r="HV4" t="s">
        <v>9301</v>
      </c>
      <c r="HW4" t="s">
        <v>9302</v>
      </c>
      <c r="HX4" t="s">
        <v>9303</v>
      </c>
      <c r="HY4" t="s">
        <v>9304</v>
      </c>
      <c r="HZ4" t="s">
        <v>9305</v>
      </c>
      <c r="IA4" t="s">
        <v>9306</v>
      </c>
      <c r="IB4" t="s">
        <v>9307</v>
      </c>
      <c r="IC4" t="s">
        <v>9308</v>
      </c>
      <c r="ID4" t="s">
        <v>9309</v>
      </c>
      <c r="IE4" t="s">
        <v>9310</v>
      </c>
      <c r="IF4" t="s">
        <v>9311</v>
      </c>
      <c r="IG4" t="s">
        <v>9312</v>
      </c>
      <c r="IH4" t="s">
        <v>9313</v>
      </c>
      <c r="II4" t="s">
        <v>9314</v>
      </c>
      <c r="IJ4" t="s">
        <v>9315</v>
      </c>
      <c r="IK4" t="s">
        <v>9316</v>
      </c>
      <c r="IL4" t="s">
        <v>9317</v>
      </c>
      <c r="IM4" t="s">
        <v>9318</v>
      </c>
      <c r="IN4" t="s">
        <v>9319</v>
      </c>
      <c r="IO4" t="s">
        <v>9320</v>
      </c>
      <c r="IP4" t="s">
        <v>9321</v>
      </c>
      <c r="IQ4" t="s">
        <v>9322</v>
      </c>
      <c r="IR4" t="s">
        <v>9323</v>
      </c>
      <c r="IS4" t="s">
        <v>9324</v>
      </c>
      <c r="IT4" t="s">
        <v>9325</v>
      </c>
      <c r="IU4" t="s">
        <v>9326</v>
      </c>
      <c r="IV4" t="s">
        <v>9327</v>
      </c>
    </row>
    <row r="5" spans="1:256" x14ac:dyDescent="0.2">
      <c r="A5" t="s">
        <v>9328</v>
      </c>
      <c r="B5" t="s">
        <v>9329</v>
      </c>
      <c r="C5" t="s">
        <v>9330</v>
      </c>
      <c r="D5" t="s">
        <v>9331</v>
      </c>
      <c r="E5" t="s">
        <v>9332</v>
      </c>
      <c r="F5" t="s">
        <v>9333</v>
      </c>
      <c r="G5" t="s">
        <v>9334</v>
      </c>
      <c r="H5" t="s">
        <v>9335</v>
      </c>
      <c r="I5" t="s">
        <v>9336</v>
      </c>
      <c r="J5" t="s">
        <v>9337</v>
      </c>
      <c r="K5" t="s">
        <v>9338</v>
      </c>
      <c r="L5" t="s">
        <v>9339</v>
      </c>
      <c r="M5" t="s">
        <v>9340</v>
      </c>
      <c r="N5" t="s">
        <v>9341</v>
      </c>
      <c r="O5" t="s">
        <v>9342</v>
      </c>
      <c r="P5" t="s">
        <v>9343</v>
      </c>
      <c r="Q5" t="s">
        <v>9344</v>
      </c>
      <c r="R5" t="s">
        <v>9345</v>
      </c>
      <c r="S5" t="s">
        <v>9346</v>
      </c>
      <c r="T5" t="s">
        <v>9347</v>
      </c>
      <c r="U5" t="s">
        <v>9348</v>
      </c>
      <c r="V5" t="s">
        <v>9349</v>
      </c>
      <c r="W5" t="s">
        <v>9350</v>
      </c>
      <c r="X5" t="s">
        <v>9351</v>
      </c>
      <c r="Y5" t="s">
        <v>9352</v>
      </c>
      <c r="Z5" t="s">
        <v>9353</v>
      </c>
      <c r="AA5" t="s">
        <v>9354</v>
      </c>
      <c r="AB5" t="s">
        <v>9355</v>
      </c>
      <c r="AC5" t="s">
        <v>9356</v>
      </c>
      <c r="AD5" t="s">
        <v>9357</v>
      </c>
      <c r="AE5" t="s">
        <v>9358</v>
      </c>
      <c r="AF5" t="s">
        <v>9359</v>
      </c>
      <c r="AG5" t="s">
        <v>9360</v>
      </c>
      <c r="AH5" t="s">
        <v>9361</v>
      </c>
      <c r="AI5" t="s">
        <v>9362</v>
      </c>
      <c r="AJ5" t="s">
        <v>9363</v>
      </c>
      <c r="AK5" t="s">
        <v>9364</v>
      </c>
      <c r="AL5" t="s">
        <v>9365</v>
      </c>
      <c r="AM5" t="s">
        <v>9366</v>
      </c>
      <c r="AN5" t="s">
        <v>9367</v>
      </c>
      <c r="AO5" t="s">
        <v>9368</v>
      </c>
      <c r="AP5" t="s">
        <v>9369</v>
      </c>
      <c r="AQ5" t="s">
        <v>9370</v>
      </c>
      <c r="AR5" t="s">
        <v>9371</v>
      </c>
      <c r="AS5" t="s">
        <v>9372</v>
      </c>
      <c r="AT5" t="s">
        <v>9373</v>
      </c>
      <c r="AU5" t="s">
        <v>9374</v>
      </c>
      <c r="AV5" t="s">
        <v>9375</v>
      </c>
      <c r="AW5" t="s">
        <v>9376</v>
      </c>
      <c r="AX5" t="s">
        <v>9377</v>
      </c>
      <c r="AY5" t="s">
        <v>9378</v>
      </c>
      <c r="AZ5" t="s">
        <v>9379</v>
      </c>
      <c r="BA5" t="s">
        <v>9380</v>
      </c>
      <c r="BB5" t="s">
        <v>9381</v>
      </c>
      <c r="BC5" t="s">
        <v>9382</v>
      </c>
      <c r="BD5" t="s">
        <v>9383</v>
      </c>
      <c r="BE5" t="s">
        <v>9384</v>
      </c>
      <c r="BF5" t="s">
        <v>9385</v>
      </c>
      <c r="BG5" t="s">
        <v>9386</v>
      </c>
      <c r="BH5" t="s">
        <v>9387</v>
      </c>
      <c r="BI5" t="s">
        <v>9388</v>
      </c>
      <c r="BJ5" t="s">
        <v>9389</v>
      </c>
      <c r="BK5" t="s">
        <v>9390</v>
      </c>
      <c r="BL5" t="s">
        <v>9391</v>
      </c>
      <c r="BM5" t="s">
        <v>9392</v>
      </c>
      <c r="BN5" t="s">
        <v>9393</v>
      </c>
      <c r="BO5" t="s">
        <v>9394</v>
      </c>
      <c r="BP5" t="s">
        <v>9395</v>
      </c>
      <c r="BQ5" t="s">
        <v>9396</v>
      </c>
      <c r="BR5" t="s">
        <v>9397</v>
      </c>
      <c r="BS5" t="s">
        <v>9398</v>
      </c>
      <c r="BT5" t="s">
        <v>9399</v>
      </c>
      <c r="BU5" t="s">
        <v>9400</v>
      </c>
      <c r="BV5" t="s">
        <v>9401</v>
      </c>
      <c r="BW5" t="s">
        <v>9402</v>
      </c>
      <c r="BX5" t="s">
        <v>9403</v>
      </c>
      <c r="BY5" t="s">
        <v>9404</v>
      </c>
      <c r="BZ5" t="s">
        <v>9405</v>
      </c>
      <c r="CA5" t="s">
        <v>9406</v>
      </c>
      <c r="CB5" t="s">
        <v>9407</v>
      </c>
      <c r="CC5" t="s">
        <v>9408</v>
      </c>
      <c r="CD5" t="s">
        <v>9409</v>
      </c>
      <c r="CE5" t="s">
        <v>9410</v>
      </c>
      <c r="CF5" t="s">
        <v>9411</v>
      </c>
      <c r="CG5" t="s">
        <v>9412</v>
      </c>
      <c r="CH5" t="s">
        <v>9413</v>
      </c>
      <c r="CI5" t="s">
        <v>9414</v>
      </c>
      <c r="CJ5" t="s">
        <v>9415</v>
      </c>
      <c r="CK5" t="s">
        <v>9416</v>
      </c>
      <c r="CL5" t="s">
        <v>9417</v>
      </c>
      <c r="CM5" t="s">
        <v>9418</v>
      </c>
      <c r="CN5" t="s">
        <v>9419</v>
      </c>
      <c r="CO5" t="s">
        <v>9420</v>
      </c>
      <c r="CP5" t="s">
        <v>9421</v>
      </c>
      <c r="CQ5" t="s">
        <v>9422</v>
      </c>
      <c r="CR5" t="s">
        <v>9423</v>
      </c>
      <c r="CS5" t="s">
        <v>9424</v>
      </c>
      <c r="CT5" t="s">
        <v>9425</v>
      </c>
      <c r="CU5" t="s">
        <v>9426</v>
      </c>
      <c r="CV5" t="s">
        <v>9427</v>
      </c>
      <c r="CW5" t="s">
        <v>9428</v>
      </c>
      <c r="CX5" t="s">
        <v>9429</v>
      </c>
      <c r="CY5" t="s">
        <v>9430</v>
      </c>
      <c r="CZ5" t="s">
        <v>9431</v>
      </c>
      <c r="DA5" t="s">
        <v>9432</v>
      </c>
      <c r="DB5" t="s">
        <v>9433</v>
      </c>
      <c r="DC5" t="s">
        <v>9434</v>
      </c>
      <c r="DD5" t="s">
        <v>9435</v>
      </c>
      <c r="DE5" t="s">
        <v>9436</v>
      </c>
      <c r="DF5" t="s">
        <v>9437</v>
      </c>
      <c r="DG5" t="s">
        <v>9438</v>
      </c>
      <c r="DH5" t="s">
        <v>9439</v>
      </c>
      <c r="DI5" t="s">
        <v>9440</v>
      </c>
      <c r="DJ5" t="s">
        <v>9441</v>
      </c>
      <c r="DK5" t="s">
        <v>9442</v>
      </c>
      <c r="DL5" t="s">
        <v>9443</v>
      </c>
      <c r="DM5" t="s">
        <v>9444</v>
      </c>
      <c r="DN5" t="s">
        <v>9445</v>
      </c>
      <c r="DO5" t="s">
        <v>9446</v>
      </c>
      <c r="DP5" t="s">
        <v>9447</v>
      </c>
      <c r="DQ5" t="s">
        <v>9448</v>
      </c>
      <c r="DR5" t="s">
        <v>9449</v>
      </c>
      <c r="DS5" t="s">
        <v>9450</v>
      </c>
      <c r="DT5" t="s">
        <v>9451</v>
      </c>
      <c r="DU5" t="s">
        <v>9452</v>
      </c>
      <c r="DV5" t="s">
        <v>9453</v>
      </c>
      <c r="DW5" t="s">
        <v>9454</v>
      </c>
      <c r="DX5" t="s">
        <v>9455</v>
      </c>
      <c r="DY5" t="s">
        <v>9456</v>
      </c>
      <c r="DZ5" t="s">
        <v>9457</v>
      </c>
      <c r="EA5" t="s">
        <v>9458</v>
      </c>
      <c r="EB5" t="s">
        <v>9459</v>
      </c>
      <c r="EC5" t="s">
        <v>9460</v>
      </c>
      <c r="ED5" t="s">
        <v>9461</v>
      </c>
      <c r="EE5" t="s">
        <v>9462</v>
      </c>
      <c r="EF5" t="s">
        <v>9463</v>
      </c>
      <c r="EG5" t="s">
        <v>9464</v>
      </c>
      <c r="EH5" t="s">
        <v>9465</v>
      </c>
      <c r="EI5" t="s">
        <v>9466</v>
      </c>
      <c r="EJ5" t="s">
        <v>9467</v>
      </c>
      <c r="EK5" t="s">
        <v>9468</v>
      </c>
      <c r="EL5" t="s">
        <v>9469</v>
      </c>
      <c r="EM5" t="s">
        <v>9470</v>
      </c>
      <c r="EN5" t="s">
        <v>9471</v>
      </c>
      <c r="EO5" t="s">
        <v>9472</v>
      </c>
      <c r="EP5" t="s">
        <v>9473</v>
      </c>
      <c r="EQ5" t="s">
        <v>9474</v>
      </c>
      <c r="ER5" t="s">
        <v>9475</v>
      </c>
      <c r="ES5" t="s">
        <v>9476</v>
      </c>
      <c r="ET5" t="s">
        <v>9477</v>
      </c>
      <c r="EU5" t="s">
        <v>9478</v>
      </c>
      <c r="EV5" t="s">
        <v>9479</v>
      </c>
      <c r="EW5" t="s">
        <v>9480</v>
      </c>
      <c r="EX5" t="s">
        <v>9481</v>
      </c>
      <c r="EY5" t="s">
        <v>9482</v>
      </c>
      <c r="EZ5" t="s">
        <v>9483</v>
      </c>
      <c r="FA5" t="s">
        <v>9484</v>
      </c>
      <c r="FB5" t="s">
        <v>9485</v>
      </c>
      <c r="FC5" t="s">
        <v>9486</v>
      </c>
      <c r="FD5" t="s">
        <v>9487</v>
      </c>
      <c r="FE5" t="s">
        <v>9488</v>
      </c>
      <c r="FF5" t="s">
        <v>9489</v>
      </c>
      <c r="FG5" t="s">
        <v>9490</v>
      </c>
      <c r="FH5" t="s">
        <v>9491</v>
      </c>
      <c r="FI5" t="s">
        <v>9492</v>
      </c>
      <c r="FJ5" t="s">
        <v>9493</v>
      </c>
      <c r="FK5" t="s">
        <v>9494</v>
      </c>
      <c r="FL5" t="s">
        <v>9495</v>
      </c>
      <c r="FM5" t="s">
        <v>9496</v>
      </c>
      <c r="FN5" t="s">
        <v>9497</v>
      </c>
      <c r="FO5" t="s">
        <v>9498</v>
      </c>
      <c r="FP5" t="s">
        <v>9499</v>
      </c>
      <c r="FQ5" t="s">
        <v>9500</v>
      </c>
      <c r="FR5" t="s">
        <v>9501</v>
      </c>
      <c r="FS5" t="s">
        <v>9502</v>
      </c>
      <c r="FT5" t="s">
        <v>9503</v>
      </c>
      <c r="FU5" t="s">
        <v>9504</v>
      </c>
      <c r="FV5" t="s">
        <v>9505</v>
      </c>
      <c r="FW5" t="s">
        <v>9506</v>
      </c>
      <c r="FX5" t="s">
        <v>9507</v>
      </c>
      <c r="FY5" t="s">
        <v>9508</v>
      </c>
      <c r="FZ5" t="s">
        <v>9509</v>
      </c>
      <c r="GA5" t="s">
        <v>9510</v>
      </c>
      <c r="GB5" t="s">
        <v>9511</v>
      </c>
      <c r="GC5" t="s">
        <v>9512</v>
      </c>
      <c r="GD5" t="s">
        <v>9513</v>
      </c>
      <c r="GE5" t="s">
        <v>9514</v>
      </c>
      <c r="GF5" t="s">
        <v>9515</v>
      </c>
      <c r="GG5" t="s">
        <v>9516</v>
      </c>
      <c r="GH5" t="s">
        <v>9517</v>
      </c>
      <c r="GI5" t="s">
        <v>9518</v>
      </c>
      <c r="GJ5" t="s">
        <v>9519</v>
      </c>
      <c r="GK5" t="s">
        <v>9520</v>
      </c>
      <c r="GL5" t="s">
        <v>9521</v>
      </c>
      <c r="GM5" t="s">
        <v>9522</v>
      </c>
      <c r="GN5" t="s">
        <v>9523</v>
      </c>
      <c r="GO5" t="s">
        <v>9524</v>
      </c>
      <c r="GP5" t="s">
        <v>9525</v>
      </c>
      <c r="GQ5" t="s">
        <v>9526</v>
      </c>
      <c r="GR5" t="s">
        <v>9527</v>
      </c>
      <c r="GS5" t="s">
        <v>9528</v>
      </c>
      <c r="GT5" t="s">
        <v>9529</v>
      </c>
      <c r="GU5" t="s">
        <v>9530</v>
      </c>
      <c r="GV5" t="s">
        <v>9531</v>
      </c>
      <c r="GW5" t="s">
        <v>9532</v>
      </c>
      <c r="GX5" t="s">
        <v>9533</v>
      </c>
      <c r="GY5" t="s">
        <v>9534</v>
      </c>
      <c r="GZ5" t="s">
        <v>9535</v>
      </c>
      <c r="HA5" t="s">
        <v>9536</v>
      </c>
      <c r="HB5" t="s">
        <v>9537</v>
      </c>
      <c r="HC5" t="s">
        <v>9538</v>
      </c>
      <c r="HD5" t="s">
        <v>9539</v>
      </c>
      <c r="HE5" t="s">
        <v>9540</v>
      </c>
      <c r="HF5" t="s">
        <v>9541</v>
      </c>
      <c r="HG5" t="s">
        <v>9542</v>
      </c>
      <c r="HH5" t="s">
        <v>9543</v>
      </c>
      <c r="HI5" t="s">
        <v>9544</v>
      </c>
      <c r="HJ5" t="s">
        <v>9545</v>
      </c>
      <c r="HK5" t="s">
        <v>9546</v>
      </c>
      <c r="HL5" t="s">
        <v>9547</v>
      </c>
      <c r="HM5" t="s">
        <v>9548</v>
      </c>
      <c r="HN5" t="s">
        <v>9549</v>
      </c>
      <c r="HO5" t="s">
        <v>9550</v>
      </c>
      <c r="HP5" t="s">
        <v>9551</v>
      </c>
      <c r="HQ5" t="s">
        <v>9552</v>
      </c>
      <c r="HR5" t="s">
        <v>9553</v>
      </c>
      <c r="HS5" t="s">
        <v>9554</v>
      </c>
      <c r="HT5" t="s">
        <v>9555</v>
      </c>
      <c r="HU5" t="s">
        <v>9556</v>
      </c>
      <c r="HV5" t="s">
        <v>9557</v>
      </c>
      <c r="HW5" t="s">
        <v>9558</v>
      </c>
      <c r="HX5" t="s">
        <v>9559</v>
      </c>
      <c r="HY5" t="s">
        <v>9560</v>
      </c>
      <c r="HZ5" t="s">
        <v>9561</v>
      </c>
      <c r="IA5" t="s">
        <v>9562</v>
      </c>
      <c r="IB5" t="s">
        <v>9563</v>
      </c>
      <c r="IC5" t="s">
        <v>9564</v>
      </c>
      <c r="ID5" t="s">
        <v>9565</v>
      </c>
      <c r="IE5" t="s">
        <v>9566</v>
      </c>
      <c r="IF5" t="s">
        <v>9567</v>
      </c>
      <c r="IG5" t="s">
        <v>9568</v>
      </c>
      <c r="IH5" t="s">
        <v>9569</v>
      </c>
      <c r="II5" t="s">
        <v>9570</v>
      </c>
      <c r="IJ5" t="s">
        <v>9571</v>
      </c>
      <c r="IK5" t="s">
        <v>9572</v>
      </c>
      <c r="IL5" t="s">
        <v>9573</v>
      </c>
      <c r="IM5" t="s">
        <v>9574</v>
      </c>
      <c r="IN5" t="s">
        <v>9575</v>
      </c>
      <c r="IO5" t="s">
        <v>9576</v>
      </c>
      <c r="IP5" t="s">
        <v>9577</v>
      </c>
      <c r="IQ5" t="s">
        <v>9578</v>
      </c>
      <c r="IR5" t="s">
        <v>9579</v>
      </c>
      <c r="IS5" t="s">
        <v>9580</v>
      </c>
      <c r="IT5" t="s">
        <v>9581</v>
      </c>
      <c r="IU5" t="s">
        <v>9582</v>
      </c>
      <c r="IV5" t="s">
        <v>9583</v>
      </c>
    </row>
    <row r="6" spans="1:256" x14ac:dyDescent="0.2">
      <c r="A6" t="s">
        <v>9584</v>
      </c>
      <c r="B6" t="s">
        <v>9585</v>
      </c>
      <c r="C6" t="s">
        <v>9586</v>
      </c>
      <c r="D6" t="s">
        <v>9587</v>
      </c>
      <c r="E6" t="s">
        <v>9588</v>
      </c>
      <c r="F6" t="s">
        <v>9589</v>
      </c>
      <c r="G6" t="s">
        <v>9590</v>
      </c>
      <c r="H6" t="s">
        <v>9591</v>
      </c>
      <c r="I6" t="s">
        <v>9592</v>
      </c>
      <c r="J6" t="s">
        <v>9593</v>
      </c>
      <c r="K6" t="s">
        <v>9594</v>
      </c>
      <c r="L6" t="s">
        <v>9595</v>
      </c>
      <c r="M6" t="s">
        <v>9596</v>
      </c>
      <c r="N6" t="s">
        <v>9597</v>
      </c>
      <c r="O6" t="s">
        <v>9598</v>
      </c>
      <c r="P6" t="s">
        <v>9599</v>
      </c>
      <c r="Q6" t="s">
        <v>9600</v>
      </c>
      <c r="R6" t="s">
        <v>9601</v>
      </c>
      <c r="S6" t="s">
        <v>9602</v>
      </c>
      <c r="T6" t="s">
        <v>9603</v>
      </c>
      <c r="U6" t="s">
        <v>9604</v>
      </c>
      <c r="V6" t="s">
        <v>9605</v>
      </c>
      <c r="W6" t="s">
        <v>9606</v>
      </c>
      <c r="X6" t="s">
        <v>9607</v>
      </c>
      <c r="Y6" t="s">
        <v>9608</v>
      </c>
      <c r="Z6" t="s">
        <v>9609</v>
      </c>
      <c r="AA6" t="s">
        <v>9610</v>
      </c>
      <c r="AB6" t="s">
        <v>9611</v>
      </c>
      <c r="AC6" t="s">
        <v>9612</v>
      </c>
      <c r="AD6" t="s">
        <v>9613</v>
      </c>
      <c r="AE6" t="s">
        <v>9614</v>
      </c>
      <c r="AF6" t="s">
        <v>9615</v>
      </c>
      <c r="AG6" t="s">
        <v>9616</v>
      </c>
      <c r="AH6" t="s">
        <v>9617</v>
      </c>
      <c r="AI6" t="s">
        <v>9618</v>
      </c>
      <c r="AJ6" t="s">
        <v>9619</v>
      </c>
      <c r="AK6" t="s">
        <v>9620</v>
      </c>
      <c r="AL6" t="s">
        <v>9621</v>
      </c>
      <c r="AM6" t="s">
        <v>9622</v>
      </c>
      <c r="AN6" t="s">
        <v>9623</v>
      </c>
      <c r="AO6" t="s">
        <v>9624</v>
      </c>
      <c r="AP6" t="s">
        <v>9625</v>
      </c>
      <c r="AQ6" t="s">
        <v>9626</v>
      </c>
      <c r="AR6" t="s">
        <v>9627</v>
      </c>
      <c r="AS6" t="s">
        <v>9628</v>
      </c>
      <c r="AT6" t="s">
        <v>9629</v>
      </c>
      <c r="AU6" t="s">
        <v>9630</v>
      </c>
      <c r="AV6" t="s">
        <v>9631</v>
      </c>
      <c r="AW6" t="s">
        <v>9632</v>
      </c>
      <c r="AX6" t="s">
        <v>9633</v>
      </c>
      <c r="AY6" t="s">
        <v>9634</v>
      </c>
      <c r="AZ6" t="s">
        <v>9635</v>
      </c>
      <c r="BA6" t="s">
        <v>9636</v>
      </c>
      <c r="BB6" t="s">
        <v>9637</v>
      </c>
      <c r="BC6" t="s">
        <v>9638</v>
      </c>
      <c r="BD6" t="s">
        <v>9639</v>
      </c>
      <c r="BE6" t="s">
        <v>9640</v>
      </c>
      <c r="BF6" t="s">
        <v>9641</v>
      </c>
      <c r="BG6" t="s">
        <v>9642</v>
      </c>
      <c r="BH6" t="s">
        <v>9643</v>
      </c>
      <c r="BI6" t="s">
        <v>9644</v>
      </c>
      <c r="BJ6" t="s">
        <v>9645</v>
      </c>
      <c r="BK6" t="s">
        <v>9646</v>
      </c>
      <c r="BL6" t="s">
        <v>9647</v>
      </c>
      <c r="BM6" t="s">
        <v>9648</v>
      </c>
      <c r="BN6" t="s">
        <v>9649</v>
      </c>
      <c r="BO6" t="s">
        <v>9650</v>
      </c>
      <c r="BP6" t="s">
        <v>9651</v>
      </c>
      <c r="BQ6" t="s">
        <v>9652</v>
      </c>
      <c r="BR6" t="s">
        <v>9653</v>
      </c>
      <c r="BS6" t="s">
        <v>9654</v>
      </c>
      <c r="BT6" t="s">
        <v>9655</v>
      </c>
      <c r="BU6" t="s">
        <v>9656</v>
      </c>
      <c r="BV6" t="s">
        <v>9657</v>
      </c>
      <c r="BW6" t="s">
        <v>9658</v>
      </c>
      <c r="BX6" t="s">
        <v>9659</v>
      </c>
      <c r="BY6" t="s">
        <v>9660</v>
      </c>
      <c r="BZ6" t="s">
        <v>9661</v>
      </c>
      <c r="CA6" t="s">
        <v>9662</v>
      </c>
      <c r="CB6" t="s">
        <v>9663</v>
      </c>
      <c r="CC6" t="s">
        <v>9664</v>
      </c>
      <c r="CD6" t="s">
        <v>9665</v>
      </c>
      <c r="CE6" t="s">
        <v>9666</v>
      </c>
      <c r="CF6" t="s">
        <v>9667</v>
      </c>
      <c r="CG6" t="s">
        <v>9668</v>
      </c>
      <c r="CH6" t="s">
        <v>9669</v>
      </c>
      <c r="CI6" t="s">
        <v>9670</v>
      </c>
      <c r="CJ6" t="s">
        <v>9671</v>
      </c>
      <c r="CK6" t="s">
        <v>9672</v>
      </c>
      <c r="CL6" t="s">
        <v>9673</v>
      </c>
      <c r="CM6" t="s">
        <v>9674</v>
      </c>
      <c r="CN6" t="s">
        <v>9675</v>
      </c>
      <c r="CO6" t="s">
        <v>9676</v>
      </c>
      <c r="CP6" t="s">
        <v>9677</v>
      </c>
      <c r="CQ6" t="s">
        <v>9678</v>
      </c>
      <c r="CR6" t="s">
        <v>9679</v>
      </c>
      <c r="CS6" t="s">
        <v>9680</v>
      </c>
      <c r="CT6" t="s">
        <v>9681</v>
      </c>
      <c r="CU6" t="s">
        <v>9682</v>
      </c>
      <c r="CV6" t="s">
        <v>9683</v>
      </c>
      <c r="CW6" t="s">
        <v>9684</v>
      </c>
      <c r="CX6" t="s">
        <v>9685</v>
      </c>
      <c r="CY6" t="s">
        <v>9686</v>
      </c>
      <c r="CZ6" t="s">
        <v>9687</v>
      </c>
      <c r="DA6" t="s">
        <v>9688</v>
      </c>
      <c r="DB6" t="s">
        <v>9689</v>
      </c>
      <c r="DC6" t="s">
        <v>9690</v>
      </c>
      <c r="DD6" t="s">
        <v>9691</v>
      </c>
      <c r="DE6" t="s">
        <v>9692</v>
      </c>
      <c r="DF6" t="s">
        <v>9693</v>
      </c>
      <c r="DG6" t="s">
        <v>9694</v>
      </c>
      <c r="DH6" t="s">
        <v>9695</v>
      </c>
      <c r="DI6" t="s">
        <v>9696</v>
      </c>
      <c r="DJ6" t="s">
        <v>9697</v>
      </c>
      <c r="DK6" t="s">
        <v>9698</v>
      </c>
      <c r="DL6" t="s">
        <v>9699</v>
      </c>
      <c r="DM6" t="s">
        <v>9700</v>
      </c>
      <c r="DN6" t="s">
        <v>9701</v>
      </c>
      <c r="DO6" t="s">
        <v>9702</v>
      </c>
      <c r="DP6" t="s">
        <v>9703</v>
      </c>
      <c r="DQ6" t="s">
        <v>9704</v>
      </c>
      <c r="DR6" t="s">
        <v>9705</v>
      </c>
      <c r="DS6" t="s">
        <v>9706</v>
      </c>
      <c r="DT6" t="s">
        <v>9707</v>
      </c>
      <c r="DU6" t="s">
        <v>9708</v>
      </c>
      <c r="DV6" t="s">
        <v>9709</v>
      </c>
      <c r="DW6" t="s">
        <v>9710</v>
      </c>
      <c r="DX6" t="s">
        <v>9711</v>
      </c>
      <c r="DY6" t="s">
        <v>9712</v>
      </c>
      <c r="DZ6" t="s">
        <v>9713</v>
      </c>
      <c r="EA6" t="s">
        <v>9714</v>
      </c>
      <c r="EB6" t="s">
        <v>9715</v>
      </c>
      <c r="EC6" t="s">
        <v>9716</v>
      </c>
      <c r="ED6" t="s">
        <v>9717</v>
      </c>
      <c r="EE6" t="s">
        <v>9718</v>
      </c>
      <c r="EF6" t="s">
        <v>9719</v>
      </c>
      <c r="EG6" t="s">
        <v>9720</v>
      </c>
      <c r="EH6" t="s">
        <v>9721</v>
      </c>
      <c r="EI6" t="s">
        <v>9722</v>
      </c>
      <c r="EJ6" t="s">
        <v>9723</v>
      </c>
      <c r="EK6" t="s">
        <v>9724</v>
      </c>
      <c r="EL6" t="s">
        <v>9725</v>
      </c>
      <c r="EM6" t="s">
        <v>9726</v>
      </c>
      <c r="EN6" t="s">
        <v>9727</v>
      </c>
      <c r="EO6" t="s">
        <v>9728</v>
      </c>
      <c r="EP6" t="s">
        <v>9729</v>
      </c>
      <c r="EQ6" t="s">
        <v>9730</v>
      </c>
      <c r="ER6" t="s">
        <v>9731</v>
      </c>
      <c r="ES6" t="s">
        <v>9732</v>
      </c>
      <c r="ET6" t="s">
        <v>9733</v>
      </c>
      <c r="EU6" t="s">
        <v>9734</v>
      </c>
      <c r="EV6" t="s">
        <v>9735</v>
      </c>
      <c r="EW6" t="s">
        <v>9736</v>
      </c>
      <c r="EX6" t="s">
        <v>9737</v>
      </c>
      <c r="EY6" t="s">
        <v>9738</v>
      </c>
      <c r="EZ6" t="s">
        <v>9739</v>
      </c>
      <c r="FA6" t="s">
        <v>9740</v>
      </c>
      <c r="FB6" t="s">
        <v>9741</v>
      </c>
      <c r="FC6" t="s">
        <v>9742</v>
      </c>
      <c r="FD6" t="s">
        <v>9743</v>
      </c>
      <c r="FE6" t="s">
        <v>9744</v>
      </c>
      <c r="FF6" t="s">
        <v>9745</v>
      </c>
      <c r="FG6" t="s">
        <v>9746</v>
      </c>
      <c r="FH6" t="s">
        <v>9747</v>
      </c>
      <c r="FI6" t="s">
        <v>9748</v>
      </c>
      <c r="FJ6" t="s">
        <v>9749</v>
      </c>
      <c r="FK6" t="s">
        <v>9750</v>
      </c>
      <c r="FL6" t="s">
        <v>9751</v>
      </c>
      <c r="FM6" t="s">
        <v>9752</v>
      </c>
      <c r="FN6" t="s">
        <v>9753</v>
      </c>
      <c r="FO6" t="s">
        <v>9754</v>
      </c>
      <c r="FP6" t="s">
        <v>9755</v>
      </c>
      <c r="FQ6" t="s">
        <v>9756</v>
      </c>
      <c r="FR6" t="s">
        <v>9757</v>
      </c>
      <c r="FS6" t="s">
        <v>9758</v>
      </c>
      <c r="FT6" t="s">
        <v>9759</v>
      </c>
      <c r="FU6" t="s">
        <v>9760</v>
      </c>
      <c r="FV6" t="s">
        <v>9761</v>
      </c>
      <c r="FW6" t="s">
        <v>9762</v>
      </c>
      <c r="FX6" t="s">
        <v>9763</v>
      </c>
      <c r="FY6" t="s">
        <v>9764</v>
      </c>
      <c r="FZ6" t="s">
        <v>9765</v>
      </c>
      <c r="GA6" t="s">
        <v>9766</v>
      </c>
      <c r="GB6" t="s">
        <v>9767</v>
      </c>
      <c r="GC6" t="s">
        <v>9768</v>
      </c>
      <c r="GD6" t="s">
        <v>9769</v>
      </c>
      <c r="GE6" t="s">
        <v>9770</v>
      </c>
      <c r="GF6" t="s">
        <v>9771</v>
      </c>
      <c r="GG6" t="s">
        <v>9772</v>
      </c>
      <c r="GH6" t="s">
        <v>9773</v>
      </c>
      <c r="GI6" t="s">
        <v>9774</v>
      </c>
      <c r="GJ6" t="s">
        <v>9775</v>
      </c>
      <c r="GK6" t="s">
        <v>9776</v>
      </c>
      <c r="GL6" t="s">
        <v>9777</v>
      </c>
      <c r="GM6" t="s">
        <v>9778</v>
      </c>
      <c r="GN6" t="s">
        <v>9779</v>
      </c>
      <c r="GO6" t="s">
        <v>9780</v>
      </c>
      <c r="GP6" t="s">
        <v>9781</v>
      </c>
      <c r="GQ6" t="s">
        <v>9782</v>
      </c>
      <c r="GR6" t="s">
        <v>9783</v>
      </c>
      <c r="GS6" t="s">
        <v>9784</v>
      </c>
      <c r="GT6" t="s">
        <v>9785</v>
      </c>
      <c r="GU6" t="s">
        <v>9786</v>
      </c>
      <c r="GV6" t="s">
        <v>9787</v>
      </c>
      <c r="GW6" t="s">
        <v>9788</v>
      </c>
      <c r="GX6" t="s">
        <v>9789</v>
      </c>
      <c r="GY6" t="s">
        <v>9790</v>
      </c>
      <c r="GZ6" t="s">
        <v>9791</v>
      </c>
      <c r="HA6" t="s">
        <v>9792</v>
      </c>
      <c r="HB6" t="s">
        <v>9793</v>
      </c>
      <c r="HC6" t="s">
        <v>9794</v>
      </c>
      <c r="HD6" t="s">
        <v>9795</v>
      </c>
      <c r="HE6" t="s">
        <v>9796</v>
      </c>
      <c r="HF6" t="s">
        <v>9797</v>
      </c>
      <c r="HG6" t="s">
        <v>9798</v>
      </c>
      <c r="HH6" t="s">
        <v>9799</v>
      </c>
      <c r="HI6" t="s">
        <v>9800</v>
      </c>
      <c r="HJ6" t="s">
        <v>9801</v>
      </c>
      <c r="HK6" t="s">
        <v>9802</v>
      </c>
      <c r="HL6" t="s">
        <v>9803</v>
      </c>
      <c r="HM6" t="s">
        <v>9804</v>
      </c>
      <c r="HN6" t="s">
        <v>9805</v>
      </c>
      <c r="HO6" t="s">
        <v>9806</v>
      </c>
      <c r="HP6" t="s">
        <v>9807</v>
      </c>
      <c r="HQ6" t="s">
        <v>9808</v>
      </c>
      <c r="HR6" t="s">
        <v>9809</v>
      </c>
      <c r="HS6" t="s">
        <v>9810</v>
      </c>
      <c r="HT6" t="s">
        <v>9811</v>
      </c>
      <c r="HU6" t="s">
        <v>9812</v>
      </c>
      <c r="HV6" t="s">
        <v>9813</v>
      </c>
      <c r="HW6" t="s">
        <v>9814</v>
      </c>
      <c r="HX6" t="s">
        <v>9815</v>
      </c>
      <c r="HY6" t="s">
        <v>9816</v>
      </c>
      <c r="HZ6" t="s">
        <v>9817</v>
      </c>
      <c r="IA6" t="s">
        <v>9818</v>
      </c>
      <c r="IB6" t="s">
        <v>9819</v>
      </c>
      <c r="IC6" t="s">
        <v>9820</v>
      </c>
      <c r="ID6" t="s">
        <v>9821</v>
      </c>
      <c r="IE6" t="s">
        <v>9822</v>
      </c>
      <c r="IF6" t="s">
        <v>9823</v>
      </c>
      <c r="IG6" t="s">
        <v>9824</v>
      </c>
      <c r="IH6" t="s">
        <v>9825</v>
      </c>
      <c r="II6" t="s">
        <v>9826</v>
      </c>
      <c r="IJ6" t="s">
        <v>9827</v>
      </c>
      <c r="IK6" t="s">
        <v>9828</v>
      </c>
      <c r="IL6" t="s">
        <v>9829</v>
      </c>
      <c r="IM6" t="s">
        <v>9830</v>
      </c>
      <c r="IN6" t="s">
        <v>9831</v>
      </c>
      <c r="IO6" t="s">
        <v>9832</v>
      </c>
      <c r="IP6" t="s">
        <v>9833</v>
      </c>
      <c r="IQ6" t="s">
        <v>9834</v>
      </c>
      <c r="IR6" t="s">
        <v>9835</v>
      </c>
      <c r="IS6" t="s">
        <v>9836</v>
      </c>
      <c r="IT6" t="s">
        <v>9837</v>
      </c>
      <c r="IU6" t="s">
        <v>9838</v>
      </c>
      <c r="IV6" t="s">
        <v>9839</v>
      </c>
    </row>
    <row r="7" spans="1:256" x14ac:dyDescent="0.2">
      <c r="A7" t="s">
        <v>9840</v>
      </c>
      <c r="B7" t="s">
        <v>9841</v>
      </c>
      <c r="C7" t="s">
        <v>9842</v>
      </c>
      <c r="D7" t="s">
        <v>9843</v>
      </c>
      <c r="E7" t="s">
        <v>9844</v>
      </c>
      <c r="F7" t="s">
        <v>9845</v>
      </c>
      <c r="G7" t="s">
        <v>9846</v>
      </c>
      <c r="H7" t="s">
        <v>9847</v>
      </c>
      <c r="I7" t="s">
        <v>9848</v>
      </c>
      <c r="J7" t="s">
        <v>9849</v>
      </c>
      <c r="K7" t="s">
        <v>9850</v>
      </c>
      <c r="L7" t="s">
        <v>9851</v>
      </c>
      <c r="M7" t="s">
        <v>9852</v>
      </c>
      <c r="N7" t="s">
        <v>9853</v>
      </c>
      <c r="O7" t="s">
        <v>9854</v>
      </c>
      <c r="P7" t="s">
        <v>9855</v>
      </c>
      <c r="Q7" t="s">
        <v>9856</v>
      </c>
      <c r="R7" t="s">
        <v>9857</v>
      </c>
      <c r="S7" t="s">
        <v>9858</v>
      </c>
      <c r="T7" t="s">
        <v>9859</v>
      </c>
      <c r="U7" t="s">
        <v>9860</v>
      </c>
      <c r="V7" t="s">
        <v>9861</v>
      </c>
      <c r="W7" t="s">
        <v>9862</v>
      </c>
      <c r="X7" t="s">
        <v>9863</v>
      </c>
      <c r="Y7" t="s">
        <v>9864</v>
      </c>
      <c r="Z7" t="s">
        <v>9865</v>
      </c>
      <c r="AA7" t="s">
        <v>9866</v>
      </c>
      <c r="AB7" t="s">
        <v>9867</v>
      </c>
      <c r="AC7" t="s">
        <v>9868</v>
      </c>
      <c r="AD7" t="s">
        <v>9869</v>
      </c>
      <c r="AE7" t="s">
        <v>9870</v>
      </c>
      <c r="AF7" t="s">
        <v>9871</v>
      </c>
      <c r="AG7" t="s">
        <v>9872</v>
      </c>
      <c r="AH7" t="s">
        <v>9873</v>
      </c>
      <c r="AI7" t="s">
        <v>9874</v>
      </c>
      <c r="AJ7" t="s">
        <v>9875</v>
      </c>
      <c r="AK7" t="s">
        <v>9876</v>
      </c>
      <c r="AL7" t="s">
        <v>9877</v>
      </c>
      <c r="AM7" t="s">
        <v>9878</v>
      </c>
      <c r="AN7" t="s">
        <v>9879</v>
      </c>
      <c r="AO7" t="s">
        <v>9880</v>
      </c>
      <c r="AP7" t="s">
        <v>9881</v>
      </c>
      <c r="AQ7" t="s">
        <v>9882</v>
      </c>
      <c r="AR7" t="s">
        <v>9883</v>
      </c>
      <c r="AS7" t="s">
        <v>9884</v>
      </c>
      <c r="AT7" t="s">
        <v>9885</v>
      </c>
      <c r="AU7" t="s">
        <v>9886</v>
      </c>
      <c r="AV7" t="s">
        <v>9887</v>
      </c>
      <c r="AW7" t="s">
        <v>9888</v>
      </c>
      <c r="AX7" t="s">
        <v>9889</v>
      </c>
      <c r="AY7" t="s">
        <v>9890</v>
      </c>
      <c r="AZ7" t="s">
        <v>9891</v>
      </c>
      <c r="BA7" t="s">
        <v>9892</v>
      </c>
      <c r="BB7" t="s">
        <v>9893</v>
      </c>
      <c r="BC7" t="s">
        <v>9894</v>
      </c>
      <c r="BD7" t="s">
        <v>9895</v>
      </c>
      <c r="BE7" t="s">
        <v>9896</v>
      </c>
      <c r="BF7" t="s">
        <v>9897</v>
      </c>
      <c r="BG7" t="s">
        <v>9898</v>
      </c>
      <c r="BH7" t="s">
        <v>9899</v>
      </c>
      <c r="BI7" t="s">
        <v>9900</v>
      </c>
      <c r="BJ7" t="s">
        <v>9901</v>
      </c>
      <c r="BK7" t="s">
        <v>9902</v>
      </c>
      <c r="BL7" t="s">
        <v>9903</v>
      </c>
      <c r="BM7" t="s">
        <v>9904</v>
      </c>
      <c r="BN7" t="s">
        <v>9905</v>
      </c>
      <c r="BO7" t="s">
        <v>9906</v>
      </c>
      <c r="BP7" t="s">
        <v>9907</v>
      </c>
      <c r="BQ7" t="s">
        <v>9908</v>
      </c>
      <c r="BR7" t="s">
        <v>9909</v>
      </c>
      <c r="BS7" t="s">
        <v>9910</v>
      </c>
      <c r="BT7" t="s">
        <v>9911</v>
      </c>
      <c r="BU7" t="s">
        <v>9912</v>
      </c>
      <c r="BV7" t="s">
        <v>9913</v>
      </c>
      <c r="BW7" t="s">
        <v>9914</v>
      </c>
      <c r="BX7" t="s">
        <v>9915</v>
      </c>
      <c r="BY7" t="s">
        <v>9916</v>
      </c>
      <c r="BZ7" t="s">
        <v>9917</v>
      </c>
      <c r="CA7" t="s">
        <v>9918</v>
      </c>
      <c r="CB7" t="s">
        <v>9919</v>
      </c>
      <c r="CC7" t="s">
        <v>9920</v>
      </c>
      <c r="CD7" t="s">
        <v>9921</v>
      </c>
      <c r="CE7" t="s">
        <v>9922</v>
      </c>
      <c r="CF7" t="s">
        <v>9923</v>
      </c>
      <c r="CG7" t="s">
        <v>9924</v>
      </c>
      <c r="CH7" t="s">
        <v>9925</v>
      </c>
      <c r="CI7" t="s">
        <v>9926</v>
      </c>
      <c r="CJ7" t="s">
        <v>9927</v>
      </c>
      <c r="CK7" t="s">
        <v>9928</v>
      </c>
      <c r="CL7" t="s">
        <v>9929</v>
      </c>
      <c r="CM7" t="s">
        <v>9930</v>
      </c>
      <c r="CN7" t="s">
        <v>9931</v>
      </c>
      <c r="CO7" t="s">
        <v>9932</v>
      </c>
      <c r="CP7" t="s">
        <v>9933</v>
      </c>
      <c r="CQ7" t="s">
        <v>9934</v>
      </c>
      <c r="CR7" t="s">
        <v>9935</v>
      </c>
      <c r="CS7" t="s">
        <v>9936</v>
      </c>
      <c r="CT7" t="s">
        <v>9937</v>
      </c>
      <c r="CU7" t="s">
        <v>9938</v>
      </c>
      <c r="CV7" t="s">
        <v>9939</v>
      </c>
      <c r="CW7" t="s">
        <v>9940</v>
      </c>
      <c r="CX7" t="s">
        <v>9941</v>
      </c>
      <c r="CY7" t="s">
        <v>9942</v>
      </c>
      <c r="CZ7" t="s">
        <v>9943</v>
      </c>
      <c r="DA7" t="s">
        <v>9944</v>
      </c>
      <c r="DB7" t="s">
        <v>9945</v>
      </c>
      <c r="DC7" t="s">
        <v>9946</v>
      </c>
      <c r="DD7" t="s">
        <v>9947</v>
      </c>
      <c r="DE7" t="s">
        <v>9948</v>
      </c>
      <c r="DF7" t="s">
        <v>9949</v>
      </c>
      <c r="DG7" t="s">
        <v>9950</v>
      </c>
      <c r="DH7" t="s">
        <v>9951</v>
      </c>
      <c r="DI7" t="s">
        <v>9952</v>
      </c>
      <c r="DJ7" t="s">
        <v>9953</v>
      </c>
      <c r="DK7" t="s">
        <v>9954</v>
      </c>
      <c r="DL7" t="s">
        <v>9955</v>
      </c>
      <c r="DM7" t="s">
        <v>9956</v>
      </c>
      <c r="DN7" t="s">
        <v>9957</v>
      </c>
      <c r="DO7" t="s">
        <v>9958</v>
      </c>
      <c r="DP7" t="s">
        <v>9959</v>
      </c>
      <c r="DQ7" t="s">
        <v>9960</v>
      </c>
      <c r="DR7" t="s">
        <v>9961</v>
      </c>
      <c r="DS7" t="s">
        <v>9962</v>
      </c>
      <c r="DT7" t="s">
        <v>9963</v>
      </c>
      <c r="DU7" t="s">
        <v>9964</v>
      </c>
      <c r="DV7" t="s">
        <v>9965</v>
      </c>
      <c r="DW7" t="s">
        <v>9966</v>
      </c>
      <c r="DX7" t="s">
        <v>9967</v>
      </c>
      <c r="DY7" t="s">
        <v>9968</v>
      </c>
      <c r="DZ7" t="s">
        <v>9969</v>
      </c>
      <c r="EA7" t="s">
        <v>9970</v>
      </c>
      <c r="EB7" t="s">
        <v>9971</v>
      </c>
      <c r="EC7" t="s">
        <v>9972</v>
      </c>
      <c r="ED7" t="s">
        <v>9973</v>
      </c>
      <c r="EE7" t="s">
        <v>9974</v>
      </c>
      <c r="EF7" t="s">
        <v>9975</v>
      </c>
      <c r="EG7" t="s">
        <v>9976</v>
      </c>
      <c r="EH7" t="s">
        <v>9977</v>
      </c>
      <c r="EI7" t="s">
        <v>9978</v>
      </c>
      <c r="EJ7" t="s">
        <v>9979</v>
      </c>
      <c r="EK7" t="s">
        <v>9980</v>
      </c>
      <c r="EL7" t="s">
        <v>9981</v>
      </c>
      <c r="EM7" t="s">
        <v>9982</v>
      </c>
      <c r="EN7" t="s">
        <v>9983</v>
      </c>
      <c r="EO7" t="s">
        <v>9984</v>
      </c>
      <c r="EP7" t="s">
        <v>9985</v>
      </c>
      <c r="EQ7" t="s">
        <v>9986</v>
      </c>
      <c r="ER7" t="s">
        <v>9987</v>
      </c>
      <c r="ES7" t="s">
        <v>9988</v>
      </c>
      <c r="ET7" t="s">
        <v>9989</v>
      </c>
      <c r="EU7" t="s">
        <v>9990</v>
      </c>
      <c r="EV7" t="s">
        <v>9991</v>
      </c>
      <c r="EW7" t="s">
        <v>9992</v>
      </c>
      <c r="EX7" t="s">
        <v>9993</v>
      </c>
      <c r="EY7" t="s">
        <v>9994</v>
      </c>
      <c r="EZ7" t="s">
        <v>9995</v>
      </c>
      <c r="FA7" t="s">
        <v>9996</v>
      </c>
      <c r="FB7" t="s">
        <v>9997</v>
      </c>
      <c r="FC7" t="s">
        <v>9998</v>
      </c>
      <c r="FD7" t="s">
        <v>9999</v>
      </c>
      <c r="FE7" t="s">
        <v>10000</v>
      </c>
      <c r="FF7" t="s">
        <v>10001</v>
      </c>
      <c r="FG7" t="s">
        <v>10002</v>
      </c>
      <c r="FH7" t="s">
        <v>10003</v>
      </c>
      <c r="FI7" t="s">
        <v>10004</v>
      </c>
      <c r="FJ7" t="s">
        <v>10005</v>
      </c>
      <c r="FK7" t="s">
        <v>10006</v>
      </c>
      <c r="FL7" t="s">
        <v>10007</v>
      </c>
      <c r="FM7" t="s">
        <v>10008</v>
      </c>
      <c r="FN7" t="s">
        <v>10009</v>
      </c>
      <c r="FO7" t="s">
        <v>10010</v>
      </c>
      <c r="FP7" t="s">
        <v>10011</v>
      </c>
      <c r="FQ7" t="s">
        <v>10012</v>
      </c>
      <c r="FR7" t="s">
        <v>10013</v>
      </c>
      <c r="FS7" t="s">
        <v>10014</v>
      </c>
      <c r="FT7" t="s">
        <v>10015</v>
      </c>
      <c r="FU7" t="s">
        <v>10016</v>
      </c>
      <c r="FV7" t="s">
        <v>10017</v>
      </c>
      <c r="FW7" t="s">
        <v>10018</v>
      </c>
      <c r="FX7" t="s">
        <v>10019</v>
      </c>
      <c r="FY7" t="s">
        <v>10020</v>
      </c>
      <c r="FZ7" t="s">
        <v>10021</v>
      </c>
      <c r="GA7" t="s">
        <v>10022</v>
      </c>
      <c r="GB7" t="s">
        <v>10023</v>
      </c>
      <c r="GC7" t="s">
        <v>10024</v>
      </c>
      <c r="GD7" t="s">
        <v>10025</v>
      </c>
      <c r="GE7" t="s">
        <v>10026</v>
      </c>
      <c r="GF7" t="s">
        <v>10027</v>
      </c>
      <c r="GG7" t="s">
        <v>10028</v>
      </c>
      <c r="GH7" t="s">
        <v>10029</v>
      </c>
      <c r="GI7" t="s">
        <v>10030</v>
      </c>
      <c r="GJ7" t="s">
        <v>10031</v>
      </c>
      <c r="GK7" t="s">
        <v>10032</v>
      </c>
      <c r="GL7" t="s">
        <v>10033</v>
      </c>
      <c r="GM7" t="s">
        <v>10034</v>
      </c>
      <c r="GN7" t="s">
        <v>10035</v>
      </c>
      <c r="GO7" t="s">
        <v>10036</v>
      </c>
      <c r="GP7" t="s">
        <v>10037</v>
      </c>
      <c r="GQ7" t="s">
        <v>10038</v>
      </c>
      <c r="GR7" t="s">
        <v>10039</v>
      </c>
      <c r="GS7" t="s">
        <v>10040</v>
      </c>
      <c r="GT7" t="s">
        <v>10041</v>
      </c>
      <c r="GU7" t="s">
        <v>10042</v>
      </c>
      <c r="GV7" t="s">
        <v>10043</v>
      </c>
      <c r="GW7" t="s">
        <v>10044</v>
      </c>
      <c r="GX7" t="s">
        <v>10045</v>
      </c>
      <c r="GY7" t="s">
        <v>10046</v>
      </c>
      <c r="GZ7" t="s">
        <v>10047</v>
      </c>
      <c r="HA7" t="s">
        <v>10048</v>
      </c>
      <c r="HB7" t="s">
        <v>10049</v>
      </c>
      <c r="HC7" t="s">
        <v>10050</v>
      </c>
      <c r="HD7" t="s">
        <v>10051</v>
      </c>
      <c r="HE7" t="s">
        <v>10052</v>
      </c>
      <c r="HF7" t="s">
        <v>10053</v>
      </c>
      <c r="HG7" t="s">
        <v>10054</v>
      </c>
      <c r="HH7" t="s">
        <v>10055</v>
      </c>
      <c r="HI7" t="s">
        <v>10056</v>
      </c>
      <c r="HJ7" t="s">
        <v>10057</v>
      </c>
      <c r="HK7" t="s">
        <v>10058</v>
      </c>
      <c r="HL7" t="s">
        <v>10059</v>
      </c>
      <c r="HM7" t="s">
        <v>10060</v>
      </c>
      <c r="HN7" t="s">
        <v>10061</v>
      </c>
      <c r="HO7" t="s">
        <v>10062</v>
      </c>
      <c r="HP7" t="s">
        <v>10063</v>
      </c>
      <c r="HQ7" t="s">
        <v>10064</v>
      </c>
      <c r="HR7" t="s">
        <v>10065</v>
      </c>
      <c r="HS7" t="s">
        <v>10066</v>
      </c>
      <c r="HT7" t="s">
        <v>10067</v>
      </c>
      <c r="HU7" t="s">
        <v>10068</v>
      </c>
      <c r="HV7" t="s">
        <v>10069</v>
      </c>
      <c r="HW7" t="s">
        <v>10070</v>
      </c>
      <c r="HX7" t="s">
        <v>10071</v>
      </c>
      <c r="HY7" t="s">
        <v>10072</v>
      </c>
      <c r="HZ7" t="s">
        <v>10073</v>
      </c>
      <c r="IA7" t="s">
        <v>10074</v>
      </c>
      <c r="IB7" t="s">
        <v>10075</v>
      </c>
      <c r="IC7" t="s">
        <v>10076</v>
      </c>
      <c r="ID7" t="s">
        <v>10077</v>
      </c>
      <c r="IE7" t="s">
        <v>10078</v>
      </c>
      <c r="IF7" t="s">
        <v>10079</v>
      </c>
      <c r="IG7" t="s">
        <v>10080</v>
      </c>
      <c r="IH7" t="s">
        <v>10081</v>
      </c>
      <c r="II7" t="s">
        <v>10082</v>
      </c>
      <c r="IJ7" t="s">
        <v>10083</v>
      </c>
      <c r="IK7" t="s">
        <v>10084</v>
      </c>
      <c r="IL7" t="s">
        <v>10085</v>
      </c>
      <c r="IM7" t="s">
        <v>10086</v>
      </c>
      <c r="IN7" t="s">
        <v>10087</v>
      </c>
      <c r="IO7" t="s">
        <v>10088</v>
      </c>
      <c r="IP7" t="s">
        <v>10089</v>
      </c>
      <c r="IQ7" t="s">
        <v>10090</v>
      </c>
      <c r="IR7" t="s">
        <v>10091</v>
      </c>
      <c r="IS7" t="s">
        <v>10092</v>
      </c>
      <c r="IT7" t="s">
        <v>10093</v>
      </c>
      <c r="IU7" t="s">
        <v>10094</v>
      </c>
      <c r="IV7" t="s">
        <v>10095</v>
      </c>
    </row>
    <row r="8" spans="1:256" x14ac:dyDescent="0.2">
      <c r="A8" t="s">
        <v>10096</v>
      </c>
      <c r="B8" t="s">
        <v>10097</v>
      </c>
      <c r="C8" t="s">
        <v>10098</v>
      </c>
      <c r="D8" t="s">
        <v>10099</v>
      </c>
      <c r="E8" t="s">
        <v>10100</v>
      </c>
      <c r="F8" t="s">
        <v>10101</v>
      </c>
      <c r="G8" t="s">
        <v>10102</v>
      </c>
      <c r="H8" t="s">
        <v>10103</v>
      </c>
      <c r="I8" t="s">
        <v>10104</v>
      </c>
      <c r="J8" t="s">
        <v>10105</v>
      </c>
      <c r="K8" t="s">
        <v>10106</v>
      </c>
      <c r="L8" t="s">
        <v>10107</v>
      </c>
      <c r="M8" t="s">
        <v>10108</v>
      </c>
      <c r="N8" t="s">
        <v>10109</v>
      </c>
      <c r="O8" t="s">
        <v>10110</v>
      </c>
      <c r="P8" t="s">
        <v>10111</v>
      </c>
      <c r="Q8" t="s">
        <v>10112</v>
      </c>
      <c r="R8" t="s">
        <v>10113</v>
      </c>
      <c r="S8" t="s">
        <v>10114</v>
      </c>
      <c r="T8" t="s">
        <v>10115</v>
      </c>
      <c r="U8" t="s">
        <v>10116</v>
      </c>
      <c r="V8" t="s">
        <v>10117</v>
      </c>
      <c r="W8" t="s">
        <v>10118</v>
      </c>
      <c r="X8" t="s">
        <v>10119</v>
      </c>
      <c r="Y8" t="s">
        <v>10120</v>
      </c>
      <c r="Z8" t="s">
        <v>10121</v>
      </c>
      <c r="AA8" t="s">
        <v>10122</v>
      </c>
      <c r="AB8" t="s">
        <v>10123</v>
      </c>
      <c r="AC8" t="s">
        <v>10124</v>
      </c>
      <c r="AD8" t="s">
        <v>10125</v>
      </c>
      <c r="AE8" t="s">
        <v>10126</v>
      </c>
      <c r="AF8" t="s">
        <v>10127</v>
      </c>
      <c r="AG8" t="s">
        <v>10128</v>
      </c>
      <c r="AH8" t="s">
        <v>10129</v>
      </c>
      <c r="AI8" t="s">
        <v>10130</v>
      </c>
      <c r="AJ8" t="s">
        <v>10131</v>
      </c>
      <c r="AK8" t="s">
        <v>10132</v>
      </c>
      <c r="AL8" t="s">
        <v>10133</v>
      </c>
      <c r="AM8" t="s">
        <v>10134</v>
      </c>
      <c r="AN8" t="s">
        <v>10135</v>
      </c>
      <c r="AO8" t="s">
        <v>10136</v>
      </c>
      <c r="AP8" t="s">
        <v>10137</v>
      </c>
      <c r="AQ8" t="s">
        <v>10138</v>
      </c>
      <c r="AR8" t="s">
        <v>10139</v>
      </c>
      <c r="AS8" t="s">
        <v>10140</v>
      </c>
      <c r="AT8" t="s">
        <v>10141</v>
      </c>
      <c r="AU8" t="s">
        <v>10142</v>
      </c>
      <c r="AV8" t="s">
        <v>10143</v>
      </c>
      <c r="AW8" t="s">
        <v>10144</v>
      </c>
      <c r="AX8" t="s">
        <v>10145</v>
      </c>
      <c r="AY8" t="s">
        <v>10146</v>
      </c>
      <c r="AZ8" t="s">
        <v>10147</v>
      </c>
      <c r="BA8" t="s">
        <v>10148</v>
      </c>
      <c r="BB8" t="s">
        <v>10149</v>
      </c>
      <c r="BC8" t="s">
        <v>10150</v>
      </c>
      <c r="BD8" t="s">
        <v>10151</v>
      </c>
      <c r="BE8" t="s">
        <v>10152</v>
      </c>
      <c r="BF8" t="s">
        <v>10153</v>
      </c>
      <c r="BG8" t="s">
        <v>10154</v>
      </c>
      <c r="BH8" t="s">
        <v>10155</v>
      </c>
      <c r="BI8" t="s">
        <v>10156</v>
      </c>
      <c r="BJ8" t="s">
        <v>10157</v>
      </c>
      <c r="BK8" t="s">
        <v>10158</v>
      </c>
      <c r="BL8" t="s">
        <v>10159</v>
      </c>
      <c r="BM8" t="s">
        <v>10160</v>
      </c>
      <c r="BN8" t="s">
        <v>10161</v>
      </c>
      <c r="BO8" t="s">
        <v>10162</v>
      </c>
      <c r="BP8" t="s">
        <v>10163</v>
      </c>
      <c r="BQ8" t="s">
        <v>10164</v>
      </c>
      <c r="BR8" t="s">
        <v>10165</v>
      </c>
      <c r="BS8" t="s">
        <v>10166</v>
      </c>
      <c r="BT8" t="s">
        <v>10167</v>
      </c>
      <c r="BU8" t="s">
        <v>10168</v>
      </c>
      <c r="BV8" t="s">
        <v>10169</v>
      </c>
      <c r="BW8" t="s">
        <v>10170</v>
      </c>
      <c r="BX8" t="s">
        <v>10171</v>
      </c>
      <c r="BY8" t="s">
        <v>10172</v>
      </c>
      <c r="BZ8" t="s">
        <v>10173</v>
      </c>
      <c r="CA8" t="s">
        <v>10174</v>
      </c>
      <c r="CB8" t="s">
        <v>10175</v>
      </c>
      <c r="CC8" t="s">
        <v>10176</v>
      </c>
      <c r="CD8" t="s">
        <v>10177</v>
      </c>
      <c r="CE8" t="s">
        <v>10178</v>
      </c>
      <c r="CF8" t="s">
        <v>10179</v>
      </c>
      <c r="CG8" t="s">
        <v>10180</v>
      </c>
      <c r="CH8" t="s">
        <v>10181</v>
      </c>
      <c r="CI8" t="s">
        <v>10182</v>
      </c>
      <c r="CJ8" t="s">
        <v>10183</v>
      </c>
      <c r="CK8" t="s">
        <v>10184</v>
      </c>
      <c r="CL8" t="s">
        <v>10185</v>
      </c>
      <c r="CM8" t="s">
        <v>10186</v>
      </c>
      <c r="CN8" t="s">
        <v>10187</v>
      </c>
      <c r="CO8" t="s">
        <v>10188</v>
      </c>
      <c r="CP8" t="s">
        <v>10189</v>
      </c>
      <c r="CQ8" t="s">
        <v>10190</v>
      </c>
      <c r="CR8" t="s">
        <v>10191</v>
      </c>
      <c r="CS8" t="s">
        <v>10192</v>
      </c>
      <c r="CT8" t="s">
        <v>10193</v>
      </c>
      <c r="CU8" t="s">
        <v>10194</v>
      </c>
      <c r="CV8" t="s">
        <v>10195</v>
      </c>
      <c r="CW8" t="s">
        <v>10196</v>
      </c>
      <c r="CX8" t="s">
        <v>10197</v>
      </c>
      <c r="CY8" t="s">
        <v>10198</v>
      </c>
      <c r="CZ8" t="s">
        <v>10199</v>
      </c>
      <c r="DA8" t="s">
        <v>10200</v>
      </c>
      <c r="DB8" t="s">
        <v>10201</v>
      </c>
      <c r="DC8" t="s">
        <v>10202</v>
      </c>
      <c r="DD8" t="s">
        <v>10203</v>
      </c>
      <c r="DE8" t="s">
        <v>10204</v>
      </c>
      <c r="DF8" t="s">
        <v>10205</v>
      </c>
      <c r="DG8" t="s">
        <v>10206</v>
      </c>
      <c r="DH8" t="s">
        <v>10207</v>
      </c>
      <c r="DI8" t="s">
        <v>10208</v>
      </c>
      <c r="DJ8" t="s">
        <v>10209</v>
      </c>
      <c r="DK8" t="s">
        <v>10210</v>
      </c>
      <c r="DL8" t="s">
        <v>10211</v>
      </c>
      <c r="DM8" t="s">
        <v>10212</v>
      </c>
      <c r="DN8" t="s">
        <v>10213</v>
      </c>
      <c r="DO8" t="s">
        <v>10214</v>
      </c>
      <c r="DP8" t="s">
        <v>10215</v>
      </c>
      <c r="DQ8" t="s">
        <v>10216</v>
      </c>
      <c r="DR8" t="s">
        <v>10217</v>
      </c>
      <c r="DS8" t="s">
        <v>10218</v>
      </c>
      <c r="DT8" t="s">
        <v>10219</v>
      </c>
      <c r="DU8" t="s">
        <v>10220</v>
      </c>
      <c r="DV8" t="s">
        <v>10221</v>
      </c>
      <c r="DW8" t="s">
        <v>10222</v>
      </c>
      <c r="DX8" t="s">
        <v>10223</v>
      </c>
      <c r="DY8" t="s">
        <v>10224</v>
      </c>
      <c r="DZ8" t="s">
        <v>10225</v>
      </c>
      <c r="EA8" t="s">
        <v>10226</v>
      </c>
      <c r="EB8" t="s">
        <v>10227</v>
      </c>
      <c r="EC8" t="s">
        <v>10228</v>
      </c>
      <c r="ED8" t="s">
        <v>10229</v>
      </c>
      <c r="EE8" t="s">
        <v>10230</v>
      </c>
      <c r="EF8" t="s">
        <v>10231</v>
      </c>
      <c r="EG8" t="s">
        <v>10232</v>
      </c>
      <c r="EH8" t="s">
        <v>10233</v>
      </c>
      <c r="EI8" t="s">
        <v>10234</v>
      </c>
      <c r="EJ8" t="s">
        <v>10235</v>
      </c>
      <c r="EK8" t="s">
        <v>10236</v>
      </c>
      <c r="EL8" t="s">
        <v>10237</v>
      </c>
      <c r="EM8" t="s">
        <v>10238</v>
      </c>
      <c r="EN8" t="s">
        <v>10239</v>
      </c>
      <c r="EO8" t="s">
        <v>10240</v>
      </c>
      <c r="EP8" t="s">
        <v>10241</v>
      </c>
      <c r="EQ8" t="s">
        <v>10242</v>
      </c>
      <c r="ER8" t="s">
        <v>10243</v>
      </c>
      <c r="ES8" t="s">
        <v>10244</v>
      </c>
      <c r="ET8" t="s">
        <v>10245</v>
      </c>
      <c r="EU8" t="s">
        <v>10246</v>
      </c>
      <c r="EV8" t="s">
        <v>10247</v>
      </c>
      <c r="EW8" t="s">
        <v>10248</v>
      </c>
      <c r="EX8" t="s">
        <v>10249</v>
      </c>
      <c r="EY8" t="s">
        <v>10250</v>
      </c>
      <c r="EZ8" t="s">
        <v>10251</v>
      </c>
      <c r="FA8" t="s">
        <v>10252</v>
      </c>
      <c r="FB8" t="s">
        <v>10253</v>
      </c>
      <c r="FC8" t="s">
        <v>10254</v>
      </c>
      <c r="FD8" t="s">
        <v>10255</v>
      </c>
      <c r="FE8" t="s">
        <v>10256</v>
      </c>
      <c r="FF8" t="s">
        <v>10257</v>
      </c>
      <c r="FG8" t="s">
        <v>10258</v>
      </c>
      <c r="FH8" t="s">
        <v>10259</v>
      </c>
      <c r="FI8" t="s">
        <v>10260</v>
      </c>
      <c r="FJ8" t="s">
        <v>10261</v>
      </c>
      <c r="FK8" t="s">
        <v>10262</v>
      </c>
      <c r="FL8" t="s">
        <v>10263</v>
      </c>
      <c r="FM8" t="s">
        <v>10264</v>
      </c>
      <c r="FN8" t="s">
        <v>10265</v>
      </c>
      <c r="FO8" t="s">
        <v>10266</v>
      </c>
      <c r="FP8" t="s">
        <v>10267</v>
      </c>
      <c r="FQ8" t="s">
        <v>10268</v>
      </c>
      <c r="FR8" t="s">
        <v>10269</v>
      </c>
      <c r="FS8" t="s">
        <v>10270</v>
      </c>
      <c r="FT8" t="s">
        <v>10271</v>
      </c>
      <c r="FU8" t="s">
        <v>10272</v>
      </c>
      <c r="FV8" t="s">
        <v>10273</v>
      </c>
      <c r="FW8" t="s">
        <v>10274</v>
      </c>
      <c r="FX8" t="s">
        <v>10275</v>
      </c>
      <c r="FY8" t="s">
        <v>10276</v>
      </c>
      <c r="FZ8" t="s">
        <v>10277</v>
      </c>
      <c r="GA8" t="s">
        <v>10278</v>
      </c>
      <c r="GB8" t="s">
        <v>10279</v>
      </c>
      <c r="GC8" t="s">
        <v>10280</v>
      </c>
      <c r="GD8" t="s">
        <v>10281</v>
      </c>
      <c r="GE8" t="s">
        <v>10282</v>
      </c>
      <c r="GF8" t="s">
        <v>10283</v>
      </c>
      <c r="GG8" t="s">
        <v>10284</v>
      </c>
      <c r="GH8" t="s">
        <v>10285</v>
      </c>
      <c r="GI8" t="s">
        <v>10286</v>
      </c>
      <c r="GJ8" t="s">
        <v>10287</v>
      </c>
      <c r="GK8" t="s">
        <v>10288</v>
      </c>
      <c r="GL8" t="s">
        <v>10289</v>
      </c>
      <c r="GM8" t="s">
        <v>10290</v>
      </c>
      <c r="GN8" t="s">
        <v>10291</v>
      </c>
      <c r="GO8" t="s">
        <v>10292</v>
      </c>
      <c r="GP8" t="s">
        <v>10293</v>
      </c>
      <c r="GQ8" t="s">
        <v>10294</v>
      </c>
      <c r="GR8" t="s">
        <v>10295</v>
      </c>
      <c r="GS8" t="s">
        <v>10296</v>
      </c>
      <c r="GT8" t="s">
        <v>10297</v>
      </c>
      <c r="GU8" t="s">
        <v>10298</v>
      </c>
      <c r="GV8" t="s">
        <v>10299</v>
      </c>
      <c r="GW8" t="s">
        <v>10300</v>
      </c>
      <c r="GX8" t="s">
        <v>10301</v>
      </c>
      <c r="GY8" t="s">
        <v>10302</v>
      </c>
      <c r="GZ8" t="s">
        <v>10303</v>
      </c>
      <c r="HA8" t="s">
        <v>10304</v>
      </c>
      <c r="HB8" t="s">
        <v>10305</v>
      </c>
      <c r="HC8" t="s">
        <v>10306</v>
      </c>
      <c r="HD8" t="s">
        <v>10307</v>
      </c>
      <c r="HE8" t="s">
        <v>10308</v>
      </c>
      <c r="HF8" t="s">
        <v>10309</v>
      </c>
      <c r="HG8" t="s">
        <v>10310</v>
      </c>
      <c r="HH8" t="s">
        <v>10311</v>
      </c>
      <c r="HI8" t="s">
        <v>10312</v>
      </c>
      <c r="HJ8" t="s">
        <v>10313</v>
      </c>
      <c r="HK8" t="s">
        <v>10314</v>
      </c>
      <c r="HL8" t="s">
        <v>10315</v>
      </c>
      <c r="HM8" t="s">
        <v>10316</v>
      </c>
      <c r="HN8" t="s">
        <v>10317</v>
      </c>
      <c r="HO8" t="s">
        <v>10318</v>
      </c>
      <c r="HP8" t="s">
        <v>10319</v>
      </c>
      <c r="HQ8" t="s">
        <v>10320</v>
      </c>
      <c r="HR8" t="s">
        <v>10321</v>
      </c>
      <c r="HS8" t="s">
        <v>10322</v>
      </c>
      <c r="HT8" t="s">
        <v>10323</v>
      </c>
      <c r="HU8" t="s">
        <v>10324</v>
      </c>
      <c r="HV8" t="s">
        <v>10325</v>
      </c>
      <c r="HW8" t="s">
        <v>10326</v>
      </c>
      <c r="HX8" t="s">
        <v>10327</v>
      </c>
      <c r="HY8" t="s">
        <v>10328</v>
      </c>
      <c r="HZ8" t="s">
        <v>10329</v>
      </c>
      <c r="IA8" t="s">
        <v>10330</v>
      </c>
      <c r="IB8" t="s">
        <v>10331</v>
      </c>
      <c r="IC8" t="s">
        <v>10332</v>
      </c>
      <c r="ID8" t="s">
        <v>10333</v>
      </c>
      <c r="IE8" t="s">
        <v>10334</v>
      </c>
      <c r="IF8" t="s">
        <v>10335</v>
      </c>
      <c r="IG8" t="s">
        <v>10336</v>
      </c>
      <c r="IH8" t="s">
        <v>10337</v>
      </c>
      <c r="II8" t="s">
        <v>10338</v>
      </c>
      <c r="IJ8" t="s">
        <v>10339</v>
      </c>
      <c r="IK8" t="s">
        <v>10340</v>
      </c>
      <c r="IL8" t="s">
        <v>10341</v>
      </c>
      <c r="IM8" t="s">
        <v>10342</v>
      </c>
      <c r="IN8" t="s">
        <v>10343</v>
      </c>
      <c r="IO8" t="s">
        <v>10344</v>
      </c>
      <c r="IP8" t="s">
        <v>10345</v>
      </c>
      <c r="IQ8" t="s">
        <v>10346</v>
      </c>
      <c r="IR8" t="s">
        <v>10347</v>
      </c>
      <c r="IS8" t="s">
        <v>10348</v>
      </c>
      <c r="IT8" t="s">
        <v>10349</v>
      </c>
      <c r="IU8" t="s">
        <v>10350</v>
      </c>
      <c r="IV8" t="s">
        <v>10351</v>
      </c>
    </row>
    <row r="9" spans="1:256" x14ac:dyDescent="0.2">
      <c r="A9" t="s">
        <v>10352</v>
      </c>
      <c r="B9" t="s">
        <v>10353</v>
      </c>
      <c r="C9" t="s">
        <v>10354</v>
      </c>
      <c r="D9" t="s">
        <v>10355</v>
      </c>
      <c r="E9" t="s">
        <v>10356</v>
      </c>
      <c r="F9" t="s">
        <v>10357</v>
      </c>
      <c r="G9" t="s">
        <v>10358</v>
      </c>
      <c r="H9" t="s">
        <v>10359</v>
      </c>
      <c r="I9" t="s">
        <v>10360</v>
      </c>
      <c r="J9" t="s">
        <v>10361</v>
      </c>
      <c r="K9" t="s">
        <v>10362</v>
      </c>
      <c r="L9" t="s">
        <v>10363</v>
      </c>
      <c r="M9" t="s">
        <v>10364</v>
      </c>
      <c r="N9" t="s">
        <v>10365</v>
      </c>
      <c r="O9" t="s">
        <v>10366</v>
      </c>
      <c r="P9" t="s">
        <v>10367</v>
      </c>
      <c r="Q9" t="s">
        <v>10368</v>
      </c>
      <c r="R9" t="s">
        <v>10369</v>
      </c>
      <c r="S9" t="s">
        <v>10370</v>
      </c>
      <c r="T9" t="s">
        <v>10371</v>
      </c>
      <c r="U9" t="s">
        <v>10372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BZ1336"/>
  <sheetViews>
    <sheetView showGridLines="0" tabSelected="1" zoomScale="85" zoomScaleNormal="85" zoomScaleSheetLayoutView="100" workbookViewId="0">
      <pane xSplit="3" ySplit="7" topLeftCell="D8" activePane="bottomRight" state="frozen"/>
      <selection activeCell="F51" sqref="F51"/>
      <selection pane="topRight" activeCell="F51" sqref="F51"/>
      <selection pane="bottomLeft" activeCell="F51" sqref="F51"/>
      <selection pane="bottomRight" activeCell="J5" sqref="J5"/>
    </sheetView>
  </sheetViews>
  <sheetFormatPr defaultColWidth="9.140625" defaultRowHeight="12.75" outlineLevelRow="1" x14ac:dyDescent="0.2"/>
  <cols>
    <col min="1" max="1" width="26.5703125" customWidth="1"/>
    <col min="2" max="2" width="5.140625" customWidth="1"/>
    <col min="3" max="3" width="13" customWidth="1"/>
    <col min="4" max="14" width="11.7109375" customWidth="1"/>
    <col min="15" max="15" width="1.7109375" customWidth="1"/>
    <col min="16" max="16" width="11.7109375" customWidth="1"/>
    <col min="17" max="17" width="3.85546875" style="266" customWidth="1"/>
    <col min="18" max="20" width="9.140625" style="266"/>
    <col min="21" max="21" width="15" style="266" customWidth="1"/>
    <col min="22" max="30" width="9.140625" style="266"/>
    <col min="31" max="33" width="9.140625" style="266" customWidth="1"/>
    <col min="34" max="78" width="9.140625" style="266"/>
    <col min="79" max="16384" width="9.140625" style="215"/>
  </cols>
  <sheetData>
    <row r="1" spans="1:78" s="266" customFormat="1" ht="13.5" thickBot="1" x14ac:dyDescent="0.25">
      <c r="A1"/>
      <c r="B1" s="2"/>
      <c r="C1"/>
      <c r="D1" s="2"/>
      <c r="E1" s="2"/>
      <c r="F1" s="5"/>
      <c r="G1" s="2"/>
      <c r="H1" s="36" t="s">
        <v>843</v>
      </c>
      <c r="I1" s="2"/>
      <c r="J1" s="2"/>
      <c r="K1" s="2"/>
      <c r="L1" s="2"/>
      <c r="M1" s="2"/>
      <c r="N1" s="2"/>
      <c r="O1" s="2"/>
      <c r="P1" s="2"/>
      <c r="Q1" s="215"/>
      <c r="R1" s="215"/>
      <c r="S1" s="265" t="str">
        <f>'Language Index'!A25</f>
        <v>Left</v>
      </c>
      <c r="T1" s="262">
        <v>4</v>
      </c>
      <c r="U1" s="263" t="str">
        <f>'Language Index'!A16</f>
        <v>Fiscal Year</v>
      </c>
      <c r="V1" s="263">
        <f>IQ_FY</f>
        <v>1000</v>
      </c>
      <c r="W1" s="263">
        <v>1</v>
      </c>
      <c r="X1" s="263">
        <v>1</v>
      </c>
      <c r="Y1" s="259"/>
      <c r="Z1" s="259" t="str">
        <f>INDEX($W$2:$W$3,$W$1)</f>
        <v>Right</v>
      </c>
      <c r="AA1" s="268">
        <f>_xll.ciqfunctions.udf.CIQ("1802","iq_ev_over_ltm_ebitda")</f>
        <v>7.4170800000000003</v>
      </c>
      <c r="AB1" s="215"/>
      <c r="AC1" s="215"/>
      <c r="AD1" s="215"/>
      <c r="AE1" s="215"/>
      <c r="AF1" s="215"/>
      <c r="AG1" s="215"/>
      <c r="AH1" s="215"/>
      <c r="AI1" s="215"/>
      <c r="AJ1" s="215"/>
      <c r="AK1" s="215"/>
      <c r="AL1" s="215"/>
      <c r="AM1" s="215"/>
      <c r="AN1" s="215"/>
      <c r="AO1" s="215"/>
      <c r="AP1" s="215"/>
      <c r="AQ1" s="215"/>
      <c r="AR1" s="215"/>
      <c r="AS1" s="215"/>
      <c r="AT1" s="215"/>
      <c r="AU1" s="215"/>
      <c r="AV1" s="215"/>
      <c r="AW1" s="215"/>
      <c r="AX1" s="215"/>
      <c r="AY1" s="215"/>
      <c r="AZ1" s="215"/>
      <c r="BA1" s="215"/>
      <c r="BB1" s="215"/>
      <c r="BC1" s="215"/>
      <c r="BD1" s="215"/>
      <c r="BE1" s="215"/>
      <c r="BF1" s="215"/>
      <c r="BG1" s="215"/>
      <c r="BH1" s="215"/>
      <c r="BI1" s="215"/>
      <c r="BJ1" s="215"/>
      <c r="BK1" s="215"/>
      <c r="BL1" s="215"/>
      <c r="BM1" s="215"/>
      <c r="BN1" s="215"/>
      <c r="BO1" s="215"/>
      <c r="BP1" s="215"/>
      <c r="BQ1" s="215"/>
      <c r="BR1" s="215"/>
      <c r="BS1" s="215"/>
      <c r="BT1" s="215"/>
      <c r="BU1" s="215"/>
      <c r="BV1" s="215"/>
      <c r="BW1" s="215"/>
      <c r="BX1" s="215"/>
      <c r="BY1" s="215"/>
      <c r="BZ1" s="215"/>
    </row>
    <row r="2" spans="1:78" s="266" customFormat="1" x14ac:dyDescent="0.2">
      <c r="A2" s="6" t="str">
        <f>'Language Index'!A8</f>
        <v>Ticker</v>
      </c>
      <c r="B2" s="7"/>
      <c r="C2" s="194" t="s">
        <v>47</v>
      </c>
      <c r="D2" s="4"/>
      <c r="E2" s="6" t="str">
        <f>'Language Index'!A11</f>
        <v>Date</v>
      </c>
      <c r="F2" s="8">
        <f>_xll.ciqfunctions.udf.CIQGETDATE(IQ_TODAY)</f>
        <v>46087</v>
      </c>
      <c r="G2" s="2"/>
      <c r="H2" s="2"/>
      <c r="I2" s="2"/>
      <c r="J2" s="2"/>
      <c r="K2" s="2"/>
      <c r="L2" s="2"/>
      <c r="M2" s="2"/>
      <c r="N2" s="2"/>
      <c r="O2" s="2"/>
      <c r="P2" s="2"/>
      <c r="Q2" s="215"/>
      <c r="R2" s="215"/>
      <c r="S2" s="215"/>
      <c r="T2" s="259" t="str">
        <f>INDEX($U$1:$U$8,$T$1)</f>
        <v>Last Twelve Months</v>
      </c>
      <c r="U2" s="263" t="str">
        <f>'Language Index'!A17</f>
        <v>Fiscal Quarter</v>
      </c>
      <c r="V2" s="263">
        <f>IQ_FQ</f>
        <v>500</v>
      </c>
      <c r="W2" s="263" t="str">
        <f>'Language Index'!A24</f>
        <v>Right</v>
      </c>
      <c r="X2" s="263" t="str">
        <f>'Language Index'!A26</f>
        <v>Historical</v>
      </c>
      <c r="Y2" s="259"/>
      <c r="Z2" s="259" t="str">
        <f>INDEX($X$2:$X$3,$X$1)</f>
        <v>Historical</v>
      </c>
      <c r="AA2" s="215"/>
      <c r="AB2" s="215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  <c r="AZ2" s="215"/>
      <c r="BA2" s="215"/>
      <c r="BB2" s="215"/>
      <c r="BC2" s="215"/>
      <c r="BD2" s="215"/>
      <c r="BE2" s="215"/>
      <c r="BF2" s="215"/>
      <c r="BG2" s="215"/>
      <c r="BH2" s="215"/>
      <c r="BI2" s="215"/>
      <c r="BJ2" s="215"/>
      <c r="BK2" s="215"/>
      <c r="BL2" s="215"/>
      <c r="BM2" s="215"/>
      <c r="BN2" s="215"/>
      <c r="BO2" s="215"/>
      <c r="BP2" s="215"/>
      <c r="BQ2" s="215"/>
      <c r="BR2" s="215"/>
      <c r="BS2" s="215"/>
      <c r="BT2" s="215"/>
      <c r="BU2" s="215"/>
      <c r="BV2" s="215"/>
      <c r="BW2" s="215"/>
      <c r="BX2" s="215"/>
      <c r="BY2" s="215"/>
      <c r="BZ2" s="215"/>
    </row>
    <row r="3" spans="1:78" s="266" customFormat="1" ht="16.5" customHeight="1" x14ac:dyDescent="0.2">
      <c r="A3" s="9" t="str">
        <f>'Language Index'!A9</f>
        <v>Time Period</v>
      </c>
      <c r="B3" s="2"/>
      <c r="C3"/>
      <c r="D3" s="9"/>
      <c r="E3" s="9" t="str">
        <f>'Language Index'!A12</f>
        <v>Currency</v>
      </c>
      <c r="F3" s="10" t="s">
        <v>674</v>
      </c>
      <c r="G3" s="3" t="str">
        <f>$F$3</f>
        <v>USD</v>
      </c>
      <c r="H3" s="2"/>
      <c r="I3" s="2"/>
      <c r="J3" s="2"/>
      <c r="K3" s="2"/>
      <c r="L3" s="2"/>
      <c r="M3" s="2"/>
      <c r="N3" s="2"/>
      <c r="O3" s="2"/>
      <c r="P3" s="2"/>
      <c r="Q3" s="215"/>
      <c r="R3" s="215"/>
      <c r="S3" s="215"/>
      <c r="T3" s="269"/>
      <c r="U3" s="263" t="str">
        <f>'Language Index'!A18</f>
        <v>Year to Date</v>
      </c>
      <c r="V3" s="263">
        <f>IQ_YTD</f>
        <v>3000</v>
      </c>
      <c r="W3" s="263" t="str">
        <f>'Language Index'!A25</f>
        <v>Left</v>
      </c>
      <c r="X3" s="263" t="str">
        <f>'Language Index'!A27</f>
        <v>Current</v>
      </c>
      <c r="Y3" s="259"/>
      <c r="Z3" s="259"/>
      <c r="AA3" s="215"/>
      <c r="AB3" s="215"/>
      <c r="AC3" s="215"/>
      <c r="AD3" s="215"/>
      <c r="AE3" s="215"/>
      <c r="AF3" s="215"/>
      <c r="AG3" s="215"/>
      <c r="AH3" s="215"/>
      <c r="AI3" s="215"/>
      <c r="AJ3" s="215"/>
      <c r="AK3" s="215"/>
      <c r="AL3" s="215"/>
      <c r="AM3" s="215"/>
      <c r="AN3" s="215"/>
      <c r="AO3" s="215"/>
      <c r="AP3" s="215"/>
      <c r="AQ3" s="215"/>
      <c r="AR3" s="215"/>
      <c r="AS3" s="215"/>
      <c r="AT3" s="215"/>
      <c r="AU3" s="215"/>
      <c r="AV3" s="215"/>
      <c r="AW3" s="215"/>
      <c r="AX3" s="215"/>
      <c r="AY3" s="215"/>
      <c r="AZ3" s="215"/>
      <c r="BA3" s="215"/>
      <c r="BB3" s="215"/>
      <c r="BC3" s="215"/>
      <c r="BD3" s="215"/>
      <c r="BE3" s="215"/>
      <c r="BF3" s="215"/>
      <c r="BG3" s="215"/>
      <c r="BH3" s="215"/>
      <c r="BI3" s="215"/>
      <c r="BJ3" s="215"/>
      <c r="BK3" s="215"/>
      <c r="BL3" s="215"/>
      <c r="BM3" s="215"/>
      <c r="BN3" s="215"/>
      <c r="BO3" s="215"/>
      <c r="BP3" s="215"/>
      <c r="BQ3" s="215"/>
      <c r="BR3" s="215"/>
      <c r="BS3" s="215"/>
      <c r="BT3" s="215"/>
      <c r="BU3" s="215"/>
      <c r="BV3" s="215"/>
      <c r="BW3" s="215"/>
      <c r="BX3" s="215"/>
      <c r="BY3" s="215"/>
      <c r="BZ3" s="215"/>
    </row>
    <row r="4" spans="1:78" s="266" customFormat="1" ht="15.75" customHeight="1" x14ac:dyDescent="0.2">
      <c r="A4" s="9" t="str">
        <f>'Language Index'!A10</f>
        <v>Most Recent on the:</v>
      </c>
      <c r="B4" s="9"/>
      <c r="C4"/>
      <c r="D4" s="9"/>
      <c r="E4" s="9" t="str">
        <f>'Language Index'!A13</f>
        <v>Conversion</v>
      </c>
      <c r="F4"/>
      <c r="G4" s="259" t="str">
        <f>IF($X$1=1,"H","C")</f>
        <v>H</v>
      </c>
      <c r="H4" s="2"/>
      <c r="I4" s="2"/>
      <c r="J4" s="2"/>
      <c r="K4" s="2"/>
      <c r="L4" s="2"/>
      <c r="M4" s="2"/>
      <c r="N4" s="2"/>
      <c r="O4" s="2"/>
      <c r="P4" s="2"/>
      <c r="Q4" s="215"/>
      <c r="R4" s="215"/>
      <c r="S4" s="215"/>
      <c r="T4" s="269"/>
      <c r="U4" s="263" t="str">
        <f>'Language Index'!A19</f>
        <v>Last Twelve Months</v>
      </c>
      <c r="V4" s="263">
        <f>IQ_LTM</f>
        <v>2000</v>
      </c>
      <c r="W4" s="222"/>
      <c r="X4" s="222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5"/>
      <c r="BM4" s="215"/>
      <c r="BN4" s="215"/>
      <c r="BO4" s="215"/>
      <c r="BP4" s="215"/>
      <c r="BQ4" s="215"/>
      <c r="BR4" s="215"/>
      <c r="BS4" s="215"/>
      <c r="BT4" s="215"/>
      <c r="BU4" s="215"/>
      <c r="BV4" s="215"/>
      <c r="BW4" s="215"/>
      <c r="BX4" s="215"/>
      <c r="BY4" s="215"/>
      <c r="BZ4" s="215"/>
    </row>
    <row r="5" spans="1:78" s="266" customFormat="1" x14ac:dyDescent="0.2">
      <c r="A5" s="9"/>
      <c r="B5" s="9"/>
      <c r="C5" s="2"/>
      <c r="D5" s="9"/>
      <c r="E5" s="9"/>
      <c r="F5" s="2"/>
      <c r="G5" s="9"/>
      <c r="H5" s="10"/>
      <c r="I5" s="2"/>
      <c r="J5" s="2"/>
      <c r="K5" s="2"/>
      <c r="L5" s="2"/>
      <c r="M5" s="2"/>
      <c r="N5" s="2"/>
      <c r="O5" s="2"/>
      <c r="P5" s="2"/>
      <c r="Q5" s="215"/>
      <c r="R5" s="215"/>
      <c r="S5" s="215"/>
      <c r="T5" s="269"/>
      <c r="U5" s="263" t="str">
        <f>'Language Index'!A20</f>
        <v>Calendar Year</v>
      </c>
      <c r="V5" s="263">
        <f>IQ_CY</f>
        <v>10000</v>
      </c>
      <c r="W5" s="222"/>
      <c r="X5" s="222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</row>
    <row r="6" spans="1:78" s="266" customFormat="1" x14ac:dyDescent="0.2">
      <c r="A6" s="3"/>
      <c r="B6" s="3"/>
      <c r="C6" s="3"/>
      <c r="D6" s="259">
        <f>IF(Z1=$S$1,VLOOKUP(T2,$U$1:$V$8,2, FALSE),E6-1)</f>
        <v>1990</v>
      </c>
      <c r="E6" s="259">
        <f t="shared" ref="E6:M6" si="0">IF($Z$1=$S$1,D6-1,F6-1)</f>
        <v>1991</v>
      </c>
      <c r="F6" s="259">
        <f t="shared" si="0"/>
        <v>1992</v>
      </c>
      <c r="G6" s="259">
        <f t="shared" si="0"/>
        <v>1993</v>
      </c>
      <c r="H6" s="259">
        <f t="shared" si="0"/>
        <v>1994</v>
      </c>
      <c r="I6" s="259">
        <f t="shared" si="0"/>
        <v>1995</v>
      </c>
      <c r="J6" s="259">
        <f t="shared" si="0"/>
        <v>1996</v>
      </c>
      <c r="K6" s="259">
        <f t="shared" si="0"/>
        <v>1997</v>
      </c>
      <c r="L6" s="259">
        <f t="shared" si="0"/>
        <v>1998</v>
      </c>
      <c r="M6" s="259">
        <f t="shared" si="0"/>
        <v>1999</v>
      </c>
      <c r="N6" s="260">
        <f>IF($Z$1=$S$1,M6-1,VLOOKUP($T$2,$U$1:$V$8,2,FALSE))</f>
        <v>2000</v>
      </c>
      <c r="O6" s="259"/>
      <c r="P6" s="261">
        <f>V4</f>
        <v>2000</v>
      </c>
      <c r="Q6" s="215"/>
      <c r="R6" s="215"/>
      <c r="S6" s="215"/>
      <c r="T6" s="215"/>
      <c r="U6" s="263" t="str">
        <f>'Language Index'!A21</f>
        <v>Calendar Quarter</v>
      </c>
      <c r="V6" s="263">
        <f>IQ_CQ</f>
        <v>5000</v>
      </c>
      <c r="W6" s="222"/>
      <c r="X6" s="222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5"/>
      <c r="BI6" s="215"/>
      <c r="BJ6" s="215"/>
      <c r="BK6" s="215"/>
      <c r="BL6" s="215"/>
      <c r="BM6" s="215"/>
      <c r="BN6" s="215"/>
      <c r="BO6" s="215"/>
      <c r="BP6" s="215"/>
      <c r="BQ6" s="215"/>
      <c r="BR6" s="215"/>
      <c r="BS6" s="215"/>
      <c r="BT6" s="215"/>
      <c r="BU6" s="215"/>
      <c r="BV6" s="215"/>
      <c r="BW6" s="215"/>
      <c r="BX6" s="215"/>
      <c r="BY6" s="215"/>
      <c r="BZ6" s="215"/>
    </row>
    <row r="7" spans="1:78" s="266" customFormat="1" ht="30" x14ac:dyDescent="0.4">
      <c r="A7" s="61" t="str">
        <f>UPPER(_xll.ciqfunctions.udf.CIQ($C$2,"IQ_COMPANY_NAME_LONG"))</f>
        <v>INTERNATIONAL BUSINESS MACHINES CORPORATION (NYSE:IBM)</v>
      </c>
      <c r="B7" s="62"/>
      <c r="C7" s="62"/>
      <c r="D7" s="63"/>
      <c r="E7" s="63"/>
      <c r="F7" s="63"/>
      <c r="G7" s="63"/>
      <c r="H7" s="63"/>
      <c r="I7" s="63"/>
      <c r="J7" s="63"/>
      <c r="K7" s="63"/>
      <c r="L7" s="63"/>
      <c r="M7" s="62"/>
      <c r="N7" s="62"/>
      <c r="O7" s="62"/>
      <c r="P7" s="62"/>
      <c r="Q7" s="215"/>
      <c r="R7" s="215"/>
      <c r="S7" s="215"/>
      <c r="T7" s="215"/>
      <c r="U7" s="263" t="str">
        <f>'Language Index'!A22</f>
        <v>Fiscal Half</v>
      </c>
      <c r="V7" s="264">
        <f>IQ_FH</f>
        <v>100000</v>
      </c>
      <c r="W7" s="222"/>
      <c r="X7" s="222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5"/>
      <c r="BG7" s="215"/>
      <c r="BH7" s="215"/>
      <c r="BI7" s="215"/>
      <c r="BJ7" s="215"/>
      <c r="BK7" s="215"/>
      <c r="BL7" s="215"/>
      <c r="BM7" s="215"/>
      <c r="BN7" s="215"/>
      <c r="BO7" s="215"/>
      <c r="BP7" s="215"/>
      <c r="BQ7" s="215"/>
      <c r="BR7" s="215"/>
      <c r="BS7" s="215"/>
      <c r="BT7" s="215"/>
      <c r="BU7" s="215"/>
      <c r="BV7" s="215"/>
      <c r="BW7" s="215"/>
      <c r="BX7" s="215"/>
      <c r="BY7" s="215"/>
      <c r="BZ7" s="215"/>
    </row>
    <row r="8" spans="1:78" x14ac:dyDescent="0.2">
      <c r="A8" s="13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4"/>
      <c r="P8" s="4"/>
      <c r="Q8" s="215"/>
      <c r="R8" s="215"/>
      <c r="S8" s="215"/>
      <c r="T8" s="215"/>
      <c r="U8" s="263" t="str">
        <f>'Language Index'!A23</f>
        <v>Calendar Half</v>
      </c>
      <c r="V8" s="264">
        <f>IQ_CH</f>
        <v>110000</v>
      </c>
      <c r="W8" s="222"/>
      <c r="X8" s="222"/>
      <c r="Y8" s="215"/>
      <c r="Z8" s="215"/>
      <c r="AA8" s="215"/>
      <c r="AB8" s="215"/>
      <c r="AC8" s="215"/>
      <c r="AD8" s="215"/>
      <c r="AE8" s="215"/>
      <c r="AF8" s="222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5"/>
      <c r="BD8" s="215"/>
      <c r="BE8" s="215"/>
      <c r="BF8" s="215"/>
      <c r="BG8" s="215"/>
      <c r="BH8" s="215"/>
      <c r="BI8" s="215"/>
      <c r="BJ8" s="215"/>
      <c r="BK8" s="215"/>
      <c r="BL8" s="215"/>
      <c r="BM8" s="215"/>
      <c r="BN8" s="215"/>
      <c r="BO8" s="215"/>
      <c r="BP8" s="215"/>
      <c r="BQ8" s="215"/>
      <c r="BR8" s="215"/>
      <c r="BS8" s="215"/>
      <c r="BT8" s="215"/>
      <c r="BU8" s="215"/>
      <c r="BV8" s="215"/>
      <c r="BW8" s="215"/>
      <c r="BX8" s="215"/>
      <c r="BY8" s="215"/>
      <c r="BZ8" s="215"/>
    </row>
    <row r="9" spans="1:78" ht="13.5" thickBot="1" x14ac:dyDescent="0.25">
      <c r="A9" s="9" t="str">
        <f>UPPER('Language Index'!A28)&amp;" - "&amp;IF($F$3='Language Index'!$A$159,_xll.ciqfunctions.udf.CIQ($C$2,"IQ_FILING_CURRENCY",,$F$2 ),IF($F$3='Language Index'!$A$867,_xll.ciqfunctions.udf.CIQ($C$2,"IQ_TRADING_CURRENCY",$F$2 ),Ccy))&amp;" "&amp;UPPER('Language Index'!A32)</f>
        <v>INCOME STATEMENT - USD IN MILLIONS</v>
      </c>
      <c r="B9" s="1"/>
      <c r="C9" s="1"/>
      <c r="D9" s="14" t="str">
        <f>$T$2&amp; " "&amp;'Language Index'!A31&amp;","</f>
        <v>Last Twelve Months Ended,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4"/>
      <c r="P9" s="14" t="str">
        <f>'Language Index'!A14</f>
        <v>LTM</v>
      </c>
      <c r="Q9" s="215"/>
      <c r="R9" s="215"/>
      <c r="S9" s="215"/>
      <c r="T9" s="215"/>
      <c r="U9" s="215"/>
      <c r="V9" s="222"/>
      <c r="W9" s="222"/>
      <c r="X9" s="222"/>
      <c r="Y9" s="215"/>
      <c r="Z9" s="215"/>
      <c r="AA9" s="215"/>
      <c r="AB9" s="215"/>
      <c r="AC9" s="215"/>
      <c r="AD9" s="215"/>
      <c r="AE9" s="9"/>
      <c r="AF9" s="6"/>
      <c r="AG9" s="9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</row>
    <row r="10" spans="1:78" ht="13.5" thickTop="1" x14ac:dyDescent="0.2">
      <c r="A10" s="9" t="str">
        <f>'Language Index'!A265</f>
        <v>Period Date</v>
      </c>
      <c r="B10" s="2"/>
      <c r="C10" s="2"/>
      <c r="D10" s="64">
        <f>_xll.ciqfunctions.udf.CIQ($C$2, "IQ_PERIODDATE",D$6,$F$2)</f>
        <v>45107</v>
      </c>
      <c r="E10" s="64">
        <f>_xll.ciqfunctions.udf.CIQ($C$2, "IQ_PERIODDATE",E$6,$F$2)</f>
        <v>45199</v>
      </c>
      <c r="F10" s="64">
        <f>_xll.ciqfunctions.udf.CIQ($C$2, "IQ_PERIODDATE",F$6,$F$2)</f>
        <v>45291</v>
      </c>
      <c r="G10" s="64">
        <f>_xll.ciqfunctions.udf.CIQ($C$2, "IQ_PERIODDATE",G$6,$F$2)</f>
        <v>45382</v>
      </c>
      <c r="H10" s="64">
        <f>_xll.ciqfunctions.udf.CIQ($C$2, "IQ_PERIODDATE",H$6,$F$2)</f>
        <v>45473</v>
      </c>
      <c r="I10" s="64">
        <f>_xll.ciqfunctions.udf.CIQ($C$2, "IQ_PERIODDATE",I$6,$F$2)</f>
        <v>45565</v>
      </c>
      <c r="J10" s="64">
        <f>_xll.ciqfunctions.udf.CIQ($C$2, "IQ_PERIODDATE",J$6,$F$2)</f>
        <v>45657</v>
      </c>
      <c r="K10" s="64">
        <f>_xll.ciqfunctions.udf.CIQ($C$2, "IQ_PERIODDATE",K$6,$F$2)</f>
        <v>45747</v>
      </c>
      <c r="L10" s="64">
        <f>_xll.ciqfunctions.udf.CIQ($C$2, "IQ_PERIODDATE",L$6,$F$2)</f>
        <v>45838</v>
      </c>
      <c r="M10" s="64">
        <f>_xll.ciqfunctions.udf.CIQ($C$2, "IQ_PERIODDATE",M$6,$F$2)</f>
        <v>45930</v>
      </c>
      <c r="N10" s="64">
        <f>_xll.ciqfunctions.udf.CIQ($C$2, "IQ_PERIODDATE",N$6,$F$2)</f>
        <v>46022</v>
      </c>
      <c r="O10" s="65"/>
      <c r="P10" s="64">
        <f>_xll.ciqfunctions.udf.CIQ($C$2, "IQ_PERIODDATE",P$6,$F$2)</f>
        <v>46022</v>
      </c>
      <c r="Q10" s="215"/>
      <c r="R10" s="215"/>
      <c r="S10" s="215"/>
      <c r="T10" s="215"/>
      <c r="U10" s="215"/>
      <c r="V10" s="222"/>
      <c r="W10" s="222"/>
      <c r="X10" s="222"/>
      <c r="Y10" s="215"/>
      <c r="Z10" s="215"/>
      <c r="AA10" s="215"/>
      <c r="AB10" s="215"/>
      <c r="AC10" s="215"/>
      <c r="AD10" s="215"/>
      <c r="AE10" s="227"/>
      <c r="AF10" s="215"/>
      <c r="AG10" s="215"/>
      <c r="AH10" s="215"/>
      <c r="AI10" s="215"/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215"/>
      <c r="AU10" s="215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5"/>
      <c r="BG10" s="215"/>
      <c r="BH10" s="215"/>
      <c r="BI10" s="215"/>
      <c r="BJ10" s="215"/>
      <c r="BK10" s="215"/>
      <c r="BL10" s="215"/>
      <c r="BM10" s="215"/>
      <c r="BN10" s="215"/>
      <c r="BO10" s="215"/>
      <c r="BP10" s="215"/>
      <c r="BQ10" s="215"/>
      <c r="BR10" s="215"/>
      <c r="BS10" s="215"/>
      <c r="BT10" s="215"/>
      <c r="BU10" s="215"/>
      <c r="BV10" s="215"/>
      <c r="BW10" s="215"/>
      <c r="BX10" s="215"/>
      <c r="BY10" s="215"/>
      <c r="BZ10" s="215"/>
    </row>
    <row r="11" spans="1:78" x14ac:dyDescent="0.2">
      <c r="A11" s="16"/>
      <c r="B11" s="16"/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15"/>
      <c r="R11" s="215"/>
      <c r="S11" s="215"/>
      <c r="T11" s="215"/>
      <c r="U11" s="215"/>
      <c r="V11" s="222"/>
      <c r="W11" s="222"/>
      <c r="X11" s="222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5"/>
      <c r="AU11" s="215"/>
      <c r="AV11" s="215"/>
      <c r="AW11" s="215"/>
      <c r="AX11" s="215"/>
      <c r="AY11" s="215"/>
      <c r="AZ11" s="215"/>
      <c r="BA11" s="215"/>
      <c r="BB11" s="215"/>
      <c r="BC11" s="215"/>
      <c r="BD11" s="215"/>
      <c r="BE11" s="215"/>
      <c r="BF11" s="215"/>
      <c r="BG11" s="215"/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5"/>
    </row>
    <row r="12" spans="1:78" x14ac:dyDescent="0.2">
      <c r="A12" s="2" t="str">
        <f>'Language Index'!A33</f>
        <v>Revenues</v>
      </c>
      <c r="B12" s="17"/>
      <c r="C12" s="17"/>
      <c r="D12" s="18">
        <f>_xll.ciqfunctions.udf.CIQ($C$2, "IQ_REV",D$6,$F$2,,,Ccy,Conv)</f>
        <v>59797</v>
      </c>
      <c r="E12" s="18">
        <f>_xll.ciqfunctions.udf.CIQ($C$2, "IQ_REV",E$6,$F$2,,,Ccy,Conv)</f>
        <v>60433</v>
      </c>
      <c r="F12" s="195">
        <f>_xll.ciqfunctions.udf.CIQ($C$2, "IQ_REV",F$6,$F$2,,,Ccy,Conv)</f>
        <v>61123</v>
      </c>
      <c r="G12" s="18">
        <f>_xll.ciqfunctions.udf.CIQ($C$2, "IQ_REV",G$6,$F$2,,,Ccy,Conv)</f>
        <v>61336</v>
      </c>
      <c r="H12" s="18">
        <f>_xll.ciqfunctions.udf.CIQ($C$2, "IQ_REV",H$6,$F$2,,,Ccy,Conv)</f>
        <v>61646</v>
      </c>
      <c r="I12" s="18">
        <f>_xll.ciqfunctions.udf.CIQ($C$2, "IQ_REV",I$6,$F$2,,,Ccy,Conv)</f>
        <v>61867</v>
      </c>
      <c r="J12" s="18">
        <f>_xll.ciqfunctions.udf.CIQ($C$2, "IQ_REV",J$6,$F$2,,,Ccy,Conv)</f>
        <v>62044</v>
      </c>
      <c r="K12" s="18">
        <f>_xll.ciqfunctions.udf.CIQ($C$2, "IQ_REV",K$6,$F$2,,,Ccy,Conv)</f>
        <v>62125</v>
      </c>
      <c r="L12" s="18">
        <f>_xll.ciqfunctions.udf.CIQ($C$2, "IQ_REV",L$6,$F$2,,,Ccy,Conv)</f>
        <v>63335</v>
      </c>
      <c r="M12" s="18">
        <f>_xll.ciqfunctions.udf.CIQ($C$2, "IQ_REV",M$6,$F$2,,,Ccy,Conv)</f>
        <v>64678</v>
      </c>
      <c r="N12" s="18">
        <f>_xll.ciqfunctions.udf.CIQ($C$2, "IQ_REV",N$6,$F$2,,,Ccy,Conv)</f>
        <v>66799</v>
      </c>
      <c r="O12" s="18"/>
      <c r="P12" s="18">
        <f>_xll.ciqfunctions.udf.CIQ($C$2, "IQ_REV",P$6,$F$2,,,Ccy,Conv)</f>
        <v>66799</v>
      </c>
      <c r="Q12" s="215"/>
      <c r="R12" s="215"/>
      <c r="S12" s="215"/>
      <c r="T12" s="215"/>
      <c r="U12" s="215"/>
      <c r="V12" s="222"/>
      <c r="W12" s="222"/>
      <c r="X12" s="222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/>
      <c r="BC12" s="215"/>
      <c r="BD12" s="215"/>
      <c r="BE12" s="215"/>
      <c r="BF12" s="215"/>
      <c r="BG12" s="215"/>
      <c r="BH12" s="215"/>
      <c r="BI12" s="215"/>
      <c r="BJ12" s="215"/>
      <c r="BK12" s="215"/>
      <c r="BL12" s="215"/>
      <c r="BM12" s="215"/>
      <c r="BN12" s="215"/>
      <c r="BO12" s="215"/>
      <c r="BP12" s="215"/>
      <c r="BQ12" s="215"/>
      <c r="BR12" s="215"/>
      <c r="BS12" s="215"/>
      <c r="BT12" s="215"/>
      <c r="BU12" s="215"/>
      <c r="BV12" s="215"/>
      <c r="BW12" s="215"/>
      <c r="BX12" s="215"/>
      <c r="BY12" s="215"/>
      <c r="BZ12" s="215"/>
    </row>
    <row r="13" spans="1:78" x14ac:dyDescent="0.2">
      <c r="A13" s="2" t="str">
        <f>'Language Index'!A34</f>
        <v>Finance Div. Revenues</v>
      </c>
      <c r="B13" s="17"/>
      <c r="C13" s="17"/>
      <c r="D13" s="18">
        <f>_xll.ciqfunctions.udf.CIQ($C$2,"IQ_FIN_DIV_REV",D$6,$F$2,,,Ccy,Conv)</f>
        <v>728</v>
      </c>
      <c r="E13" s="18">
        <f>_xll.ciqfunctions.udf.CIQ($C$2,"IQ_FIN_DIV_REV",E$6,$F$2,,,Ccy,Conv)</f>
        <v>738</v>
      </c>
      <c r="F13" s="18">
        <f>_xll.ciqfunctions.udf.CIQ($C$2,"IQ_FIN_DIV_REV",F$6,$F$2,,,Ccy,Conv)</f>
        <v>737</v>
      </c>
      <c r="G13" s="18">
        <f>_xll.ciqfunctions.udf.CIQ($C$2,"IQ_FIN_DIV_REV",G$6,$F$2,,,Ccy,Conv)</f>
        <v>733</v>
      </c>
      <c r="H13" s="18">
        <f>_xll.ciqfunctions.udf.CIQ($C$2,"IQ_FIN_DIV_REV",H$6,$F$2,,,Ccy,Conv)</f>
        <v>719</v>
      </c>
      <c r="I13" s="18">
        <f>_xll.ciqfunctions.udf.CIQ($C$2,"IQ_FIN_DIV_REV",I$6,$F$2,,,Ccy,Conv)</f>
        <v>713</v>
      </c>
      <c r="J13" s="18">
        <f>_xll.ciqfunctions.udf.CIQ($C$2,"IQ_FIN_DIV_REV",J$6,$F$2,,,Ccy,Conv)</f>
        <v>709</v>
      </c>
      <c r="K13" s="18">
        <f>_xll.ciqfunctions.udf.CIQ($C$2,"IQ_FIN_DIV_REV",K$6,$F$2,,,Ccy,Conv)</f>
        <v>0</v>
      </c>
      <c r="L13" s="18">
        <f>_xll.ciqfunctions.udf.CIQ($C$2,"IQ_FIN_DIV_REV",L$6,$F$2,,,Ccy,Conv)</f>
        <v>705</v>
      </c>
      <c r="M13" s="18">
        <f>_xll.ciqfunctions.udf.CIQ($C$2,"IQ_FIN_DIV_REV",M$6,$F$2,,,Ccy,Conv)</f>
        <v>724</v>
      </c>
      <c r="N13" s="18">
        <f>_xll.ciqfunctions.udf.CIQ($C$2,"IQ_FIN_DIV_REV",N$6,$F$2,,,Ccy,Conv)</f>
        <v>737</v>
      </c>
      <c r="O13" s="18"/>
      <c r="P13" s="18">
        <f>_xll.ciqfunctions.udf.CIQ($C$2,"IQ_FIN_DIV_REV",P$6,$F$2,,,Ccy,Conv)</f>
        <v>737</v>
      </c>
      <c r="Q13" s="215"/>
      <c r="R13" s="215"/>
      <c r="S13" s="215"/>
      <c r="T13" s="215"/>
      <c r="U13" s="215"/>
      <c r="V13" s="222"/>
      <c r="W13" s="222"/>
      <c r="X13" s="222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</row>
    <row r="14" spans="1:78" x14ac:dyDescent="0.2">
      <c r="A14" s="2" t="str">
        <f>'Language Index'!A35</f>
        <v>Insurance Div. Revenues</v>
      </c>
      <c r="B14" s="17"/>
      <c r="C14" s="17"/>
      <c r="D14" s="18">
        <f>_xll.ciqfunctions.udf.CIQ($C$2, "IQ_INS_DIV_REV",D$6,$F$2,,,Ccy,Conv)</f>
        <v>0</v>
      </c>
      <c r="E14" s="18">
        <f>_xll.ciqfunctions.udf.CIQ($C$2, "IQ_INS_DIV_REV",E$6,$F$2,,,Ccy,Conv)</f>
        <v>0</v>
      </c>
      <c r="F14" s="18">
        <f>_xll.ciqfunctions.udf.CIQ($C$2, "IQ_INS_DIV_REV",F$6,$F$2,,,Ccy,Conv)</f>
        <v>0</v>
      </c>
      <c r="G14" s="18">
        <f>_xll.ciqfunctions.udf.CIQ($C$2, "IQ_INS_DIV_REV",G$6,$F$2,,,Ccy,Conv)</f>
        <v>0</v>
      </c>
      <c r="H14" s="18">
        <f>_xll.ciqfunctions.udf.CIQ($C$2, "IQ_INS_DIV_REV",H$6,$F$2,,,Ccy,Conv)</f>
        <v>0</v>
      </c>
      <c r="I14" s="18">
        <f>_xll.ciqfunctions.udf.CIQ($C$2, "IQ_INS_DIV_REV",I$6,$F$2,,,Ccy,Conv)</f>
        <v>0</v>
      </c>
      <c r="J14" s="18">
        <f>_xll.ciqfunctions.udf.CIQ($C$2, "IQ_INS_DIV_REV",J$6,$F$2,,,Ccy,Conv)</f>
        <v>0</v>
      </c>
      <c r="K14" s="18">
        <f>_xll.ciqfunctions.udf.CIQ($C$2, "IQ_INS_DIV_REV",K$6,$F$2,,,Ccy,Conv)</f>
        <v>0</v>
      </c>
      <c r="L14" s="18">
        <f>_xll.ciqfunctions.udf.CIQ($C$2, "IQ_INS_DIV_REV",L$6,$F$2,,,Ccy,Conv)</f>
        <v>0</v>
      </c>
      <c r="M14" s="18">
        <f>_xll.ciqfunctions.udf.CIQ($C$2, "IQ_INS_DIV_REV",M$6,$F$2,,,Ccy,Conv)</f>
        <v>0</v>
      </c>
      <c r="N14" s="18">
        <f>_xll.ciqfunctions.udf.CIQ($C$2, "IQ_INS_DIV_REV",N$6,$F$2,,,Ccy,Conv)</f>
        <v>0</v>
      </c>
      <c r="O14" s="18"/>
      <c r="P14" s="18">
        <f>_xll.ciqfunctions.udf.CIQ($C$2, "IQ_INS_DIV_REV",P$6,$F$2,,,Ccy,Conv)</f>
        <v>0</v>
      </c>
      <c r="Q14" s="215"/>
      <c r="R14" s="215"/>
      <c r="S14" s="215"/>
      <c r="T14" s="215"/>
      <c r="U14" s="215"/>
      <c r="V14" s="222"/>
      <c r="W14" s="228"/>
      <c r="X14" s="228"/>
      <c r="Y14" s="229"/>
      <c r="Z14" s="229"/>
      <c r="AA14" s="230"/>
      <c r="AB14" s="231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5"/>
      <c r="BI14" s="215"/>
      <c r="BJ14" s="215"/>
      <c r="BK14" s="215"/>
      <c r="BL14" s="215"/>
      <c r="BM14" s="215"/>
      <c r="BN14" s="215"/>
      <c r="BO14" s="215"/>
      <c r="BP14" s="215"/>
      <c r="BQ14" s="215"/>
      <c r="BR14" s="215"/>
      <c r="BS14" s="215"/>
      <c r="BT14" s="215"/>
      <c r="BU14" s="215"/>
      <c r="BV14" s="215"/>
      <c r="BW14" s="215"/>
      <c r="BX14" s="215"/>
      <c r="BY14" s="215"/>
      <c r="BZ14" s="215"/>
    </row>
    <row r="15" spans="1:78" x14ac:dyDescent="0.2">
      <c r="A15" s="2" t="str">
        <f>'Language Index'!A36</f>
        <v>Gain/(Loss) on Sale Of Assets (Rev)</v>
      </c>
      <c r="B15" s="17"/>
      <c r="C15" s="17"/>
      <c r="D15" s="18">
        <f>_xll.ciqfunctions.udf.CIQ($C$2, "IQ_GAIN_ASSETS_REV",D$6,$F$2,,,Ccy,Conv)</f>
        <v>0</v>
      </c>
      <c r="E15" s="18">
        <f>_xll.ciqfunctions.udf.CIQ($C$2, "IQ_GAIN_ASSETS_REV",E$6,$F$2,,,Ccy,Conv)</f>
        <v>0</v>
      </c>
      <c r="F15" s="18">
        <f>_xll.ciqfunctions.udf.CIQ($C$2, "IQ_GAIN_ASSETS_REV",F$6,$F$2,,,Ccy,Conv)</f>
        <v>0</v>
      </c>
      <c r="G15" s="18">
        <f>_xll.ciqfunctions.udf.CIQ($C$2, "IQ_GAIN_ASSETS_REV",G$6,$F$2,,,Ccy,Conv)</f>
        <v>0</v>
      </c>
      <c r="H15" s="18">
        <f>_xll.ciqfunctions.udf.CIQ($C$2, "IQ_GAIN_ASSETS_REV",H$6,$F$2,,,Ccy,Conv)</f>
        <v>0</v>
      </c>
      <c r="I15" s="18">
        <f>_xll.ciqfunctions.udf.CIQ($C$2, "IQ_GAIN_ASSETS_REV",I$6,$F$2,,,Ccy,Conv)</f>
        <v>0</v>
      </c>
      <c r="J15" s="18">
        <f>_xll.ciqfunctions.udf.CIQ($C$2, "IQ_GAIN_ASSETS_REV",J$6,$F$2,,,Ccy,Conv)</f>
        <v>0</v>
      </c>
      <c r="K15" s="18">
        <f>_xll.ciqfunctions.udf.CIQ($C$2, "IQ_GAIN_ASSETS_REV",K$6,$F$2,,,Ccy,Conv)</f>
        <v>0</v>
      </c>
      <c r="L15" s="18">
        <f>_xll.ciqfunctions.udf.CIQ($C$2, "IQ_GAIN_ASSETS_REV",L$6,$F$2,,,Ccy,Conv)</f>
        <v>0</v>
      </c>
      <c r="M15" s="18">
        <f>_xll.ciqfunctions.udf.CIQ($C$2, "IQ_GAIN_ASSETS_REV",M$6,$F$2,,,Ccy,Conv)</f>
        <v>0</v>
      </c>
      <c r="N15" s="18">
        <f>_xll.ciqfunctions.udf.CIQ($C$2, "IQ_GAIN_ASSETS_REV",N$6,$F$2,,,Ccy,Conv)</f>
        <v>0</v>
      </c>
      <c r="O15" s="18"/>
      <c r="P15" s="18">
        <f>_xll.ciqfunctions.udf.CIQ($C$2, "IQ_GAIN_ASSETS_REV",P$6,$F$2,,,Ccy,Conv)</f>
        <v>0</v>
      </c>
      <c r="Q15" s="215"/>
      <c r="R15" s="215"/>
      <c r="S15" s="215"/>
      <c r="T15" s="215"/>
      <c r="U15" s="215"/>
      <c r="V15" s="222"/>
      <c r="W15" s="228"/>
      <c r="X15" s="228"/>
      <c r="Y15" s="229"/>
      <c r="Z15" s="229"/>
      <c r="AA15" s="230"/>
      <c r="AB15" s="231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</row>
    <row r="16" spans="1:78" x14ac:dyDescent="0.2">
      <c r="A16" s="2" t="str">
        <f>'Language Index'!A37</f>
        <v>Gain/(Loss) on Sale Of Invest.(Rev)</v>
      </c>
      <c r="B16" s="17"/>
      <c r="C16" s="17"/>
      <c r="D16" s="18">
        <f>_xll.ciqfunctions.udf.CIQ($C$2, "IQ_GAIN_INVEST_REV",D$6,$F$2,,,Ccy,Conv)</f>
        <v>0</v>
      </c>
      <c r="E16" s="18">
        <f>_xll.ciqfunctions.udf.CIQ($C$2, "IQ_GAIN_INVEST_REV",E$6,$F$2,,,Ccy,Conv)</f>
        <v>0</v>
      </c>
      <c r="F16" s="18">
        <f>_xll.ciqfunctions.udf.CIQ($C$2, "IQ_GAIN_INVEST_REV",F$6,$F$2,,,Ccy,Conv)</f>
        <v>0</v>
      </c>
      <c r="G16" s="18">
        <f>_xll.ciqfunctions.udf.CIQ($C$2, "IQ_GAIN_INVEST_REV",G$6,$F$2,,,Ccy,Conv)</f>
        <v>0</v>
      </c>
      <c r="H16" s="18">
        <f>_xll.ciqfunctions.udf.CIQ($C$2, "IQ_GAIN_INVEST_REV",H$6,$F$2,,,Ccy,Conv)</f>
        <v>0</v>
      </c>
      <c r="I16" s="18">
        <f>_xll.ciqfunctions.udf.CIQ($C$2, "IQ_GAIN_INVEST_REV",I$6,$F$2,,,Ccy,Conv)</f>
        <v>0</v>
      </c>
      <c r="J16" s="18">
        <f>_xll.ciqfunctions.udf.CIQ($C$2, "IQ_GAIN_INVEST_REV",J$6,$F$2,,,Ccy,Conv)</f>
        <v>0</v>
      </c>
      <c r="K16" s="18">
        <f>_xll.ciqfunctions.udf.CIQ($C$2, "IQ_GAIN_INVEST_REV",K$6,$F$2,,,Ccy,Conv)</f>
        <v>0</v>
      </c>
      <c r="L16" s="18">
        <f>_xll.ciqfunctions.udf.CIQ($C$2, "IQ_GAIN_INVEST_REV",L$6,$F$2,,,Ccy,Conv)</f>
        <v>0</v>
      </c>
      <c r="M16" s="18">
        <f>_xll.ciqfunctions.udf.CIQ($C$2, "IQ_GAIN_INVEST_REV",M$6,$F$2,,,Ccy,Conv)</f>
        <v>0</v>
      </c>
      <c r="N16" s="18">
        <f>_xll.ciqfunctions.udf.CIQ($C$2, "IQ_GAIN_INVEST_REV",N$6,$F$2,,,Ccy,Conv)</f>
        <v>0</v>
      </c>
      <c r="O16" s="18"/>
      <c r="P16" s="18">
        <f>_xll.ciqfunctions.udf.CIQ($C$2, "IQ_GAIN_INVEST_REV",P$6,$F$2,,,Ccy,Conv)</f>
        <v>0</v>
      </c>
      <c r="Q16" s="215"/>
      <c r="R16" s="215"/>
      <c r="S16" s="215"/>
      <c r="T16" s="215"/>
      <c r="U16" s="215"/>
      <c r="V16" s="222"/>
      <c r="W16" s="228"/>
      <c r="X16" s="228"/>
      <c r="Y16" s="229"/>
      <c r="Z16" s="229"/>
      <c r="AA16" s="230"/>
      <c r="AB16" s="231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5"/>
      <c r="BI16" s="215"/>
      <c r="BJ16" s="215"/>
      <c r="BK16" s="215"/>
      <c r="BL16" s="215"/>
      <c r="BM16" s="215"/>
      <c r="BN16" s="215"/>
      <c r="BO16" s="215"/>
      <c r="BP16" s="215"/>
      <c r="BQ16" s="215"/>
      <c r="BR16" s="215"/>
      <c r="BS16" s="215"/>
      <c r="BT16" s="215"/>
      <c r="BU16" s="215"/>
      <c r="BV16" s="215"/>
      <c r="BW16" s="215"/>
      <c r="BX16" s="215"/>
      <c r="BY16" s="215"/>
      <c r="BZ16" s="215"/>
    </row>
    <row r="17" spans="1:78" x14ac:dyDescent="0.2">
      <c r="A17" s="2" t="str">
        <f>'Language Index'!A38</f>
        <v>Interest And Invest. Income (Rev)</v>
      </c>
      <c r="B17" s="17"/>
      <c r="C17" s="17"/>
      <c r="D17" s="18">
        <f>_xll.ciqfunctions.udf.CIQ($C$2, "IQ_INT_INV_INC", D$6,$F$2,,,Ccy,Conv)</f>
        <v>0</v>
      </c>
      <c r="E17" s="18">
        <f>_xll.ciqfunctions.udf.CIQ($C$2, "IQ_INT_INV_INC", E$6,$F$2,,,Ccy,Conv)</f>
        <v>0</v>
      </c>
      <c r="F17" s="18">
        <f>_xll.ciqfunctions.udf.CIQ($C$2, "IQ_INT_INV_INC", F$6,$F$2,,,Ccy,Conv)</f>
        <v>0</v>
      </c>
      <c r="G17" s="18">
        <f>_xll.ciqfunctions.udf.CIQ($C$2, "IQ_INT_INV_INC", G$6,$F$2,,,Ccy,Conv)</f>
        <v>0</v>
      </c>
      <c r="H17" s="18">
        <f>_xll.ciqfunctions.udf.CIQ($C$2, "IQ_INT_INV_INC", H$6,$F$2,,,Ccy,Conv)</f>
        <v>0</v>
      </c>
      <c r="I17" s="18">
        <f>_xll.ciqfunctions.udf.CIQ($C$2, "IQ_INT_INV_INC", I$6,$F$2,,,Ccy,Conv)</f>
        <v>0</v>
      </c>
      <c r="J17" s="18">
        <f>_xll.ciqfunctions.udf.CIQ($C$2, "IQ_INT_INV_INC", J$6,$F$2,,,Ccy,Conv)</f>
        <v>0</v>
      </c>
      <c r="K17" s="18">
        <f>_xll.ciqfunctions.udf.CIQ($C$2, "IQ_INT_INV_INC", K$6,$F$2,,,Ccy,Conv)</f>
        <v>0</v>
      </c>
      <c r="L17" s="18">
        <f>_xll.ciqfunctions.udf.CIQ($C$2, "IQ_INT_INV_INC", L$6,$F$2,,,Ccy,Conv)</f>
        <v>0</v>
      </c>
      <c r="M17" s="18">
        <f>_xll.ciqfunctions.udf.CIQ($C$2, "IQ_INT_INV_INC", M$6,$F$2,,,Ccy,Conv)</f>
        <v>0</v>
      </c>
      <c r="N17" s="18">
        <f>_xll.ciqfunctions.udf.CIQ($C$2, "IQ_INT_INV_INC", N$6,$F$2,,,Ccy,Conv)</f>
        <v>0</v>
      </c>
      <c r="O17" s="18"/>
      <c r="P17" s="18">
        <f>_xll.ciqfunctions.udf.CIQ($C$2, "IQ_INT_INV_INC", P$6,$F$2,,,Ccy,Conv)</f>
        <v>0</v>
      </c>
      <c r="Q17" s="215"/>
      <c r="R17" s="215"/>
      <c r="S17" s="215"/>
      <c r="T17" s="215"/>
      <c r="U17" s="215"/>
      <c r="V17" s="222"/>
      <c r="W17" s="228"/>
      <c r="X17" s="228"/>
      <c r="Y17" s="229"/>
      <c r="Z17" s="229"/>
      <c r="AA17" s="230"/>
      <c r="AB17" s="231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</row>
    <row r="18" spans="1:78" x14ac:dyDescent="0.2">
      <c r="A18" s="2" t="str">
        <f>'Language Index'!A39</f>
        <v>Other Revenues</v>
      </c>
      <c r="B18" s="17"/>
      <c r="C18" s="17"/>
      <c r="D18" s="18">
        <f>_xll.ciqfunctions.udf.CIQ($C$2, "IQ_OTHER_REV_SUPPL", D$6,$F$2,,,Ccy,Conv)</f>
        <v>0</v>
      </c>
      <c r="E18" s="18">
        <f>_xll.ciqfunctions.udf.CIQ($C$2, "IQ_OTHER_REV_SUPPL", E$6,$F$2,,,Ccy,Conv)</f>
        <v>0</v>
      </c>
      <c r="F18" s="18">
        <f>_xll.ciqfunctions.udf.CIQ($C$2, "IQ_OTHER_REV_SUPPL", F$6,$F$2,,,Ccy,Conv)</f>
        <v>0</v>
      </c>
      <c r="G18" s="18">
        <f>_xll.ciqfunctions.udf.CIQ($C$2, "IQ_OTHER_REV_SUPPL", G$6,$F$2,,,Ccy,Conv)</f>
        <v>1</v>
      </c>
      <c r="H18" s="18">
        <f>_xll.ciqfunctions.udf.CIQ($C$2, "IQ_OTHER_REV_SUPPL", H$6,$F$2,,,Ccy,Conv)</f>
        <v>1</v>
      </c>
      <c r="I18" s="18">
        <f>_xll.ciqfunctions.udf.CIQ($C$2, "IQ_OTHER_REV_SUPPL", I$6,$F$2,,,Ccy,Conv)</f>
        <v>0</v>
      </c>
      <c r="J18" s="18">
        <f>_xll.ciqfunctions.udf.CIQ($C$2, "IQ_OTHER_REV_SUPPL", J$6,$F$2,,,Ccy,Conv)</f>
        <v>0</v>
      </c>
      <c r="K18" s="18">
        <f>_xll.ciqfunctions.udf.CIQ($C$2, "IQ_OTHER_REV_SUPPL", K$6,$F$2,,,Ccy,Conv)</f>
        <v>707</v>
      </c>
      <c r="L18" s="18">
        <f>_xll.ciqfunctions.udf.CIQ($C$2, "IQ_OTHER_REV_SUPPL", L$6,$F$2,,,Ccy,Conv)</f>
        <v>0</v>
      </c>
      <c r="M18" s="18">
        <f>_xll.ciqfunctions.udf.CIQ($C$2, "IQ_OTHER_REV_SUPPL", M$6,$F$2,,,Ccy,Conv)</f>
        <v>0</v>
      </c>
      <c r="N18" s="18">
        <f>_xll.ciqfunctions.udf.CIQ($C$2, "IQ_OTHER_REV_SUPPL", N$6,$F$2,,,Ccy,Conv)</f>
        <v>-1</v>
      </c>
      <c r="O18" s="18"/>
      <c r="P18" s="18">
        <f>_xll.ciqfunctions.udf.CIQ($C$2, "IQ_OTHER_REV_SUPPL", P$6,$F$2,,,Ccy,Conv)</f>
        <v>-1</v>
      </c>
      <c r="Q18" s="215"/>
      <c r="R18" s="215"/>
      <c r="S18" s="215"/>
      <c r="T18" s="215"/>
      <c r="U18" s="215"/>
      <c r="V18" s="222"/>
      <c r="W18" s="228"/>
      <c r="X18" s="228"/>
      <c r="Y18" s="229"/>
      <c r="Z18" s="229"/>
      <c r="AA18" s="230"/>
      <c r="AB18" s="231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5"/>
      <c r="BG18" s="215"/>
      <c r="BH18" s="215"/>
      <c r="BI18" s="215"/>
      <c r="BJ18" s="215"/>
      <c r="BK18" s="215"/>
      <c r="BL18" s="215"/>
      <c r="BM18" s="215"/>
      <c r="BN18" s="215"/>
      <c r="BO18" s="215"/>
      <c r="BP18" s="215"/>
      <c r="BQ18" s="215"/>
      <c r="BR18" s="215"/>
      <c r="BS18" s="215"/>
      <c r="BT18" s="215"/>
      <c r="BU18" s="215"/>
      <c r="BV18" s="215"/>
      <c r="BW18" s="215"/>
      <c r="BX18" s="215"/>
      <c r="BY18" s="215"/>
      <c r="BZ18" s="215"/>
    </row>
    <row r="19" spans="1:78" x14ac:dyDescent="0.2">
      <c r="A19" s="20" t="str">
        <f>'Language Index'!A40</f>
        <v>Total Revenues</v>
      </c>
      <c r="B19" s="20"/>
      <c r="C19" s="20"/>
      <c r="D19" s="21">
        <f>_xll.ciqfunctions.udf.CIQ($C$2, "IQ_TOTAL_REV", D$6,$F$2,,,Ccy,Conv)</f>
        <v>60525</v>
      </c>
      <c r="E19" s="21">
        <f>_xll.ciqfunctions.udf.CIQ($C$2, "IQ_TOTAL_REV", E$6,$F$2,,,Ccy,Conv)</f>
        <v>61171</v>
      </c>
      <c r="F19" s="21">
        <f>_xll.ciqfunctions.udf.CIQ($C$2, "IQ_TOTAL_REV", F$6,$F$2,,,Ccy,Conv)</f>
        <v>61860</v>
      </c>
      <c r="G19" s="21">
        <f>_xll.ciqfunctions.udf.CIQ($C$2, "IQ_TOTAL_REV", G$6,$F$2,,,Ccy,Conv)</f>
        <v>62070</v>
      </c>
      <c r="H19" s="21">
        <f>_xll.ciqfunctions.udf.CIQ($C$2, "IQ_TOTAL_REV", H$6,$F$2,,,Ccy,Conv)</f>
        <v>62366</v>
      </c>
      <c r="I19" s="21">
        <f>_xll.ciqfunctions.udf.CIQ($C$2, "IQ_TOTAL_REV", I$6,$F$2,,,Ccy,Conv)</f>
        <v>62580</v>
      </c>
      <c r="J19" s="21">
        <f>_xll.ciqfunctions.udf.CIQ($C$2, "IQ_TOTAL_REV", J$6,$F$2,,,Ccy,Conv)</f>
        <v>62753</v>
      </c>
      <c r="K19" s="21">
        <f>_xll.ciqfunctions.udf.CIQ($C$2, "IQ_TOTAL_REV", K$6,$F$2,,,Ccy,Conv)</f>
        <v>62832</v>
      </c>
      <c r="L19" s="21">
        <f>_xll.ciqfunctions.udf.CIQ($C$2, "IQ_TOTAL_REV", L$6,$F$2,,,Ccy,Conv)</f>
        <v>64040</v>
      </c>
      <c r="M19" s="21">
        <f>_xll.ciqfunctions.udf.CIQ($C$2, "IQ_TOTAL_REV", M$6,$F$2,,,Ccy,Conv)</f>
        <v>65402</v>
      </c>
      <c r="N19" s="21">
        <f>_xll.ciqfunctions.udf.CIQ($C$2, "IQ_TOTAL_REV", N$6,$F$2,,,Ccy,Conv)</f>
        <v>67535</v>
      </c>
      <c r="O19" s="22"/>
      <c r="P19" s="21">
        <f>_xll.ciqfunctions.udf.CIQ($C$2, "IQ_TOTAL_REV", P$6,$F$2,,,Ccy,Conv)</f>
        <v>67535</v>
      </c>
      <c r="Q19" s="232"/>
      <c r="R19" s="215"/>
      <c r="S19" s="215"/>
      <c r="T19" s="215"/>
      <c r="U19" s="215"/>
      <c r="V19" s="222"/>
      <c r="W19" s="228"/>
      <c r="X19" s="228"/>
      <c r="Y19" s="229"/>
      <c r="Z19" s="229"/>
      <c r="AA19" s="230"/>
      <c r="AB19" s="231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</row>
    <row r="20" spans="1:78" x14ac:dyDescent="0.2">
      <c r="A20" s="16"/>
      <c r="B20" s="16"/>
      <c r="C20" s="16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215"/>
      <c r="R20" s="215"/>
      <c r="S20" s="215"/>
      <c r="T20" s="215"/>
      <c r="U20" s="215"/>
      <c r="V20" s="222"/>
      <c r="W20" s="222"/>
      <c r="X20" s="228"/>
      <c r="Y20" s="229"/>
      <c r="Z20" s="229"/>
      <c r="AA20" s="230"/>
      <c r="AB20" s="231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5"/>
      <c r="AR20" s="215"/>
      <c r="AS20" s="215"/>
      <c r="AT20" s="215"/>
      <c r="AU20" s="215"/>
      <c r="AV20" s="215"/>
      <c r="AW20" s="215"/>
      <c r="AX20" s="215"/>
      <c r="AY20" s="215"/>
      <c r="AZ20" s="215"/>
      <c r="BA20" s="215"/>
      <c r="BB20" s="215"/>
      <c r="BC20" s="215"/>
      <c r="BD20" s="215"/>
      <c r="BE20" s="215"/>
      <c r="BF20" s="215"/>
      <c r="BG20" s="215"/>
      <c r="BH20" s="215"/>
      <c r="BI20" s="215"/>
      <c r="BJ20" s="215"/>
      <c r="BK20" s="215"/>
      <c r="BL20" s="215"/>
      <c r="BM20" s="215"/>
      <c r="BN20" s="215"/>
      <c r="BO20" s="215"/>
      <c r="BP20" s="215"/>
      <c r="BQ20" s="215"/>
      <c r="BR20" s="215"/>
      <c r="BS20" s="215"/>
      <c r="BT20" s="215"/>
      <c r="BU20" s="215"/>
      <c r="BV20" s="215"/>
      <c r="BW20" s="215"/>
      <c r="BX20" s="215"/>
      <c r="BY20" s="215"/>
      <c r="BZ20" s="215"/>
    </row>
    <row r="21" spans="1:78" x14ac:dyDescent="0.2">
      <c r="A21" s="2" t="str">
        <f>'Language Index'!A41</f>
        <v>Cost Of Goods Sold</v>
      </c>
      <c r="B21" s="17"/>
      <c r="C21" s="17"/>
      <c r="D21" s="18">
        <f>_xll.ciqfunctions.udf.CIQ($C$2, "IQ_COGS", D$6,$F$2,,,Ccy,Conv)</f>
        <v>27038</v>
      </c>
      <c r="E21" s="18">
        <f>_xll.ciqfunctions.udf.CIQ($C$2, "IQ_COGS", E$6,$F$2,,,Ccy,Conv)</f>
        <v>27116</v>
      </c>
      <c r="F21" s="18">
        <f>_xll.ciqfunctions.udf.CIQ($C$2, "IQ_COGS", F$6,$F$2,,,Ccy,Conv)</f>
        <v>27178</v>
      </c>
      <c r="G21" s="18">
        <f>_xll.ciqfunctions.udf.CIQ($C$2, "IQ_COGS", G$6,$F$2,,,Ccy,Conv)</f>
        <v>27166</v>
      </c>
      <c r="H21" s="18">
        <f>_xll.ciqfunctions.udf.CIQ($C$2, "IQ_COGS", H$6,$F$2,,,Ccy,Conv)</f>
        <v>27019</v>
      </c>
      <c r="I21" s="18">
        <f>_xll.ciqfunctions.udf.CIQ($C$2, "IQ_COGS", I$6,$F$2,,,Ccy,Conv)</f>
        <v>26835</v>
      </c>
      <c r="J21" s="18">
        <f>_xll.ciqfunctions.udf.CIQ($C$2, "IQ_COGS", J$6,$F$2,,,Ccy,Conv)</f>
        <v>26832</v>
      </c>
      <c r="K21" s="18">
        <f>_xll.ciqfunctions.udf.CIQ($C$2, "IQ_COGS", K$6,$F$2,,,Ccy,Conv)</f>
        <v>26618</v>
      </c>
      <c r="L21" s="18">
        <f>_xll.ciqfunctions.udf.CIQ($C$2, "IQ_COGS", L$6,$F$2,,,Ccy,Conv)</f>
        <v>26795</v>
      </c>
      <c r="M21" s="18">
        <f>_xll.ciqfunctions.udf.CIQ($C$2, "IQ_COGS", M$6,$F$2,,,Ccy,Conv)</f>
        <v>27203</v>
      </c>
      <c r="N21" s="18">
        <f>_xll.ciqfunctions.udf.CIQ($C$2, "IQ_COGS", N$6,$F$2,,,Ccy,Conv)</f>
        <v>27836</v>
      </c>
      <c r="O21" s="18"/>
      <c r="P21" s="18">
        <f>_xll.ciqfunctions.udf.CIQ($C$2, "IQ_COGS", P$6,$F$2,,,Ccy,Conv)</f>
        <v>27836</v>
      </c>
      <c r="Q21" s="232"/>
      <c r="R21" s="215"/>
      <c r="S21" s="215"/>
      <c r="T21" s="215"/>
      <c r="U21" s="215"/>
      <c r="V21" s="233"/>
      <c r="W21" s="228"/>
      <c r="X21" s="228"/>
      <c r="Y21" s="229"/>
      <c r="Z21" s="229"/>
      <c r="AA21" s="230"/>
      <c r="AB21" s="231"/>
      <c r="AC21" s="232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</row>
    <row r="22" spans="1:78" x14ac:dyDescent="0.2">
      <c r="A22" s="2" t="str">
        <f>'Language Index'!A42</f>
        <v>Finance Div. Operating Exp.</v>
      </c>
      <c r="B22" s="17"/>
      <c r="C22" s="17"/>
      <c r="D22" s="18">
        <f>_xll.ciqfunctions.udf.CIQ($C$2, "IQ_FIN_DIV_EXP", D$6,$F$2,,,Ccy,Conv)</f>
        <v>415</v>
      </c>
      <c r="E22" s="18">
        <f>_xll.ciqfunctions.udf.CIQ($C$2, "IQ_FIN_DIV_EXP", E$6,$F$2,,,Ccy,Conv)</f>
        <v>389</v>
      </c>
      <c r="F22" s="18">
        <f>_xll.ciqfunctions.udf.CIQ($C$2, "IQ_FIN_DIV_EXP", F$6,$F$2,,,Ccy,Conv)</f>
        <v>382</v>
      </c>
      <c r="G22" s="18">
        <f>_xll.ciqfunctions.udf.CIQ($C$2, "IQ_FIN_DIV_EXP", G$6,$F$2,,,Ccy,Conv)</f>
        <v>371</v>
      </c>
      <c r="H22" s="18">
        <f>_xll.ciqfunctions.udf.CIQ($C$2, "IQ_FIN_DIV_EXP", H$6,$F$2,,,Ccy,Conv)</f>
        <v>365</v>
      </c>
      <c r="I22" s="18">
        <f>_xll.ciqfunctions.udf.CIQ($C$2, "IQ_FIN_DIV_EXP", I$6,$F$2,,,Ccy,Conv)</f>
        <v>366</v>
      </c>
      <c r="J22" s="18">
        <f>_xll.ciqfunctions.udf.CIQ($C$2, "IQ_FIN_DIV_EXP", J$6,$F$2,,,Ccy,Conv)</f>
        <v>369</v>
      </c>
      <c r="K22" s="18">
        <f>_xll.ciqfunctions.udf.CIQ($C$2, "IQ_FIN_DIV_EXP", K$6,$F$2,,,Ccy,Conv)</f>
        <v>374</v>
      </c>
      <c r="L22" s="18">
        <f>_xll.ciqfunctions.udf.CIQ($C$2, "IQ_FIN_DIV_EXP", L$6,$F$2,,,Ccy,Conv)</f>
        <v>377</v>
      </c>
      <c r="M22" s="18">
        <f>_xll.ciqfunctions.udf.CIQ($C$2, "IQ_FIN_DIV_EXP", M$6,$F$2,,,Ccy,Conv)</f>
        <v>391</v>
      </c>
      <c r="N22" s="18">
        <f>_xll.ciqfunctions.udf.CIQ($C$2, "IQ_FIN_DIV_EXP", N$6,$F$2,,,Ccy,Conv)</f>
        <v>403</v>
      </c>
      <c r="O22" s="18"/>
      <c r="P22" s="18">
        <f>_xll.ciqfunctions.udf.CIQ($C$2, "IQ_FIN_DIV_EXP", P$6,$F$2,,,Ccy,Conv)</f>
        <v>403</v>
      </c>
      <c r="Q22" s="215"/>
      <c r="R22" s="215"/>
      <c r="S22" s="215"/>
      <c r="T22" s="215"/>
      <c r="U22" s="215"/>
      <c r="V22" s="222"/>
      <c r="W22" s="222"/>
      <c r="X22" s="222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5"/>
      <c r="BN22" s="215"/>
      <c r="BO22" s="215"/>
      <c r="BP22" s="215"/>
      <c r="BQ22" s="215"/>
      <c r="BR22" s="215"/>
      <c r="BS22" s="215"/>
      <c r="BT22" s="215"/>
      <c r="BU22" s="215"/>
      <c r="BV22" s="215"/>
      <c r="BW22" s="215"/>
      <c r="BX22" s="215"/>
      <c r="BY22" s="215"/>
      <c r="BZ22" s="215"/>
    </row>
    <row r="23" spans="1:78" x14ac:dyDescent="0.2">
      <c r="A23" s="2" t="str">
        <f>'Language Index'!A43</f>
        <v>Insurance Div. Operating Exp.</v>
      </c>
      <c r="B23" s="17"/>
      <c r="C23" s="17"/>
      <c r="D23" s="18">
        <f>_xll.ciqfunctions.udf.CIQ($C$2, "IQ_INS_DIV_EXP", D$6,$F$2,,,Ccy,Conv)</f>
        <v>0</v>
      </c>
      <c r="E23" s="18">
        <f>_xll.ciqfunctions.udf.CIQ($C$2, "IQ_INS_DIV_EXP", E$6,$F$2,,,Ccy,Conv)</f>
        <v>0</v>
      </c>
      <c r="F23" s="18">
        <f>_xll.ciqfunctions.udf.CIQ($C$2, "IQ_INS_DIV_EXP", F$6,$F$2,,,Ccy,Conv)</f>
        <v>0</v>
      </c>
      <c r="G23" s="18">
        <f>_xll.ciqfunctions.udf.CIQ($C$2, "IQ_INS_DIV_EXP", G$6,$F$2,,,Ccy,Conv)</f>
        <v>0</v>
      </c>
      <c r="H23" s="18">
        <f>_xll.ciqfunctions.udf.CIQ($C$2, "IQ_INS_DIV_EXP", H$6,$F$2,,,Ccy,Conv)</f>
        <v>0</v>
      </c>
      <c r="I23" s="18">
        <f>_xll.ciqfunctions.udf.CIQ($C$2, "IQ_INS_DIV_EXP", I$6,$F$2,,,Ccy,Conv)</f>
        <v>0</v>
      </c>
      <c r="J23" s="18">
        <f>_xll.ciqfunctions.udf.CIQ($C$2, "IQ_INS_DIV_EXP", J$6,$F$2,,,Ccy,Conv)</f>
        <v>0</v>
      </c>
      <c r="K23" s="18">
        <f>_xll.ciqfunctions.udf.CIQ($C$2, "IQ_INS_DIV_EXP", K$6,$F$2,,,Ccy,Conv)</f>
        <v>0</v>
      </c>
      <c r="L23" s="18">
        <f>_xll.ciqfunctions.udf.CIQ($C$2, "IQ_INS_DIV_EXP", L$6,$F$2,,,Ccy,Conv)</f>
        <v>0</v>
      </c>
      <c r="M23" s="18">
        <f>_xll.ciqfunctions.udf.CIQ($C$2, "IQ_INS_DIV_EXP", M$6,$F$2,,,Ccy,Conv)</f>
        <v>0</v>
      </c>
      <c r="N23" s="18">
        <f>_xll.ciqfunctions.udf.CIQ($C$2, "IQ_INS_DIV_EXP", N$6,$F$2,,,Ccy,Conv)</f>
        <v>0</v>
      </c>
      <c r="O23" s="18"/>
      <c r="P23" s="18">
        <f>_xll.ciqfunctions.udf.CIQ($C$2, "IQ_INS_DIV_EXP", P$6,$F$2,,,Ccy,Conv)</f>
        <v>0</v>
      </c>
      <c r="Q23" s="215"/>
      <c r="R23" s="215"/>
      <c r="S23" s="215"/>
      <c r="T23" s="215"/>
      <c r="U23" s="215"/>
      <c r="V23" s="222"/>
      <c r="W23" s="222"/>
      <c r="X23" s="222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</row>
    <row r="24" spans="1:78" x14ac:dyDescent="0.2">
      <c r="A24" s="2" t="str">
        <f>'Language Index'!A44</f>
        <v>Interest Expense - Finance Division</v>
      </c>
      <c r="B24" s="17"/>
      <c r="C24" s="17"/>
      <c r="D24" s="18">
        <f>_xll.ciqfunctions.udf.CIQ($C$2, "IQ_FIN_DIV_INT_EXP", D$6,$F$2,,,Ccy,Conv)</f>
        <v>0</v>
      </c>
      <c r="E24" s="18">
        <f>_xll.ciqfunctions.udf.CIQ($C$2, "IQ_FIN_DIV_INT_EXP", E$6,$F$2,,,Ccy,Conv)</f>
        <v>0</v>
      </c>
      <c r="F24" s="18">
        <f>_xll.ciqfunctions.udf.CIQ($C$2, "IQ_FIN_DIV_INT_EXP", F$6,$F$2,,,Ccy,Conv)</f>
        <v>0</v>
      </c>
      <c r="G24" s="18">
        <f>_xll.ciqfunctions.udf.CIQ($C$2, "IQ_FIN_DIV_INT_EXP", G$6,$F$2,,,Ccy,Conv)</f>
        <v>0</v>
      </c>
      <c r="H24" s="18">
        <f>_xll.ciqfunctions.udf.CIQ($C$2, "IQ_FIN_DIV_INT_EXP", H$6,$F$2,,,Ccy,Conv)</f>
        <v>0</v>
      </c>
      <c r="I24" s="18">
        <f>_xll.ciqfunctions.udf.CIQ($C$2, "IQ_FIN_DIV_INT_EXP", I$6,$F$2,,,Ccy,Conv)</f>
        <v>0</v>
      </c>
      <c r="J24" s="18">
        <f>_xll.ciqfunctions.udf.CIQ($C$2, "IQ_FIN_DIV_INT_EXP", J$6,$F$2,,,Ccy,Conv)</f>
        <v>0</v>
      </c>
      <c r="K24" s="18">
        <f>_xll.ciqfunctions.udf.CIQ($C$2, "IQ_FIN_DIV_INT_EXP", K$6,$F$2,,,Ccy,Conv)</f>
        <v>0</v>
      </c>
      <c r="L24" s="18">
        <f>_xll.ciqfunctions.udf.CIQ($C$2, "IQ_FIN_DIV_INT_EXP", L$6,$F$2,,,Ccy,Conv)</f>
        <v>0</v>
      </c>
      <c r="M24" s="18">
        <f>_xll.ciqfunctions.udf.CIQ($C$2, "IQ_FIN_DIV_INT_EXP", M$6,$F$2,,,Ccy,Conv)</f>
        <v>0</v>
      </c>
      <c r="N24" s="18">
        <f>_xll.ciqfunctions.udf.CIQ($C$2, "IQ_FIN_DIV_INT_EXP", N$6,$F$2,,,Ccy,Conv)</f>
        <v>0</v>
      </c>
      <c r="O24" s="18"/>
      <c r="P24" s="18">
        <f>_xll.ciqfunctions.udf.CIQ($C$2, "IQ_FIN_DIV_INT_EXP", P$6,$F$2,,,Ccy,Conv)</f>
        <v>0</v>
      </c>
      <c r="Q24" s="215"/>
      <c r="R24" s="215"/>
      <c r="S24" s="215"/>
      <c r="T24" s="215"/>
      <c r="U24" s="215"/>
      <c r="V24" s="222"/>
      <c r="W24" s="222"/>
      <c r="X24" s="222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5"/>
      <c r="BN24" s="215"/>
      <c r="BO24" s="215"/>
      <c r="BP24" s="215"/>
      <c r="BQ24" s="215"/>
      <c r="BR24" s="215"/>
      <c r="BS24" s="215"/>
      <c r="BT24" s="215"/>
      <c r="BU24" s="215"/>
      <c r="BV24" s="215"/>
      <c r="BW24" s="215"/>
      <c r="BX24" s="215"/>
      <c r="BY24" s="215"/>
      <c r="BZ24" s="215"/>
    </row>
    <row r="25" spans="1:78" x14ac:dyDescent="0.2">
      <c r="A25" s="20" t="str">
        <f>'Language Index'!A45</f>
        <v>Gross Profit</v>
      </c>
      <c r="B25" s="20"/>
      <c r="C25" s="20"/>
      <c r="D25" s="21">
        <f>_xll.ciqfunctions.udf.CIQ($C$2, "IQ_GP", D$6,$F$2,,,Ccy,Conv)</f>
        <v>33072</v>
      </c>
      <c r="E25" s="21">
        <f>_xll.ciqfunctions.udf.CIQ($C$2, "IQ_GP", E$6,$F$2,,,Ccy,Conv)</f>
        <v>33666</v>
      </c>
      <c r="F25" s="21">
        <f>_xll.ciqfunctions.udf.CIQ($C$2, "IQ_GP", F$6,$F$2,,,Ccy,Conv)</f>
        <v>34300</v>
      </c>
      <c r="G25" s="21">
        <f>_xll.ciqfunctions.udf.CIQ($C$2, "IQ_GP", G$6,$F$2,,,Ccy,Conv)</f>
        <v>34533</v>
      </c>
      <c r="H25" s="21">
        <f>_xll.ciqfunctions.udf.CIQ($C$2, "IQ_GP", H$6,$F$2,,,Ccy,Conv)</f>
        <v>34982</v>
      </c>
      <c r="I25" s="21">
        <f>_xll.ciqfunctions.udf.CIQ($C$2, "IQ_GP", I$6,$F$2,,,Ccy,Conv)</f>
        <v>35379</v>
      </c>
      <c r="J25" s="21">
        <f>_xll.ciqfunctions.udf.CIQ($C$2, "IQ_GP", J$6,$F$2,,,Ccy,Conv)</f>
        <v>35552</v>
      </c>
      <c r="K25" s="21">
        <f>_xll.ciqfunctions.udf.CIQ($C$2, "IQ_GP", K$6,$F$2,,,Ccy,Conv)</f>
        <v>35840</v>
      </c>
      <c r="L25" s="21">
        <f>_xll.ciqfunctions.udf.CIQ($C$2, "IQ_GP", L$6,$F$2,,,Ccy,Conv)</f>
        <v>36868</v>
      </c>
      <c r="M25" s="21">
        <f>_xll.ciqfunctions.udf.CIQ($C$2, "IQ_GP", M$6,$F$2,,,Ccy,Conv)</f>
        <v>37808</v>
      </c>
      <c r="N25" s="21">
        <f>_xll.ciqfunctions.udf.CIQ($C$2, "IQ_GP", N$6,$F$2,,,Ccy,Conv)</f>
        <v>39296</v>
      </c>
      <c r="O25" s="22"/>
      <c r="P25" s="21">
        <f>_xll.ciqfunctions.udf.CIQ($C$2, "IQ_GP", P$6,$F$2,,,Ccy,Conv)</f>
        <v>39296</v>
      </c>
      <c r="Q25" s="232"/>
      <c r="R25" s="215"/>
      <c r="S25" s="215"/>
      <c r="T25" s="215"/>
      <c r="U25" s="215"/>
      <c r="V25" s="233"/>
      <c r="W25" s="233"/>
      <c r="X25" s="233"/>
      <c r="Y25" s="232"/>
      <c r="Z25" s="232"/>
      <c r="AA25" s="232"/>
      <c r="AB25" s="232"/>
      <c r="AC25" s="232"/>
      <c r="AD25" s="232"/>
      <c r="AE25" s="215"/>
      <c r="AF25" s="215"/>
      <c r="AG25" s="215"/>
      <c r="AH25" s="232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5"/>
      <c r="BN25" s="215"/>
      <c r="BO25" s="215"/>
      <c r="BP25" s="215"/>
      <c r="BQ25" s="215"/>
      <c r="BR25" s="215"/>
      <c r="BS25" s="215"/>
      <c r="BT25" s="215"/>
      <c r="BU25" s="215"/>
      <c r="BV25" s="215"/>
      <c r="BW25" s="215"/>
      <c r="BX25" s="215"/>
      <c r="BY25" s="215"/>
      <c r="BZ25" s="215"/>
    </row>
    <row r="26" spans="1:78" x14ac:dyDescent="0.2">
      <c r="A26" s="16"/>
      <c r="B26" s="16"/>
      <c r="C26" s="16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215"/>
      <c r="R26" s="215"/>
      <c r="S26" s="215"/>
      <c r="T26" s="215"/>
      <c r="U26" s="215"/>
      <c r="V26" s="222"/>
      <c r="W26" s="222"/>
      <c r="X26" s="222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5"/>
      <c r="BN26" s="215"/>
      <c r="BO26" s="215"/>
      <c r="BP26" s="215"/>
      <c r="BQ26" s="215"/>
      <c r="BR26" s="215"/>
      <c r="BS26" s="215"/>
      <c r="BT26" s="215"/>
      <c r="BU26" s="215"/>
      <c r="BV26" s="215"/>
      <c r="BW26" s="215"/>
      <c r="BX26" s="215"/>
      <c r="BY26" s="215"/>
      <c r="BZ26" s="215"/>
    </row>
    <row r="27" spans="1:78" x14ac:dyDescent="0.2">
      <c r="A27" s="2" t="str">
        <f>'Language Index'!A46</f>
        <v>Selling General &amp; Admin Exp.</v>
      </c>
      <c r="B27" s="17"/>
      <c r="C27" s="17"/>
      <c r="D27" s="18">
        <f>_xll.ciqfunctions.udf.CIQ($C$2, "IQ_SGA_SUPPL", D$6,$F$2,,,Ccy,Conv)</f>
        <v>18757</v>
      </c>
      <c r="E27" s="18">
        <f>_xll.ciqfunctions.udf.CIQ($C$2, "IQ_SGA_SUPPL", E$6,$F$2,,,Ccy,Conv)</f>
        <v>18599</v>
      </c>
      <c r="F27" s="18">
        <f>_xll.ciqfunctions.udf.CIQ($C$2, "IQ_SGA_SUPPL", F$6,$F$2,,,Ccy,Conv)</f>
        <v>18964</v>
      </c>
      <c r="G27" s="18">
        <f>_xll.ciqfunctions.udf.CIQ($C$2, "IQ_SGA_SUPPL", G$6,$F$2,,,Ccy,Conv)</f>
        <v>18581</v>
      </c>
      <c r="H27" s="18">
        <f>_xll.ciqfunctions.udf.CIQ($C$2, "IQ_SGA_SUPPL", H$6,$F$2,,,Ccy,Conv)</f>
        <v>18799</v>
      </c>
      <c r="I27" s="18">
        <f>_xll.ciqfunctions.udf.CIQ($C$2, "IQ_SGA_SUPPL", I$6,$F$2,,,Ccy,Conv)</f>
        <v>19079</v>
      </c>
      <c r="J27" s="18">
        <f>_xll.ciqfunctions.udf.CIQ($C$2, "IQ_SGA_SUPPL", J$6,$F$2,,,Ccy,Conv)</f>
        <v>19281</v>
      </c>
      <c r="K27" s="18">
        <f>_xll.ciqfunctions.udf.CIQ($C$2, "IQ_SGA_SUPPL", K$6,$F$2,,,Ccy,Conv)</f>
        <v>19131</v>
      </c>
      <c r="L27" s="18">
        <f>_xll.ciqfunctions.udf.CIQ($C$2, "IQ_SGA_SUPPL", L$6,$F$2,,,Ccy,Conv)</f>
        <v>19115</v>
      </c>
      <c r="M27" s="18">
        <f>_xll.ciqfunctions.udf.CIQ($C$2, "IQ_SGA_SUPPL", M$6,$F$2,,,Ccy,Conv)</f>
        <v>19170</v>
      </c>
      <c r="N27" s="18">
        <f>_xll.ciqfunctions.udf.CIQ($C$2, "IQ_SGA_SUPPL", N$6,$F$2,,,Ccy,Conv)</f>
        <v>19380</v>
      </c>
      <c r="O27" s="18"/>
      <c r="P27" s="18">
        <f>_xll.ciqfunctions.udf.CIQ($C$2, "IQ_SGA_SUPPL", P$6,$F$2,,,Ccy,Conv)</f>
        <v>19380</v>
      </c>
      <c r="Q27" s="232"/>
      <c r="R27" s="215"/>
      <c r="S27" s="215"/>
      <c r="T27" s="215"/>
      <c r="U27" s="215"/>
      <c r="V27" s="233"/>
      <c r="W27" s="233"/>
      <c r="X27" s="233"/>
      <c r="Y27" s="232"/>
      <c r="Z27" s="232"/>
      <c r="AA27" s="232"/>
      <c r="AB27" s="232"/>
      <c r="AC27" s="232"/>
      <c r="AD27" s="232"/>
      <c r="AE27" s="215"/>
      <c r="AF27" s="215"/>
      <c r="AG27" s="215"/>
      <c r="AH27" s="232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</row>
    <row r="28" spans="1:78" x14ac:dyDescent="0.2">
      <c r="A28" s="2" t="str">
        <f>'Language Index'!A47</f>
        <v>Exploration/Drilling Costs</v>
      </c>
      <c r="B28" s="17"/>
      <c r="C28" s="17"/>
      <c r="D28" s="18">
        <f>_xll.ciqfunctions.udf.CIQ($C$2, "IQ_EXPLORE_DRILL",D$6,$F$2,,,Ccy,Conv)</f>
        <v>0</v>
      </c>
      <c r="E28" s="18">
        <f>_xll.ciqfunctions.udf.CIQ($C$2, "IQ_EXPLORE_DRILL",E$6,$F$2,,,Ccy,Conv)</f>
        <v>0</v>
      </c>
      <c r="F28" s="18">
        <f>_xll.ciqfunctions.udf.CIQ($C$2, "IQ_EXPLORE_DRILL",F$6,$F$2,,,Ccy,Conv)</f>
        <v>0</v>
      </c>
      <c r="G28" s="18">
        <f>_xll.ciqfunctions.udf.CIQ($C$2, "IQ_EXPLORE_DRILL",G$6,$F$2,,,Ccy,Conv)</f>
        <v>0</v>
      </c>
      <c r="H28" s="18">
        <f>_xll.ciqfunctions.udf.CIQ($C$2, "IQ_EXPLORE_DRILL",H$6,$F$2,,,Ccy,Conv)</f>
        <v>0</v>
      </c>
      <c r="I28" s="18">
        <f>_xll.ciqfunctions.udf.CIQ($C$2, "IQ_EXPLORE_DRILL",I$6,$F$2,,,Ccy,Conv)</f>
        <v>0</v>
      </c>
      <c r="J28" s="18">
        <f>_xll.ciqfunctions.udf.CIQ($C$2, "IQ_EXPLORE_DRILL",J$6,$F$2,,,Ccy,Conv)</f>
        <v>0</v>
      </c>
      <c r="K28" s="18">
        <f>_xll.ciqfunctions.udf.CIQ($C$2, "IQ_EXPLORE_DRILL",K$6,$F$2,,,Ccy,Conv)</f>
        <v>0</v>
      </c>
      <c r="L28" s="18">
        <f>_xll.ciqfunctions.udf.CIQ($C$2, "IQ_EXPLORE_DRILL",L$6,$F$2,,,Ccy,Conv)</f>
        <v>0</v>
      </c>
      <c r="M28" s="18">
        <f>_xll.ciqfunctions.udf.CIQ($C$2, "IQ_EXPLORE_DRILL",M$6,$F$2,,,Ccy,Conv)</f>
        <v>0</v>
      </c>
      <c r="N28" s="18">
        <f>_xll.ciqfunctions.udf.CIQ($C$2, "IQ_EXPLORE_DRILL",N$6,$F$2,,,Ccy,Conv)</f>
        <v>0</v>
      </c>
      <c r="O28" s="18"/>
      <c r="P28" s="18">
        <f>_xll.ciqfunctions.udf.CIQ($C$2, "IQ_EXPLORE_DRILL",P$6,$F$2,,,Ccy,Conv)</f>
        <v>0</v>
      </c>
      <c r="Q28" s="215"/>
      <c r="R28" s="215"/>
      <c r="S28" s="215"/>
      <c r="T28" s="215"/>
      <c r="U28" s="215"/>
      <c r="V28" s="222"/>
      <c r="W28" s="222"/>
      <c r="X28" s="222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  <c r="BI28" s="215"/>
      <c r="BJ28" s="215"/>
      <c r="BK28" s="215"/>
      <c r="BL28" s="215"/>
      <c r="BM28" s="215"/>
      <c r="BN28" s="215"/>
      <c r="BO28" s="215"/>
      <c r="BP28" s="215"/>
      <c r="BQ28" s="215"/>
      <c r="BR28" s="215"/>
      <c r="BS28" s="215"/>
      <c r="BT28" s="215"/>
      <c r="BU28" s="215"/>
      <c r="BV28" s="215"/>
      <c r="BW28" s="215"/>
      <c r="BX28" s="215"/>
      <c r="BY28" s="215"/>
      <c r="BZ28" s="215"/>
    </row>
    <row r="29" spans="1:78" x14ac:dyDescent="0.2">
      <c r="A29" s="2" t="str">
        <f>'Language Index'!A48</f>
        <v>Provision for Bad Debts</v>
      </c>
      <c r="B29" s="17"/>
      <c r="C29" s="17"/>
      <c r="D29" s="18">
        <f>_xll.ciqfunctions.udf.CIQ($C$2, "IQ_PROV_BAD_DEBTS", D$6,$F$2,,,Ccy,Conv)</f>
        <v>0</v>
      </c>
      <c r="E29" s="18">
        <f>_xll.ciqfunctions.udf.CIQ($C$2, "IQ_PROV_BAD_DEBTS", E$6,$F$2,,,Ccy,Conv)</f>
        <v>0</v>
      </c>
      <c r="F29" s="18">
        <f>_xll.ciqfunctions.udf.CIQ($C$2, "IQ_PROV_BAD_DEBTS", F$6,$F$2,,,Ccy,Conv)</f>
        <v>0</v>
      </c>
      <c r="G29" s="18">
        <f>_xll.ciqfunctions.udf.CIQ($C$2, "IQ_PROV_BAD_DEBTS", G$6,$F$2,,,Ccy,Conv)</f>
        <v>0</v>
      </c>
      <c r="H29" s="18">
        <f>_xll.ciqfunctions.udf.CIQ($C$2, "IQ_PROV_BAD_DEBTS", H$6,$F$2,,,Ccy,Conv)</f>
        <v>0</v>
      </c>
      <c r="I29" s="18">
        <f>_xll.ciqfunctions.udf.CIQ($C$2, "IQ_PROV_BAD_DEBTS", I$6,$F$2,,,Ccy,Conv)</f>
        <v>0</v>
      </c>
      <c r="J29" s="18">
        <f>_xll.ciqfunctions.udf.CIQ($C$2, "IQ_PROV_BAD_DEBTS", J$6,$F$2,,,Ccy,Conv)</f>
        <v>0</v>
      </c>
      <c r="K29" s="18">
        <f>_xll.ciqfunctions.udf.CIQ($C$2, "IQ_PROV_BAD_DEBTS", K$6,$F$2,,,Ccy,Conv)</f>
        <v>0</v>
      </c>
      <c r="L29" s="18">
        <f>_xll.ciqfunctions.udf.CIQ($C$2, "IQ_PROV_BAD_DEBTS", L$6,$F$2,,,Ccy,Conv)</f>
        <v>0</v>
      </c>
      <c r="M29" s="18">
        <f>_xll.ciqfunctions.udf.CIQ($C$2, "IQ_PROV_BAD_DEBTS", M$6,$F$2,,,Ccy,Conv)</f>
        <v>0</v>
      </c>
      <c r="N29" s="18">
        <f>_xll.ciqfunctions.udf.CIQ($C$2, "IQ_PROV_BAD_DEBTS", N$6,$F$2,,,Ccy,Conv)</f>
        <v>0</v>
      </c>
      <c r="O29" s="18"/>
      <c r="P29" s="18">
        <f>_xll.ciqfunctions.udf.CIQ($C$2, "IQ_PROV_BAD_DEBTS", P$6,$F$2,,,Ccy,Conv)</f>
        <v>0</v>
      </c>
      <c r="Q29" s="215"/>
      <c r="R29" s="215"/>
      <c r="S29" s="215"/>
      <c r="T29" s="215"/>
      <c r="U29" s="215"/>
      <c r="V29" s="222"/>
      <c r="W29" s="222"/>
      <c r="X29" s="222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5"/>
      <c r="BI29" s="215"/>
      <c r="BJ29" s="215"/>
      <c r="BK29" s="215"/>
      <c r="BL29" s="215"/>
      <c r="BM29" s="215"/>
      <c r="BN29" s="215"/>
      <c r="BO29" s="215"/>
      <c r="BP29" s="215"/>
      <c r="BQ29" s="215"/>
      <c r="BR29" s="215"/>
      <c r="BS29" s="215"/>
      <c r="BT29" s="215"/>
      <c r="BU29" s="215"/>
      <c r="BV29" s="215"/>
      <c r="BW29" s="215"/>
      <c r="BX29" s="215"/>
      <c r="BY29" s="215"/>
      <c r="BZ29" s="215"/>
    </row>
    <row r="30" spans="1:78" x14ac:dyDescent="0.2">
      <c r="A30" s="2" t="str">
        <f>'Language Index'!A49</f>
        <v>Stock-Based Compensation</v>
      </c>
      <c r="B30" s="17"/>
      <c r="C30" s="17"/>
      <c r="D30" s="18">
        <f>_xll.ciqfunctions.udf.CIQ($C$2, "IQ_STOCK_BASED", D$6,$F$2,,,Ccy,Conv)</f>
        <v>0</v>
      </c>
      <c r="E30" s="18">
        <f>_xll.ciqfunctions.udf.CIQ($C$2, "IQ_STOCK_BASED", E$6,$F$2,,,Ccy,Conv)</f>
        <v>0</v>
      </c>
      <c r="F30" s="18">
        <f>_xll.ciqfunctions.udf.CIQ($C$2, "IQ_STOCK_BASED", F$6,$F$2,,,Ccy,Conv)</f>
        <v>0</v>
      </c>
      <c r="G30" s="18">
        <f>_xll.ciqfunctions.udf.CIQ($C$2, "IQ_STOCK_BASED", G$6,$F$2,,,Ccy,Conv)</f>
        <v>0</v>
      </c>
      <c r="H30" s="18">
        <f>_xll.ciqfunctions.udf.CIQ($C$2, "IQ_STOCK_BASED", H$6,$F$2,,,Ccy,Conv)</f>
        <v>0</v>
      </c>
      <c r="I30" s="18">
        <f>_xll.ciqfunctions.udf.CIQ($C$2, "IQ_STOCK_BASED", I$6,$F$2,,,Ccy,Conv)</f>
        <v>0</v>
      </c>
      <c r="J30" s="18">
        <f>_xll.ciqfunctions.udf.CIQ($C$2, "IQ_STOCK_BASED", J$6,$F$2,,,Ccy,Conv)</f>
        <v>0</v>
      </c>
      <c r="K30" s="18">
        <f>_xll.ciqfunctions.udf.CIQ($C$2, "IQ_STOCK_BASED", K$6,$F$2,,,Ccy,Conv)</f>
        <v>0</v>
      </c>
      <c r="L30" s="18">
        <f>_xll.ciqfunctions.udf.CIQ($C$2, "IQ_STOCK_BASED", L$6,$F$2,,,Ccy,Conv)</f>
        <v>0</v>
      </c>
      <c r="M30" s="18">
        <f>_xll.ciqfunctions.udf.CIQ($C$2, "IQ_STOCK_BASED", M$6,$F$2,,,Ccy,Conv)</f>
        <v>0</v>
      </c>
      <c r="N30" s="18">
        <f>_xll.ciqfunctions.udf.CIQ($C$2, "IQ_STOCK_BASED", N$6,$F$2,,,Ccy,Conv)</f>
        <v>0</v>
      </c>
      <c r="O30" s="18"/>
      <c r="P30" s="18">
        <f>_xll.ciqfunctions.udf.CIQ($C$2, "IQ_STOCK_BASED", P$6,$F$2,,,Ccy,Conv)</f>
        <v>0</v>
      </c>
      <c r="Q30" s="215"/>
      <c r="R30" s="215"/>
      <c r="S30" s="215"/>
      <c r="T30" s="215"/>
      <c r="U30" s="215"/>
      <c r="V30" s="222"/>
      <c r="W30" s="222"/>
      <c r="X30" s="222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5"/>
      <c r="BG30" s="215"/>
      <c r="BH30" s="215"/>
      <c r="BI30" s="215"/>
      <c r="BJ30" s="215"/>
      <c r="BK30" s="215"/>
      <c r="BL30" s="215"/>
      <c r="BM30" s="215"/>
      <c r="BN30" s="215"/>
      <c r="BO30" s="215"/>
      <c r="BP30" s="215"/>
      <c r="BQ30" s="215"/>
      <c r="BR30" s="215"/>
      <c r="BS30" s="215"/>
      <c r="BT30" s="215"/>
      <c r="BU30" s="215"/>
      <c r="BV30" s="215"/>
      <c r="BW30" s="215"/>
      <c r="BX30" s="215"/>
      <c r="BY30" s="215"/>
      <c r="BZ30" s="215"/>
    </row>
    <row r="31" spans="1:78" x14ac:dyDescent="0.2">
      <c r="A31" s="2" t="str">
        <f>'Language Index'!A50</f>
        <v>Pre-Opening Costs</v>
      </c>
      <c r="B31" s="17"/>
      <c r="C31" s="17"/>
      <c r="D31" s="18">
        <f>_xll.ciqfunctions.udf.CIQ($C$2, "IQ_PRE_OPEN_COST", D$6,$F$2,,,Ccy,Conv)</f>
        <v>0</v>
      </c>
      <c r="E31" s="18">
        <f>_xll.ciqfunctions.udf.CIQ($C$2, "IQ_PRE_OPEN_COST", E$6,$F$2,,,Ccy,Conv)</f>
        <v>0</v>
      </c>
      <c r="F31" s="18">
        <f>_xll.ciqfunctions.udf.CIQ($C$2, "IQ_PRE_OPEN_COST", F$6,$F$2,,,Ccy,Conv)</f>
        <v>0</v>
      </c>
      <c r="G31" s="18">
        <f>_xll.ciqfunctions.udf.CIQ($C$2, "IQ_PRE_OPEN_COST", G$6,$F$2,,,Ccy,Conv)</f>
        <v>0</v>
      </c>
      <c r="H31" s="18">
        <f>_xll.ciqfunctions.udf.CIQ($C$2, "IQ_PRE_OPEN_COST", H$6,$F$2,,,Ccy,Conv)</f>
        <v>0</v>
      </c>
      <c r="I31" s="18">
        <f>_xll.ciqfunctions.udf.CIQ($C$2, "IQ_PRE_OPEN_COST", I$6,$F$2,,,Ccy,Conv)</f>
        <v>0</v>
      </c>
      <c r="J31" s="18">
        <f>_xll.ciqfunctions.udf.CIQ($C$2, "IQ_PRE_OPEN_COST", J$6,$F$2,,,Ccy,Conv)</f>
        <v>0</v>
      </c>
      <c r="K31" s="18">
        <f>_xll.ciqfunctions.udf.CIQ($C$2, "IQ_PRE_OPEN_COST", K$6,$F$2,,,Ccy,Conv)</f>
        <v>0</v>
      </c>
      <c r="L31" s="18">
        <f>_xll.ciqfunctions.udf.CIQ($C$2, "IQ_PRE_OPEN_COST", L$6,$F$2,,,Ccy,Conv)</f>
        <v>0</v>
      </c>
      <c r="M31" s="18">
        <f>_xll.ciqfunctions.udf.CIQ($C$2, "IQ_PRE_OPEN_COST", M$6,$F$2,,,Ccy,Conv)</f>
        <v>0</v>
      </c>
      <c r="N31" s="18">
        <f>_xll.ciqfunctions.udf.CIQ($C$2, "IQ_PRE_OPEN_COST", N$6,$F$2,,,Ccy,Conv)</f>
        <v>0</v>
      </c>
      <c r="O31" s="18"/>
      <c r="P31" s="18">
        <f>_xll.ciqfunctions.udf.CIQ($C$2, "IQ_PRE_OPEN_COST", P$6,$F$2,,,Ccy,Conv)</f>
        <v>0</v>
      </c>
      <c r="Q31" s="215"/>
      <c r="R31" s="215"/>
      <c r="S31" s="215"/>
      <c r="T31" s="215"/>
      <c r="U31" s="215"/>
      <c r="V31" s="222"/>
      <c r="W31" s="222"/>
      <c r="X31" s="222"/>
      <c r="Y31" s="215"/>
      <c r="Z31" s="215"/>
      <c r="AA31" s="215"/>
      <c r="AB31" s="215"/>
      <c r="AC31" s="215"/>
      <c r="AD31" s="215"/>
      <c r="AE31" s="215"/>
      <c r="AF31" s="215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5"/>
      <c r="BN31" s="215"/>
      <c r="BO31" s="215"/>
      <c r="BP31" s="215"/>
      <c r="BQ31" s="215"/>
      <c r="BR31" s="215"/>
      <c r="BS31" s="215"/>
      <c r="BT31" s="215"/>
      <c r="BU31" s="215"/>
      <c r="BV31" s="215"/>
      <c r="BW31" s="215"/>
      <c r="BX31" s="215"/>
      <c r="BY31" s="215"/>
      <c r="BZ31" s="215"/>
    </row>
    <row r="32" spans="1:78" x14ac:dyDescent="0.2">
      <c r="A32" s="2" t="str">
        <f>'Language Index'!A51</f>
        <v>R &amp; D Exp.</v>
      </c>
      <c r="B32" s="17"/>
      <c r="C32" s="17"/>
      <c r="D32" s="18">
        <f>_xll.ciqfunctions.udf.CIQ($C$2, "IQ_RD_EXP", D$6,$F$2,,,Ccy,Conv)</f>
        <v>6557</v>
      </c>
      <c r="E32" s="18">
        <f>_xll.ciqfunctions.udf.CIQ($C$2, "IQ_RD_EXP", E$6,$F$2,,,Ccy,Conv)</f>
        <v>6631</v>
      </c>
      <c r="F32" s="18">
        <f>_xll.ciqfunctions.udf.CIQ($C$2, "IQ_RD_EXP", F$6,$F$2,,,Ccy,Conv)</f>
        <v>6775</v>
      </c>
      <c r="G32" s="18">
        <f>_xll.ciqfunctions.udf.CIQ($C$2, "IQ_RD_EXP", G$6,$F$2,,,Ccy,Conv)</f>
        <v>6916</v>
      </c>
      <c r="H32" s="18">
        <f>_xll.ciqfunctions.udf.CIQ($C$2, "IQ_RD_EXP", H$6,$F$2,,,Ccy,Conv)</f>
        <v>7069</v>
      </c>
      <c r="I32" s="18">
        <f>_xll.ciqfunctions.udf.CIQ($C$2, "IQ_RD_EXP", I$6,$F$2,,,Ccy,Conv)</f>
        <v>7260</v>
      </c>
      <c r="J32" s="18">
        <f>_xll.ciqfunctions.udf.CIQ($C$2, "IQ_RD_EXP", J$6,$F$2,,,Ccy,Conv)</f>
        <v>7479</v>
      </c>
      <c r="K32" s="18">
        <f>_xll.ciqfunctions.udf.CIQ($C$2, "IQ_RD_EXP", K$6,$F$2,,,Ccy,Conv)</f>
        <v>7629</v>
      </c>
      <c r="L32" s="18">
        <f>_xll.ciqfunctions.udf.CIQ($C$2, "IQ_RD_EXP", L$6,$F$2,,,Ccy,Conv)</f>
        <v>7885</v>
      </c>
      <c r="M32" s="18">
        <f>_xll.ciqfunctions.udf.CIQ($C$2, "IQ_RD_EXP", M$6,$F$2,,,Ccy,Conv)</f>
        <v>8092</v>
      </c>
      <c r="N32" s="18">
        <f>_xll.ciqfunctions.udf.CIQ($C$2, "IQ_RD_EXP", N$6,$F$2,,,Ccy,Conv)</f>
        <v>8312</v>
      </c>
      <c r="O32" s="18"/>
      <c r="P32" s="18">
        <f>_xll.ciqfunctions.udf.CIQ($C$2, "IQ_RD_EXP", P$6,$F$2,,,Ccy,Conv)</f>
        <v>8312</v>
      </c>
      <c r="Q32" s="215"/>
      <c r="R32" s="215"/>
      <c r="S32" s="215"/>
      <c r="T32" s="215"/>
      <c r="U32" s="215"/>
      <c r="V32" s="222"/>
      <c r="W32" s="222"/>
      <c r="X32" s="222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5"/>
      <c r="BN32" s="215"/>
      <c r="BO32" s="215"/>
      <c r="BP32" s="215"/>
      <c r="BQ32" s="215"/>
      <c r="BR32" s="215"/>
      <c r="BS32" s="215"/>
      <c r="BT32" s="215"/>
      <c r="BU32" s="215"/>
      <c r="BV32" s="215"/>
      <c r="BW32" s="215"/>
      <c r="BX32" s="215"/>
      <c r="BY32" s="215"/>
      <c r="BZ32" s="215"/>
    </row>
    <row r="33" spans="1:78" x14ac:dyDescent="0.2">
      <c r="A33" s="2" t="str">
        <f>'Language Index'!A52</f>
        <v>Depreciation &amp; Amort.</v>
      </c>
      <c r="B33" s="17"/>
      <c r="C33" s="17"/>
      <c r="D33" s="18">
        <f>_xll.ciqfunctions.udf.CIQ($C$2, "IQ_DA_SUPPL", D$6,$F$2,,,Ccy,Conv)</f>
        <v>0</v>
      </c>
      <c r="E33" s="18">
        <f>_xll.ciqfunctions.udf.CIQ($C$2, "IQ_DA_SUPPL", E$6,$F$2,,,Ccy,Conv)</f>
        <v>0</v>
      </c>
      <c r="F33" s="18">
        <f>_xll.ciqfunctions.udf.CIQ($C$2, "IQ_DA_SUPPL", F$6,$F$2,,,Ccy,Conv)</f>
        <v>0</v>
      </c>
      <c r="G33" s="18">
        <f>_xll.ciqfunctions.udf.CIQ($C$2, "IQ_DA_SUPPL", G$6,$F$2,,,Ccy,Conv)</f>
        <v>0</v>
      </c>
      <c r="H33" s="18">
        <f>_xll.ciqfunctions.udf.CIQ($C$2, "IQ_DA_SUPPL", H$6,$F$2,,,Ccy,Conv)</f>
        <v>0</v>
      </c>
      <c r="I33" s="18">
        <f>_xll.ciqfunctions.udf.CIQ($C$2, "IQ_DA_SUPPL", I$6,$F$2,,,Ccy,Conv)</f>
        <v>0</v>
      </c>
      <c r="J33" s="18">
        <f>_xll.ciqfunctions.udf.CIQ($C$2, "IQ_DA_SUPPL", J$6,$F$2,,,Ccy,Conv)</f>
        <v>0</v>
      </c>
      <c r="K33" s="18">
        <f>_xll.ciqfunctions.udf.CIQ($C$2, "IQ_DA_SUPPL", K$6,$F$2,,,Ccy,Conv)</f>
        <v>0</v>
      </c>
      <c r="L33" s="18">
        <f>_xll.ciqfunctions.udf.CIQ($C$2, "IQ_DA_SUPPL", L$6,$F$2,,,Ccy,Conv)</f>
        <v>0</v>
      </c>
      <c r="M33" s="18">
        <f>_xll.ciqfunctions.udf.CIQ($C$2, "IQ_DA_SUPPL", M$6,$F$2,,,Ccy,Conv)</f>
        <v>0</v>
      </c>
      <c r="N33" s="18">
        <f>_xll.ciqfunctions.udf.CIQ($C$2, "IQ_DA_SUPPL", N$6,$F$2,,,Ccy,Conv)</f>
        <v>0</v>
      </c>
      <c r="O33" s="18"/>
      <c r="P33" s="18">
        <f>_xll.ciqfunctions.udf.CIQ($C$2, "IQ_DA_SUPPL", P$6,$F$2,,,Ccy,Conv)</f>
        <v>0</v>
      </c>
      <c r="Q33" s="215"/>
      <c r="R33" s="215"/>
      <c r="S33" s="215"/>
      <c r="T33" s="215"/>
      <c r="U33" s="215"/>
      <c r="V33" s="222"/>
      <c r="W33" s="222"/>
      <c r="X33" s="222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5"/>
      <c r="BN33" s="215"/>
      <c r="BO33" s="215"/>
      <c r="BP33" s="215"/>
      <c r="BQ33" s="215"/>
      <c r="BR33" s="215"/>
      <c r="BS33" s="215"/>
      <c r="BT33" s="215"/>
      <c r="BU33" s="215"/>
      <c r="BV33" s="215"/>
      <c r="BW33" s="215"/>
      <c r="BX33" s="215"/>
      <c r="BY33" s="215"/>
      <c r="BZ33" s="215"/>
    </row>
    <row r="34" spans="1:78" x14ac:dyDescent="0.2">
      <c r="A34" s="2" t="str">
        <f>'Language Index'!A53</f>
        <v>Amort. of Goodwill and Intangibles</v>
      </c>
      <c r="B34" s="17"/>
      <c r="C34" s="17"/>
      <c r="D34" s="18">
        <f>_xll.ciqfunctions.udf.CIQ($C$2, "IQ_GW_INTAN_AMORT", D$6,$F$2,,,Ccy,Conv)</f>
        <v>0</v>
      </c>
      <c r="E34" s="18">
        <f>_xll.ciqfunctions.udf.CIQ($C$2, "IQ_GW_INTAN_AMORT", E$6,$F$2,,,Ccy,Conv)</f>
        <v>0</v>
      </c>
      <c r="F34" s="18">
        <f>_xll.ciqfunctions.udf.CIQ($C$2, "IQ_GW_INTAN_AMORT", F$6,$F$2,,,Ccy,Conv)</f>
        <v>0</v>
      </c>
      <c r="G34" s="18">
        <f>_xll.ciqfunctions.udf.CIQ($C$2, "IQ_GW_INTAN_AMORT", G$6,$F$2,,,Ccy,Conv)</f>
        <v>0</v>
      </c>
      <c r="H34" s="18">
        <f>_xll.ciqfunctions.udf.CIQ($C$2, "IQ_GW_INTAN_AMORT", H$6,$F$2,,,Ccy,Conv)</f>
        <v>0</v>
      </c>
      <c r="I34" s="18">
        <f>_xll.ciqfunctions.udf.CIQ($C$2, "IQ_GW_INTAN_AMORT", I$6,$F$2,,,Ccy,Conv)</f>
        <v>0</v>
      </c>
      <c r="J34" s="18">
        <f>_xll.ciqfunctions.udf.CIQ($C$2, "IQ_GW_INTAN_AMORT", J$6,$F$2,,,Ccy,Conv)</f>
        <v>0</v>
      </c>
      <c r="K34" s="18">
        <f>_xll.ciqfunctions.udf.CIQ($C$2, "IQ_GW_INTAN_AMORT", K$6,$F$2,,,Ccy,Conv)</f>
        <v>0</v>
      </c>
      <c r="L34" s="18">
        <f>_xll.ciqfunctions.udf.CIQ($C$2, "IQ_GW_INTAN_AMORT", L$6,$F$2,,,Ccy,Conv)</f>
        <v>0</v>
      </c>
      <c r="M34" s="18">
        <f>_xll.ciqfunctions.udf.CIQ($C$2, "IQ_GW_INTAN_AMORT", M$6,$F$2,,,Ccy,Conv)</f>
        <v>0</v>
      </c>
      <c r="N34" s="18">
        <f>_xll.ciqfunctions.udf.CIQ($C$2, "IQ_GW_INTAN_AMORT", N$6,$F$2,,,Ccy,Conv)</f>
        <v>0</v>
      </c>
      <c r="O34" s="18"/>
      <c r="P34" s="18">
        <f>_xll.ciqfunctions.udf.CIQ($C$2, "IQ_GW_INTAN_AMORT", P$6,$F$2,,,Ccy,Conv)</f>
        <v>0</v>
      </c>
      <c r="Q34" s="215"/>
      <c r="R34" s="215"/>
      <c r="S34" s="215"/>
      <c r="T34" s="215"/>
      <c r="U34" s="215"/>
      <c r="V34" s="222"/>
      <c r="W34" s="222"/>
      <c r="X34" s="222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5"/>
      <c r="BN34" s="215"/>
      <c r="BO34" s="215"/>
      <c r="BP34" s="215"/>
      <c r="BQ34" s="215"/>
      <c r="BR34" s="215"/>
      <c r="BS34" s="215"/>
      <c r="BT34" s="215"/>
      <c r="BU34" s="215"/>
      <c r="BV34" s="215"/>
      <c r="BW34" s="215"/>
      <c r="BX34" s="215"/>
      <c r="BY34" s="215"/>
      <c r="BZ34" s="215"/>
    </row>
    <row r="35" spans="1:78" x14ac:dyDescent="0.2">
      <c r="A35" s="2" t="str">
        <f>'Language Index'!A54</f>
        <v>Impair. of Oil, Gas &amp; Mineral Prop.</v>
      </c>
      <c r="B35" s="17"/>
      <c r="C35" s="17"/>
      <c r="D35" s="18">
        <f>_xll.ciqfunctions.udf.CIQ($C$2, "IQ_IMPAIR_OIL", D$6,$F$2,,,Ccy,Conv)</f>
        <v>0</v>
      </c>
      <c r="E35" s="18">
        <f>_xll.ciqfunctions.udf.CIQ($C$2, "IQ_IMPAIR_OIL", E$6,$F$2,,,Ccy,Conv)</f>
        <v>0</v>
      </c>
      <c r="F35" s="18">
        <f>_xll.ciqfunctions.udf.CIQ($C$2, "IQ_IMPAIR_OIL", F$6,$F$2,,,Ccy,Conv)</f>
        <v>0</v>
      </c>
      <c r="G35" s="18">
        <f>_xll.ciqfunctions.udf.CIQ($C$2, "IQ_IMPAIR_OIL", G$6,$F$2,,,Ccy,Conv)</f>
        <v>0</v>
      </c>
      <c r="H35" s="18">
        <f>_xll.ciqfunctions.udf.CIQ($C$2, "IQ_IMPAIR_OIL", H$6,$F$2,,,Ccy,Conv)</f>
        <v>0</v>
      </c>
      <c r="I35" s="18">
        <f>_xll.ciqfunctions.udf.CIQ($C$2, "IQ_IMPAIR_OIL", I$6,$F$2,,,Ccy,Conv)</f>
        <v>0</v>
      </c>
      <c r="J35" s="18">
        <f>_xll.ciqfunctions.udf.CIQ($C$2, "IQ_IMPAIR_OIL", J$6,$F$2,,,Ccy,Conv)</f>
        <v>0</v>
      </c>
      <c r="K35" s="18">
        <f>_xll.ciqfunctions.udf.CIQ($C$2, "IQ_IMPAIR_OIL", K$6,$F$2,,,Ccy,Conv)</f>
        <v>0</v>
      </c>
      <c r="L35" s="18">
        <f>_xll.ciqfunctions.udf.CIQ($C$2, "IQ_IMPAIR_OIL", L$6,$F$2,,,Ccy,Conv)</f>
        <v>0</v>
      </c>
      <c r="M35" s="18">
        <f>_xll.ciqfunctions.udf.CIQ($C$2, "IQ_IMPAIR_OIL", M$6,$F$2,,,Ccy,Conv)</f>
        <v>0</v>
      </c>
      <c r="N35" s="18">
        <f>_xll.ciqfunctions.udf.CIQ($C$2, "IQ_IMPAIR_OIL", N$6,$F$2,,,Ccy,Conv)</f>
        <v>0</v>
      </c>
      <c r="O35" s="18"/>
      <c r="P35" s="18">
        <f>_xll.ciqfunctions.udf.CIQ($C$2, "IQ_IMPAIR_OIL", P$6,$F$2,,,Ccy,Conv)</f>
        <v>0</v>
      </c>
      <c r="Q35" s="215"/>
      <c r="R35" s="215"/>
      <c r="S35" s="215"/>
      <c r="T35" s="215"/>
      <c r="U35" s="215"/>
      <c r="V35" s="222"/>
      <c r="W35" s="222"/>
      <c r="X35" s="222"/>
      <c r="Y35" s="215"/>
      <c r="Z35" s="215"/>
      <c r="AA35" s="215"/>
      <c r="AB35" s="215"/>
      <c r="AC35" s="215"/>
      <c r="AD35" s="215"/>
      <c r="AE35" s="215"/>
      <c r="AF35" s="215"/>
      <c r="AG35" s="215"/>
      <c r="AH35" s="215"/>
      <c r="AI35" s="215"/>
      <c r="AJ35" s="215"/>
      <c r="AK35" s="215"/>
      <c r="AL35" s="215"/>
      <c r="AM35" s="215"/>
      <c r="AN35" s="215"/>
      <c r="AO35" s="215"/>
      <c r="AP35" s="215"/>
      <c r="AQ35" s="215"/>
      <c r="AR35" s="215"/>
      <c r="AS35" s="215"/>
      <c r="AT35" s="215"/>
      <c r="AU35" s="215"/>
      <c r="AV35" s="215"/>
      <c r="AW35" s="215"/>
      <c r="AX35" s="215"/>
      <c r="AY35" s="215"/>
      <c r="AZ35" s="215"/>
      <c r="BA35" s="215"/>
      <c r="BB35" s="215"/>
      <c r="BC35" s="215"/>
      <c r="BD35" s="215"/>
      <c r="BE35" s="215"/>
      <c r="BF35" s="215"/>
      <c r="BG35" s="215"/>
      <c r="BH35" s="215"/>
      <c r="BI35" s="215"/>
      <c r="BJ35" s="215"/>
      <c r="BK35" s="215"/>
      <c r="BL35" s="215"/>
      <c r="BM35" s="215"/>
      <c r="BN35" s="215"/>
      <c r="BO35" s="215"/>
      <c r="BP35" s="215"/>
      <c r="BQ35" s="215"/>
      <c r="BR35" s="215"/>
      <c r="BS35" s="215"/>
      <c r="BT35" s="215"/>
      <c r="BU35" s="215"/>
      <c r="BV35" s="215"/>
      <c r="BW35" s="215"/>
      <c r="BX35" s="215"/>
      <c r="BY35" s="215"/>
      <c r="BZ35" s="215"/>
    </row>
    <row r="36" spans="1:78" x14ac:dyDescent="0.2">
      <c r="A36" s="2" t="str">
        <f>'Language Index'!A55</f>
        <v>Other Operating Expense/(Income)</v>
      </c>
      <c r="B36" s="17"/>
      <c r="C36" s="17"/>
      <c r="D36" s="23">
        <f>_xll.ciqfunctions.udf.CIQ($C$2, "IQ_OTHER_OPER", D$6,$F$2,,,Ccy,Conv)</f>
        <v>-781</v>
      </c>
      <c r="E36" s="23">
        <f>_xll.ciqfunctions.udf.CIQ($C$2, "IQ_OTHER_OPER", E$6,$F$2,,,Ccy,Conv)</f>
        <v>-850</v>
      </c>
      <c r="F36" s="23">
        <f>_xll.ciqfunctions.udf.CIQ($C$2, "IQ_OTHER_OPER", F$6,$F$2,,,Ccy,Conv)</f>
        <v>-860</v>
      </c>
      <c r="G36" s="23">
        <f>_xll.ciqfunctions.udf.CIQ($C$2, "IQ_OTHER_OPER", G$6,$F$2,,,Ccy,Conv)</f>
        <v>-900</v>
      </c>
      <c r="H36" s="23">
        <f>_xll.ciqfunctions.udf.CIQ($C$2, "IQ_OTHER_OPER", H$6,$F$2,,,Ccy,Conv)</f>
        <v>-890</v>
      </c>
      <c r="I36" s="23">
        <f>_xll.ciqfunctions.udf.CIQ($C$2, "IQ_OTHER_OPER", I$6,$F$2,,,Ccy,Conv)</f>
        <v>-938</v>
      </c>
      <c r="J36" s="23">
        <f>_xll.ciqfunctions.udf.CIQ($C$2, "IQ_OTHER_OPER", J$6,$F$2,,,Ccy,Conv)</f>
        <v>-996</v>
      </c>
      <c r="K36" s="23">
        <f>_xll.ciqfunctions.udf.CIQ($C$2, "IQ_OTHER_OPER", K$6,$F$2,,,Ccy,Conv)</f>
        <v>-1033</v>
      </c>
      <c r="L36" s="23">
        <f>_xll.ciqfunctions.udf.CIQ($C$2, "IQ_OTHER_OPER", L$6,$F$2,,,Ccy,Conv)</f>
        <v>-1006</v>
      </c>
      <c r="M36" s="23">
        <f>_xll.ciqfunctions.udf.CIQ($C$2, "IQ_OTHER_OPER", M$6,$F$2,,,Ccy,Conv)</f>
        <v>-987</v>
      </c>
      <c r="N36" s="23">
        <f>_xll.ciqfunctions.udf.CIQ($C$2, "IQ_OTHER_OPER", N$6,$F$2,,,Ccy,Conv)</f>
        <v>-964</v>
      </c>
      <c r="O36" s="18"/>
      <c r="P36" s="23">
        <f>_xll.ciqfunctions.udf.CIQ($C$2, "IQ_OTHER_OPER", P$6,$F$2,,,Ccy,Conv)</f>
        <v>-964</v>
      </c>
      <c r="Q36" s="215"/>
      <c r="R36" s="215"/>
      <c r="S36" s="215"/>
      <c r="T36" s="215"/>
      <c r="U36" s="215"/>
      <c r="V36" s="222"/>
      <c r="W36" s="222"/>
      <c r="X36" s="222"/>
      <c r="Y36" s="215"/>
      <c r="Z36" s="215"/>
      <c r="AA36" s="215"/>
      <c r="AB36" s="215"/>
      <c r="AC36" s="215"/>
      <c r="AD36" s="215"/>
      <c r="AE36" s="215"/>
      <c r="AF36" s="215"/>
      <c r="AG36" s="215"/>
      <c r="AH36" s="215"/>
      <c r="AI36" s="215"/>
      <c r="AJ36" s="215"/>
      <c r="AK36" s="215"/>
      <c r="AL36" s="215"/>
      <c r="AM36" s="215"/>
      <c r="AN36" s="215"/>
      <c r="AO36" s="215"/>
      <c r="AP36" s="215"/>
      <c r="AQ36" s="215"/>
      <c r="AR36" s="215"/>
      <c r="AS36" s="215"/>
      <c r="AT36" s="215"/>
      <c r="AU36" s="215"/>
      <c r="AV36" s="215"/>
      <c r="AW36" s="215"/>
      <c r="AX36" s="215"/>
      <c r="AY36" s="215"/>
      <c r="AZ36" s="215"/>
      <c r="BA36" s="215"/>
      <c r="BB36" s="215"/>
      <c r="BC36" s="215"/>
      <c r="BD36" s="215"/>
      <c r="BE36" s="215"/>
      <c r="BF36" s="215"/>
      <c r="BG36" s="215"/>
      <c r="BH36" s="215"/>
      <c r="BI36" s="215"/>
      <c r="BJ36" s="215"/>
      <c r="BK36" s="215"/>
      <c r="BL36" s="215"/>
      <c r="BM36" s="215"/>
      <c r="BN36" s="215"/>
      <c r="BO36" s="215"/>
      <c r="BP36" s="215"/>
      <c r="BQ36" s="215"/>
      <c r="BR36" s="215"/>
      <c r="BS36" s="215"/>
      <c r="BT36" s="215"/>
      <c r="BU36" s="215"/>
      <c r="BV36" s="215"/>
      <c r="BW36" s="215"/>
      <c r="BX36" s="215"/>
      <c r="BY36" s="215"/>
      <c r="BZ36" s="215"/>
    </row>
    <row r="37" spans="1:78" x14ac:dyDescent="0.2">
      <c r="A37" s="20" t="str">
        <f>'Language Index'!A56</f>
        <v>Other Operating Exp., Total</v>
      </c>
      <c r="B37" s="20"/>
      <c r="C37" s="20"/>
      <c r="D37" s="22">
        <f>_xll.ciqfunctions.udf.CIQ($C$2, "IQ_TOTAL_OTHER_OPER", D$6,$F$2,,,Ccy,Conv)</f>
        <v>24533</v>
      </c>
      <c r="E37" s="22">
        <f>_xll.ciqfunctions.udf.CIQ($C$2, "IQ_TOTAL_OTHER_OPER", E$6,$F$2,,,Ccy,Conv)</f>
        <v>24380</v>
      </c>
      <c r="F37" s="22">
        <f>_xll.ciqfunctions.udf.CIQ($C$2, "IQ_TOTAL_OTHER_OPER", F$6,$F$2,,,Ccy,Conv)</f>
        <v>24879</v>
      </c>
      <c r="G37" s="22">
        <f>_xll.ciqfunctions.udf.CIQ($C$2, "IQ_TOTAL_OTHER_OPER", G$6,$F$2,,,Ccy,Conv)</f>
        <v>24597</v>
      </c>
      <c r="H37" s="22">
        <f>_xll.ciqfunctions.udf.CIQ($C$2, "IQ_TOTAL_OTHER_OPER", H$6,$F$2,,,Ccy,Conv)</f>
        <v>24978</v>
      </c>
      <c r="I37" s="22">
        <f>_xll.ciqfunctions.udf.CIQ($C$2, "IQ_TOTAL_OTHER_OPER", I$6,$F$2,,,Ccy,Conv)</f>
        <v>25401</v>
      </c>
      <c r="J37" s="22">
        <f>_xll.ciqfunctions.udf.CIQ($C$2, "IQ_TOTAL_OTHER_OPER", J$6,$F$2,,,Ccy,Conv)</f>
        <v>25764</v>
      </c>
      <c r="K37" s="22">
        <f>_xll.ciqfunctions.udf.CIQ($C$2, "IQ_TOTAL_OTHER_OPER", K$6,$F$2,,,Ccy,Conv)</f>
        <v>25727</v>
      </c>
      <c r="L37" s="22">
        <f>_xll.ciqfunctions.udf.CIQ($C$2, "IQ_TOTAL_OTHER_OPER", L$6,$F$2,,,Ccy,Conv)</f>
        <v>25994</v>
      </c>
      <c r="M37" s="22">
        <f>_xll.ciqfunctions.udf.CIQ($C$2, "IQ_TOTAL_OTHER_OPER", M$6,$F$2,,,Ccy,Conv)</f>
        <v>26275</v>
      </c>
      <c r="N37" s="22">
        <f>_xll.ciqfunctions.udf.CIQ($C$2, "IQ_TOTAL_OTHER_OPER", N$6,$F$2,,,Ccy,Conv)</f>
        <v>26728</v>
      </c>
      <c r="O37" s="22"/>
      <c r="P37" s="22">
        <f>_xll.ciqfunctions.udf.CIQ($C$2, "IQ_TOTAL_OTHER_OPER", P$6,$F$2,,,Ccy,Conv)</f>
        <v>26728</v>
      </c>
      <c r="Q37" s="232"/>
      <c r="R37" s="215"/>
      <c r="S37" s="215"/>
      <c r="T37" s="215"/>
      <c r="U37" s="215"/>
      <c r="V37" s="222"/>
      <c r="W37" s="222"/>
      <c r="X37" s="222"/>
      <c r="Y37" s="215"/>
      <c r="Z37" s="215"/>
      <c r="AA37" s="215"/>
      <c r="AB37" s="215"/>
      <c r="AC37" s="215"/>
      <c r="AD37" s="215"/>
      <c r="AE37" s="215"/>
      <c r="AF37" s="215"/>
      <c r="AG37" s="215"/>
      <c r="AH37" s="215"/>
      <c r="AI37" s="215"/>
      <c r="AJ37" s="215"/>
      <c r="AK37" s="215"/>
      <c r="AL37" s="215"/>
      <c r="AM37" s="215"/>
      <c r="AN37" s="215"/>
      <c r="AO37" s="215"/>
      <c r="AP37" s="215"/>
      <c r="AQ37" s="215"/>
      <c r="AR37" s="215"/>
      <c r="AS37" s="215"/>
      <c r="AT37" s="215"/>
      <c r="AU37" s="215"/>
      <c r="AV37" s="215"/>
      <c r="AW37" s="215"/>
      <c r="AX37" s="215"/>
      <c r="AY37" s="215"/>
      <c r="AZ37" s="215"/>
      <c r="BA37" s="215"/>
      <c r="BB37" s="215"/>
      <c r="BC37" s="215"/>
      <c r="BD37" s="215"/>
      <c r="BE37" s="215"/>
      <c r="BF37" s="215"/>
      <c r="BG37" s="215"/>
      <c r="BH37" s="215"/>
      <c r="BI37" s="215"/>
      <c r="BJ37" s="215"/>
      <c r="BK37" s="215"/>
      <c r="BL37" s="215"/>
      <c r="BM37" s="215"/>
      <c r="BN37" s="215"/>
      <c r="BO37" s="215"/>
      <c r="BP37" s="215"/>
      <c r="BQ37" s="215"/>
      <c r="BR37" s="215"/>
      <c r="BS37" s="215"/>
      <c r="BT37" s="215"/>
      <c r="BU37" s="215"/>
      <c r="BV37" s="215"/>
      <c r="BW37" s="215"/>
      <c r="BX37" s="215"/>
      <c r="BY37" s="215"/>
      <c r="BZ37" s="215"/>
    </row>
    <row r="38" spans="1:78" x14ac:dyDescent="0.2">
      <c r="A38" s="16"/>
      <c r="B38" s="16"/>
      <c r="C38" s="16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15"/>
      <c r="R38" s="215"/>
      <c r="S38" s="215"/>
      <c r="T38" s="215"/>
      <c r="U38" s="215"/>
      <c r="V38" s="222"/>
      <c r="W38" s="222"/>
      <c r="X38" s="222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15"/>
      <c r="AQ38" s="215"/>
      <c r="AR38" s="215"/>
      <c r="AS38" s="215"/>
      <c r="AT38" s="215"/>
      <c r="AU38" s="215"/>
      <c r="AV38" s="215"/>
      <c r="AW38" s="215"/>
      <c r="AX38" s="215"/>
      <c r="AY38" s="215"/>
      <c r="AZ38" s="215"/>
      <c r="BA38" s="215"/>
      <c r="BB38" s="215"/>
      <c r="BC38" s="215"/>
      <c r="BD38" s="215"/>
      <c r="BE38" s="215"/>
      <c r="BF38" s="215"/>
      <c r="BG38" s="215"/>
      <c r="BH38" s="215"/>
      <c r="BI38" s="215"/>
      <c r="BJ38" s="215"/>
      <c r="BK38" s="215"/>
      <c r="BL38" s="215"/>
      <c r="BM38" s="215"/>
      <c r="BN38" s="215"/>
      <c r="BO38" s="215"/>
      <c r="BP38" s="215"/>
      <c r="BQ38" s="215"/>
      <c r="BR38" s="215"/>
      <c r="BS38" s="215"/>
      <c r="BT38" s="215"/>
      <c r="BU38" s="215"/>
      <c r="BV38" s="215"/>
      <c r="BW38" s="215"/>
      <c r="BX38" s="215"/>
      <c r="BY38" s="215"/>
      <c r="BZ38" s="215"/>
    </row>
    <row r="39" spans="1:78" ht="13.5" thickBot="1" x14ac:dyDescent="0.25">
      <c r="A39" s="20" t="str">
        <f>'Language Index'!A57</f>
        <v>Operating Income</v>
      </c>
      <c r="B39" s="20"/>
      <c r="C39" s="20"/>
      <c r="D39" s="24">
        <f>_xll.ciqfunctions.udf.CIQ($C$2, "IQ_OPER_INC", D$6,$F$2,,,Ccy,Conv)</f>
        <v>8539</v>
      </c>
      <c r="E39" s="24">
        <f>_xll.ciqfunctions.udf.CIQ($C$2, "IQ_OPER_INC", E$6,$F$2,,,Ccy,Conv)</f>
        <v>9286</v>
      </c>
      <c r="F39" s="24">
        <f>_xll.ciqfunctions.udf.CIQ($C$2, "IQ_OPER_INC", F$6,$F$2,,,Ccy,Conv)</f>
        <v>9421</v>
      </c>
      <c r="G39" s="24">
        <f>_xll.ciqfunctions.udf.CIQ($C$2, "IQ_OPER_INC", G$6,$F$2,,,Ccy,Conv)</f>
        <v>9936</v>
      </c>
      <c r="H39" s="24">
        <f>_xll.ciqfunctions.udf.CIQ($C$2, "IQ_OPER_INC", H$6,$F$2,,,Ccy,Conv)</f>
        <v>10004</v>
      </c>
      <c r="I39" s="24">
        <f>_xll.ciqfunctions.udf.CIQ($C$2, "IQ_OPER_INC", I$6,$F$2,,,Ccy,Conv)</f>
        <v>9978</v>
      </c>
      <c r="J39" s="24">
        <f>_xll.ciqfunctions.udf.CIQ($C$2, "IQ_OPER_INC", J$6,$F$2,,,Ccy,Conv)</f>
        <v>9788</v>
      </c>
      <c r="K39" s="24">
        <f>_xll.ciqfunctions.udf.CIQ($C$2, "IQ_OPER_INC", K$6,$F$2,,,Ccy,Conv)</f>
        <v>10113</v>
      </c>
      <c r="L39" s="24">
        <f>_xll.ciqfunctions.udf.CIQ($C$2, "IQ_OPER_INC", L$6,$F$2,,,Ccy,Conv)</f>
        <v>10874</v>
      </c>
      <c r="M39" s="24">
        <f>_xll.ciqfunctions.udf.CIQ($C$2, "IQ_OPER_INC", M$6,$F$2,,,Ccy,Conv)</f>
        <v>11533</v>
      </c>
      <c r="N39" s="24">
        <f>_xll.ciqfunctions.udf.CIQ($C$2, "IQ_OPER_INC", N$6,$F$2,,,Ccy,Conv)</f>
        <v>12568</v>
      </c>
      <c r="O39" s="22"/>
      <c r="P39" s="24">
        <f>_xll.ciqfunctions.udf.CIQ($C$2, "IQ_OPER_INC", P$6,$F$2,,,Ccy,Conv)</f>
        <v>12568</v>
      </c>
      <c r="Q39" s="232"/>
      <c r="R39" s="215"/>
      <c r="S39" s="215"/>
      <c r="T39" s="215"/>
      <c r="U39" s="215"/>
      <c r="V39" s="233"/>
      <c r="W39" s="233"/>
      <c r="X39" s="233"/>
      <c r="Y39" s="232"/>
      <c r="Z39" s="232"/>
      <c r="AA39" s="232"/>
      <c r="AB39" s="232"/>
      <c r="AC39" s="232"/>
      <c r="AD39" s="232"/>
      <c r="AE39" s="215"/>
      <c r="AF39" s="215"/>
      <c r="AG39" s="215"/>
      <c r="AH39" s="232"/>
      <c r="AI39" s="215"/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215"/>
      <c r="AU39" s="215"/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5"/>
      <c r="BG39" s="215"/>
      <c r="BH39" s="215"/>
      <c r="BI39" s="215"/>
      <c r="BJ39" s="215"/>
      <c r="BK39" s="215"/>
      <c r="BL39" s="215"/>
      <c r="BM39" s="215"/>
      <c r="BN39" s="215"/>
      <c r="BO39" s="215"/>
      <c r="BP39" s="215"/>
      <c r="BQ39" s="215"/>
      <c r="BR39" s="215"/>
      <c r="BS39" s="215"/>
      <c r="BT39" s="215"/>
      <c r="BU39" s="215"/>
      <c r="BV39" s="215"/>
      <c r="BW39" s="215"/>
      <c r="BX39" s="215"/>
      <c r="BY39" s="215"/>
      <c r="BZ39" s="215"/>
    </row>
    <row r="40" spans="1:78" ht="13.5" thickTop="1" x14ac:dyDescent="0.2">
      <c r="A40" s="16"/>
      <c r="B40" s="16"/>
      <c r="C40" s="16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215"/>
      <c r="R40" s="215"/>
      <c r="S40" s="215"/>
      <c r="T40" s="215"/>
      <c r="U40" s="215"/>
      <c r="V40" s="222"/>
      <c r="W40" s="222"/>
      <c r="X40" s="222"/>
      <c r="Y40" s="215"/>
      <c r="Z40" s="215"/>
      <c r="AA40" s="215"/>
      <c r="AB40" s="215"/>
      <c r="AC40" s="215"/>
      <c r="AD40" s="215"/>
      <c r="AE40" s="215"/>
      <c r="AF40" s="215"/>
      <c r="AG40" s="215"/>
      <c r="AH40" s="215"/>
      <c r="AI40" s="215"/>
      <c r="AJ40" s="215"/>
      <c r="AK40" s="215"/>
      <c r="AL40" s="215"/>
      <c r="AM40" s="215"/>
      <c r="AN40" s="215"/>
      <c r="AO40" s="215"/>
      <c r="AP40" s="215"/>
      <c r="AQ40" s="215"/>
      <c r="AR40" s="215"/>
      <c r="AS40" s="215"/>
      <c r="AT40" s="215"/>
      <c r="AU40" s="215"/>
      <c r="AV40" s="215"/>
      <c r="AW40" s="215"/>
      <c r="AX40" s="215"/>
      <c r="AY40" s="215"/>
      <c r="AZ40" s="215"/>
      <c r="BA40" s="215"/>
      <c r="BB40" s="215"/>
      <c r="BC40" s="215"/>
      <c r="BD40" s="215"/>
      <c r="BE40" s="215"/>
      <c r="BF40" s="215"/>
      <c r="BG40" s="215"/>
      <c r="BH40" s="215"/>
      <c r="BI40" s="215"/>
      <c r="BJ40" s="215"/>
      <c r="BK40" s="215"/>
      <c r="BL40" s="215"/>
      <c r="BM40" s="215"/>
      <c r="BN40" s="215"/>
      <c r="BO40" s="215"/>
      <c r="BP40" s="215"/>
      <c r="BQ40" s="215"/>
      <c r="BR40" s="215"/>
      <c r="BS40" s="215"/>
      <c r="BT40" s="215"/>
      <c r="BU40" s="215"/>
      <c r="BV40" s="215"/>
      <c r="BW40" s="215"/>
      <c r="BX40" s="215"/>
      <c r="BY40" s="215"/>
      <c r="BZ40" s="215"/>
    </row>
    <row r="41" spans="1:78" x14ac:dyDescent="0.2">
      <c r="A41" s="2" t="str">
        <f>'Language Index'!A58</f>
        <v>Interest Expense</v>
      </c>
      <c r="B41" s="17"/>
      <c r="C41" s="17"/>
      <c r="D41" s="18">
        <f>_xll.ciqfunctions.udf.CIQ($C$2, "IQ_INTEREST_EXP", D$6,$F$2,,,Ccy,Conv)</f>
        <v>-1399</v>
      </c>
      <c r="E41" s="18">
        <f>_xll.ciqfunctions.udf.CIQ($C$2, "IQ_INTEREST_EXP", E$6,$F$2,,,Ccy,Conv)</f>
        <v>-1515</v>
      </c>
      <c r="F41" s="18">
        <f>_xll.ciqfunctions.udf.CIQ($C$2, "IQ_INTEREST_EXP", F$6,$F$2,,,Ccy,Conv)</f>
        <v>-1607</v>
      </c>
      <c r="G41" s="18">
        <f>_xll.ciqfunctions.udf.CIQ($C$2, "IQ_INTEREST_EXP", G$6,$F$2,,,Ccy,Conv)</f>
        <v>-1672</v>
      </c>
      <c r="H41" s="18">
        <f>_xll.ciqfunctions.udf.CIQ($C$2, "IQ_INTEREST_EXP", H$6,$F$2,,,Ccy,Conv)</f>
        <v>-1676</v>
      </c>
      <c r="I41" s="18">
        <f>_xll.ciqfunctions.udf.CIQ($C$2, "IQ_INTEREST_EXP", I$6,$F$2,,,Ccy,Conv)</f>
        <v>-1693</v>
      </c>
      <c r="J41" s="18">
        <f>_xll.ciqfunctions.udf.CIQ($C$2, "IQ_INTEREST_EXP", J$6,$F$2,,,Ccy,Conv)</f>
        <v>-1712</v>
      </c>
      <c r="K41" s="18">
        <f>_xll.ciqfunctions.udf.CIQ($C$2, "IQ_INTEREST_EXP", K$6,$F$2,,,Ccy,Conv)</f>
        <v>-1735</v>
      </c>
      <c r="L41" s="18">
        <f>_xll.ciqfunctions.udf.CIQ($C$2, "IQ_INTEREST_EXP", L$6,$F$2,,,Ccy,Conv)</f>
        <v>-1818</v>
      </c>
      <c r="M41" s="18">
        <f>_xll.ciqfunctions.udf.CIQ($C$2, "IQ_INTEREST_EXP", M$6,$F$2,,,Ccy,Conv)</f>
        <v>-1881</v>
      </c>
      <c r="N41" s="18">
        <f>_xll.ciqfunctions.udf.CIQ($C$2, "IQ_INTEREST_EXP", N$6,$F$2,,,Ccy,Conv)</f>
        <v>-1935</v>
      </c>
      <c r="O41" s="18"/>
      <c r="P41" s="18">
        <f>_xll.ciqfunctions.udf.CIQ($C$2, "IQ_INTEREST_EXP", P$6,$F$2,,,Ccy,Conv)</f>
        <v>-1935</v>
      </c>
      <c r="Q41" s="232"/>
      <c r="R41" s="215"/>
      <c r="S41" s="215"/>
      <c r="T41" s="215"/>
      <c r="U41" s="215"/>
      <c r="V41" s="233"/>
      <c r="W41" s="233"/>
      <c r="X41" s="233"/>
      <c r="Y41" s="232"/>
      <c r="Z41" s="232"/>
      <c r="AA41" s="232"/>
      <c r="AB41" s="232"/>
      <c r="AC41" s="232"/>
      <c r="AD41" s="232"/>
      <c r="AE41" s="215"/>
      <c r="AF41" s="215"/>
      <c r="AG41" s="215"/>
      <c r="AH41" s="232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</row>
    <row r="42" spans="1:78" x14ac:dyDescent="0.2">
      <c r="A42" s="2" t="str">
        <f>'Language Index'!A59</f>
        <v>Interest and Invest. Income</v>
      </c>
      <c r="B42" s="17"/>
      <c r="C42" s="17"/>
      <c r="D42" s="18">
        <f>_xll.ciqfunctions.udf.CIQ($C$2, "IQ_INTEREST_INVEST_INC", D$6,$F$2,,,Ccy,Conv)</f>
        <v>487</v>
      </c>
      <c r="E42" s="18">
        <f>_xll.ciqfunctions.udf.CIQ($C$2, "IQ_INTEREST_INVEST_INC", E$6,$F$2,,,Ccy,Conv)</f>
        <v>591</v>
      </c>
      <c r="F42" s="18">
        <f>_xll.ciqfunctions.udf.CIQ($C$2, "IQ_INTEREST_INVEST_INC", F$6,$F$2,,,Ccy,Conv)</f>
        <v>670</v>
      </c>
      <c r="G42" s="18">
        <f>_xll.ciqfunctions.udf.CIQ($C$2, "IQ_INTEREST_INVEST_INC", G$6,$F$2,,,Ccy,Conv)</f>
        <v>710</v>
      </c>
      <c r="H42" s="18">
        <f>_xll.ciqfunctions.udf.CIQ($C$2, "IQ_INTEREST_INVEST_INC", H$6,$F$2,,,Ccy,Conv)</f>
        <v>726</v>
      </c>
      <c r="I42" s="18">
        <f>_xll.ciqfunctions.udf.CIQ($C$2, "IQ_INTEREST_INVEST_INC", I$6,$F$2,,,Ccy,Conv)</f>
        <v>740</v>
      </c>
      <c r="J42" s="18">
        <f>_xll.ciqfunctions.udf.CIQ($C$2, "IQ_INTEREST_INVEST_INC", J$6,$F$2,,,Ccy,Conv)</f>
        <v>747</v>
      </c>
      <c r="K42" s="18">
        <f>_xll.ciqfunctions.udf.CIQ($C$2, "IQ_INTEREST_INVEST_INC", K$6,$F$2,,,Ccy,Conv)</f>
        <v>728</v>
      </c>
      <c r="L42" s="18">
        <f>_xll.ciqfunctions.udf.CIQ($C$2, "IQ_INTEREST_INVEST_INC", L$6,$F$2,,,Ccy,Conv)</f>
        <v>683</v>
      </c>
      <c r="M42" s="18">
        <f>_xll.ciqfunctions.udf.CIQ($C$2, "IQ_INTEREST_INVEST_INC", M$6,$F$2,,,Ccy,Conv)</f>
        <v>663</v>
      </c>
      <c r="N42" s="18">
        <f>_xll.ciqfunctions.udf.CIQ($C$2, "IQ_INTEREST_INVEST_INC", N$6,$F$2,,,Ccy,Conv)</f>
        <v>645</v>
      </c>
      <c r="O42" s="18"/>
      <c r="P42" s="18">
        <f>_xll.ciqfunctions.udf.CIQ($C$2, "IQ_INTEREST_INVEST_INC", P$6,$F$2,,,Ccy,Conv)</f>
        <v>645</v>
      </c>
      <c r="Q42" s="215"/>
      <c r="R42" s="215"/>
      <c r="S42" s="215"/>
      <c r="T42" s="215"/>
      <c r="U42" s="215"/>
      <c r="V42" s="222"/>
      <c r="W42" s="222"/>
      <c r="X42" s="222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5"/>
      <c r="BN42" s="215"/>
      <c r="BO42" s="215"/>
      <c r="BP42" s="215"/>
      <c r="BQ42" s="215"/>
      <c r="BR42" s="215"/>
      <c r="BS42" s="215"/>
      <c r="BT42" s="215"/>
      <c r="BU42" s="215"/>
      <c r="BV42" s="215"/>
      <c r="BW42" s="215"/>
      <c r="BX42" s="215"/>
      <c r="BY42" s="215"/>
      <c r="BZ42" s="215"/>
    </row>
    <row r="43" spans="1:78" x14ac:dyDescent="0.2">
      <c r="A43" s="20" t="str">
        <f>'Language Index'!A60</f>
        <v>Net Interest Exp.</v>
      </c>
      <c r="B43" s="20"/>
      <c r="C43" s="20"/>
      <c r="D43" s="21">
        <f>_xll.ciqfunctions.udf.CIQ($C$2, "IQ_NET_INTEREST_EXP", D$6,$F$2,,,Ccy,Conv)</f>
        <v>-912</v>
      </c>
      <c r="E43" s="21">
        <f>_xll.ciqfunctions.udf.CIQ($C$2, "IQ_NET_INTEREST_EXP", E$6,$F$2,,,Ccy,Conv)</f>
        <v>-924</v>
      </c>
      <c r="F43" s="21">
        <f>_xll.ciqfunctions.udf.CIQ($C$2, "IQ_NET_INTEREST_EXP", F$6,$F$2,,,Ccy,Conv)</f>
        <v>-937</v>
      </c>
      <c r="G43" s="21">
        <f>_xll.ciqfunctions.udf.CIQ($C$2, "IQ_NET_INTEREST_EXP", G$6,$F$2,,,Ccy,Conv)</f>
        <v>-962</v>
      </c>
      <c r="H43" s="21">
        <f>_xll.ciqfunctions.udf.CIQ($C$2, "IQ_NET_INTEREST_EXP", H$6,$F$2,,,Ccy,Conv)</f>
        <v>-950</v>
      </c>
      <c r="I43" s="21">
        <f>_xll.ciqfunctions.udf.CIQ($C$2, "IQ_NET_INTEREST_EXP", I$6,$F$2,,,Ccy,Conv)</f>
        <v>-953</v>
      </c>
      <c r="J43" s="21">
        <f>_xll.ciqfunctions.udf.CIQ($C$2, "IQ_NET_INTEREST_EXP", J$6,$F$2,,,Ccy,Conv)</f>
        <v>-965</v>
      </c>
      <c r="K43" s="21">
        <f>_xll.ciqfunctions.udf.CIQ($C$2, "IQ_NET_INTEREST_EXP", K$6,$F$2,,,Ccy,Conv)</f>
        <v>-1007</v>
      </c>
      <c r="L43" s="21">
        <f>_xll.ciqfunctions.udf.CIQ($C$2, "IQ_NET_INTEREST_EXP", L$6,$F$2,,,Ccy,Conv)</f>
        <v>-1135</v>
      </c>
      <c r="M43" s="21">
        <f>_xll.ciqfunctions.udf.CIQ($C$2, "IQ_NET_INTEREST_EXP", M$6,$F$2,,,Ccy,Conv)</f>
        <v>-1218</v>
      </c>
      <c r="N43" s="21">
        <f>_xll.ciqfunctions.udf.CIQ($C$2, "IQ_NET_INTEREST_EXP", N$6,$F$2,,,Ccy,Conv)</f>
        <v>-1290</v>
      </c>
      <c r="O43" s="22"/>
      <c r="P43" s="21">
        <f>_xll.ciqfunctions.udf.CIQ($C$2, "IQ_NET_INTEREST_EXP", P$6,$F$2,,,Ccy,Conv)</f>
        <v>-1290</v>
      </c>
      <c r="Q43" s="215"/>
      <c r="R43" s="215"/>
      <c r="S43" s="215"/>
      <c r="T43" s="215"/>
      <c r="U43" s="215"/>
      <c r="V43" s="222"/>
      <c r="W43" s="222"/>
      <c r="X43" s="222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5"/>
      <c r="BN43" s="215"/>
      <c r="BO43" s="215"/>
      <c r="BP43" s="215"/>
      <c r="BQ43" s="215"/>
      <c r="BR43" s="215"/>
      <c r="BS43" s="215"/>
      <c r="BT43" s="215"/>
      <c r="BU43" s="215"/>
      <c r="BV43" s="215"/>
      <c r="BW43" s="215"/>
      <c r="BX43" s="215"/>
      <c r="BY43" s="215"/>
      <c r="BZ43" s="215"/>
    </row>
    <row r="44" spans="1:78" x14ac:dyDescent="0.2">
      <c r="A44" s="16"/>
      <c r="B44" s="16"/>
      <c r="C44" s="16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15"/>
      <c r="R44" s="215"/>
      <c r="S44" s="215"/>
      <c r="T44" s="215"/>
      <c r="U44" s="215"/>
      <c r="V44" s="222"/>
      <c r="W44" s="222"/>
      <c r="X44" s="222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5"/>
      <c r="BN44" s="215"/>
      <c r="BO44" s="215"/>
      <c r="BP44" s="215"/>
      <c r="BQ44" s="215"/>
      <c r="BR44" s="215"/>
      <c r="BS44" s="215"/>
      <c r="BT44" s="215"/>
      <c r="BU44" s="215"/>
      <c r="BV44" s="215"/>
      <c r="BW44" s="215"/>
      <c r="BX44" s="215"/>
      <c r="BY44" s="215"/>
      <c r="BZ44" s="215"/>
    </row>
    <row r="45" spans="1:78" x14ac:dyDescent="0.2">
      <c r="A45" s="2" t="str">
        <f>'Language Index'!A61</f>
        <v>Income / (Loss) from Affiliates</v>
      </c>
      <c r="B45" s="16"/>
      <c r="C45" s="16"/>
      <c r="D45" s="18">
        <f>_xll.ciqfunctions.udf.CIQ($C$2, "IQ_INC_EQUITY", D$6,$F$2,,,Ccy,Conv)</f>
        <v>0</v>
      </c>
      <c r="E45" s="18">
        <f>_xll.ciqfunctions.udf.CIQ($C$2, "IQ_INC_EQUITY", E$6,$F$2,,,Ccy,Conv)</f>
        <v>0</v>
      </c>
      <c r="F45" s="18">
        <f>_xll.ciqfunctions.udf.CIQ($C$2, "IQ_INC_EQUITY", F$6,$F$2,,,Ccy,Conv)</f>
        <v>0</v>
      </c>
      <c r="G45" s="18">
        <f>_xll.ciqfunctions.udf.CIQ($C$2, "IQ_INC_EQUITY", G$6,$F$2,,,Ccy,Conv)</f>
        <v>0</v>
      </c>
      <c r="H45" s="18">
        <f>_xll.ciqfunctions.udf.CIQ($C$2, "IQ_INC_EQUITY", H$6,$F$2,,,Ccy,Conv)</f>
        <v>0</v>
      </c>
      <c r="I45" s="18">
        <f>_xll.ciqfunctions.udf.CIQ($C$2, "IQ_INC_EQUITY", I$6,$F$2,,,Ccy,Conv)</f>
        <v>0</v>
      </c>
      <c r="J45" s="18">
        <f>_xll.ciqfunctions.udf.CIQ($C$2, "IQ_INC_EQUITY", J$6,$F$2,,,Ccy,Conv)</f>
        <v>0</v>
      </c>
      <c r="K45" s="18">
        <f>_xll.ciqfunctions.udf.CIQ($C$2, "IQ_INC_EQUITY", K$6,$F$2,,,Ccy,Conv)</f>
        <v>0</v>
      </c>
      <c r="L45" s="18">
        <f>_xll.ciqfunctions.udf.CIQ($C$2, "IQ_INC_EQUITY", L$6,$F$2,,,Ccy,Conv)</f>
        <v>0</v>
      </c>
      <c r="M45" s="18">
        <f>_xll.ciqfunctions.udf.CIQ($C$2, "IQ_INC_EQUITY", M$6,$F$2,,,Ccy,Conv)</f>
        <v>0</v>
      </c>
      <c r="N45" s="18">
        <f>_xll.ciqfunctions.udf.CIQ($C$2, "IQ_INC_EQUITY", N$6,$F$2,,,Ccy,Conv)</f>
        <v>0</v>
      </c>
      <c r="O45" s="18"/>
      <c r="P45" s="18">
        <f>_xll.ciqfunctions.udf.CIQ($C$2, "IQ_INC_EQUITY", P$6,$F$2,,,Ccy,Conv)</f>
        <v>0</v>
      </c>
      <c r="Q45" s="232"/>
      <c r="R45" s="215"/>
      <c r="S45" s="215"/>
      <c r="T45" s="215"/>
      <c r="U45" s="215"/>
      <c r="V45" s="233"/>
      <c r="W45" s="233"/>
      <c r="X45" s="233"/>
      <c r="Y45" s="232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</row>
    <row r="46" spans="1:78" x14ac:dyDescent="0.2">
      <c r="A46" s="2" t="str">
        <f>'Language Index'!A62</f>
        <v>Currency Exchange Gains (Loss)</v>
      </c>
      <c r="B46" s="16"/>
      <c r="C46" s="16"/>
      <c r="D46" s="18">
        <f>_xll.ciqfunctions.udf.CIQ($C$2, "IQ_CURRENCY_GAIN", D$6,$F$2,,,Ccy,Conv)</f>
        <v>363</v>
      </c>
      <c r="E46" s="18">
        <f>_xll.ciqfunctions.udf.CIQ($C$2, "IQ_CURRENCY_GAIN", E$6,$F$2,,,Ccy,Conv)</f>
        <v>158</v>
      </c>
      <c r="F46" s="18">
        <f>_xll.ciqfunctions.udf.CIQ($C$2, "IQ_CURRENCY_GAIN", F$6,$F$2,,,Ccy,Conv)</f>
        <v>-69</v>
      </c>
      <c r="G46" s="18">
        <f>_xll.ciqfunctions.udf.CIQ($C$2, "IQ_CURRENCY_GAIN", G$6,$F$2,,,Ccy,Conv)</f>
        <v>-205</v>
      </c>
      <c r="H46" s="18">
        <f>_xll.ciqfunctions.udf.CIQ($C$2, "IQ_CURRENCY_GAIN", H$6,$F$2,,,Ccy,Conv)</f>
        <v>-194</v>
      </c>
      <c r="I46" s="18">
        <f>_xll.ciqfunctions.udf.CIQ($C$2, "IQ_CURRENCY_GAIN", I$6,$F$2,,,Ccy,Conv)</f>
        <v>-169</v>
      </c>
      <c r="J46" s="18">
        <f>_xll.ciqfunctions.udf.CIQ($C$2, "IQ_CURRENCY_GAIN", J$6,$F$2,,,Ccy,Conv)</f>
        <v>20</v>
      </c>
      <c r="K46" s="18">
        <f>_xll.ciqfunctions.udf.CIQ($C$2, "IQ_CURRENCY_GAIN", K$6,$F$2,,,Ccy,Conv)</f>
        <v>101</v>
      </c>
      <c r="L46" s="18">
        <f>_xll.ciqfunctions.udf.CIQ($C$2, "IQ_CURRENCY_GAIN", L$6,$F$2,,,Ccy,Conv)</f>
        <v>-70</v>
      </c>
      <c r="M46" s="18">
        <f>_xll.ciqfunctions.udf.CIQ($C$2, "IQ_CURRENCY_GAIN", M$6,$F$2,,,Ccy,Conv)</f>
        <v>-79</v>
      </c>
      <c r="N46" s="18">
        <f>_xll.ciqfunctions.udf.CIQ($C$2, "IQ_CURRENCY_GAIN", N$6,$F$2,,,Ccy,Conv)</f>
        <v>-244</v>
      </c>
      <c r="O46" s="18"/>
      <c r="P46" s="18">
        <f>_xll.ciqfunctions.udf.CIQ($C$2, "IQ_CURRENCY_GAIN", P$6,$F$2,,,Ccy,Conv)</f>
        <v>-244</v>
      </c>
      <c r="Q46" s="215"/>
      <c r="R46" s="215"/>
      <c r="S46" s="215"/>
      <c r="T46" s="215"/>
      <c r="U46" s="215"/>
      <c r="V46" s="222"/>
      <c r="W46" s="222"/>
      <c r="X46" s="222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5"/>
      <c r="BN46" s="215"/>
      <c r="BO46" s="215"/>
      <c r="BP46" s="215"/>
      <c r="BQ46" s="215"/>
      <c r="BR46" s="215"/>
      <c r="BS46" s="215"/>
      <c r="BT46" s="215"/>
      <c r="BU46" s="215"/>
      <c r="BV46" s="215"/>
      <c r="BW46" s="215"/>
      <c r="BX46" s="215"/>
      <c r="BY46" s="215"/>
      <c r="BZ46" s="215"/>
    </row>
    <row r="47" spans="1:78" x14ac:dyDescent="0.2">
      <c r="A47" s="2" t="str">
        <f>'Language Index'!A63</f>
        <v>Other Non-Operating Inc. (Exp.)</v>
      </c>
      <c r="B47" s="17"/>
      <c r="C47" s="17"/>
      <c r="D47" s="18">
        <f>_xll.ciqfunctions.udf.CIQ($C$2, "IQ_OTHER_NON_OPER_EXP_SUPPL", D$6,$F$2,,,Ccy,Conv)</f>
        <v>97</v>
      </c>
      <c r="E47" s="18">
        <f>_xll.ciqfunctions.udf.CIQ($C$2, "IQ_OTHER_NON_OPER_EXP_SUPPL", E$6,$F$2,,,Ccy,Conv)</f>
        <v>446</v>
      </c>
      <c r="F47" s="18">
        <f>_xll.ciqfunctions.udf.CIQ($C$2, "IQ_OTHER_NON_OPER_EXP_SUPPL", F$6,$F$2,,,Ccy,Conv)</f>
        <v>236</v>
      </c>
      <c r="G47" s="18">
        <f>_xll.ciqfunctions.udf.CIQ($C$2, "IQ_OTHER_NON_OPER_EXP_SUPPL", G$6,$F$2,,,Ccy,Conv)</f>
        <v>243</v>
      </c>
      <c r="H47" s="18">
        <f>_xll.ciqfunctions.udf.CIQ($C$2, "IQ_OTHER_NON_OPER_EXP_SUPPL", H$6,$F$2,,,Ccy,Conv)</f>
        <v>299</v>
      </c>
      <c r="I47" s="18">
        <f>_xll.ciqfunctions.udf.CIQ($C$2, "IQ_OTHER_NON_OPER_EXP_SUPPL", I$6,$F$2,,,Ccy,Conv)</f>
        <v>261</v>
      </c>
      <c r="J47" s="18">
        <f>_xll.ciqfunctions.udf.CIQ($C$2, "IQ_OTHER_NON_OPER_EXP_SUPPL", J$6,$F$2,,,Ccy,Conv)</f>
        <v>274</v>
      </c>
      <c r="K47" s="18">
        <f>_xll.ciqfunctions.udf.CIQ($C$2, "IQ_OTHER_NON_OPER_EXP_SUPPL", K$6,$F$2,,,Ccy,Conv)</f>
        <v>204</v>
      </c>
      <c r="L47" s="18">
        <f>_xll.ciqfunctions.udf.CIQ($C$2, "IQ_OTHER_NON_OPER_EXP_SUPPL", L$6,$F$2,,,Ccy,Conv)</f>
        <v>114</v>
      </c>
      <c r="M47" s="18">
        <f>_xll.ciqfunctions.udf.CIQ($C$2, "IQ_OTHER_NON_OPER_EXP_SUPPL", M$6,$F$2,,,Ccy,Conv)</f>
        <v>138</v>
      </c>
      <c r="N47" s="18">
        <f>_xll.ciqfunctions.udf.CIQ($C$2, "IQ_OTHER_NON_OPER_EXP_SUPPL", N$6,$F$2,,,Ccy,Conv)</f>
        <v>125</v>
      </c>
      <c r="O47" s="18"/>
      <c r="P47" s="18">
        <f>_xll.ciqfunctions.udf.CIQ($C$2, "IQ_OTHER_NON_OPER_EXP_SUPPL", P$6,$F$2,,,Ccy,Conv)</f>
        <v>125</v>
      </c>
      <c r="Q47" s="215"/>
      <c r="R47" s="215"/>
      <c r="S47" s="215"/>
      <c r="T47" s="215"/>
      <c r="U47" s="215"/>
      <c r="V47" s="222"/>
      <c r="W47" s="222"/>
      <c r="X47" s="222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5"/>
      <c r="BN47" s="215"/>
      <c r="BO47" s="215"/>
      <c r="BP47" s="215"/>
      <c r="BQ47" s="215"/>
      <c r="BR47" s="215"/>
      <c r="BS47" s="215"/>
      <c r="BT47" s="215"/>
      <c r="BU47" s="215"/>
      <c r="BV47" s="215"/>
      <c r="BW47" s="215"/>
      <c r="BX47" s="215"/>
      <c r="BY47" s="215"/>
      <c r="BZ47" s="215"/>
    </row>
    <row r="48" spans="1:78" x14ac:dyDescent="0.2">
      <c r="A48" s="20" t="str">
        <f>'Language Index'!A64</f>
        <v>EBT Excl Unusual Items</v>
      </c>
      <c r="B48" s="20"/>
      <c r="C48" s="20"/>
      <c r="D48" s="21">
        <f>_xll.ciqfunctions.udf.CIQ($C$2, "IQ_EBT_EXCL", D$6,$F$2,,,Ccy,Conv)</f>
        <v>8087</v>
      </c>
      <c r="E48" s="21">
        <f>_xll.ciqfunctions.udf.CIQ($C$2, "IQ_EBT_EXCL", E$6,$F$2,,,Ccy,Conv)</f>
        <v>8966</v>
      </c>
      <c r="F48" s="21">
        <f>_xll.ciqfunctions.udf.CIQ($C$2, "IQ_EBT_EXCL", F$6,$F$2,,,Ccy,Conv)</f>
        <v>8651</v>
      </c>
      <c r="G48" s="21">
        <f>_xll.ciqfunctions.udf.CIQ($C$2, "IQ_EBT_EXCL", G$6,$F$2,,,Ccy,Conv)</f>
        <v>9012</v>
      </c>
      <c r="H48" s="21">
        <f>_xll.ciqfunctions.udf.CIQ($C$2, "IQ_EBT_EXCL", H$6,$F$2,,,Ccy,Conv)</f>
        <v>9159</v>
      </c>
      <c r="I48" s="21">
        <f>_xll.ciqfunctions.udf.CIQ($C$2, "IQ_EBT_EXCL", I$6,$F$2,,,Ccy,Conv)</f>
        <v>9117</v>
      </c>
      <c r="J48" s="21">
        <f>_xll.ciqfunctions.udf.CIQ($C$2, "IQ_EBT_EXCL", J$6,$F$2,,,Ccy,Conv)</f>
        <v>9117</v>
      </c>
      <c r="K48" s="21">
        <f>_xll.ciqfunctions.udf.CIQ($C$2, "IQ_EBT_EXCL", K$6,$F$2,,,Ccy,Conv)</f>
        <v>9411</v>
      </c>
      <c r="L48" s="21">
        <f>_xll.ciqfunctions.udf.CIQ($C$2, "IQ_EBT_EXCL", L$6,$F$2,,,Ccy,Conv)</f>
        <v>9783</v>
      </c>
      <c r="M48" s="21">
        <f>_xll.ciqfunctions.udf.CIQ($C$2, "IQ_EBT_EXCL", M$6,$F$2,,,Ccy,Conv)</f>
        <v>10374</v>
      </c>
      <c r="N48" s="21">
        <f>_xll.ciqfunctions.udf.CIQ($C$2, "IQ_EBT_EXCL", N$6,$F$2,,,Ccy,Conv)</f>
        <v>11159</v>
      </c>
      <c r="O48" s="22"/>
      <c r="P48" s="21">
        <f>_xll.ciqfunctions.udf.CIQ($C$2, "IQ_EBT_EXCL", P$6,$F$2,,,Ccy,Conv)</f>
        <v>11159</v>
      </c>
      <c r="Q48" s="232"/>
      <c r="R48" s="215"/>
      <c r="S48" s="215"/>
      <c r="T48" s="215"/>
      <c r="U48" s="215"/>
      <c r="V48" s="233"/>
      <c r="W48" s="233"/>
      <c r="X48" s="233"/>
      <c r="Y48" s="232"/>
      <c r="Z48" s="232"/>
      <c r="AA48" s="232"/>
      <c r="AB48" s="232"/>
      <c r="AC48" s="232"/>
      <c r="AD48" s="232"/>
      <c r="AE48" s="215"/>
      <c r="AF48" s="215"/>
      <c r="AG48" s="215"/>
      <c r="AH48" s="232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5"/>
      <c r="BN48" s="215"/>
      <c r="BO48" s="215"/>
      <c r="BP48" s="215"/>
      <c r="BQ48" s="215"/>
      <c r="BR48" s="215"/>
      <c r="BS48" s="215"/>
      <c r="BT48" s="215"/>
      <c r="BU48" s="215"/>
      <c r="BV48" s="215"/>
      <c r="BW48" s="215"/>
      <c r="BX48" s="215"/>
      <c r="BY48" s="215"/>
      <c r="BZ48" s="215"/>
    </row>
    <row r="49" spans="1:78" x14ac:dyDescent="0.2">
      <c r="A49" s="16"/>
      <c r="B49" s="16"/>
      <c r="C49" s="16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215"/>
      <c r="R49" s="215"/>
      <c r="S49" s="215"/>
      <c r="T49" s="215"/>
      <c r="U49" s="215"/>
      <c r="V49" s="222"/>
      <c r="W49" s="222"/>
      <c r="X49" s="222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5"/>
      <c r="BN49" s="215"/>
      <c r="BO49" s="215"/>
      <c r="BP49" s="215"/>
      <c r="BQ49" s="215"/>
      <c r="BR49" s="215"/>
      <c r="BS49" s="215"/>
      <c r="BT49" s="215"/>
      <c r="BU49" s="215"/>
      <c r="BV49" s="215"/>
      <c r="BW49" s="215"/>
      <c r="BX49" s="215"/>
      <c r="BY49" s="215"/>
      <c r="BZ49" s="215"/>
    </row>
    <row r="50" spans="1:78" x14ac:dyDescent="0.2">
      <c r="A50" s="2" t="str">
        <f>'Language Index'!A65</f>
        <v>Restructuring Charges</v>
      </c>
      <c r="B50" s="16"/>
      <c r="C50" s="16"/>
      <c r="D50" s="18">
        <f>_xll.ciqfunctions.udf.CIQ($C$2, "IQ_RESTRUCTURE", D$6,$F$2,,,Ccy,Conv)</f>
        <v>-393</v>
      </c>
      <c r="E50" s="18">
        <f>_xll.ciqfunctions.udf.CIQ($C$2, "IQ_RESTRUCTURE", E$6,$F$2,,,Ccy,Conv)</f>
        <v>-414</v>
      </c>
      <c r="F50" s="18">
        <f>_xll.ciqfunctions.udf.CIQ($C$2, "IQ_RESTRUCTURE", F$6,$F$2,,,Ccy,Conv)</f>
        <v>0</v>
      </c>
      <c r="G50" s="18">
        <f>_xll.ciqfunctions.udf.CIQ($C$2, "IQ_RESTRUCTURE", G$6,$F$2,,,Ccy,Conv)</f>
        <v>-554</v>
      </c>
      <c r="H50" s="18">
        <f>_xll.ciqfunctions.udf.CIQ($C$2, "IQ_RESTRUCTURE", H$6,$F$2,,,Ccy,Conv)</f>
        <v>-457</v>
      </c>
      <c r="I50" s="18">
        <f>_xll.ciqfunctions.udf.CIQ($C$2, "IQ_RESTRUCTURE", I$6,$F$2,,,Ccy,Conv)</f>
        <v>-729</v>
      </c>
      <c r="J50" s="18">
        <f>_xll.ciqfunctions.udf.CIQ($C$2, "IQ_RESTRUCTURE", J$6,$F$2,,,Ccy,Conv)</f>
        <v>-696</v>
      </c>
      <c r="K50" s="18">
        <f>_xll.ciqfunctions.udf.CIQ($C$2, "IQ_RESTRUCTURE", K$6,$F$2,,,Ccy,Conv)</f>
        <v>-637</v>
      </c>
      <c r="L50" s="18">
        <f>_xll.ciqfunctions.udf.CIQ($C$2, "IQ_RESTRUCTURE", L$6,$F$2,,,Ccy,Conv)</f>
        <v>-634</v>
      </c>
      <c r="M50" s="18">
        <f>_xll.ciqfunctions.udf.CIQ($C$2, "IQ_RESTRUCTURE", M$6,$F$2,,,Ccy,Conv)</f>
        <v>-372</v>
      </c>
      <c r="N50" s="18">
        <f>_xll.ciqfunctions.udf.CIQ($C$2, "IQ_RESTRUCTURE", N$6,$F$2,,,Ccy,Conv)</f>
        <v>-670</v>
      </c>
      <c r="O50" s="18"/>
      <c r="P50" s="18">
        <f>_xll.ciqfunctions.udf.CIQ($C$2, "IQ_RESTRUCTURE", P$6,$F$2,,,Ccy,Conv)</f>
        <v>-670</v>
      </c>
      <c r="Q50" s="232"/>
      <c r="R50" s="215"/>
      <c r="S50" s="215"/>
      <c r="T50" s="215"/>
      <c r="U50" s="215"/>
      <c r="V50" s="233"/>
      <c r="W50" s="233"/>
      <c r="X50" s="233"/>
      <c r="Y50" s="232"/>
      <c r="Z50" s="232"/>
      <c r="AA50" s="232"/>
      <c r="AB50" s="232"/>
      <c r="AC50" s="232"/>
      <c r="AD50" s="232"/>
      <c r="AE50" s="215"/>
      <c r="AF50" s="215"/>
      <c r="AG50" s="215"/>
      <c r="AH50" s="232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15"/>
      <c r="AU50" s="215"/>
      <c r="AV50" s="215"/>
      <c r="AW50" s="215"/>
      <c r="AX50" s="215"/>
      <c r="AY50" s="215"/>
      <c r="AZ50" s="215"/>
      <c r="BA50" s="215"/>
      <c r="BB50" s="215"/>
      <c r="BC50" s="215"/>
      <c r="BD50" s="215"/>
      <c r="BE50" s="215"/>
      <c r="BF50" s="215"/>
      <c r="BG50" s="215"/>
      <c r="BH50" s="215"/>
      <c r="BI50" s="215"/>
      <c r="BJ50" s="215"/>
      <c r="BK50" s="215"/>
      <c r="BL50" s="215"/>
      <c r="BM50" s="215"/>
      <c r="BN50" s="215"/>
      <c r="BO50" s="215"/>
      <c r="BP50" s="215"/>
      <c r="BQ50" s="215"/>
      <c r="BR50" s="215"/>
      <c r="BS50" s="215"/>
      <c r="BT50" s="215"/>
      <c r="BU50" s="215"/>
      <c r="BV50" s="215"/>
      <c r="BW50" s="215"/>
      <c r="BX50" s="215"/>
      <c r="BY50" s="215"/>
      <c r="BZ50" s="215"/>
    </row>
    <row r="51" spans="1:78" x14ac:dyDescent="0.2">
      <c r="A51" s="2" t="str">
        <f>'Language Index'!A66</f>
        <v>Merger &amp; Related Restruct. Charges</v>
      </c>
      <c r="B51" s="17"/>
      <c r="C51" s="17"/>
      <c r="D51" s="18">
        <f>_xll.ciqfunctions.udf.CIQ($C$2, "IQ_MERGER", D$6,$F$2,,,Ccy,Conv)</f>
        <v>-19</v>
      </c>
      <c r="E51" s="18">
        <f>_xll.ciqfunctions.udf.CIQ($C$2, "IQ_MERGER", E$6,$F$2,,,Ccy,Conv)</f>
        <v>-43</v>
      </c>
      <c r="F51" s="18">
        <f>_xll.ciqfunctions.udf.CIQ($C$2, "IQ_MERGER", F$6,$F$2,,,Ccy,Conv)</f>
        <v>0</v>
      </c>
      <c r="G51" s="18">
        <f>_xll.ciqfunctions.udf.CIQ($C$2, "IQ_MERGER", G$6,$F$2,,,Ccy,Conv)</f>
        <v>-89</v>
      </c>
      <c r="H51" s="18">
        <f>_xll.ciqfunctions.udf.CIQ($C$2, "IQ_MERGER", H$6,$F$2,,,Ccy,Conv)</f>
        <v>-120</v>
      </c>
      <c r="I51" s="18">
        <f>_xll.ciqfunctions.udf.CIQ($C$2, "IQ_MERGER", I$6,$F$2,,,Ccy,Conv)</f>
        <v>-106</v>
      </c>
      <c r="J51" s="18">
        <f>_xll.ciqfunctions.udf.CIQ($C$2, "IQ_MERGER", J$6,$F$2,,,Ccy,Conv)</f>
        <v>-123</v>
      </c>
      <c r="K51" s="18">
        <f>_xll.ciqfunctions.udf.CIQ($C$2, "IQ_MERGER", K$6,$F$2,,,Ccy,Conv)</f>
        <v>-125</v>
      </c>
      <c r="L51" s="18">
        <f>_xll.ciqfunctions.udf.CIQ($C$2, "IQ_MERGER", L$6,$F$2,,,Ccy,Conv)</f>
        <v>-143</v>
      </c>
      <c r="M51" s="18">
        <f>_xll.ciqfunctions.udf.CIQ($C$2, "IQ_MERGER", M$6,$F$2,,,Ccy,Conv)</f>
        <v>-134</v>
      </c>
      <c r="N51" s="18">
        <f>_xll.ciqfunctions.udf.CIQ($C$2, "IQ_MERGER", N$6,$F$2,,,Ccy,Conv)</f>
        <v>-153</v>
      </c>
      <c r="O51" s="18"/>
      <c r="P51" s="18">
        <f>_xll.ciqfunctions.udf.CIQ($C$2, "IQ_MERGER", P$6,$F$2,,,Ccy,Conv)</f>
        <v>-153</v>
      </c>
      <c r="Q51" s="215"/>
      <c r="R51" s="215"/>
      <c r="S51" s="215"/>
      <c r="T51" s="215"/>
      <c r="U51" s="215"/>
      <c r="V51" s="222"/>
      <c r="W51" s="222"/>
      <c r="X51" s="222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</row>
    <row r="52" spans="1:78" x14ac:dyDescent="0.2">
      <c r="A52" s="2" t="str">
        <f>'Language Index'!A67</f>
        <v>Impairment of Goodwill</v>
      </c>
      <c r="B52" s="17"/>
      <c r="C52" s="17"/>
      <c r="D52" s="18">
        <f>_xll.ciqfunctions.udf.CIQ($C$2, "IQ_IMPAIRMENT_GW", D$6,$F$2,,,Ccy,Conv)</f>
        <v>0</v>
      </c>
      <c r="E52" s="18">
        <f>_xll.ciqfunctions.udf.CIQ($C$2, "IQ_IMPAIRMENT_GW", E$6,$F$2,,,Ccy,Conv)</f>
        <v>0</v>
      </c>
      <c r="F52" s="18">
        <f>_xll.ciqfunctions.udf.CIQ($C$2, "IQ_IMPAIRMENT_GW", F$6,$F$2,,,Ccy,Conv)</f>
        <v>0</v>
      </c>
      <c r="G52" s="18">
        <f>_xll.ciqfunctions.udf.CIQ($C$2, "IQ_IMPAIRMENT_GW", G$6,$F$2,,,Ccy,Conv)</f>
        <v>0</v>
      </c>
      <c r="H52" s="18">
        <f>_xll.ciqfunctions.udf.CIQ($C$2, "IQ_IMPAIRMENT_GW", H$6,$F$2,,,Ccy,Conv)</f>
        <v>0</v>
      </c>
      <c r="I52" s="18">
        <f>_xll.ciqfunctions.udf.CIQ($C$2, "IQ_IMPAIRMENT_GW", I$6,$F$2,,,Ccy,Conv)</f>
        <v>0</v>
      </c>
      <c r="J52" s="18">
        <f>_xll.ciqfunctions.udf.CIQ($C$2, "IQ_IMPAIRMENT_GW", J$6,$F$2,,,Ccy,Conv)</f>
        <v>0</v>
      </c>
      <c r="K52" s="18">
        <f>_xll.ciqfunctions.udf.CIQ($C$2, "IQ_IMPAIRMENT_GW", K$6,$F$2,,,Ccy,Conv)</f>
        <v>0</v>
      </c>
      <c r="L52" s="18">
        <f>_xll.ciqfunctions.udf.CIQ($C$2, "IQ_IMPAIRMENT_GW", L$6,$F$2,,,Ccy,Conv)</f>
        <v>0</v>
      </c>
      <c r="M52" s="18">
        <f>_xll.ciqfunctions.udf.CIQ($C$2, "IQ_IMPAIRMENT_GW", M$6,$F$2,,,Ccy,Conv)</f>
        <v>0</v>
      </c>
      <c r="N52" s="18">
        <f>_xll.ciqfunctions.udf.CIQ($C$2, "IQ_IMPAIRMENT_GW", N$6,$F$2,,,Ccy,Conv)</f>
        <v>0</v>
      </c>
      <c r="O52" s="18"/>
      <c r="P52" s="18">
        <f>_xll.ciqfunctions.udf.CIQ($C$2, "IQ_IMPAIRMENT_GW", P$6,$F$2,,,Ccy,Conv)</f>
        <v>0</v>
      </c>
      <c r="Q52" s="215"/>
      <c r="R52" s="215"/>
      <c r="S52" s="215"/>
      <c r="T52" s="215"/>
      <c r="U52" s="215"/>
      <c r="V52" s="222"/>
      <c r="W52" s="222"/>
      <c r="X52" s="222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15"/>
      <c r="AU52" s="215"/>
      <c r="AV52" s="215"/>
      <c r="AW52" s="215"/>
      <c r="AX52" s="215"/>
      <c r="AY52" s="215"/>
      <c r="AZ52" s="215"/>
      <c r="BA52" s="215"/>
      <c r="BB52" s="215"/>
      <c r="BC52" s="215"/>
      <c r="BD52" s="215"/>
      <c r="BE52" s="215"/>
      <c r="BF52" s="215"/>
      <c r="BG52" s="215"/>
      <c r="BH52" s="215"/>
      <c r="BI52" s="215"/>
      <c r="BJ52" s="215"/>
      <c r="BK52" s="215"/>
      <c r="BL52" s="215"/>
      <c r="BM52" s="215"/>
      <c r="BN52" s="215"/>
      <c r="BO52" s="215"/>
      <c r="BP52" s="215"/>
      <c r="BQ52" s="215"/>
      <c r="BR52" s="215"/>
      <c r="BS52" s="215"/>
      <c r="BT52" s="215"/>
      <c r="BU52" s="215"/>
      <c r="BV52" s="215"/>
      <c r="BW52" s="215"/>
      <c r="BX52" s="215"/>
      <c r="BY52" s="215"/>
      <c r="BZ52" s="215"/>
    </row>
    <row r="53" spans="1:78" x14ac:dyDescent="0.2">
      <c r="A53" s="2" t="str">
        <f>'Language Index'!A68</f>
        <v>Gain (Loss) On Sale Of Invest.</v>
      </c>
      <c r="B53" s="17"/>
      <c r="C53" s="17"/>
      <c r="D53" s="18">
        <f>_xll.ciqfunctions.udf.CIQ($C$2, "IQ_GAIN_INVEST", D$6,$F$2,,,Ccy,Conv)</f>
        <v>75</v>
      </c>
      <c r="E53" s="18">
        <f>_xll.ciqfunctions.udf.CIQ($C$2, "IQ_GAIN_INVEST", E$6,$F$2,,,Ccy,Conv)</f>
        <v>-19</v>
      </c>
      <c r="F53" s="18">
        <f>_xll.ciqfunctions.udf.CIQ($C$2, "IQ_GAIN_INVEST", F$6,$F$2,,,Ccy,Conv)</f>
        <v>39</v>
      </c>
      <c r="G53" s="18">
        <f>_xll.ciqfunctions.udf.CIQ($C$2, "IQ_GAIN_INVEST", G$6,$F$2,,,Ccy,Conv)</f>
        <v>54</v>
      </c>
      <c r="H53" s="18">
        <f>_xll.ciqfunctions.udf.CIQ($C$2, "IQ_GAIN_INVEST", H$6,$F$2,,,Ccy,Conv)</f>
        <v>57</v>
      </c>
      <c r="I53" s="18">
        <f>_xll.ciqfunctions.udf.CIQ($C$2, "IQ_GAIN_INVEST", I$6,$F$2,,,Ccy,Conv)</f>
        <v>56</v>
      </c>
      <c r="J53" s="18">
        <f>_xll.ciqfunctions.udf.CIQ($C$2, "IQ_GAIN_INVEST", J$6,$F$2,,,Ccy,Conv)</f>
        <v>20</v>
      </c>
      <c r="K53" s="18">
        <f>_xll.ciqfunctions.udf.CIQ($C$2, "IQ_GAIN_INVEST", K$6,$F$2,,,Ccy,Conv)</f>
        <v>-19</v>
      </c>
      <c r="L53" s="18">
        <f>_xll.ciqfunctions.udf.CIQ($C$2, "IQ_GAIN_INVEST", L$6,$F$2,,,Ccy,Conv)</f>
        <v>0</v>
      </c>
      <c r="M53" s="18">
        <f>_xll.ciqfunctions.udf.CIQ($C$2, "IQ_GAIN_INVEST", M$6,$F$2,,,Ccy,Conv)</f>
        <v>-2</v>
      </c>
      <c r="N53" s="18">
        <f>_xll.ciqfunctions.udf.CIQ($C$2, "IQ_GAIN_INVEST", N$6,$F$2,,,Ccy,Conv)</f>
        <v>-7</v>
      </c>
      <c r="O53" s="18"/>
      <c r="P53" s="18">
        <f>_xll.ciqfunctions.udf.CIQ($C$2, "IQ_GAIN_INVEST", P$6,$F$2,,,Ccy,Conv)</f>
        <v>-7</v>
      </c>
      <c r="Q53" s="215"/>
      <c r="R53" s="215"/>
      <c r="S53" s="215"/>
      <c r="T53" s="215"/>
      <c r="U53" s="215"/>
      <c r="V53" s="222"/>
      <c r="W53" s="222"/>
      <c r="X53" s="222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15"/>
      <c r="AU53" s="215"/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5"/>
      <c r="BG53" s="215"/>
      <c r="BH53" s="215"/>
      <c r="BI53" s="215"/>
      <c r="BJ53" s="215"/>
      <c r="BK53" s="215"/>
      <c r="BL53" s="215"/>
      <c r="BM53" s="215"/>
      <c r="BN53" s="215"/>
      <c r="BO53" s="215"/>
      <c r="BP53" s="215"/>
      <c r="BQ53" s="215"/>
      <c r="BR53" s="215"/>
      <c r="BS53" s="215"/>
      <c r="BT53" s="215"/>
      <c r="BU53" s="215"/>
      <c r="BV53" s="215"/>
      <c r="BW53" s="215"/>
      <c r="BX53" s="215"/>
      <c r="BY53" s="215"/>
      <c r="BZ53" s="215"/>
    </row>
    <row r="54" spans="1:78" x14ac:dyDescent="0.2">
      <c r="A54" s="2" t="str">
        <f>'Language Index'!A69</f>
        <v>Gain (Loss) On Sale Of Assets</v>
      </c>
      <c r="B54" s="17"/>
      <c r="C54" s="17"/>
      <c r="D54" s="18">
        <f>_xll.ciqfunctions.udf.CIQ($C$2, "IQ_GAIN_ASSETS", D$6,$F$2,,,Ccy,Conv)</f>
        <v>13</v>
      </c>
      <c r="E54" s="18">
        <f>_xll.ciqfunctions.udf.CIQ($C$2, "IQ_GAIN_ASSETS", E$6,$F$2,,,Ccy,Conv)</f>
        <v>-246</v>
      </c>
      <c r="F54" s="18">
        <f>_xll.ciqfunctions.udf.CIQ($C$2, "IQ_GAIN_ASSETS", F$6,$F$2,,,Ccy,Conv)</f>
        <v>0</v>
      </c>
      <c r="G54" s="18">
        <f>_xll.ciqfunctions.udf.CIQ($C$2, "IQ_GAIN_ASSETS", G$6,$F$2,,,Ccy,Conv)</f>
        <v>282</v>
      </c>
      <c r="H54" s="18">
        <f>_xll.ciqfunctions.udf.CIQ($C$2, "IQ_GAIN_ASSETS", H$6,$F$2,,,Ccy,Conv)</f>
        <v>286</v>
      </c>
      <c r="I54" s="18">
        <f>_xll.ciqfunctions.udf.CIQ($C$2, "IQ_GAIN_ASSETS", I$6,$F$2,,,Ccy,Conv)</f>
        <v>637</v>
      </c>
      <c r="J54" s="18">
        <f>_xll.ciqfunctions.udf.CIQ($C$2, "IQ_GAIN_ASSETS", J$6,$F$2,,,Ccy,Conv)</f>
        <v>592</v>
      </c>
      <c r="K54" s="18">
        <f>_xll.ciqfunctions.udf.CIQ($C$2, "IQ_GAIN_ASSETS", K$6,$F$2,,,Ccy,Conv)</f>
        <v>364</v>
      </c>
      <c r="L54" s="18">
        <f>_xll.ciqfunctions.udf.CIQ($C$2, "IQ_GAIN_ASSETS", L$6,$F$2,,,Ccy,Conv)</f>
        <v>366</v>
      </c>
      <c r="M54" s="18">
        <f>_xll.ciqfunctions.udf.CIQ($C$2, "IQ_GAIN_ASSETS", M$6,$F$2,,,Ccy,Conv)</f>
        <v>13</v>
      </c>
      <c r="N54" s="18">
        <f>_xll.ciqfunctions.udf.CIQ($C$2, "IQ_GAIN_ASSETS", N$6,$F$2,,,Ccy,Conv)</f>
        <v>0</v>
      </c>
      <c r="O54" s="18"/>
      <c r="P54" s="18">
        <f>_xll.ciqfunctions.udf.CIQ($C$2, "IQ_GAIN_ASSETS", P$6,$F$2,,,Ccy,Conv)</f>
        <v>0</v>
      </c>
      <c r="Q54" s="215"/>
      <c r="R54" s="215"/>
      <c r="S54" s="215"/>
      <c r="T54" s="215"/>
      <c r="U54" s="215"/>
      <c r="V54" s="222"/>
      <c r="W54" s="222"/>
      <c r="X54" s="222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15"/>
      <c r="AU54" s="215"/>
      <c r="AV54" s="215"/>
      <c r="AW54" s="215"/>
      <c r="AX54" s="215"/>
      <c r="AY54" s="215"/>
      <c r="AZ54" s="215"/>
      <c r="BA54" s="215"/>
      <c r="BB54" s="215"/>
      <c r="BC54" s="215"/>
      <c r="BD54" s="215"/>
      <c r="BE54" s="215"/>
      <c r="BF54" s="215"/>
      <c r="BG54" s="215"/>
      <c r="BH54" s="215"/>
      <c r="BI54" s="215"/>
      <c r="BJ54" s="215"/>
      <c r="BK54" s="215"/>
      <c r="BL54" s="215"/>
      <c r="BM54" s="215"/>
      <c r="BN54" s="215"/>
      <c r="BO54" s="215"/>
      <c r="BP54" s="215"/>
      <c r="BQ54" s="215"/>
      <c r="BR54" s="215"/>
      <c r="BS54" s="215"/>
      <c r="BT54" s="215"/>
      <c r="BU54" s="215"/>
      <c r="BV54" s="215"/>
      <c r="BW54" s="215"/>
      <c r="BX54" s="215"/>
      <c r="BY54" s="215"/>
      <c r="BZ54" s="215"/>
    </row>
    <row r="55" spans="1:78" x14ac:dyDescent="0.2">
      <c r="A55" s="2" t="str">
        <f>'Language Index'!A70</f>
        <v>Asset Writedown</v>
      </c>
      <c r="B55" s="17"/>
      <c r="C55" s="17"/>
      <c r="D55" s="18">
        <f>_xll.ciqfunctions.udf.CIQ($C$2, "IQ_ASSET_WRITEDOWN", D$6,$F$2,,,Ccy,Conv)</f>
        <v>0</v>
      </c>
      <c r="E55" s="18">
        <f>_xll.ciqfunctions.udf.CIQ($C$2, "IQ_ASSET_WRITEDOWN", E$6,$F$2,,,Ccy,Conv)</f>
        <v>0</v>
      </c>
      <c r="F55" s="18">
        <f>_xll.ciqfunctions.udf.CIQ($C$2, "IQ_ASSET_WRITEDOWN", F$6,$F$2,,,Ccy,Conv)</f>
        <v>0</v>
      </c>
      <c r="G55" s="18">
        <f>_xll.ciqfunctions.udf.CIQ($C$2, "IQ_ASSET_WRITEDOWN", G$6,$F$2,,,Ccy,Conv)</f>
        <v>0</v>
      </c>
      <c r="H55" s="18">
        <f>_xll.ciqfunctions.udf.CIQ($C$2, "IQ_ASSET_WRITEDOWN", H$6,$F$2,,,Ccy,Conv)</f>
        <v>0</v>
      </c>
      <c r="I55" s="18">
        <f>_xll.ciqfunctions.udf.CIQ($C$2, "IQ_ASSET_WRITEDOWN", I$6,$F$2,,,Ccy,Conv)</f>
        <v>0</v>
      </c>
      <c r="J55" s="18">
        <f>_xll.ciqfunctions.udf.CIQ($C$2, "IQ_ASSET_WRITEDOWN", J$6,$F$2,,,Ccy,Conv)</f>
        <v>0</v>
      </c>
      <c r="K55" s="18">
        <f>_xll.ciqfunctions.udf.CIQ($C$2, "IQ_ASSET_WRITEDOWN", K$6,$F$2,,,Ccy,Conv)</f>
        <v>0</v>
      </c>
      <c r="L55" s="18">
        <f>_xll.ciqfunctions.udf.CIQ($C$2, "IQ_ASSET_WRITEDOWN", L$6,$F$2,,,Ccy,Conv)</f>
        <v>0</v>
      </c>
      <c r="M55" s="18">
        <f>_xll.ciqfunctions.udf.CIQ($C$2, "IQ_ASSET_WRITEDOWN", M$6,$F$2,,,Ccy,Conv)</f>
        <v>0</v>
      </c>
      <c r="N55" s="18">
        <f>_xll.ciqfunctions.udf.CIQ($C$2, "IQ_ASSET_WRITEDOWN", N$6,$F$2,,,Ccy,Conv)</f>
        <v>0</v>
      </c>
      <c r="O55" s="18"/>
      <c r="P55" s="18">
        <f>_xll.ciqfunctions.udf.CIQ($C$2, "IQ_ASSET_WRITEDOWN", P$6,$F$2,,,Ccy,Conv)</f>
        <v>0</v>
      </c>
      <c r="Q55" s="215"/>
      <c r="R55" s="215"/>
      <c r="S55" s="215"/>
      <c r="T55" s="215"/>
      <c r="U55" s="215"/>
      <c r="V55" s="222"/>
      <c r="W55" s="222"/>
      <c r="X55" s="222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5"/>
      <c r="BL55" s="215"/>
      <c r="BM55" s="215"/>
      <c r="BN55" s="215"/>
      <c r="BO55" s="215"/>
      <c r="BP55" s="215"/>
      <c r="BQ55" s="215"/>
      <c r="BR55" s="215"/>
      <c r="BS55" s="215"/>
      <c r="BT55" s="215"/>
      <c r="BU55" s="215"/>
      <c r="BV55" s="215"/>
      <c r="BW55" s="215"/>
      <c r="BX55" s="215"/>
      <c r="BY55" s="215"/>
      <c r="BZ55" s="215"/>
    </row>
    <row r="56" spans="1:78" x14ac:dyDescent="0.2">
      <c r="A56" s="2" t="str">
        <f>'Language Index'!A71</f>
        <v>In Process R &amp; D Exp.</v>
      </c>
      <c r="B56" s="17"/>
      <c r="C56" s="17"/>
      <c r="D56" s="18">
        <f>_xll.ciqfunctions.udf.CIQ($C$2, "IQ_IPRD", D$6,$F$2,,,Ccy,Conv)</f>
        <v>0</v>
      </c>
      <c r="E56" s="18">
        <f>_xll.ciqfunctions.udf.CIQ($C$2, "IQ_IPRD", E$6,$F$2,,,Ccy,Conv)</f>
        <v>0</v>
      </c>
      <c r="F56" s="18">
        <f>_xll.ciqfunctions.udf.CIQ($C$2, "IQ_IPRD", F$6,$F$2,,,Ccy,Conv)</f>
        <v>0</v>
      </c>
      <c r="G56" s="18">
        <f>_xll.ciqfunctions.udf.CIQ($C$2, "IQ_IPRD", G$6,$F$2,,,Ccy,Conv)</f>
        <v>0</v>
      </c>
      <c r="H56" s="18">
        <f>_xll.ciqfunctions.udf.CIQ($C$2, "IQ_IPRD", H$6,$F$2,,,Ccy,Conv)</f>
        <v>0</v>
      </c>
      <c r="I56" s="18">
        <f>_xll.ciqfunctions.udf.CIQ($C$2, "IQ_IPRD", I$6,$F$2,,,Ccy,Conv)</f>
        <v>0</v>
      </c>
      <c r="J56" s="18">
        <f>_xll.ciqfunctions.udf.CIQ($C$2, "IQ_IPRD", J$6,$F$2,,,Ccy,Conv)</f>
        <v>0</v>
      </c>
      <c r="K56" s="18">
        <f>_xll.ciqfunctions.udf.CIQ($C$2, "IQ_IPRD", K$6,$F$2,,,Ccy,Conv)</f>
        <v>0</v>
      </c>
      <c r="L56" s="18">
        <f>_xll.ciqfunctions.udf.CIQ($C$2, "IQ_IPRD", L$6,$F$2,,,Ccy,Conv)</f>
        <v>0</v>
      </c>
      <c r="M56" s="18">
        <f>_xll.ciqfunctions.udf.CIQ($C$2, "IQ_IPRD", M$6,$F$2,,,Ccy,Conv)</f>
        <v>0</v>
      </c>
      <c r="N56" s="18">
        <f>_xll.ciqfunctions.udf.CIQ($C$2, "IQ_IPRD", N$6,$F$2,,,Ccy,Conv)</f>
        <v>0</v>
      </c>
      <c r="O56" s="18"/>
      <c r="P56" s="18">
        <f>_xll.ciqfunctions.udf.CIQ($C$2, "IQ_IPRD", P$6,$F$2,,,Ccy,Conv)</f>
        <v>0</v>
      </c>
      <c r="Q56" s="215"/>
      <c r="R56" s="215"/>
      <c r="S56" s="215"/>
      <c r="T56" s="215"/>
      <c r="U56" s="215"/>
      <c r="V56" s="222"/>
      <c r="W56" s="222"/>
      <c r="X56" s="222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15"/>
      <c r="AU56" s="215"/>
      <c r="AV56" s="215"/>
      <c r="AW56" s="215"/>
      <c r="AX56" s="215"/>
      <c r="AY56" s="215"/>
      <c r="AZ56" s="215"/>
      <c r="BA56" s="215"/>
      <c r="BB56" s="215"/>
      <c r="BC56" s="215"/>
      <c r="BD56" s="215"/>
      <c r="BE56" s="215"/>
      <c r="BF56" s="215"/>
      <c r="BG56" s="215"/>
      <c r="BH56" s="215"/>
      <c r="BI56" s="215"/>
      <c r="BJ56" s="215"/>
      <c r="BK56" s="215"/>
      <c r="BL56" s="215"/>
      <c r="BM56" s="215"/>
      <c r="BN56" s="215"/>
      <c r="BO56" s="215"/>
      <c r="BP56" s="215"/>
      <c r="BQ56" s="215"/>
      <c r="BR56" s="215"/>
      <c r="BS56" s="215"/>
      <c r="BT56" s="215"/>
      <c r="BU56" s="215"/>
      <c r="BV56" s="215"/>
      <c r="BW56" s="215"/>
      <c r="BX56" s="215"/>
      <c r="BY56" s="215"/>
      <c r="BZ56" s="215"/>
    </row>
    <row r="57" spans="1:78" x14ac:dyDescent="0.2">
      <c r="A57" s="2" t="str">
        <f>'Language Index'!A72</f>
        <v>Insurance Settlements</v>
      </c>
      <c r="B57" s="17"/>
      <c r="C57" s="17"/>
      <c r="D57" s="18">
        <f>_xll.ciqfunctions.udf.CIQ($C$2, "IQ_INS_SETTLE", D$6,$F$2,,,Ccy,Conv)</f>
        <v>0</v>
      </c>
      <c r="E57" s="18">
        <f>_xll.ciqfunctions.udf.CIQ($C$2, "IQ_INS_SETTLE", E$6,$F$2,,,Ccy,Conv)</f>
        <v>0</v>
      </c>
      <c r="F57" s="18">
        <f>_xll.ciqfunctions.udf.CIQ($C$2, "IQ_INS_SETTLE", F$6,$F$2,,,Ccy,Conv)</f>
        <v>0</v>
      </c>
      <c r="G57" s="18">
        <f>_xll.ciqfunctions.udf.CIQ($C$2, "IQ_INS_SETTLE", G$6,$F$2,,,Ccy,Conv)</f>
        <v>0</v>
      </c>
      <c r="H57" s="18">
        <f>_xll.ciqfunctions.udf.CIQ($C$2, "IQ_INS_SETTLE", H$6,$F$2,,,Ccy,Conv)</f>
        <v>0</v>
      </c>
      <c r="I57" s="18">
        <f>_xll.ciqfunctions.udf.CIQ($C$2, "IQ_INS_SETTLE", I$6,$F$2,,,Ccy,Conv)</f>
        <v>0</v>
      </c>
      <c r="J57" s="18">
        <f>_xll.ciqfunctions.udf.CIQ($C$2, "IQ_INS_SETTLE", J$6,$F$2,,,Ccy,Conv)</f>
        <v>0</v>
      </c>
      <c r="K57" s="18">
        <f>_xll.ciqfunctions.udf.CIQ($C$2, "IQ_INS_SETTLE", K$6,$F$2,,,Ccy,Conv)</f>
        <v>0</v>
      </c>
      <c r="L57" s="18">
        <f>_xll.ciqfunctions.udf.CIQ($C$2, "IQ_INS_SETTLE", L$6,$F$2,,,Ccy,Conv)</f>
        <v>0</v>
      </c>
      <c r="M57" s="18">
        <f>_xll.ciqfunctions.udf.CIQ($C$2, "IQ_INS_SETTLE", M$6,$F$2,,,Ccy,Conv)</f>
        <v>0</v>
      </c>
      <c r="N57" s="18">
        <f>_xll.ciqfunctions.udf.CIQ($C$2, "IQ_INS_SETTLE", N$6,$F$2,,,Ccy,Conv)</f>
        <v>0</v>
      </c>
      <c r="O57" s="18"/>
      <c r="P57" s="18">
        <f>_xll.ciqfunctions.udf.CIQ($C$2, "IQ_INS_SETTLE", P$6,$F$2,,,Ccy,Conv)</f>
        <v>0</v>
      </c>
      <c r="Q57" s="215"/>
      <c r="R57" s="215"/>
      <c r="S57" s="215"/>
      <c r="T57" s="215"/>
      <c r="U57" s="215"/>
      <c r="V57" s="222"/>
      <c r="W57" s="222"/>
      <c r="X57" s="222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15"/>
      <c r="AU57" s="215"/>
      <c r="AV57" s="215"/>
      <c r="AW57" s="215"/>
      <c r="AX57" s="215"/>
      <c r="AY57" s="215"/>
      <c r="AZ57" s="215"/>
      <c r="BA57" s="215"/>
      <c r="BB57" s="215"/>
      <c r="BC57" s="215"/>
      <c r="BD57" s="215"/>
      <c r="BE57" s="215"/>
      <c r="BF57" s="215"/>
      <c r="BG57" s="215"/>
      <c r="BH57" s="215"/>
      <c r="BI57" s="215"/>
      <c r="BJ57" s="215"/>
      <c r="BK57" s="215"/>
      <c r="BL57" s="215"/>
      <c r="BM57" s="215"/>
      <c r="BN57" s="215"/>
      <c r="BO57" s="215"/>
      <c r="BP57" s="215"/>
      <c r="BQ57" s="215"/>
      <c r="BR57" s="215"/>
      <c r="BS57" s="215"/>
      <c r="BT57" s="215"/>
      <c r="BU57" s="215"/>
      <c r="BV57" s="215"/>
      <c r="BW57" s="215"/>
      <c r="BX57" s="215"/>
      <c r="BY57" s="215"/>
      <c r="BZ57" s="215"/>
    </row>
    <row r="58" spans="1:78" x14ac:dyDescent="0.2">
      <c r="A58" s="2" t="str">
        <f>'Language Index'!A73</f>
        <v>Legal Settlements</v>
      </c>
      <c r="B58" s="17"/>
      <c r="C58" s="17"/>
      <c r="D58" s="18">
        <f>_xll.ciqfunctions.udf.CIQ($C$2, "IQ_LEGAL_SETTLE", D$6,$F$2,,,Ccy,Conv)</f>
        <v>0</v>
      </c>
      <c r="E58" s="18">
        <f>_xll.ciqfunctions.udf.CIQ($C$2, "IQ_LEGAL_SETTLE", E$6,$F$2,,,Ccy,Conv)</f>
        <v>0</v>
      </c>
      <c r="F58" s="18">
        <f>_xll.ciqfunctions.udf.CIQ($C$2, "IQ_LEGAL_SETTLE", F$6,$F$2,,,Ccy,Conv)</f>
        <v>0</v>
      </c>
      <c r="G58" s="18">
        <f>_xll.ciqfunctions.udf.CIQ($C$2, "IQ_LEGAL_SETTLE", G$6,$F$2,,,Ccy,Conv)</f>
        <v>0</v>
      </c>
      <c r="H58" s="18">
        <f>_xll.ciqfunctions.udf.CIQ($C$2, "IQ_LEGAL_SETTLE", H$6,$F$2,,,Ccy,Conv)</f>
        <v>0</v>
      </c>
      <c r="I58" s="18">
        <f>_xll.ciqfunctions.udf.CIQ($C$2, "IQ_LEGAL_SETTLE", I$6,$F$2,,,Ccy,Conv)</f>
        <v>0</v>
      </c>
      <c r="J58" s="18">
        <f>_xll.ciqfunctions.udf.CIQ($C$2, "IQ_LEGAL_SETTLE", J$6,$F$2,,,Ccy,Conv)</f>
        <v>0</v>
      </c>
      <c r="K58" s="18">
        <f>_xll.ciqfunctions.udf.CIQ($C$2, "IQ_LEGAL_SETTLE", K$6,$F$2,,,Ccy,Conv)</f>
        <v>0</v>
      </c>
      <c r="L58" s="18">
        <f>_xll.ciqfunctions.udf.CIQ($C$2, "IQ_LEGAL_SETTLE", L$6,$F$2,,,Ccy,Conv)</f>
        <v>0</v>
      </c>
      <c r="M58" s="18">
        <f>_xll.ciqfunctions.udf.CIQ($C$2, "IQ_LEGAL_SETTLE", M$6,$F$2,,,Ccy,Conv)</f>
        <v>0</v>
      </c>
      <c r="N58" s="18">
        <f>_xll.ciqfunctions.udf.CIQ($C$2, "IQ_LEGAL_SETTLE", N$6,$F$2,,,Ccy,Conv)</f>
        <v>0</v>
      </c>
      <c r="O58" s="18"/>
      <c r="P58" s="18">
        <f>_xll.ciqfunctions.udf.CIQ($C$2, "IQ_LEGAL_SETTLE", P$6,$F$2,,,Ccy,Conv)</f>
        <v>0</v>
      </c>
      <c r="Q58" s="215"/>
      <c r="R58" s="215"/>
      <c r="S58" s="215"/>
      <c r="T58" s="215"/>
      <c r="U58" s="215"/>
      <c r="V58" s="222"/>
      <c r="W58" s="222"/>
      <c r="X58" s="222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15"/>
      <c r="AU58" s="215"/>
      <c r="AV58" s="215"/>
      <c r="AW58" s="215"/>
      <c r="AX58" s="215"/>
      <c r="AY58" s="215"/>
      <c r="AZ58" s="215"/>
      <c r="BA58" s="215"/>
      <c r="BB58" s="215"/>
      <c r="BC58" s="215"/>
      <c r="BD58" s="215"/>
      <c r="BE58" s="215"/>
      <c r="BF58" s="215"/>
      <c r="BG58" s="215"/>
      <c r="BH58" s="215"/>
      <c r="BI58" s="215"/>
      <c r="BJ58" s="215"/>
      <c r="BK58" s="215"/>
      <c r="BL58" s="215"/>
      <c r="BM58" s="215"/>
      <c r="BN58" s="215"/>
      <c r="BO58" s="215"/>
      <c r="BP58" s="215"/>
      <c r="BQ58" s="215"/>
      <c r="BR58" s="215"/>
      <c r="BS58" s="215"/>
      <c r="BT58" s="215"/>
      <c r="BU58" s="215"/>
      <c r="BV58" s="215"/>
      <c r="BW58" s="215"/>
      <c r="BX58" s="215"/>
      <c r="BY58" s="215"/>
      <c r="BZ58" s="215"/>
    </row>
    <row r="59" spans="1:78" x14ac:dyDescent="0.2">
      <c r="A59" s="2" t="str">
        <f>'Language Index'!A74</f>
        <v>Other Unusual Items</v>
      </c>
      <c r="B59" s="17"/>
      <c r="C59" s="17"/>
      <c r="D59" s="23">
        <f>_xll.ciqfunctions.udf.CIQ($C$2, "IQ_OTHER_UNUSUAL_SUPPL", D$6,$F$2,,,Ccy,Conv)</f>
        <v>-5894</v>
      </c>
      <c r="E59" s="23">
        <f>_xll.ciqfunctions.udf.CIQ($C$2, "IQ_OTHER_UNUSUAL_SUPPL", E$6,$F$2,,,Ccy,Conv)</f>
        <v>0</v>
      </c>
      <c r="F59" s="23">
        <f>_xll.ciqfunctions.udf.CIQ($C$2, "IQ_OTHER_UNUSUAL_SUPPL", F$6,$F$2,,,Ccy,Conv)</f>
        <v>0</v>
      </c>
      <c r="G59" s="23">
        <f>_xll.ciqfunctions.udf.CIQ($C$2, "IQ_OTHER_UNUSUAL_SUPPL", G$6,$F$2,,,Ccy,Conv)</f>
        <v>0</v>
      </c>
      <c r="H59" s="23">
        <f>_xll.ciqfunctions.udf.CIQ($C$2, "IQ_OTHER_UNUSUAL_SUPPL", H$6,$F$2,,,Ccy,Conv)</f>
        <v>0</v>
      </c>
      <c r="I59" s="23">
        <f>_xll.ciqfunctions.udf.CIQ($C$2, "IQ_OTHER_UNUSUAL_SUPPL", I$6,$F$2,,,Ccy,Conv)</f>
        <v>-2725</v>
      </c>
      <c r="J59" s="23">
        <f>_xll.ciqfunctions.udf.CIQ($C$2, "IQ_OTHER_UNUSUAL_SUPPL", J$6,$F$2,,,Ccy,Conv)</f>
        <v>-3113</v>
      </c>
      <c r="K59" s="23">
        <f>_xll.ciqfunctions.udf.CIQ($C$2, "IQ_OTHER_UNUSUAL_SUPPL", K$6,$F$2,,,Ccy,Conv)</f>
        <v>-3113</v>
      </c>
      <c r="L59" s="23">
        <f>_xll.ciqfunctions.udf.CIQ($C$2, "IQ_OTHER_UNUSUAL_SUPPL", L$6,$F$2,,,Ccy,Conv)</f>
        <v>-3113</v>
      </c>
      <c r="M59" s="23">
        <f>_xll.ciqfunctions.udf.CIQ($C$2, "IQ_OTHER_UNUSUAL_SUPPL", M$6,$F$2,,,Ccy,Conv)</f>
        <v>-388</v>
      </c>
      <c r="N59" s="23">
        <f>_xll.ciqfunctions.udf.CIQ($C$2, "IQ_OTHER_UNUSUAL_SUPPL", N$6,$F$2,,,Ccy,Conv)</f>
        <v>0</v>
      </c>
      <c r="O59" s="18"/>
      <c r="P59" s="23">
        <f>_xll.ciqfunctions.udf.CIQ($C$2, "IQ_OTHER_UNUSUAL_SUPPL", P$6,$F$2,,,Ccy,Conv)</f>
        <v>0</v>
      </c>
      <c r="Q59" s="215"/>
      <c r="R59" s="215"/>
      <c r="S59" s="215"/>
      <c r="T59" s="215"/>
      <c r="U59" s="215"/>
      <c r="V59" s="222"/>
      <c r="W59" s="222"/>
      <c r="X59" s="222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15"/>
      <c r="AU59" s="215"/>
      <c r="AV59" s="215"/>
      <c r="AW59" s="215"/>
      <c r="AX59" s="215"/>
      <c r="AY59" s="215"/>
      <c r="AZ59" s="215"/>
      <c r="BA59" s="215"/>
      <c r="BB59" s="215"/>
      <c r="BC59" s="215"/>
      <c r="BD59" s="215"/>
      <c r="BE59" s="215"/>
      <c r="BF59" s="215"/>
      <c r="BG59" s="215"/>
      <c r="BH59" s="215"/>
      <c r="BI59" s="215"/>
      <c r="BJ59" s="215"/>
      <c r="BK59" s="215"/>
      <c r="BL59" s="215"/>
      <c r="BM59" s="215"/>
      <c r="BN59" s="215"/>
      <c r="BO59" s="215"/>
      <c r="BP59" s="215"/>
      <c r="BQ59" s="215"/>
      <c r="BR59" s="215"/>
      <c r="BS59" s="215"/>
      <c r="BT59" s="215"/>
      <c r="BU59" s="215"/>
      <c r="BV59" s="215"/>
      <c r="BW59" s="215"/>
      <c r="BX59" s="215"/>
      <c r="BY59" s="215"/>
      <c r="BZ59" s="215"/>
    </row>
    <row r="60" spans="1:78" x14ac:dyDescent="0.2">
      <c r="A60" s="20" t="str">
        <f>'Language Index'!A75</f>
        <v>EBT Incl Unusual Items</v>
      </c>
      <c r="B60" s="20"/>
      <c r="C60" s="20"/>
      <c r="D60" s="21">
        <f>_xll.ciqfunctions.udf.CIQ($C$2, "IQ_EBT", D$6,$F$2,,,Ccy,Conv)</f>
        <v>1869</v>
      </c>
      <c r="E60" s="21">
        <f>_xll.ciqfunctions.udf.CIQ($C$2, "IQ_EBT", E$6,$F$2,,,Ccy,Conv)</f>
        <v>8244</v>
      </c>
      <c r="F60" s="21">
        <f>_xll.ciqfunctions.udf.CIQ($C$2, "IQ_EBT", F$6,$F$2,,,Ccy,Conv)</f>
        <v>8690</v>
      </c>
      <c r="G60" s="21">
        <f>_xll.ciqfunctions.udf.CIQ($C$2, "IQ_EBT", G$6,$F$2,,,Ccy,Conv)</f>
        <v>8705</v>
      </c>
      <c r="H60" s="21">
        <f>_xll.ciqfunctions.udf.CIQ($C$2, "IQ_EBT", H$6,$F$2,,,Ccy,Conv)</f>
        <v>8925</v>
      </c>
      <c r="I60" s="21">
        <f>_xll.ciqfunctions.udf.CIQ($C$2, "IQ_EBT", I$6,$F$2,,,Ccy,Conv)</f>
        <v>6250</v>
      </c>
      <c r="J60" s="21">
        <f>_xll.ciqfunctions.udf.CIQ($C$2, "IQ_EBT", J$6,$F$2,,,Ccy,Conv)</f>
        <v>5797</v>
      </c>
      <c r="K60" s="21">
        <f>_xll.ciqfunctions.udf.CIQ($C$2, "IQ_EBT", K$6,$F$2,,,Ccy,Conv)</f>
        <v>5881</v>
      </c>
      <c r="L60" s="21">
        <f>_xll.ciqfunctions.udf.CIQ($C$2, "IQ_EBT", L$6,$F$2,,,Ccy,Conv)</f>
        <v>6259</v>
      </c>
      <c r="M60" s="21">
        <f>_xll.ciqfunctions.udf.CIQ($C$2, "IQ_EBT", M$6,$F$2,,,Ccy,Conv)</f>
        <v>9491</v>
      </c>
      <c r="N60" s="21">
        <f>_xll.ciqfunctions.udf.CIQ($C$2, "IQ_EBT", N$6,$F$2,,,Ccy,Conv)</f>
        <v>10329</v>
      </c>
      <c r="O60" s="22"/>
      <c r="P60" s="21">
        <f>_xll.ciqfunctions.udf.CIQ($C$2, "IQ_EBT", P$6,$F$2,,,Ccy,Conv)</f>
        <v>10329</v>
      </c>
      <c r="Q60" s="232"/>
      <c r="R60" s="215"/>
      <c r="S60" s="215"/>
      <c r="T60" s="215"/>
      <c r="U60" s="215"/>
      <c r="V60" s="233"/>
      <c r="W60" s="233"/>
      <c r="X60" s="233"/>
      <c r="Y60" s="232"/>
      <c r="Z60" s="232"/>
      <c r="AA60" s="232"/>
      <c r="AB60" s="232"/>
      <c r="AC60" s="232"/>
      <c r="AD60" s="232"/>
      <c r="AE60" s="215"/>
      <c r="AF60" s="215"/>
      <c r="AG60" s="215"/>
      <c r="AH60" s="232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15"/>
      <c r="AU60" s="215"/>
      <c r="AV60" s="215"/>
      <c r="AW60" s="215"/>
      <c r="AX60" s="215"/>
      <c r="AY60" s="215"/>
      <c r="AZ60" s="215"/>
      <c r="BA60" s="215"/>
      <c r="BB60" s="215"/>
      <c r="BC60" s="215"/>
      <c r="BD60" s="215"/>
      <c r="BE60" s="215"/>
      <c r="BF60" s="215"/>
      <c r="BG60" s="215"/>
      <c r="BH60" s="215"/>
      <c r="BI60" s="215"/>
      <c r="BJ60" s="215"/>
      <c r="BK60" s="215"/>
      <c r="BL60" s="215"/>
      <c r="BM60" s="215"/>
      <c r="BN60" s="215"/>
      <c r="BO60" s="215"/>
      <c r="BP60" s="215"/>
      <c r="BQ60" s="215"/>
      <c r="BR60" s="215"/>
      <c r="BS60" s="215"/>
      <c r="BT60" s="215"/>
      <c r="BU60" s="215"/>
      <c r="BV60" s="215"/>
      <c r="BW60" s="215"/>
      <c r="BX60" s="215"/>
      <c r="BY60" s="215"/>
      <c r="BZ60" s="215"/>
    </row>
    <row r="61" spans="1:78" x14ac:dyDescent="0.2">
      <c r="A61" s="16"/>
      <c r="B61" s="16"/>
      <c r="C61" s="16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215"/>
      <c r="R61" s="215"/>
      <c r="S61" s="215"/>
      <c r="T61" s="215"/>
      <c r="U61" s="215"/>
      <c r="V61" s="222"/>
      <c r="W61" s="222"/>
      <c r="X61" s="222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15"/>
      <c r="AU61" s="215"/>
      <c r="AV61" s="215"/>
      <c r="AW61" s="215"/>
      <c r="AX61" s="215"/>
      <c r="AY61" s="215"/>
      <c r="AZ61" s="215"/>
      <c r="BA61" s="215"/>
      <c r="BB61" s="215"/>
      <c r="BC61" s="215"/>
      <c r="BD61" s="215"/>
      <c r="BE61" s="215"/>
      <c r="BF61" s="215"/>
      <c r="BG61" s="215"/>
      <c r="BH61" s="215"/>
      <c r="BI61" s="215"/>
      <c r="BJ61" s="215"/>
      <c r="BK61" s="215"/>
      <c r="BL61" s="215"/>
      <c r="BM61" s="215"/>
      <c r="BN61" s="215"/>
      <c r="BO61" s="215"/>
      <c r="BP61" s="215"/>
      <c r="BQ61" s="215"/>
      <c r="BR61" s="215"/>
      <c r="BS61" s="215"/>
      <c r="BT61" s="215"/>
      <c r="BU61" s="215"/>
      <c r="BV61" s="215"/>
      <c r="BW61" s="215"/>
      <c r="BX61" s="215"/>
      <c r="BY61" s="215"/>
      <c r="BZ61" s="215"/>
    </row>
    <row r="62" spans="1:78" x14ac:dyDescent="0.2">
      <c r="A62" s="2" t="str">
        <f>'Language Index'!A76</f>
        <v>Income Tax Expense</v>
      </c>
      <c r="B62" s="17"/>
      <c r="C62" s="17"/>
      <c r="D62" s="18">
        <f>_xll.ciqfunctions.udf.CIQ($C$2, "IQ_INC_TAX", D$6,$F$2,,,Ccy,Conv)</f>
        <v>-301</v>
      </c>
      <c r="E62" s="18">
        <f>_xll.ciqfunctions.udf.CIQ($C$2, "IQ_INC_TAX", E$6,$F$2,,,Ccy,Conv)</f>
        <v>1146</v>
      </c>
      <c r="F62" s="18">
        <f>_xll.ciqfunctions.udf.CIQ($C$2, "IQ_INC_TAX", F$6,$F$2,,,Ccy,Conv)</f>
        <v>1176</v>
      </c>
      <c r="G62" s="18">
        <f>_xll.ciqfunctions.udf.CIQ($C$2, "IQ_INC_TAX", G$6,$F$2,,,Ccy,Conv)</f>
        <v>550</v>
      </c>
      <c r="H62" s="18">
        <f>_xll.ciqfunctions.udf.CIQ($C$2, "IQ_INC_TAX", H$6,$F$2,,,Ccy,Conv)</f>
        <v>521</v>
      </c>
      <c r="I62" s="18">
        <f>_xll.ciqfunctions.udf.CIQ($C$2, "IQ_INC_TAX", I$6,$F$2,,,Ccy,Conv)</f>
        <v>-123</v>
      </c>
      <c r="J62" s="18">
        <f>_xll.ciqfunctions.udf.CIQ($C$2, "IQ_INC_TAX", J$6,$F$2,,,Ccy,Conv)</f>
        <v>-218</v>
      </c>
      <c r="K62" s="18">
        <f>_xll.ciqfunctions.udf.CIQ($C$2, "IQ_INC_TAX", K$6,$F$2,,,Ccy,Conv)</f>
        <v>387</v>
      </c>
      <c r="L62" s="18">
        <f>_xll.ciqfunctions.udf.CIQ($C$2, "IQ_INC_TAX", L$6,$F$2,,,Ccy,Conv)</f>
        <v>401</v>
      </c>
      <c r="M62" s="18">
        <f>_xll.ciqfunctions.udf.CIQ($C$2, "IQ_INC_TAX", M$6,$F$2,,,Ccy,Conv)</f>
        <v>1572</v>
      </c>
      <c r="N62" s="18">
        <f>_xll.ciqfunctions.udf.CIQ($C$2, "IQ_INC_TAX", N$6,$F$2,,,Ccy,Conv)</f>
        <v>-242</v>
      </c>
      <c r="O62" s="18"/>
      <c r="P62" s="18">
        <f>_xll.ciqfunctions.udf.CIQ($C$2, "IQ_INC_TAX", P$6,$F$2,,,Ccy,Conv)</f>
        <v>-242</v>
      </c>
      <c r="Q62" s="232"/>
      <c r="R62" s="215"/>
      <c r="S62" s="215"/>
      <c r="T62" s="215"/>
      <c r="U62" s="215"/>
      <c r="V62" s="233"/>
      <c r="W62" s="233"/>
      <c r="X62" s="233"/>
      <c r="Y62" s="232"/>
      <c r="Z62" s="232"/>
      <c r="AA62" s="232"/>
      <c r="AB62" s="232"/>
      <c r="AC62" s="232"/>
      <c r="AD62" s="232"/>
      <c r="AE62" s="215"/>
      <c r="AF62" s="215"/>
      <c r="AG62" s="215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15"/>
      <c r="AU62" s="215"/>
      <c r="AV62" s="215"/>
      <c r="AW62" s="215"/>
      <c r="AX62" s="215"/>
      <c r="AY62" s="215"/>
      <c r="AZ62" s="215"/>
      <c r="BA62" s="215"/>
      <c r="BB62" s="215"/>
      <c r="BC62" s="215"/>
      <c r="BD62" s="215"/>
      <c r="BE62" s="215"/>
      <c r="BF62" s="215"/>
      <c r="BG62" s="215"/>
      <c r="BH62" s="215"/>
      <c r="BI62" s="215"/>
      <c r="BJ62" s="215"/>
      <c r="BK62" s="215"/>
      <c r="BL62" s="215"/>
      <c r="BM62" s="215"/>
      <c r="BN62" s="215"/>
      <c r="BO62" s="215"/>
      <c r="BP62" s="215"/>
      <c r="BQ62" s="215"/>
      <c r="BR62" s="215"/>
      <c r="BS62" s="215"/>
      <c r="BT62" s="215"/>
      <c r="BU62" s="215"/>
      <c r="BV62" s="215"/>
      <c r="BW62" s="215"/>
      <c r="BX62" s="215"/>
      <c r="BY62" s="215"/>
      <c r="BZ62" s="215"/>
    </row>
    <row r="63" spans="1:78" x14ac:dyDescent="0.2">
      <c r="A63" s="20" t="str">
        <f>'Language Index'!A77</f>
        <v>Earnings from Cont. Ops.</v>
      </c>
      <c r="B63" s="20"/>
      <c r="C63" s="20"/>
      <c r="D63" s="21">
        <f>_xll.ciqfunctions.udf.CIQ($C$2, "IQ_EARNING_CO", D$6,$F$2,,,Ccy,Conv)</f>
        <v>2170</v>
      </c>
      <c r="E63" s="21">
        <f>_xll.ciqfunctions.udf.CIQ($C$2, "IQ_EARNING_CO", E$6,$F$2,,,Ccy,Conv)</f>
        <v>7098</v>
      </c>
      <c r="F63" s="21">
        <f>_xll.ciqfunctions.udf.CIQ($C$2, "IQ_EARNING_CO", F$6,$F$2,,,Ccy,Conv)</f>
        <v>7514</v>
      </c>
      <c r="G63" s="21">
        <f>_xll.ciqfunctions.udf.CIQ($C$2, "IQ_EARNING_CO", G$6,$F$2,,,Ccy,Conv)</f>
        <v>8155</v>
      </c>
      <c r="H63" s="21">
        <f>_xll.ciqfunctions.udf.CIQ($C$2, "IQ_EARNING_CO", H$6,$F$2,,,Ccy,Conv)</f>
        <v>8404</v>
      </c>
      <c r="I63" s="21">
        <f>_xll.ciqfunctions.udf.CIQ($C$2, "IQ_EARNING_CO", I$6,$F$2,,,Ccy,Conv)</f>
        <v>6373</v>
      </c>
      <c r="J63" s="21">
        <f>_xll.ciqfunctions.udf.CIQ($C$2, "IQ_EARNING_CO", J$6,$F$2,,,Ccy,Conv)</f>
        <v>6015</v>
      </c>
      <c r="K63" s="21">
        <f>_xll.ciqfunctions.udf.CIQ($C$2, "IQ_EARNING_CO", K$6,$F$2,,,Ccy,Conv)</f>
        <v>5494</v>
      </c>
      <c r="L63" s="21">
        <f>_xll.ciqfunctions.udf.CIQ($C$2, "IQ_EARNING_CO", L$6,$F$2,,,Ccy,Conv)</f>
        <v>5858</v>
      </c>
      <c r="M63" s="21">
        <f>_xll.ciqfunctions.udf.CIQ($C$2, "IQ_EARNING_CO", M$6,$F$2,,,Ccy,Conv)</f>
        <v>7919</v>
      </c>
      <c r="N63" s="21">
        <f>_xll.ciqfunctions.udf.CIQ($C$2, "IQ_EARNING_CO", N$6,$F$2,,,Ccy,Conv)</f>
        <v>10571</v>
      </c>
      <c r="O63" s="22"/>
      <c r="P63" s="21">
        <f>_xll.ciqfunctions.udf.CIQ($C$2, "IQ_EARNING_CO", P$6,$F$2,,,Ccy,Conv)</f>
        <v>10571</v>
      </c>
      <c r="Q63" s="232"/>
      <c r="R63" s="215"/>
      <c r="S63" s="215"/>
      <c r="T63" s="215"/>
      <c r="U63" s="215"/>
      <c r="V63" s="233"/>
      <c r="W63" s="233"/>
      <c r="X63" s="233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15"/>
      <c r="AU63" s="215"/>
      <c r="AV63" s="215"/>
      <c r="AW63" s="215"/>
      <c r="AX63" s="215"/>
      <c r="AY63" s="215"/>
      <c r="AZ63" s="215"/>
      <c r="BA63" s="215"/>
      <c r="BB63" s="215"/>
      <c r="BC63" s="215"/>
      <c r="BD63" s="215"/>
      <c r="BE63" s="215"/>
      <c r="BF63" s="215"/>
      <c r="BG63" s="215"/>
      <c r="BH63" s="215"/>
      <c r="BI63" s="215"/>
      <c r="BJ63" s="215"/>
      <c r="BK63" s="215"/>
      <c r="BL63" s="215"/>
      <c r="BM63" s="215"/>
      <c r="BN63" s="215"/>
      <c r="BO63" s="215"/>
      <c r="BP63" s="215"/>
      <c r="BQ63" s="215"/>
      <c r="BR63" s="215"/>
      <c r="BS63" s="215"/>
      <c r="BT63" s="215"/>
      <c r="BU63" s="215"/>
      <c r="BV63" s="215"/>
      <c r="BW63" s="215"/>
      <c r="BX63" s="215"/>
      <c r="BY63" s="215"/>
      <c r="BZ63" s="215"/>
    </row>
    <row r="64" spans="1:78" x14ac:dyDescent="0.2">
      <c r="A64" s="16"/>
      <c r="B64" s="16"/>
      <c r="C64" s="16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215"/>
      <c r="R64" s="215"/>
      <c r="S64" s="215"/>
      <c r="T64" s="215"/>
      <c r="U64" s="215"/>
      <c r="V64" s="222"/>
      <c r="W64" s="222"/>
      <c r="X64" s="222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15"/>
      <c r="AU64" s="215"/>
      <c r="AV64" s="215"/>
      <c r="AW64" s="215"/>
      <c r="AX64" s="215"/>
      <c r="AY64" s="215"/>
      <c r="AZ64" s="215"/>
      <c r="BA64" s="215"/>
      <c r="BB64" s="215"/>
      <c r="BC64" s="215"/>
      <c r="BD64" s="215"/>
      <c r="BE64" s="215"/>
      <c r="BF64" s="215"/>
      <c r="BG64" s="215"/>
      <c r="BH64" s="215"/>
      <c r="BI64" s="215"/>
      <c r="BJ64" s="215"/>
      <c r="BK64" s="215"/>
      <c r="BL64" s="215"/>
      <c r="BM64" s="215"/>
      <c r="BN64" s="215"/>
      <c r="BO64" s="215"/>
      <c r="BP64" s="215"/>
      <c r="BQ64" s="215"/>
      <c r="BR64" s="215"/>
      <c r="BS64" s="215"/>
      <c r="BT64" s="215"/>
      <c r="BU64" s="215"/>
      <c r="BV64" s="215"/>
      <c r="BW64" s="215"/>
      <c r="BX64" s="215"/>
      <c r="BY64" s="215"/>
      <c r="BZ64" s="215"/>
    </row>
    <row r="65" spans="1:78" x14ac:dyDescent="0.2">
      <c r="A65" s="2" t="str">
        <f>'Language Index'!A78</f>
        <v>Earnings of Discontinued Ops.</v>
      </c>
      <c r="B65" s="17"/>
      <c r="C65" s="17"/>
      <c r="D65" s="18">
        <f>_xll.ciqfunctions.udf.CIQ($C$2, "IQ_DO", D$6,$F$2,,,Ccy,Conv)</f>
        <v>-145</v>
      </c>
      <c r="E65" s="18">
        <f>_xll.ciqfunctions.udf.CIQ($C$2, "IQ_DO", E$6,$F$2,,,Ccy,Conv)</f>
        <v>-174</v>
      </c>
      <c r="F65" s="18">
        <f>_xll.ciqfunctions.udf.CIQ($C$2, "IQ_DO", F$6,$F$2,,,Ccy,Conv)</f>
        <v>-12</v>
      </c>
      <c r="G65" s="18">
        <f>_xll.ciqfunctions.udf.CIQ($C$2, "IQ_DO", G$6,$F$2,,,Ccy,Conv)</f>
        <v>25</v>
      </c>
      <c r="H65" s="18">
        <f>_xll.ciqfunctions.udf.CIQ($C$2, "IQ_DO", H$6,$F$2,,,Ccy,Conv)</f>
        <v>26</v>
      </c>
      <c r="I65" s="18">
        <f>_xll.ciqfunctions.udf.CIQ($C$2, "IQ_DO", I$6,$F$2,,,Ccy,Conv)</f>
        <v>24</v>
      </c>
      <c r="J65" s="18">
        <f>_xll.ciqfunctions.udf.CIQ($C$2, "IQ_DO", J$6,$F$2,,,Ccy,Conv)</f>
        <v>8</v>
      </c>
      <c r="K65" s="18">
        <f>_xll.ciqfunctions.udf.CIQ($C$2, "IQ_DO", K$6,$F$2,,,Ccy,Conv)</f>
        <v>-21</v>
      </c>
      <c r="L65" s="18">
        <f>_xll.ciqfunctions.udf.CIQ($C$2, "IQ_DO", L$6,$F$2,,,Ccy,Conv)</f>
        <v>-25</v>
      </c>
      <c r="M65" s="18">
        <f>_xll.ciqfunctions.udf.CIQ($C$2, "IQ_DO", M$6,$F$2,,,Ccy,Conv)</f>
        <v>-12</v>
      </c>
      <c r="N65" s="18">
        <f>_xll.ciqfunctions.udf.CIQ($C$2, "IQ_DO", N$6,$F$2,,,Ccy,Conv)</f>
        <v>22</v>
      </c>
      <c r="O65" s="18"/>
      <c r="P65" s="18">
        <f>_xll.ciqfunctions.udf.CIQ($C$2, "IQ_DO", P$6,$F$2,,,Ccy,Conv)</f>
        <v>22</v>
      </c>
      <c r="Q65" s="232"/>
      <c r="R65" s="215"/>
      <c r="S65" s="215"/>
      <c r="T65" s="215"/>
      <c r="U65" s="215"/>
      <c r="V65" s="233"/>
      <c r="W65" s="233"/>
      <c r="X65" s="233"/>
      <c r="Y65" s="232"/>
      <c r="Z65" s="232"/>
      <c r="AA65" s="232"/>
      <c r="AB65" s="232"/>
      <c r="AC65" s="232"/>
      <c r="AD65" s="232"/>
      <c r="AE65" s="215"/>
      <c r="AF65" s="215"/>
      <c r="AG65" s="215"/>
      <c r="AH65" s="232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15"/>
      <c r="AU65" s="215"/>
      <c r="AV65" s="215"/>
      <c r="AW65" s="215"/>
      <c r="AX65" s="215"/>
      <c r="AY65" s="215"/>
      <c r="AZ65" s="215"/>
      <c r="BA65" s="215"/>
      <c r="BB65" s="215"/>
      <c r="BC65" s="215"/>
      <c r="BD65" s="215"/>
      <c r="BE65" s="215"/>
      <c r="BF65" s="215"/>
      <c r="BG65" s="215"/>
      <c r="BH65" s="215"/>
      <c r="BI65" s="215"/>
      <c r="BJ65" s="215"/>
      <c r="BK65" s="215"/>
      <c r="BL65" s="215"/>
      <c r="BM65" s="215"/>
      <c r="BN65" s="215"/>
      <c r="BO65" s="215"/>
      <c r="BP65" s="215"/>
      <c r="BQ65" s="215"/>
      <c r="BR65" s="215"/>
      <c r="BS65" s="215"/>
      <c r="BT65" s="215"/>
      <c r="BU65" s="215"/>
      <c r="BV65" s="215"/>
      <c r="BW65" s="215"/>
      <c r="BX65" s="215"/>
      <c r="BY65" s="215"/>
      <c r="BZ65" s="215"/>
    </row>
    <row r="66" spans="1:78" x14ac:dyDescent="0.2">
      <c r="A66" s="2" t="str">
        <f>'Language Index'!A79</f>
        <v>Extraord. Item &amp; Account. Change</v>
      </c>
      <c r="B66" s="17"/>
      <c r="C66" s="17"/>
      <c r="D66" s="18">
        <f>_xll.ciqfunctions.udf.CIQ($C$2, "IQ_EXTRA_ACC_ITEMS", D$6,$F$2,,,Ccy,Conv)</f>
        <v>0</v>
      </c>
      <c r="E66" s="18">
        <f>_xll.ciqfunctions.udf.CIQ($C$2, "IQ_EXTRA_ACC_ITEMS", E$6,$F$2,,,Ccy,Conv)</f>
        <v>0</v>
      </c>
      <c r="F66" s="18">
        <f>_xll.ciqfunctions.udf.CIQ($C$2, "IQ_EXTRA_ACC_ITEMS", F$6,$F$2,,,Ccy,Conv)</f>
        <v>0</v>
      </c>
      <c r="G66" s="18">
        <f>_xll.ciqfunctions.udf.CIQ($C$2, "IQ_EXTRA_ACC_ITEMS", G$6,$F$2,,,Ccy,Conv)</f>
        <v>0</v>
      </c>
      <c r="H66" s="18">
        <f>_xll.ciqfunctions.udf.CIQ($C$2, "IQ_EXTRA_ACC_ITEMS", H$6,$F$2,,,Ccy,Conv)</f>
        <v>0</v>
      </c>
      <c r="I66" s="18">
        <f>_xll.ciqfunctions.udf.CIQ($C$2, "IQ_EXTRA_ACC_ITEMS", I$6,$F$2,,,Ccy,Conv)</f>
        <v>0</v>
      </c>
      <c r="J66" s="18">
        <f>_xll.ciqfunctions.udf.CIQ($C$2, "IQ_EXTRA_ACC_ITEMS", J$6,$F$2,,,Ccy,Conv)</f>
        <v>0</v>
      </c>
      <c r="K66" s="18">
        <f>_xll.ciqfunctions.udf.CIQ($C$2, "IQ_EXTRA_ACC_ITEMS", K$6,$F$2,,,Ccy,Conv)</f>
        <v>0</v>
      </c>
      <c r="L66" s="18">
        <f>_xll.ciqfunctions.udf.CIQ($C$2, "IQ_EXTRA_ACC_ITEMS", L$6,$F$2,,,Ccy,Conv)</f>
        <v>0</v>
      </c>
      <c r="M66" s="18">
        <f>_xll.ciqfunctions.udf.CIQ($C$2, "IQ_EXTRA_ACC_ITEMS", M$6,$F$2,,,Ccy,Conv)</f>
        <v>0</v>
      </c>
      <c r="N66" s="18">
        <f>_xll.ciqfunctions.udf.CIQ($C$2, "IQ_EXTRA_ACC_ITEMS", N$6,$F$2,,,Ccy,Conv)</f>
        <v>0</v>
      </c>
      <c r="O66" s="18"/>
      <c r="P66" s="18">
        <f>_xll.ciqfunctions.udf.CIQ($C$2, "IQ_EXTRA_ACC_ITEMS", P$6,$F$2,,,Ccy,Conv)</f>
        <v>0</v>
      </c>
      <c r="Q66" s="215"/>
      <c r="R66" s="215"/>
      <c r="S66" s="215"/>
      <c r="T66" s="215"/>
      <c r="U66" s="215"/>
      <c r="V66" s="222"/>
      <c r="W66" s="222"/>
      <c r="X66" s="222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15"/>
      <c r="AU66" s="215"/>
      <c r="AV66" s="215"/>
      <c r="AW66" s="215"/>
      <c r="AX66" s="215"/>
      <c r="AY66" s="215"/>
      <c r="AZ66" s="215"/>
      <c r="BA66" s="215"/>
      <c r="BB66" s="215"/>
      <c r="BC66" s="215"/>
      <c r="BD66" s="215"/>
      <c r="BE66" s="215"/>
      <c r="BF66" s="215"/>
      <c r="BG66" s="215"/>
      <c r="BH66" s="215"/>
      <c r="BI66" s="215"/>
      <c r="BJ66" s="215"/>
      <c r="BK66" s="215"/>
      <c r="BL66" s="215"/>
      <c r="BM66" s="215"/>
      <c r="BN66" s="215"/>
      <c r="BO66" s="215"/>
      <c r="BP66" s="215"/>
      <c r="BQ66" s="215"/>
      <c r="BR66" s="215"/>
      <c r="BS66" s="215"/>
      <c r="BT66" s="215"/>
      <c r="BU66" s="215"/>
      <c r="BV66" s="215"/>
      <c r="BW66" s="215"/>
      <c r="BX66" s="215"/>
      <c r="BY66" s="215"/>
      <c r="BZ66" s="215"/>
    </row>
    <row r="67" spans="1:78" x14ac:dyDescent="0.2">
      <c r="A67" s="20" t="str">
        <f>'Language Index'!A80</f>
        <v>Net Income to Company</v>
      </c>
      <c r="B67" s="20"/>
      <c r="C67" s="20"/>
      <c r="D67" s="25">
        <f>_xll.ciqfunctions.udf.CIQ($C$2, "IQ_NI_COMPANY", D$6,$F$2,,,Ccy,Conv)</f>
        <v>2025</v>
      </c>
      <c r="E67" s="25">
        <f>_xll.ciqfunctions.udf.CIQ($C$2, "IQ_NI_COMPANY", E$6,$F$2,,,Ccy,Conv)</f>
        <v>6924</v>
      </c>
      <c r="F67" s="25">
        <f>_xll.ciqfunctions.udf.CIQ($C$2, "IQ_NI_COMPANY", F$6,$F$2,,,Ccy,Conv)</f>
        <v>7502</v>
      </c>
      <c r="G67" s="25">
        <f>_xll.ciqfunctions.udf.CIQ($C$2, "IQ_NI_COMPANY", G$6,$F$2,,,Ccy,Conv)</f>
        <v>8180</v>
      </c>
      <c r="H67" s="25">
        <f>_xll.ciqfunctions.udf.CIQ($C$2, "IQ_NI_COMPANY", H$6,$F$2,,,Ccy,Conv)</f>
        <v>8430</v>
      </c>
      <c r="I67" s="25">
        <f>_xll.ciqfunctions.udf.CIQ($C$2, "IQ_NI_COMPANY", I$6,$F$2,,,Ccy,Conv)</f>
        <v>6397</v>
      </c>
      <c r="J67" s="25">
        <f>_xll.ciqfunctions.udf.CIQ($C$2, "IQ_NI_COMPANY", J$6,$F$2,,,Ccy,Conv)</f>
        <v>6023</v>
      </c>
      <c r="K67" s="25">
        <f>_xll.ciqfunctions.udf.CIQ($C$2, "IQ_NI_COMPANY", K$6,$F$2,,,Ccy,Conv)</f>
        <v>5473</v>
      </c>
      <c r="L67" s="25">
        <f>_xll.ciqfunctions.udf.CIQ($C$2, "IQ_NI_COMPANY", L$6,$F$2,,,Ccy,Conv)</f>
        <v>5833</v>
      </c>
      <c r="M67" s="25">
        <f>_xll.ciqfunctions.udf.CIQ($C$2, "IQ_NI_COMPANY", M$6,$F$2,,,Ccy,Conv)</f>
        <v>7907</v>
      </c>
      <c r="N67" s="25">
        <f>_xll.ciqfunctions.udf.CIQ($C$2, "IQ_NI_COMPANY", N$6,$F$2,,,Ccy,Conv)</f>
        <v>10593</v>
      </c>
      <c r="O67" s="22"/>
      <c r="P67" s="25">
        <f>_xll.ciqfunctions.udf.CIQ($C$2, "IQ_NI_COMPANY", P$6,$F$2,,,Ccy,Conv)</f>
        <v>10593</v>
      </c>
      <c r="Q67" s="232"/>
      <c r="R67" s="215"/>
      <c r="S67" s="215"/>
      <c r="T67" s="215"/>
      <c r="U67" s="215"/>
      <c r="V67" s="233"/>
      <c r="W67" s="233"/>
      <c r="X67" s="233"/>
      <c r="Y67" s="232"/>
      <c r="Z67" s="232"/>
      <c r="AA67" s="232"/>
      <c r="AB67" s="232"/>
      <c r="AC67" s="232"/>
      <c r="AD67" s="232"/>
      <c r="AE67" s="215"/>
      <c r="AF67" s="215"/>
      <c r="AG67" s="215"/>
      <c r="AH67" s="232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15"/>
      <c r="AU67" s="215"/>
      <c r="AV67" s="215"/>
      <c r="AW67" s="215"/>
      <c r="AX67" s="215"/>
      <c r="AY67" s="215"/>
      <c r="AZ67" s="215"/>
      <c r="BA67" s="215"/>
      <c r="BB67" s="215"/>
      <c r="BC67" s="215"/>
      <c r="BD67" s="215"/>
      <c r="BE67" s="215"/>
      <c r="BF67" s="215"/>
      <c r="BG67" s="215"/>
      <c r="BH67" s="215"/>
      <c r="BI67" s="215"/>
      <c r="BJ67" s="215"/>
      <c r="BK67" s="215"/>
      <c r="BL67" s="215"/>
      <c r="BM67" s="215"/>
      <c r="BN67" s="215"/>
      <c r="BO67" s="215"/>
      <c r="BP67" s="215"/>
      <c r="BQ67" s="215"/>
      <c r="BR67" s="215"/>
      <c r="BS67" s="215"/>
      <c r="BT67" s="215"/>
      <c r="BU67" s="215"/>
      <c r="BV67" s="215"/>
      <c r="BW67" s="215"/>
      <c r="BX67" s="215"/>
      <c r="BY67" s="215"/>
      <c r="BZ67" s="215"/>
    </row>
    <row r="68" spans="1:78" x14ac:dyDescent="0.2">
      <c r="A68" s="20"/>
      <c r="B68" s="20"/>
      <c r="C68" s="20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32"/>
      <c r="R68" s="215"/>
      <c r="S68" s="215"/>
      <c r="T68" s="215"/>
      <c r="U68" s="215"/>
      <c r="V68" s="233"/>
      <c r="W68" s="233"/>
      <c r="X68" s="233"/>
      <c r="Y68" s="232"/>
      <c r="Z68" s="232"/>
      <c r="AA68" s="232"/>
      <c r="AB68" s="232"/>
      <c r="AC68" s="232"/>
      <c r="AD68" s="232"/>
      <c r="AE68" s="215"/>
      <c r="AF68" s="215"/>
      <c r="AG68" s="215"/>
      <c r="AH68" s="232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15"/>
      <c r="AU68" s="215"/>
      <c r="AV68" s="215"/>
      <c r="AW68" s="215"/>
      <c r="AX68" s="215"/>
      <c r="AY68" s="215"/>
      <c r="AZ68" s="215"/>
      <c r="BA68" s="215"/>
      <c r="BB68" s="215"/>
      <c r="BC68" s="215"/>
      <c r="BD68" s="215"/>
      <c r="BE68" s="215"/>
      <c r="BF68" s="215"/>
      <c r="BG68" s="215"/>
      <c r="BH68" s="215"/>
      <c r="BI68" s="215"/>
      <c r="BJ68" s="215"/>
      <c r="BK68" s="215"/>
      <c r="BL68" s="215"/>
      <c r="BM68" s="215"/>
      <c r="BN68" s="215"/>
      <c r="BO68" s="215"/>
      <c r="BP68" s="215"/>
      <c r="BQ68" s="215"/>
      <c r="BR68" s="215"/>
      <c r="BS68" s="215"/>
      <c r="BT68" s="215"/>
      <c r="BU68" s="215"/>
      <c r="BV68" s="215"/>
      <c r="BW68" s="215"/>
      <c r="BX68" s="215"/>
      <c r="BY68" s="215"/>
      <c r="BZ68" s="215"/>
    </row>
    <row r="69" spans="1:78" x14ac:dyDescent="0.2">
      <c r="A69" s="2" t="str">
        <f>'Language Index'!A81</f>
        <v>Minority Int. in Earnings</v>
      </c>
      <c r="B69" s="17"/>
      <c r="C69" s="17"/>
      <c r="D69" s="18">
        <f>_xll.ciqfunctions.udf.CIQ($C$2, "IQ_MINORITY_INTEREST_IS", D$6,$F$2,,,Ccy,Conv)</f>
        <v>0</v>
      </c>
      <c r="E69" s="18">
        <f>_xll.ciqfunctions.udf.CIQ($C$2, "IQ_MINORITY_INTEREST_IS", E$6,$F$2,,,Ccy,Conv)</f>
        <v>0</v>
      </c>
      <c r="F69" s="18">
        <f>_xll.ciqfunctions.udf.CIQ($C$2, "IQ_MINORITY_INTEREST_IS", F$6,$F$2,,,Ccy,Conv)</f>
        <v>0</v>
      </c>
      <c r="G69" s="18">
        <f>_xll.ciqfunctions.udf.CIQ($C$2, "IQ_MINORITY_INTEREST_IS", G$6,$F$2,,,Ccy,Conv)</f>
        <v>0</v>
      </c>
      <c r="H69" s="18">
        <f>_xll.ciqfunctions.udf.CIQ($C$2, "IQ_MINORITY_INTEREST_IS", H$6,$F$2,,,Ccy,Conv)</f>
        <v>0</v>
      </c>
      <c r="I69" s="18">
        <f>_xll.ciqfunctions.udf.CIQ($C$2, "IQ_MINORITY_INTEREST_IS", I$6,$F$2,,,Ccy,Conv)</f>
        <v>0</v>
      </c>
      <c r="J69" s="18">
        <f>_xll.ciqfunctions.udf.CIQ($C$2, "IQ_MINORITY_INTEREST_IS", J$6,$F$2,,,Ccy,Conv)</f>
        <v>0</v>
      </c>
      <c r="K69" s="18">
        <f>_xll.ciqfunctions.udf.CIQ($C$2, "IQ_MINORITY_INTEREST_IS", K$6,$F$2,,,Ccy,Conv)</f>
        <v>0</v>
      </c>
      <c r="L69" s="18">
        <f>_xll.ciqfunctions.udf.CIQ($C$2, "IQ_MINORITY_INTEREST_IS", L$6,$F$2,,,Ccy,Conv)</f>
        <v>0</v>
      </c>
      <c r="M69" s="18">
        <f>_xll.ciqfunctions.udf.CIQ($C$2, "IQ_MINORITY_INTEREST_IS", M$6,$F$2,,,Ccy,Conv)</f>
        <v>0</v>
      </c>
      <c r="N69" s="18">
        <f>_xll.ciqfunctions.udf.CIQ($C$2, "IQ_MINORITY_INTEREST_IS", N$6,$F$2,,,Ccy,Conv)</f>
        <v>0</v>
      </c>
      <c r="O69" s="18"/>
      <c r="P69" s="18">
        <f>_xll.ciqfunctions.udf.CIQ($C$2, "IQ_MINORITY_INTEREST_IS", P$6,$F$2,,,Ccy,Conv)</f>
        <v>0</v>
      </c>
      <c r="Q69" s="215"/>
      <c r="R69" s="215"/>
      <c r="S69" s="215"/>
      <c r="T69" s="215"/>
      <c r="U69" s="215"/>
      <c r="V69" s="222"/>
      <c r="W69" s="222"/>
      <c r="X69" s="222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15"/>
      <c r="AU69" s="215"/>
      <c r="AV69" s="215"/>
      <c r="AW69" s="215"/>
      <c r="AX69" s="215"/>
      <c r="AY69" s="215"/>
      <c r="AZ69" s="215"/>
      <c r="BA69" s="215"/>
      <c r="BB69" s="215"/>
      <c r="BC69" s="215"/>
      <c r="BD69" s="215"/>
      <c r="BE69" s="215"/>
      <c r="BF69" s="215"/>
      <c r="BG69" s="215"/>
      <c r="BH69" s="215"/>
      <c r="BI69" s="215"/>
      <c r="BJ69" s="215"/>
      <c r="BK69" s="215"/>
      <c r="BL69" s="215"/>
      <c r="BM69" s="215"/>
      <c r="BN69" s="215"/>
      <c r="BO69" s="215"/>
      <c r="BP69" s="215"/>
      <c r="BQ69" s="215"/>
      <c r="BR69" s="215"/>
      <c r="BS69" s="215"/>
      <c r="BT69" s="215"/>
      <c r="BU69" s="215"/>
      <c r="BV69" s="215"/>
      <c r="BW69" s="215"/>
      <c r="BX69" s="215"/>
      <c r="BY69" s="215"/>
      <c r="BZ69" s="215"/>
    </row>
    <row r="70" spans="1:78" ht="13.5" thickBot="1" x14ac:dyDescent="0.25">
      <c r="A70" s="20" t="str">
        <f>'Language Index'!A82</f>
        <v>Net Income to Parent</v>
      </c>
      <c r="B70" s="16"/>
      <c r="C70" s="16"/>
      <c r="D70" s="24">
        <f>_xll.ciqfunctions.udf.CIQ($C$2, "IQ_NI", D$6,$F$2,,,Ccy,Conv)</f>
        <v>2025</v>
      </c>
      <c r="E70" s="24">
        <f>_xll.ciqfunctions.udf.CIQ($C$2, "IQ_NI", E$6,$F$2,,,Ccy,Conv)</f>
        <v>6924</v>
      </c>
      <c r="F70" s="24">
        <f>_xll.ciqfunctions.udf.CIQ($C$2, "IQ_NI", F$6,$F$2,,,Ccy,Conv)</f>
        <v>7502</v>
      </c>
      <c r="G70" s="24">
        <f>_xll.ciqfunctions.udf.CIQ($C$2, "IQ_NI", G$6,$F$2,,,Ccy,Conv)</f>
        <v>8180</v>
      </c>
      <c r="H70" s="24">
        <f>_xll.ciqfunctions.udf.CIQ($C$2, "IQ_NI", H$6,$F$2,,,Ccy,Conv)</f>
        <v>8430</v>
      </c>
      <c r="I70" s="24">
        <f>_xll.ciqfunctions.udf.CIQ($C$2, "IQ_NI", I$6,$F$2,,,Ccy,Conv)</f>
        <v>6397</v>
      </c>
      <c r="J70" s="24">
        <f>_xll.ciqfunctions.udf.CIQ($C$2, "IQ_NI", J$6,$F$2,,,Ccy,Conv)</f>
        <v>6023</v>
      </c>
      <c r="K70" s="24">
        <f>_xll.ciqfunctions.udf.CIQ($C$2, "IQ_NI", K$6,$F$2,,,Ccy,Conv)</f>
        <v>5473</v>
      </c>
      <c r="L70" s="24">
        <f>_xll.ciqfunctions.udf.CIQ($C$2, "IQ_NI", L$6,$F$2,,,Ccy,Conv)</f>
        <v>5833</v>
      </c>
      <c r="M70" s="24">
        <f>_xll.ciqfunctions.udf.CIQ($C$2, "IQ_NI", M$6,$F$2,,,Ccy,Conv)</f>
        <v>7907</v>
      </c>
      <c r="N70" s="24">
        <f>_xll.ciqfunctions.udf.CIQ($C$2, "IQ_NI", N$6,$F$2,,,Ccy,Conv)</f>
        <v>10593</v>
      </c>
      <c r="O70" s="22"/>
      <c r="P70" s="24">
        <f>_xll.ciqfunctions.udf.CIQ($C$2, "IQ_NI", P$6,$F$2,,,Ccy,Conv)</f>
        <v>10593</v>
      </c>
      <c r="Q70" s="215"/>
      <c r="R70" s="215"/>
      <c r="S70" s="215"/>
      <c r="T70" s="215"/>
      <c r="U70" s="215"/>
      <c r="V70" s="222"/>
      <c r="W70" s="222"/>
      <c r="X70" s="222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15"/>
      <c r="AU70" s="215"/>
      <c r="AV70" s="215"/>
      <c r="AW70" s="215"/>
      <c r="AX70" s="215"/>
      <c r="AY70" s="215"/>
      <c r="AZ70" s="215"/>
      <c r="BA70" s="215"/>
      <c r="BB70" s="215"/>
      <c r="BC70" s="215"/>
      <c r="BD70" s="215"/>
      <c r="BE70" s="215"/>
      <c r="BF70" s="215"/>
      <c r="BG70" s="215"/>
      <c r="BH70" s="215"/>
      <c r="BI70" s="215"/>
      <c r="BJ70" s="215"/>
      <c r="BK70" s="215"/>
      <c r="BL70" s="215"/>
      <c r="BM70" s="215"/>
      <c r="BN70" s="215"/>
      <c r="BO70" s="215"/>
      <c r="BP70" s="215"/>
      <c r="BQ70" s="215"/>
      <c r="BR70" s="215"/>
      <c r="BS70" s="215"/>
      <c r="BT70" s="215"/>
      <c r="BU70" s="215"/>
      <c r="BV70" s="215"/>
      <c r="BW70" s="215"/>
      <c r="BX70" s="215"/>
      <c r="BY70" s="215"/>
      <c r="BZ70" s="215"/>
    </row>
    <row r="71" spans="1:78" ht="13.5" thickTop="1" x14ac:dyDescent="0.2">
      <c r="A71" s="16"/>
      <c r="B71" s="16"/>
      <c r="C71" s="16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215"/>
      <c r="R71" s="215"/>
      <c r="S71" s="215"/>
      <c r="T71" s="215"/>
      <c r="U71" s="215"/>
      <c r="V71" s="222"/>
      <c r="W71" s="222"/>
      <c r="X71" s="222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15"/>
      <c r="AU71" s="215"/>
      <c r="AV71" s="215"/>
      <c r="AW71" s="215"/>
      <c r="AX71" s="215"/>
      <c r="AY71" s="215"/>
      <c r="AZ71" s="215"/>
      <c r="BA71" s="215"/>
      <c r="BB71" s="215"/>
      <c r="BC71" s="215"/>
      <c r="BD71" s="215"/>
      <c r="BE71" s="215"/>
      <c r="BF71" s="215"/>
      <c r="BG71" s="215"/>
      <c r="BH71" s="215"/>
      <c r="BI71" s="215"/>
      <c r="BJ71" s="215"/>
      <c r="BK71" s="215"/>
      <c r="BL71" s="215"/>
      <c r="BM71" s="215"/>
      <c r="BN71" s="215"/>
      <c r="BO71" s="215"/>
      <c r="BP71" s="215"/>
      <c r="BQ71" s="215"/>
      <c r="BR71" s="215"/>
      <c r="BS71" s="215"/>
      <c r="BT71" s="215"/>
      <c r="BU71" s="215"/>
      <c r="BV71" s="215"/>
      <c r="BW71" s="215"/>
      <c r="BX71" s="215"/>
      <c r="BY71" s="215"/>
      <c r="BZ71" s="215"/>
    </row>
    <row r="72" spans="1:78" x14ac:dyDescent="0.2">
      <c r="A72" s="2" t="str">
        <f>'Language Index'!A83</f>
        <v>Pref. Dividends and Other Adj.</v>
      </c>
      <c r="B72" s="17"/>
      <c r="C72" s="17"/>
      <c r="D72" s="18">
        <f>_xll.ciqfunctions.udf.CIQ($C$2, "IQ_PREF_DIV_OTHER", D$6,$F$2,,,Ccy,Conv)</f>
        <v>0</v>
      </c>
      <c r="E72" s="18">
        <f>_xll.ciqfunctions.udf.CIQ($C$2, "IQ_PREF_DIV_OTHER", E$6,$F$2,,,Ccy,Conv)</f>
        <v>0</v>
      </c>
      <c r="F72" s="18">
        <f>_xll.ciqfunctions.udf.CIQ($C$2, "IQ_PREF_DIV_OTHER", F$6,$F$2,,,Ccy,Conv)</f>
        <v>0</v>
      </c>
      <c r="G72" s="18">
        <f>_xll.ciqfunctions.udf.CIQ($C$2, "IQ_PREF_DIV_OTHER", G$6,$F$2,,,Ccy,Conv)</f>
        <v>0</v>
      </c>
      <c r="H72" s="18">
        <f>_xll.ciqfunctions.udf.CIQ($C$2, "IQ_PREF_DIV_OTHER", H$6,$F$2,,,Ccy,Conv)</f>
        <v>0</v>
      </c>
      <c r="I72" s="18">
        <f>_xll.ciqfunctions.udf.CIQ($C$2, "IQ_PREF_DIV_OTHER", I$6,$F$2,,,Ccy,Conv)</f>
        <v>0</v>
      </c>
      <c r="J72" s="18">
        <f>_xll.ciqfunctions.udf.CIQ($C$2, "IQ_PREF_DIV_OTHER", J$6,$F$2,,,Ccy,Conv)</f>
        <v>0</v>
      </c>
      <c r="K72" s="18">
        <f>_xll.ciqfunctions.udf.CIQ($C$2, "IQ_PREF_DIV_OTHER", K$6,$F$2,,,Ccy,Conv)</f>
        <v>0</v>
      </c>
      <c r="L72" s="18">
        <f>_xll.ciqfunctions.udf.CIQ($C$2, "IQ_PREF_DIV_OTHER", L$6,$F$2,,,Ccy,Conv)</f>
        <v>0</v>
      </c>
      <c r="M72" s="18">
        <f>_xll.ciqfunctions.udf.CIQ($C$2, "IQ_PREF_DIV_OTHER", M$6,$F$2,,,Ccy,Conv)</f>
        <v>0</v>
      </c>
      <c r="N72" s="18">
        <f>_xll.ciqfunctions.udf.CIQ($C$2, "IQ_PREF_DIV_OTHER", N$6,$F$2,,,Ccy,Conv)</f>
        <v>0</v>
      </c>
      <c r="O72" s="18"/>
      <c r="P72" s="18">
        <f>_xll.ciqfunctions.udf.CIQ($C$2, "IQ_PREF_DIV_OTHER", P$6,$F$2,,,Ccy,Conv)</f>
        <v>0</v>
      </c>
      <c r="Q72" s="232"/>
      <c r="R72" s="215"/>
      <c r="S72" s="215"/>
      <c r="T72" s="215"/>
      <c r="U72" s="215"/>
      <c r="V72" s="233"/>
      <c r="W72" s="233"/>
      <c r="X72" s="233"/>
      <c r="Y72" s="232"/>
      <c r="Z72" s="232"/>
      <c r="AA72" s="232"/>
      <c r="AB72" s="232"/>
      <c r="AC72" s="232"/>
      <c r="AD72" s="232"/>
      <c r="AE72" s="215"/>
      <c r="AF72" s="215"/>
      <c r="AG72" s="215"/>
      <c r="AH72" s="232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15"/>
      <c r="AU72" s="215"/>
      <c r="AV72" s="215"/>
      <c r="AW72" s="215"/>
      <c r="AX72" s="215"/>
      <c r="AY72" s="215"/>
      <c r="AZ72" s="215"/>
      <c r="BA72" s="215"/>
      <c r="BB72" s="215"/>
      <c r="BC72" s="215"/>
      <c r="BD72" s="215"/>
      <c r="BE72" s="215"/>
      <c r="BF72" s="215"/>
      <c r="BG72" s="215"/>
      <c r="BH72" s="215"/>
      <c r="BI72" s="215"/>
      <c r="BJ72" s="215"/>
      <c r="BK72" s="215"/>
      <c r="BL72" s="215"/>
      <c r="BM72" s="215"/>
      <c r="BN72" s="215"/>
      <c r="BO72" s="215"/>
      <c r="BP72" s="215"/>
      <c r="BQ72" s="215"/>
      <c r="BR72" s="215"/>
      <c r="BS72" s="215"/>
      <c r="BT72" s="215"/>
      <c r="BU72" s="215"/>
      <c r="BV72" s="215"/>
      <c r="BW72" s="215"/>
      <c r="BX72" s="215"/>
      <c r="BY72" s="215"/>
      <c r="BZ72" s="215"/>
    </row>
    <row r="73" spans="1:78" x14ac:dyDescent="0.2">
      <c r="A73" s="16"/>
      <c r="B73" s="16"/>
      <c r="C73" s="16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232"/>
      <c r="R73" s="215"/>
      <c r="S73" s="215"/>
      <c r="T73" s="215"/>
      <c r="U73" s="215"/>
      <c r="V73" s="233"/>
      <c r="W73" s="233"/>
      <c r="X73" s="233"/>
      <c r="Y73" s="232"/>
      <c r="Z73" s="232"/>
      <c r="AA73" s="232"/>
      <c r="AB73" s="232"/>
      <c r="AC73" s="232"/>
      <c r="AD73" s="232"/>
      <c r="AE73" s="215"/>
      <c r="AF73" s="215"/>
      <c r="AG73" s="215"/>
      <c r="AH73" s="232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15"/>
      <c r="AU73" s="215"/>
      <c r="AV73" s="215"/>
      <c r="AW73" s="215"/>
      <c r="AX73" s="215"/>
      <c r="AY73" s="215"/>
      <c r="AZ73" s="215"/>
      <c r="BA73" s="215"/>
      <c r="BB73" s="215"/>
      <c r="BC73" s="215"/>
      <c r="BD73" s="215"/>
      <c r="BE73" s="215"/>
      <c r="BF73" s="215"/>
      <c r="BG73" s="215"/>
      <c r="BH73" s="215"/>
      <c r="BI73" s="215"/>
      <c r="BJ73" s="215"/>
      <c r="BK73" s="215"/>
      <c r="BL73" s="215"/>
      <c r="BM73" s="215"/>
      <c r="BN73" s="215"/>
      <c r="BO73" s="215"/>
      <c r="BP73" s="215"/>
      <c r="BQ73" s="215"/>
      <c r="BR73" s="215"/>
      <c r="BS73" s="215"/>
      <c r="BT73" s="215"/>
      <c r="BU73" s="215"/>
      <c r="BV73" s="215"/>
      <c r="BW73" s="215"/>
      <c r="BX73" s="215"/>
      <c r="BY73" s="215"/>
      <c r="BZ73" s="215"/>
    </row>
    <row r="74" spans="1:78" x14ac:dyDescent="0.2">
      <c r="A74" s="20" t="str">
        <f>'Language Index'!A84</f>
        <v>NI to Common Incl Extra Items</v>
      </c>
      <c r="B74" s="20"/>
      <c r="C74" s="20"/>
      <c r="D74" s="22">
        <f>_xll.ciqfunctions.udf.CIQ($C$2, "IQ_NI_AVAIL_INCL", D$6,$F$2,,,Ccy,Conv)</f>
        <v>2025</v>
      </c>
      <c r="E74" s="22">
        <f>_xll.ciqfunctions.udf.CIQ($C$2, "IQ_NI_AVAIL_INCL", E$6,$F$2,,,Ccy,Conv)</f>
        <v>6924</v>
      </c>
      <c r="F74" s="22">
        <f>_xll.ciqfunctions.udf.CIQ($C$2, "IQ_NI_AVAIL_INCL", F$6,$F$2,,,Ccy,Conv)</f>
        <v>7502</v>
      </c>
      <c r="G74" s="22">
        <f>_xll.ciqfunctions.udf.CIQ($C$2, "IQ_NI_AVAIL_INCL", G$6,$F$2,,,Ccy,Conv)</f>
        <v>8180</v>
      </c>
      <c r="H74" s="22">
        <f>_xll.ciqfunctions.udf.CIQ($C$2, "IQ_NI_AVAIL_INCL", H$6,$F$2,,,Ccy,Conv)</f>
        <v>8430</v>
      </c>
      <c r="I74" s="22">
        <f>_xll.ciqfunctions.udf.CIQ($C$2, "IQ_NI_AVAIL_INCL", I$6,$F$2,,,Ccy,Conv)</f>
        <v>6397</v>
      </c>
      <c r="J74" s="22">
        <f>_xll.ciqfunctions.udf.CIQ($C$2, "IQ_NI_AVAIL_INCL", J$6,$F$2,,,Ccy,Conv)</f>
        <v>6023</v>
      </c>
      <c r="K74" s="22">
        <f>_xll.ciqfunctions.udf.CIQ($C$2, "IQ_NI_AVAIL_INCL", K$6,$F$2,,,Ccy,Conv)</f>
        <v>5473</v>
      </c>
      <c r="L74" s="22">
        <f>_xll.ciqfunctions.udf.CIQ($C$2, "IQ_NI_AVAIL_INCL", L$6,$F$2,,,Ccy,Conv)</f>
        <v>5833</v>
      </c>
      <c r="M74" s="22">
        <f>_xll.ciqfunctions.udf.CIQ($C$2, "IQ_NI_AVAIL_INCL", M$6,$F$2,,,Ccy,Conv)</f>
        <v>7907</v>
      </c>
      <c r="N74" s="22">
        <f>_xll.ciqfunctions.udf.CIQ($C$2, "IQ_NI_AVAIL_INCL", N$6,$F$2,,,Ccy,Conv)</f>
        <v>10593</v>
      </c>
      <c r="O74" s="22"/>
      <c r="P74" s="22">
        <f>_xll.ciqfunctions.udf.CIQ($C$2, "IQ_NI_AVAIL_INCL", P$6,$F$2,,,Ccy,Conv)</f>
        <v>10593</v>
      </c>
      <c r="Q74" s="232"/>
      <c r="R74" s="215"/>
      <c r="S74" s="215"/>
      <c r="T74" s="215"/>
      <c r="U74" s="215"/>
      <c r="V74" s="233"/>
      <c r="W74" s="233"/>
      <c r="X74" s="233"/>
      <c r="Y74" s="232"/>
      <c r="Z74" s="232"/>
      <c r="AA74" s="232"/>
      <c r="AB74" s="232"/>
      <c r="AC74" s="232"/>
      <c r="AD74" s="232"/>
      <c r="AE74" s="215"/>
      <c r="AF74" s="215"/>
      <c r="AG74" s="215"/>
      <c r="AH74" s="232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215"/>
      <c r="AU74" s="215"/>
      <c r="AV74" s="215"/>
      <c r="AW74" s="215"/>
      <c r="AX74" s="215"/>
      <c r="AY74" s="215"/>
      <c r="AZ74" s="215"/>
      <c r="BA74" s="215"/>
      <c r="BB74" s="215"/>
      <c r="BC74" s="215"/>
      <c r="BD74" s="215"/>
      <c r="BE74" s="215"/>
      <c r="BF74" s="215"/>
      <c r="BG74" s="215"/>
      <c r="BH74" s="215"/>
      <c r="BI74" s="215"/>
      <c r="BJ74" s="215"/>
      <c r="BK74" s="215"/>
      <c r="BL74" s="215"/>
      <c r="BM74" s="215"/>
      <c r="BN74" s="215"/>
      <c r="BO74" s="215"/>
      <c r="BP74" s="215"/>
      <c r="BQ74" s="215"/>
      <c r="BR74" s="215"/>
      <c r="BS74" s="215"/>
      <c r="BT74" s="215"/>
      <c r="BU74" s="215"/>
      <c r="BV74" s="215"/>
      <c r="BW74" s="215"/>
      <c r="BX74" s="215"/>
      <c r="BY74" s="215"/>
      <c r="BZ74" s="215"/>
    </row>
    <row r="75" spans="1:78" x14ac:dyDescent="0.2">
      <c r="A75" s="20" t="str">
        <f>'Language Index'!A85</f>
        <v>NI to Common Excl Extra Items</v>
      </c>
      <c r="B75" s="20"/>
      <c r="C75" s="20"/>
      <c r="D75" s="22">
        <f>_xll.ciqfunctions.udf.CIQ($C$2, "IQ_NI_AVAIL_EXCL", D$6,$F$2,,,Ccy,Conv)</f>
        <v>2170</v>
      </c>
      <c r="E75" s="22">
        <f>_xll.ciqfunctions.udf.CIQ($C$2, "IQ_NI_AVAIL_EXCL", E$6,$F$2,,,Ccy,Conv)</f>
        <v>7098</v>
      </c>
      <c r="F75" s="22">
        <f>_xll.ciqfunctions.udf.CIQ($C$2, "IQ_NI_AVAIL_EXCL", F$6,$F$2,,,Ccy,Conv)</f>
        <v>7514</v>
      </c>
      <c r="G75" s="22">
        <f>_xll.ciqfunctions.udf.CIQ($C$2, "IQ_NI_AVAIL_EXCL", G$6,$F$2,,,Ccy,Conv)</f>
        <v>8155</v>
      </c>
      <c r="H75" s="22">
        <f>_xll.ciqfunctions.udf.CIQ($C$2, "IQ_NI_AVAIL_EXCL", H$6,$F$2,,,Ccy,Conv)</f>
        <v>8404</v>
      </c>
      <c r="I75" s="22">
        <f>_xll.ciqfunctions.udf.CIQ($C$2, "IQ_NI_AVAIL_EXCL", I$6,$F$2,,,Ccy,Conv)</f>
        <v>6373</v>
      </c>
      <c r="J75" s="22">
        <f>_xll.ciqfunctions.udf.CIQ($C$2, "IQ_NI_AVAIL_EXCL", J$6,$F$2,,,Ccy,Conv)</f>
        <v>6015</v>
      </c>
      <c r="K75" s="22">
        <f>_xll.ciqfunctions.udf.CIQ($C$2, "IQ_NI_AVAIL_EXCL", K$6,$F$2,,,Ccy,Conv)</f>
        <v>5494</v>
      </c>
      <c r="L75" s="22">
        <f>_xll.ciqfunctions.udf.CIQ($C$2, "IQ_NI_AVAIL_EXCL", L$6,$F$2,,,Ccy,Conv)</f>
        <v>5858</v>
      </c>
      <c r="M75" s="22">
        <f>_xll.ciqfunctions.udf.CIQ($C$2, "IQ_NI_AVAIL_EXCL", M$6,$F$2,,,Ccy,Conv)</f>
        <v>7919</v>
      </c>
      <c r="N75" s="22">
        <f>_xll.ciqfunctions.udf.CIQ($C$2, "IQ_NI_AVAIL_EXCL", N$6,$F$2,,,Ccy,Conv)</f>
        <v>10571</v>
      </c>
      <c r="O75" s="22"/>
      <c r="P75" s="22">
        <f>_xll.ciqfunctions.udf.CIQ($C$2, "IQ_NI_AVAIL_EXCL", P$6,$F$2,,,Ccy,Conv)</f>
        <v>10571</v>
      </c>
      <c r="Q75" s="232"/>
      <c r="R75" s="215"/>
      <c r="S75" s="215"/>
      <c r="T75" s="215"/>
      <c r="U75" s="215"/>
      <c r="V75" s="233"/>
      <c r="W75" s="233"/>
      <c r="X75" s="233"/>
      <c r="Y75" s="232"/>
      <c r="Z75" s="232"/>
      <c r="AA75" s="232"/>
      <c r="AB75" s="232"/>
      <c r="AC75" s="232"/>
      <c r="AD75" s="232"/>
      <c r="AE75" s="215"/>
      <c r="AF75" s="215"/>
      <c r="AG75" s="215"/>
      <c r="AH75" s="232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215"/>
      <c r="AU75" s="215"/>
      <c r="AV75" s="215"/>
      <c r="AW75" s="215"/>
      <c r="AX75" s="215"/>
      <c r="AY75" s="215"/>
      <c r="AZ75" s="215"/>
      <c r="BA75" s="215"/>
      <c r="BB75" s="215"/>
      <c r="BC75" s="215"/>
      <c r="BD75" s="215"/>
      <c r="BE75" s="215"/>
      <c r="BF75" s="215"/>
      <c r="BG75" s="215"/>
      <c r="BH75" s="215"/>
      <c r="BI75" s="215"/>
      <c r="BJ75" s="215"/>
      <c r="BK75" s="215"/>
      <c r="BL75" s="215"/>
      <c r="BM75" s="215"/>
      <c r="BN75" s="215"/>
      <c r="BO75" s="215"/>
      <c r="BP75" s="215"/>
      <c r="BQ75" s="215"/>
      <c r="BR75" s="215"/>
      <c r="BS75" s="215"/>
      <c r="BT75" s="215"/>
      <c r="BU75" s="215"/>
      <c r="BV75" s="215"/>
      <c r="BW75" s="215"/>
      <c r="BX75" s="215"/>
      <c r="BY75" s="215"/>
      <c r="BZ75" s="215"/>
    </row>
    <row r="76" spans="1:78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215"/>
      <c r="R76" s="215"/>
      <c r="S76" s="215"/>
      <c r="T76" s="215"/>
      <c r="U76" s="215"/>
      <c r="V76" s="222"/>
      <c r="W76" s="222"/>
      <c r="X76" s="222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15"/>
      <c r="AN76" s="215"/>
      <c r="AO76" s="215"/>
      <c r="AP76" s="215"/>
      <c r="AQ76" s="215"/>
      <c r="AR76" s="215"/>
      <c r="AS76" s="215"/>
      <c r="AT76" s="215"/>
      <c r="AU76" s="215"/>
      <c r="AV76" s="215"/>
      <c r="AW76" s="215"/>
      <c r="AX76" s="215"/>
      <c r="AY76" s="215"/>
      <c r="AZ76" s="215"/>
      <c r="BA76" s="215"/>
      <c r="BB76" s="215"/>
      <c r="BC76" s="215"/>
      <c r="BD76" s="215"/>
      <c r="BE76" s="215"/>
      <c r="BF76" s="215"/>
      <c r="BG76" s="215"/>
      <c r="BH76" s="215"/>
      <c r="BI76" s="215"/>
      <c r="BJ76" s="215"/>
      <c r="BK76" s="215"/>
      <c r="BL76" s="215"/>
      <c r="BM76" s="215"/>
      <c r="BN76" s="215"/>
      <c r="BO76" s="215"/>
      <c r="BP76" s="215"/>
      <c r="BQ76" s="215"/>
      <c r="BR76" s="215"/>
      <c r="BS76" s="215"/>
      <c r="BT76" s="215"/>
      <c r="BU76" s="215"/>
      <c r="BV76" s="215"/>
      <c r="BW76" s="215"/>
      <c r="BX76" s="215"/>
      <c r="BY76" s="215"/>
      <c r="BZ76" s="215"/>
    </row>
    <row r="77" spans="1:78" x14ac:dyDescent="0.2">
      <c r="A77" s="26"/>
      <c r="B77" s="26"/>
      <c r="C77" s="26"/>
      <c r="D77" s="27" t="str">
        <f>'Language Index'!A15</f>
        <v>Per Share Items</v>
      </c>
      <c r="E77" s="27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215"/>
      <c r="R77" s="215"/>
      <c r="S77" s="215"/>
      <c r="T77" s="215"/>
      <c r="U77" s="215"/>
      <c r="V77" s="222"/>
      <c r="W77" s="222"/>
      <c r="X77" s="222"/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15"/>
      <c r="AN77" s="215"/>
      <c r="AO77" s="215"/>
      <c r="AP77" s="215"/>
      <c r="AQ77" s="215"/>
      <c r="AR77" s="215"/>
      <c r="AS77" s="215"/>
      <c r="AT77" s="215"/>
      <c r="AU77" s="215"/>
      <c r="AV77" s="215"/>
      <c r="AW77" s="215"/>
      <c r="AX77" s="215"/>
      <c r="AY77" s="215"/>
      <c r="AZ77" s="215"/>
      <c r="BA77" s="215"/>
      <c r="BB77" s="215"/>
      <c r="BC77" s="215"/>
      <c r="BD77" s="215"/>
      <c r="BE77" s="215"/>
      <c r="BF77" s="215"/>
      <c r="BG77" s="215"/>
      <c r="BH77" s="215"/>
      <c r="BI77" s="215"/>
      <c r="BJ77" s="215"/>
      <c r="BK77" s="215"/>
      <c r="BL77" s="215"/>
      <c r="BM77" s="215"/>
      <c r="BN77" s="215"/>
      <c r="BO77" s="215"/>
      <c r="BP77" s="215"/>
      <c r="BQ77" s="215"/>
      <c r="BR77" s="215"/>
      <c r="BS77" s="215"/>
      <c r="BT77" s="215"/>
      <c r="BU77" s="215"/>
      <c r="BV77" s="215"/>
      <c r="BW77" s="215"/>
      <c r="BX77" s="215"/>
      <c r="BY77" s="215"/>
      <c r="BZ77" s="215"/>
    </row>
    <row r="78" spans="1:78" x14ac:dyDescent="0.2">
      <c r="A78" s="2" t="str">
        <f>'Language Index'!A86</f>
        <v>Basic EPS</v>
      </c>
      <c r="B78" s="28"/>
      <c r="C78" s="28"/>
      <c r="D78" s="29">
        <f>_xll.ciqfunctions.udf.CIQ($C$2, "IQ_BASIC_EPS_INCL", D$6,$F$2,,,Ccy,Conv)</f>
        <v>2.2330899999999998</v>
      </c>
      <c r="E78" s="29">
        <f>_xll.ciqfunctions.udf.CIQ($C$2, "IQ_BASIC_EPS_INCL", E$6,$F$2,,,Ccy,Conv)</f>
        <v>7.6169700000000002</v>
      </c>
      <c r="F78" s="29">
        <f>_xll.ciqfunctions.udf.CIQ($C$2, "IQ_BASIC_EPS_INCL", F$6,$F$2,,,Ccy,Conv)</f>
        <v>8.2330100000000002</v>
      </c>
      <c r="G78" s="29">
        <f>_xll.ciqfunctions.udf.CIQ($C$2, "IQ_BASIC_EPS_INCL", G$6,$F$2,,,Ccy,Conv)</f>
        <v>8.95336</v>
      </c>
      <c r="H78" s="29">
        <f>_xll.ciqfunctions.udf.CIQ($C$2, "IQ_BASIC_EPS_INCL", H$6,$F$2,,,Ccy,Conv)</f>
        <v>9.2011500000000002</v>
      </c>
      <c r="I78" s="29">
        <f>_xll.ciqfunctions.udf.CIQ($C$2, "IQ_BASIC_EPS_INCL", I$6,$F$2,,,Ccy,Conv)</f>
        <v>6.9618900000000004</v>
      </c>
      <c r="J78" s="29">
        <f>_xll.ciqfunctions.udf.CIQ($C$2, "IQ_BASIC_EPS_INCL", J$6,$F$2,,,Ccy,Conv)</f>
        <v>6.5341800000000001</v>
      </c>
      <c r="K78" s="29">
        <f>_xll.ciqfunctions.udf.CIQ($C$2, "IQ_BASIC_EPS_INCL", K$6,$F$2,,,Ccy,Conv)</f>
        <v>5.9201199999999998</v>
      </c>
      <c r="L78" s="29">
        <f>_xll.ciqfunctions.udf.CIQ($C$2, "IQ_BASIC_EPS_INCL", L$6,$F$2,,,Ccy,Conv)</f>
        <v>6.2915400000000004</v>
      </c>
      <c r="M78" s="29">
        <f>_xll.ciqfunctions.udf.CIQ($C$2, "IQ_BASIC_EPS_INCL", M$6,$F$2,,,Ccy,Conv)</f>
        <v>8.5047300000000003</v>
      </c>
      <c r="N78" s="29">
        <f>_xll.ciqfunctions.udf.CIQ($C$2, "IQ_BASIC_EPS_INCL", N$6,$F$2,,,Ccy,Conv)</f>
        <v>11.362299999999999</v>
      </c>
      <c r="O78" s="29"/>
      <c r="P78" s="29">
        <f>_xll.ciqfunctions.udf.CIQ($C$2, "IQ_BASIC_EPS_INCL", P$6,$F$2,,,Ccy,Conv)</f>
        <v>11.362299999999999</v>
      </c>
      <c r="Q78" s="234"/>
      <c r="R78" s="215"/>
      <c r="S78" s="215"/>
      <c r="T78" s="215"/>
      <c r="U78" s="215"/>
      <c r="V78" s="236"/>
      <c r="W78" s="236"/>
      <c r="X78" s="236"/>
      <c r="Y78" s="237"/>
      <c r="Z78" s="237"/>
      <c r="AA78" s="237"/>
      <c r="AB78" s="237"/>
      <c r="AC78" s="237"/>
      <c r="AD78" s="237"/>
      <c r="AE78" s="215"/>
      <c r="AF78" s="215"/>
      <c r="AG78" s="215"/>
      <c r="AH78" s="237"/>
      <c r="AI78" s="215"/>
      <c r="AJ78" s="215"/>
      <c r="AK78" s="215"/>
      <c r="AL78" s="215"/>
      <c r="AM78" s="215"/>
      <c r="AN78" s="215"/>
      <c r="AO78" s="215"/>
      <c r="AP78" s="215"/>
      <c r="AQ78" s="215"/>
      <c r="AR78" s="215"/>
      <c r="AS78" s="215"/>
      <c r="AT78" s="215"/>
      <c r="AU78" s="215"/>
      <c r="AV78" s="215"/>
      <c r="AW78" s="215"/>
      <c r="AX78" s="215"/>
      <c r="AY78" s="215"/>
      <c r="AZ78" s="215"/>
      <c r="BA78" s="215"/>
      <c r="BB78" s="215"/>
      <c r="BC78" s="215"/>
      <c r="BD78" s="215"/>
      <c r="BE78" s="215"/>
      <c r="BF78" s="215"/>
      <c r="BG78" s="215"/>
      <c r="BH78" s="215"/>
      <c r="BI78" s="215"/>
      <c r="BJ78" s="215"/>
      <c r="BK78" s="215"/>
      <c r="BL78" s="215"/>
      <c r="BM78" s="215"/>
      <c r="BN78" s="215"/>
      <c r="BO78" s="215"/>
      <c r="BP78" s="215"/>
      <c r="BQ78" s="215"/>
      <c r="BR78" s="215"/>
      <c r="BS78" s="215"/>
      <c r="BT78" s="215"/>
      <c r="BU78" s="215"/>
      <c r="BV78" s="215"/>
      <c r="BW78" s="215"/>
      <c r="BX78" s="215"/>
      <c r="BY78" s="215"/>
      <c r="BZ78" s="215"/>
    </row>
    <row r="79" spans="1:78" x14ac:dyDescent="0.2">
      <c r="A79" s="2" t="str">
        <f>'Language Index'!A87</f>
        <v>Basic EPS Excl. Extra Items</v>
      </c>
      <c r="B79" s="28"/>
      <c r="C79" s="28"/>
      <c r="D79" s="29">
        <f>_xll.ciqfunctions.udf.CIQ($C$2, "IQ_BASIC_EPS_EXCL", D$6,$F$2,,,Ccy,Conv)</f>
        <v>2.3929999999999998</v>
      </c>
      <c r="E79" s="29">
        <f>_xll.ciqfunctions.udf.CIQ($C$2, "IQ_BASIC_EPS_EXCL", E$6,$F$2,,,Ccy,Conv)</f>
        <v>7.8083799999999997</v>
      </c>
      <c r="F79" s="29">
        <f>_xll.ciqfunctions.udf.CIQ($C$2, "IQ_BASIC_EPS_EXCL", F$6,$F$2,,,Ccy,Conv)</f>
        <v>8.2461800000000007</v>
      </c>
      <c r="G79" s="29">
        <f>_xll.ciqfunctions.udf.CIQ($C$2, "IQ_BASIC_EPS_EXCL", G$6,$F$2,,,Ccy,Conv)</f>
        <v>8.9260000000000002</v>
      </c>
      <c r="H79" s="29">
        <f>_xll.ciqfunctions.udf.CIQ($C$2, "IQ_BASIC_EPS_EXCL", H$6,$F$2,,,Ccy,Conv)</f>
        <v>9.1727699999999999</v>
      </c>
      <c r="I79" s="29">
        <f>_xll.ciqfunctions.udf.CIQ($C$2, "IQ_BASIC_EPS_EXCL", I$6,$F$2,,,Ccy,Conv)</f>
        <v>6.9357699999999998</v>
      </c>
      <c r="J79" s="29">
        <f>_xll.ciqfunctions.udf.CIQ($C$2, "IQ_BASIC_EPS_EXCL", J$6,$F$2,,,Ccy,Conv)</f>
        <v>6.5255000000000001</v>
      </c>
      <c r="K79" s="29">
        <f>_xll.ciqfunctions.udf.CIQ($C$2, "IQ_BASIC_EPS_EXCL", K$6,$F$2,,,Ccy,Conv)</f>
        <v>5.9428299999999998</v>
      </c>
      <c r="L79" s="29">
        <f>_xll.ciqfunctions.udf.CIQ($C$2, "IQ_BASIC_EPS_EXCL", L$6,$F$2,,,Ccy,Conv)</f>
        <v>6.3185099999999998</v>
      </c>
      <c r="M79" s="29">
        <f>_xll.ciqfunctions.udf.CIQ($C$2, "IQ_BASIC_EPS_EXCL", M$6,$F$2,,,Ccy,Conv)</f>
        <v>8.5176400000000001</v>
      </c>
      <c r="N79" s="29">
        <f>_xll.ciqfunctions.udf.CIQ($C$2, "IQ_BASIC_EPS_EXCL", N$6,$F$2,,,Ccy,Conv)</f>
        <v>11.338699999999999</v>
      </c>
      <c r="O79" s="29"/>
      <c r="P79" s="29">
        <f>_xll.ciqfunctions.udf.CIQ($C$2, "IQ_BASIC_EPS_EXCL", P$6,$F$2,,,Ccy,Conv)</f>
        <v>11.338699999999999</v>
      </c>
      <c r="Q79" s="234"/>
      <c r="R79" s="215"/>
      <c r="S79" s="215"/>
      <c r="T79" s="215"/>
      <c r="U79" s="215"/>
      <c r="V79" s="236"/>
      <c r="W79" s="236"/>
      <c r="X79" s="236"/>
      <c r="Y79" s="237"/>
      <c r="Z79" s="237"/>
      <c r="AA79" s="237"/>
      <c r="AB79" s="237"/>
      <c r="AC79" s="237"/>
      <c r="AD79" s="237"/>
      <c r="AE79" s="215"/>
      <c r="AF79" s="215"/>
      <c r="AG79" s="215"/>
      <c r="AH79" s="237"/>
      <c r="AI79" s="215"/>
      <c r="AJ79" s="215"/>
      <c r="AK79" s="215"/>
      <c r="AL79" s="215"/>
      <c r="AM79" s="215"/>
      <c r="AN79" s="215"/>
      <c r="AO79" s="215"/>
      <c r="AP79" s="215"/>
      <c r="AQ79" s="215"/>
      <c r="AR79" s="215"/>
      <c r="AS79" s="215"/>
      <c r="AT79" s="215"/>
      <c r="AU79" s="215"/>
      <c r="AV79" s="215"/>
      <c r="AW79" s="215"/>
      <c r="AX79" s="215"/>
      <c r="AY79" s="215"/>
      <c r="AZ79" s="215"/>
      <c r="BA79" s="215"/>
      <c r="BB79" s="215"/>
      <c r="BC79" s="215"/>
      <c r="BD79" s="215"/>
      <c r="BE79" s="215"/>
      <c r="BF79" s="215"/>
      <c r="BG79" s="215"/>
      <c r="BH79" s="215"/>
      <c r="BI79" s="215"/>
      <c r="BJ79" s="215"/>
      <c r="BK79" s="215"/>
      <c r="BL79" s="215"/>
      <c r="BM79" s="215"/>
      <c r="BN79" s="215"/>
      <c r="BO79" s="215"/>
      <c r="BP79" s="215"/>
      <c r="BQ79" s="215"/>
      <c r="BR79" s="215"/>
      <c r="BS79" s="215"/>
      <c r="BT79" s="215"/>
      <c r="BU79" s="215"/>
      <c r="BV79" s="215"/>
      <c r="BW79" s="215"/>
      <c r="BX79" s="215"/>
      <c r="BY79" s="215"/>
      <c r="BZ79" s="215"/>
    </row>
    <row r="80" spans="1:78" x14ac:dyDescent="0.2">
      <c r="A80" s="2" t="str">
        <f>'Language Index'!A88</f>
        <v>Weighted Avg. Basic Shares Out.</v>
      </c>
      <c r="B80" s="17"/>
      <c r="C80" s="17"/>
      <c r="D80" s="30">
        <f>_xll.ciqfunctions.udf.CIQ($C$2, "IQ_BASIC_WEIGHT", D$6,$F$2)</f>
        <v>906.81318999999996</v>
      </c>
      <c r="E80" s="30">
        <f>_xll.ciqfunctions.udf.CIQ($C$2, "IQ_BASIC_WEIGHT", E$6,$F$2)</f>
        <v>909.02328</v>
      </c>
      <c r="F80" s="30">
        <f>_xll.ciqfunctions.udf.CIQ($C$2, "IQ_BASIC_WEIGHT", F$6,$F$2)</f>
        <v>911.21032000000002</v>
      </c>
      <c r="G80" s="30">
        <f>_xll.ciqfunctions.udf.CIQ($C$2, "IQ_BASIC_WEIGHT", G$6,$F$2)</f>
        <v>913.62329</v>
      </c>
      <c r="H80" s="30">
        <f>_xll.ciqfunctions.udf.CIQ($C$2, "IQ_BASIC_WEIGHT", H$6,$F$2)</f>
        <v>916.18961000000002</v>
      </c>
      <c r="I80" s="30">
        <f>_xll.ciqfunctions.udf.CIQ($C$2, "IQ_BASIC_WEIGHT", I$6,$F$2)</f>
        <v>918.86032</v>
      </c>
      <c r="J80" s="30">
        <f>_xll.ciqfunctions.udf.CIQ($C$2, "IQ_BASIC_WEIGHT", J$6,$F$2)</f>
        <v>921.76783</v>
      </c>
      <c r="K80" s="30">
        <f>_xll.ciqfunctions.udf.CIQ($C$2, "IQ_BASIC_WEIGHT", K$6,$F$2)</f>
        <v>924.47482000000002</v>
      </c>
      <c r="L80" s="30">
        <f>_xll.ciqfunctions.udf.CIQ($C$2, "IQ_BASIC_WEIGHT", L$6,$F$2)</f>
        <v>927.11783000000003</v>
      </c>
      <c r="M80" s="30">
        <f>_xll.ciqfunctions.udf.CIQ($C$2, "IQ_BASIC_WEIGHT", M$6,$F$2)</f>
        <v>929.71783000000005</v>
      </c>
      <c r="N80" s="30">
        <f>_xll.ciqfunctions.udf.CIQ($C$2, "IQ_BASIC_WEIGHT", N$6,$F$2)</f>
        <v>932.29393000000005</v>
      </c>
      <c r="O80" s="30"/>
      <c r="P80" s="30">
        <f>_xll.ciqfunctions.udf.CIQ($C$2, "IQ_BASIC_WEIGHT", P$6,$F$2)</f>
        <v>932.29393000000005</v>
      </c>
      <c r="Q80" s="215"/>
      <c r="R80" s="215"/>
      <c r="S80" s="215"/>
      <c r="T80" s="215"/>
      <c r="U80" s="215"/>
      <c r="V80" s="222"/>
      <c r="W80" s="222"/>
      <c r="X80" s="222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15"/>
      <c r="AM80" s="215"/>
      <c r="AN80" s="215"/>
      <c r="AO80" s="215"/>
      <c r="AP80" s="215"/>
      <c r="AQ80" s="215"/>
      <c r="AR80" s="215"/>
      <c r="AS80" s="215"/>
      <c r="AT80" s="215"/>
      <c r="AU80" s="215"/>
      <c r="AV80" s="215"/>
      <c r="AW80" s="215"/>
      <c r="AX80" s="215"/>
      <c r="AY80" s="215"/>
      <c r="AZ80" s="215"/>
      <c r="BA80" s="215"/>
      <c r="BB80" s="215"/>
      <c r="BC80" s="215"/>
      <c r="BD80" s="215"/>
      <c r="BE80" s="215"/>
      <c r="BF80" s="215"/>
      <c r="BG80" s="215"/>
      <c r="BH80" s="215"/>
      <c r="BI80" s="215"/>
      <c r="BJ80" s="215"/>
      <c r="BK80" s="215"/>
      <c r="BL80" s="215"/>
      <c r="BM80" s="215"/>
      <c r="BN80" s="215"/>
      <c r="BO80" s="215"/>
      <c r="BP80" s="215"/>
      <c r="BQ80" s="215"/>
      <c r="BR80" s="215"/>
      <c r="BS80" s="215"/>
      <c r="BT80" s="215"/>
      <c r="BU80" s="215"/>
      <c r="BV80" s="215"/>
      <c r="BW80" s="215"/>
      <c r="BX80" s="215"/>
      <c r="BY80" s="215"/>
      <c r="BZ80" s="215"/>
    </row>
    <row r="81" spans="1:78" x14ac:dyDescent="0.2">
      <c r="A81" s="2"/>
      <c r="B81" s="16"/>
      <c r="C81" s="16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215"/>
      <c r="R81" s="215"/>
      <c r="S81" s="215"/>
      <c r="T81" s="215"/>
      <c r="U81" s="215"/>
      <c r="V81" s="222"/>
      <c r="W81" s="222"/>
      <c r="X81" s="222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215"/>
      <c r="AO81" s="215"/>
      <c r="AP81" s="215"/>
      <c r="AQ81" s="215"/>
      <c r="AR81" s="215"/>
      <c r="AS81" s="215"/>
      <c r="AT81" s="215"/>
      <c r="AU81" s="215"/>
      <c r="AV81" s="215"/>
      <c r="AW81" s="215"/>
      <c r="AX81" s="215"/>
      <c r="AY81" s="215"/>
      <c r="AZ81" s="215"/>
      <c r="BA81" s="215"/>
      <c r="BB81" s="215"/>
      <c r="BC81" s="215"/>
      <c r="BD81" s="215"/>
      <c r="BE81" s="215"/>
      <c r="BF81" s="215"/>
      <c r="BG81" s="215"/>
      <c r="BH81" s="215"/>
      <c r="BI81" s="215"/>
      <c r="BJ81" s="215"/>
      <c r="BK81" s="215"/>
      <c r="BL81" s="215"/>
      <c r="BM81" s="215"/>
      <c r="BN81" s="215"/>
      <c r="BO81" s="215"/>
      <c r="BP81" s="215"/>
      <c r="BQ81" s="215"/>
      <c r="BR81" s="215"/>
      <c r="BS81" s="215"/>
      <c r="BT81" s="215"/>
      <c r="BU81" s="215"/>
      <c r="BV81" s="215"/>
      <c r="BW81" s="215"/>
      <c r="BX81" s="215"/>
      <c r="BY81" s="215"/>
      <c r="BZ81" s="215"/>
    </row>
    <row r="82" spans="1:78" x14ac:dyDescent="0.2">
      <c r="A82" s="2" t="str">
        <f>'Language Index'!A89</f>
        <v>Diluted EPS</v>
      </c>
      <c r="B82" s="28"/>
      <c r="C82" s="28"/>
      <c r="D82" s="29">
        <f>_xll.ciqfunctions.udf.CIQ($C$2, "IQ_DILUT_EPS_INCL", D$6,$F$2,,,Ccy,Conv)</f>
        <v>2.2056</v>
      </c>
      <c r="E82" s="29">
        <f>_xll.ciqfunctions.udf.CIQ($C$2, "IQ_DILUT_EPS_INCL", E$6,$F$2,,,Ccy,Conv)</f>
        <v>7.4708300000000003</v>
      </c>
      <c r="F82" s="29">
        <f>_xll.ciqfunctions.udf.CIQ($C$2, "IQ_DILUT_EPS_INCL", F$6,$F$2,,,Ccy,Conv)</f>
        <v>8.1369900000000008</v>
      </c>
      <c r="G82" s="29">
        <f>_xll.ciqfunctions.udf.CIQ($C$2, "IQ_DILUT_EPS_INCL", G$6,$F$2,,,Ccy,Conv)</f>
        <v>8.8352699999999995</v>
      </c>
      <c r="H82" s="29">
        <f>_xll.ciqfunctions.udf.CIQ($C$2, "IQ_DILUT_EPS_INCL", H$6,$F$2,,,Ccy,Conv)</f>
        <v>9.0257699999999996</v>
      </c>
      <c r="I82" s="29">
        <f>_xll.ciqfunctions.udf.CIQ($C$2, "IQ_DILUT_EPS_INCL", I$6,$F$2,,,Ccy,Conv)</f>
        <v>6.85832</v>
      </c>
      <c r="J82" s="29">
        <f>_xll.ciqfunctions.udf.CIQ($C$2, "IQ_DILUT_EPS_INCL", J$6,$F$2,,,Ccy,Conv)</f>
        <v>6.4285399999999999</v>
      </c>
      <c r="K82" s="29">
        <f>_xll.ciqfunctions.udf.CIQ($C$2, "IQ_DILUT_EPS_INCL", K$6,$F$2,,,Ccy,Conv)</f>
        <v>5.8255800000000004</v>
      </c>
      <c r="L82" s="29">
        <f>_xll.ciqfunctions.udf.CIQ($C$2, "IQ_DILUT_EPS_INCL", L$6,$F$2,,,Ccy,Conv)</f>
        <v>6.1787400000000003</v>
      </c>
      <c r="M82" s="29">
        <f>_xll.ciqfunctions.udf.CIQ($C$2, "IQ_DILUT_EPS_INCL", M$6,$F$2,,,Ccy,Conv)</f>
        <v>8.3606800000000003</v>
      </c>
      <c r="N82" s="29">
        <f>_xll.ciqfunctions.udf.CIQ($C$2, "IQ_DILUT_EPS_INCL", N$6,$F$2,,,Ccy,Conv)</f>
        <v>11.16319</v>
      </c>
      <c r="O82" s="29"/>
      <c r="P82" s="29">
        <f>_xll.ciqfunctions.udf.CIQ($C$2, "IQ_DILUT_EPS_INCL", P$6,$F$2,,,Ccy,Conv)</f>
        <v>11.16319</v>
      </c>
      <c r="Q82" s="237"/>
      <c r="R82" s="215"/>
      <c r="S82" s="215"/>
      <c r="T82" s="215"/>
      <c r="U82" s="215"/>
      <c r="V82" s="222"/>
      <c r="W82" s="222"/>
      <c r="X82" s="222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  <c r="AR82" s="215"/>
      <c r="AS82" s="215"/>
      <c r="AT82" s="215"/>
      <c r="AU82" s="215"/>
      <c r="AV82" s="215"/>
      <c r="AW82" s="215"/>
      <c r="AX82" s="215"/>
      <c r="AY82" s="215"/>
      <c r="AZ82" s="215"/>
      <c r="BA82" s="215"/>
      <c r="BB82" s="215"/>
      <c r="BC82" s="215"/>
      <c r="BD82" s="215"/>
      <c r="BE82" s="215"/>
      <c r="BF82" s="215"/>
      <c r="BG82" s="215"/>
      <c r="BH82" s="215"/>
      <c r="BI82" s="215"/>
      <c r="BJ82" s="215"/>
      <c r="BK82" s="215"/>
      <c r="BL82" s="215"/>
      <c r="BM82" s="215"/>
      <c r="BN82" s="215"/>
      <c r="BO82" s="215"/>
      <c r="BP82" s="215"/>
      <c r="BQ82" s="215"/>
      <c r="BR82" s="215"/>
      <c r="BS82" s="215"/>
      <c r="BT82" s="215"/>
      <c r="BU82" s="215"/>
      <c r="BV82" s="215"/>
      <c r="BW82" s="215"/>
      <c r="BX82" s="215"/>
      <c r="BY82" s="215"/>
      <c r="BZ82" s="215"/>
    </row>
    <row r="83" spans="1:78" x14ac:dyDescent="0.2">
      <c r="A83" s="2" t="str">
        <f>'Language Index'!A90</f>
        <v>Diluted EPS Excl Extra Items</v>
      </c>
      <c r="B83" s="28"/>
      <c r="C83" s="28"/>
      <c r="D83" s="29">
        <f>_xll.ciqfunctions.udf.CIQ($C$2, "IQ_DILUT_EPS_EXCL", D$6,$F$2,,,Ccy,Conv)</f>
        <v>2.3637899999999998</v>
      </c>
      <c r="E83" s="29">
        <f>_xll.ciqfunctions.udf.CIQ($C$2, "IQ_DILUT_EPS_EXCL", E$6,$F$2,,,Ccy,Conv)</f>
        <v>7.6586800000000004</v>
      </c>
      <c r="F83" s="29">
        <f>_xll.ciqfunctions.udf.CIQ($C$2, "IQ_DILUT_EPS_EXCL", F$6,$F$2,,,Ccy,Conv)</f>
        <v>8.15</v>
      </c>
      <c r="G83" s="29">
        <f>_xll.ciqfunctions.udf.CIQ($C$2, "IQ_DILUT_EPS_EXCL", G$6,$F$2,,,Ccy,Conv)</f>
        <v>8.8082700000000003</v>
      </c>
      <c r="H83" s="29">
        <f>_xll.ciqfunctions.udf.CIQ($C$2, "IQ_DILUT_EPS_EXCL", H$6,$F$2,,,Ccy,Conv)</f>
        <v>8.9979099999999992</v>
      </c>
      <c r="I83" s="29">
        <f>_xll.ciqfunctions.udf.CIQ($C$2, "IQ_DILUT_EPS_EXCL", I$6,$F$2,,,Ccy,Conv)</f>
        <v>6.8326000000000002</v>
      </c>
      <c r="J83" s="29">
        <f>_xll.ciqfunctions.udf.CIQ($C$2, "IQ_DILUT_EPS_EXCL", J$6,$F$2,,,Ccy,Conv)</f>
        <v>6.42</v>
      </c>
      <c r="K83" s="29">
        <f>_xll.ciqfunctions.udf.CIQ($C$2, "IQ_DILUT_EPS_EXCL", K$6,$F$2,,,Ccy,Conv)</f>
        <v>5.8479099999999997</v>
      </c>
      <c r="L83" s="29">
        <f>_xll.ciqfunctions.udf.CIQ($C$2, "IQ_DILUT_EPS_EXCL", L$6,$F$2,,,Ccy,Conv)</f>
        <v>6.2052399999999999</v>
      </c>
      <c r="M83" s="29">
        <f>_xll.ciqfunctions.udf.CIQ($C$2, "IQ_DILUT_EPS_EXCL", M$6,$F$2,,,Ccy,Conv)</f>
        <v>8.3733599999999999</v>
      </c>
      <c r="N83" s="29">
        <f>_xll.ciqfunctions.udf.CIQ($C$2, "IQ_DILUT_EPS_EXCL", N$6,$F$2,,,Ccy,Conv)</f>
        <v>11.14</v>
      </c>
      <c r="O83" s="29"/>
      <c r="P83" s="29">
        <f>_xll.ciqfunctions.udf.CIQ($C$2, "IQ_DILUT_EPS_EXCL", P$6,$F$2,,,Ccy,Conv)</f>
        <v>11.14</v>
      </c>
      <c r="Q83" s="237"/>
      <c r="R83" s="215"/>
      <c r="S83" s="215"/>
      <c r="T83" s="215"/>
      <c r="U83" s="215"/>
      <c r="V83" s="222"/>
      <c r="W83" s="222"/>
      <c r="X83" s="222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15"/>
      <c r="AN83" s="215"/>
      <c r="AO83" s="215"/>
      <c r="AP83" s="215"/>
      <c r="AQ83" s="215"/>
      <c r="AR83" s="215"/>
      <c r="AS83" s="215"/>
      <c r="AT83" s="215"/>
      <c r="AU83" s="215"/>
      <c r="AV83" s="215"/>
      <c r="AW83" s="215"/>
      <c r="AX83" s="215"/>
      <c r="AY83" s="215"/>
      <c r="AZ83" s="215"/>
      <c r="BA83" s="215"/>
      <c r="BB83" s="215"/>
      <c r="BC83" s="215"/>
      <c r="BD83" s="215"/>
      <c r="BE83" s="215"/>
      <c r="BF83" s="215"/>
      <c r="BG83" s="215"/>
      <c r="BH83" s="215"/>
      <c r="BI83" s="215"/>
      <c r="BJ83" s="215"/>
      <c r="BK83" s="215"/>
      <c r="BL83" s="215"/>
      <c r="BM83" s="215"/>
      <c r="BN83" s="215"/>
      <c r="BO83" s="215"/>
      <c r="BP83" s="215"/>
      <c r="BQ83" s="215"/>
      <c r="BR83" s="215"/>
      <c r="BS83" s="215"/>
      <c r="BT83" s="215"/>
      <c r="BU83" s="215"/>
      <c r="BV83" s="215"/>
      <c r="BW83" s="215"/>
      <c r="BX83" s="215"/>
      <c r="BY83" s="215"/>
      <c r="BZ83" s="215"/>
    </row>
    <row r="84" spans="1:78" x14ac:dyDescent="0.2">
      <c r="A84" s="2" t="str">
        <f>'Language Index'!A91</f>
        <v>Weighted Avg. Diluted Shares Out.</v>
      </c>
      <c r="B84" s="17"/>
      <c r="C84" s="17"/>
      <c r="D84" s="30">
        <f>_xll.ciqfunctions.udf.CIQ($C$2, "IQ_DILUT_WEIGHT", D$6,$F$2)</f>
        <v>916.59954000000005</v>
      </c>
      <c r="E84" s="30">
        <f>_xll.ciqfunctions.udf.CIQ($C$2, "IQ_DILUT_WEIGHT", E$6,$F$2)</f>
        <v>926.27814999999998</v>
      </c>
      <c r="F84" s="30">
        <f>_xll.ciqfunctions.udf.CIQ($C$2, "IQ_DILUT_WEIGHT", F$6,$F$2)</f>
        <v>922.07383000000004</v>
      </c>
      <c r="G84" s="30">
        <f>_xll.ciqfunctions.udf.CIQ($C$2, "IQ_DILUT_WEIGHT", G$6,$F$2)</f>
        <v>925.97033999999996</v>
      </c>
      <c r="H84" s="30">
        <f>_xll.ciqfunctions.udf.CIQ($C$2, "IQ_DILUT_WEIGHT", H$6,$F$2)</f>
        <v>933.39937999999995</v>
      </c>
      <c r="I84" s="30">
        <f>_xll.ciqfunctions.udf.CIQ($C$2, "IQ_DILUT_WEIGHT", I$6,$F$2)</f>
        <v>933.39882999999998</v>
      </c>
      <c r="J84" s="30">
        <f>_xll.ciqfunctions.udf.CIQ($C$2, "IQ_DILUT_WEIGHT", J$6,$F$2)</f>
        <v>937.16121999999996</v>
      </c>
      <c r="K84" s="30">
        <f>_xll.ciqfunctions.udf.CIQ($C$2, "IQ_DILUT_WEIGHT", K$6,$F$2)</f>
        <v>940.14544999999998</v>
      </c>
      <c r="L84" s="30">
        <f>_xll.ciqfunctions.udf.CIQ($C$2, "IQ_DILUT_WEIGHT", L$6,$F$2)</f>
        <v>943.56122000000005</v>
      </c>
      <c r="M84" s="30">
        <f>_xll.ciqfunctions.udf.CIQ($C$2, "IQ_DILUT_WEIGHT", M$6,$F$2)</f>
        <v>946.16121999999996</v>
      </c>
      <c r="N84" s="30">
        <f>_xll.ciqfunctions.udf.CIQ($C$2, "IQ_DILUT_WEIGHT", N$6,$F$2)</f>
        <v>948.67523000000006</v>
      </c>
      <c r="O84" s="30"/>
      <c r="P84" s="30">
        <f>_xll.ciqfunctions.udf.CIQ($C$2, "IQ_DILUT_WEIGHT", P$6,$F$2)</f>
        <v>948.67523000000006</v>
      </c>
      <c r="Q84" s="215"/>
      <c r="R84" s="215"/>
      <c r="S84" s="215"/>
      <c r="T84" s="215"/>
      <c r="U84" s="215"/>
      <c r="V84" s="222"/>
      <c r="W84" s="222"/>
      <c r="X84" s="222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15"/>
      <c r="AN84" s="215"/>
      <c r="AO84" s="215"/>
      <c r="AP84" s="215"/>
      <c r="AQ84" s="215"/>
      <c r="AR84" s="215"/>
      <c r="AS84" s="215"/>
      <c r="AT84" s="215"/>
      <c r="AU84" s="215"/>
      <c r="AV84" s="215"/>
      <c r="AW84" s="215"/>
      <c r="AX84" s="215"/>
      <c r="AY84" s="215"/>
      <c r="AZ84" s="215"/>
      <c r="BA84" s="215"/>
      <c r="BB84" s="215"/>
      <c r="BC84" s="215"/>
      <c r="BD84" s="215"/>
      <c r="BE84" s="215"/>
      <c r="BF84" s="215"/>
      <c r="BG84" s="215"/>
      <c r="BH84" s="215"/>
      <c r="BI84" s="215"/>
      <c r="BJ84" s="215"/>
      <c r="BK84" s="215"/>
      <c r="BL84" s="215"/>
      <c r="BM84" s="215"/>
      <c r="BN84" s="215"/>
      <c r="BO84" s="215"/>
      <c r="BP84" s="215"/>
      <c r="BQ84" s="215"/>
      <c r="BR84" s="215"/>
      <c r="BS84" s="215"/>
      <c r="BT84" s="215"/>
      <c r="BU84" s="215"/>
      <c r="BV84" s="215"/>
      <c r="BW84" s="215"/>
      <c r="BX84" s="215"/>
      <c r="BY84" s="215"/>
      <c r="BZ84" s="215"/>
    </row>
    <row r="85" spans="1:78" x14ac:dyDescent="0.2">
      <c r="A85" s="2"/>
      <c r="B85" s="17"/>
      <c r="C85" s="17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215"/>
      <c r="R85" s="215"/>
      <c r="S85" s="215"/>
      <c r="T85" s="215"/>
      <c r="U85" s="215"/>
      <c r="V85" s="222"/>
      <c r="W85" s="222"/>
      <c r="X85" s="222"/>
      <c r="Y85" s="215"/>
      <c r="Z85" s="215"/>
      <c r="AA85" s="215"/>
      <c r="AB85" s="215"/>
      <c r="AC85" s="215"/>
      <c r="AD85" s="215"/>
      <c r="AE85" s="215"/>
      <c r="AF85" s="215"/>
      <c r="AG85" s="215"/>
      <c r="AH85" s="215"/>
      <c r="AI85" s="215"/>
      <c r="AJ85" s="215"/>
      <c r="AK85" s="215"/>
      <c r="AL85" s="215"/>
      <c r="AM85" s="215"/>
      <c r="AN85" s="215"/>
      <c r="AO85" s="215"/>
      <c r="AP85" s="215"/>
      <c r="AQ85" s="215"/>
      <c r="AR85" s="215"/>
      <c r="AS85" s="215"/>
      <c r="AT85" s="215"/>
      <c r="AU85" s="215"/>
      <c r="AV85" s="215"/>
      <c r="AW85" s="215"/>
      <c r="AX85" s="215"/>
      <c r="AY85" s="215"/>
      <c r="AZ85" s="215"/>
      <c r="BA85" s="215"/>
      <c r="BB85" s="215"/>
      <c r="BC85" s="215"/>
      <c r="BD85" s="215"/>
      <c r="BE85" s="215"/>
      <c r="BF85" s="215"/>
      <c r="BG85" s="215"/>
      <c r="BH85" s="215"/>
      <c r="BI85" s="215"/>
      <c r="BJ85" s="215"/>
      <c r="BK85" s="215"/>
      <c r="BL85" s="215"/>
      <c r="BM85" s="215"/>
      <c r="BN85" s="215"/>
      <c r="BO85" s="215"/>
      <c r="BP85" s="215"/>
      <c r="BQ85" s="215"/>
      <c r="BR85" s="215"/>
      <c r="BS85" s="215"/>
      <c r="BT85" s="215"/>
      <c r="BU85" s="215"/>
      <c r="BV85" s="215"/>
      <c r="BW85" s="215"/>
      <c r="BX85" s="215"/>
      <c r="BY85" s="215"/>
      <c r="BZ85" s="215"/>
    </row>
    <row r="86" spans="1:78" x14ac:dyDescent="0.2">
      <c r="A86" s="2" t="str">
        <f>'Language Index'!A92</f>
        <v>Normalized Basic EPS</v>
      </c>
      <c r="B86" s="17"/>
      <c r="C86" s="17"/>
      <c r="D86" s="29">
        <f>_xll.ciqfunctions.udf.CIQ($C$2, "IQ_EPS_NORM", D$6,$F$2,,,Ccy,Conv)</f>
        <v>5.5737800000000002</v>
      </c>
      <c r="E86" s="29">
        <f>_xll.ciqfunctions.udf.CIQ($C$2, "IQ_EPS_NORM", E$6,$F$2,,,Ccy,Conv)</f>
        <v>6.1645799999999999</v>
      </c>
      <c r="F86" s="29">
        <f>_xll.ciqfunctions.udf.CIQ($C$2, "IQ_EPS_NORM", F$6,$F$2,,,Ccy,Conv)</f>
        <v>5.9337299999999997</v>
      </c>
      <c r="G86" s="29">
        <f>_xll.ciqfunctions.udf.CIQ($C$2, "IQ_EPS_NORM", G$6,$F$2,,,Ccy,Conv)</f>
        <v>6.1650099999999997</v>
      </c>
      <c r="H86" s="29">
        <f>_xll.ciqfunctions.udf.CIQ($C$2, "IQ_EPS_NORM", H$6,$F$2,,,Ccy,Conv)</f>
        <v>6.2480200000000004</v>
      </c>
      <c r="I86" s="29">
        <f>_xll.ciqfunctions.udf.CIQ($C$2, "IQ_EPS_NORM", I$6,$F$2,,,Ccy,Conv)</f>
        <v>6.2012999999999998</v>
      </c>
      <c r="J86" s="29">
        <f>_xll.ciqfunctions.udf.CIQ($C$2, "IQ_EPS_NORM", J$6,$F$2,,,Ccy,Conv)</f>
        <v>6.1817399999999996</v>
      </c>
      <c r="K86" s="29">
        <f>_xll.ciqfunctions.udf.CIQ($C$2, "IQ_EPS_NORM", K$6,$F$2,,,Ccy,Conv)</f>
        <v>6.3624000000000001</v>
      </c>
      <c r="L86" s="29">
        <f>_xll.ciqfunctions.udf.CIQ($C$2, "IQ_EPS_NORM", L$6,$F$2,,,Ccy,Conv)</f>
        <v>6.59504</v>
      </c>
      <c r="M86" s="29">
        <f>_xll.ciqfunctions.udf.CIQ($C$2, "IQ_EPS_NORM", M$6,$F$2,,,Ccy,Conv)</f>
        <v>6.9738899999999999</v>
      </c>
      <c r="N86" s="29">
        <f>_xll.ciqfunctions.udf.CIQ($C$2, "IQ_EPS_NORM", N$6,$F$2,,,Ccy,Conv)</f>
        <v>7.48088</v>
      </c>
      <c r="O86" s="29"/>
      <c r="P86" s="29">
        <f>_xll.ciqfunctions.udf.CIQ($C$2, "IQ_EPS_NORM", P$6,$F$2,,,Ccy,Conv)</f>
        <v>7.48088</v>
      </c>
      <c r="Q86" s="215"/>
      <c r="R86" s="215"/>
      <c r="S86" s="215"/>
      <c r="T86" s="215"/>
      <c r="U86" s="215"/>
      <c r="V86" s="222"/>
      <c r="W86" s="222"/>
      <c r="X86" s="222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15"/>
      <c r="AN86" s="215"/>
      <c r="AO86" s="215"/>
      <c r="AP86" s="215"/>
      <c r="AQ86" s="215"/>
      <c r="AR86" s="215"/>
      <c r="AS86" s="215"/>
      <c r="AT86" s="215"/>
      <c r="AU86" s="215"/>
      <c r="AV86" s="215"/>
      <c r="AW86" s="215"/>
      <c r="AX86" s="215"/>
      <c r="AY86" s="215"/>
      <c r="AZ86" s="215"/>
      <c r="BA86" s="215"/>
      <c r="BB86" s="215"/>
      <c r="BC86" s="215"/>
      <c r="BD86" s="215"/>
      <c r="BE86" s="215"/>
      <c r="BF86" s="215"/>
      <c r="BG86" s="215"/>
      <c r="BH86" s="215"/>
      <c r="BI86" s="215"/>
      <c r="BJ86" s="215"/>
      <c r="BK86" s="215"/>
      <c r="BL86" s="215"/>
      <c r="BM86" s="215"/>
      <c r="BN86" s="215"/>
      <c r="BO86" s="215"/>
      <c r="BP86" s="215"/>
      <c r="BQ86" s="215"/>
      <c r="BR86" s="215"/>
      <c r="BS86" s="215"/>
      <c r="BT86" s="215"/>
      <c r="BU86" s="215"/>
      <c r="BV86" s="215"/>
      <c r="BW86" s="215"/>
      <c r="BX86" s="215"/>
      <c r="BY86" s="215"/>
      <c r="BZ86" s="215"/>
    </row>
    <row r="87" spans="1:78" x14ac:dyDescent="0.2">
      <c r="A87" s="2" t="str">
        <f>'Language Index'!A93</f>
        <v>Normalized Diluted EPS</v>
      </c>
      <c r="B87" s="16"/>
      <c r="C87" s="16"/>
      <c r="D87" s="29">
        <f>_xll.ciqfunctions.udf.CIQ($C$2, "IQ_DILUT_EPS_NORM", D$6,$F$2,,,Ccy,Conv)</f>
        <v>5.5142699999999998</v>
      </c>
      <c r="E87" s="29">
        <f>_xll.ciqfunctions.udf.CIQ($C$2, "IQ_DILUT_EPS_NORM", E$6,$F$2,,,Ccy,Conv)</f>
        <v>6.0497500000000004</v>
      </c>
      <c r="F87" s="29">
        <f>_xll.ciqfunctions.udf.CIQ($C$2, "IQ_DILUT_EPS_NORM", F$6,$F$2,,,Ccy,Conv)</f>
        <v>5.8638199999999996</v>
      </c>
      <c r="G87" s="29">
        <f>_xll.ciqfunctions.udf.CIQ($C$2, "IQ_DILUT_EPS_NORM", G$6,$F$2,,,Ccy,Conv)</f>
        <v>6.0828100000000003</v>
      </c>
      <c r="H87" s="29">
        <f>_xll.ciqfunctions.udf.CIQ($C$2, "IQ_DILUT_EPS_NORM", H$6,$F$2,,,Ccy,Conv)</f>
        <v>6.1328199999999997</v>
      </c>
      <c r="I87" s="29">
        <f>_xll.ciqfunctions.udf.CIQ($C$2, "IQ_DILUT_EPS_NORM", I$6,$F$2,,,Ccy,Conv)</f>
        <v>6.1047099999999999</v>
      </c>
      <c r="J87" s="29">
        <f>_xll.ciqfunctions.udf.CIQ($C$2, "IQ_DILUT_EPS_NORM", J$6,$F$2,,,Ccy,Conv)</f>
        <v>6.0801999999999996</v>
      </c>
      <c r="K87" s="29">
        <f>_xll.ciqfunctions.udf.CIQ($C$2, "IQ_DILUT_EPS_NORM", K$6,$F$2,,,Ccy,Conv)</f>
        <v>6.2563500000000003</v>
      </c>
      <c r="L87" s="29">
        <f>_xll.ciqfunctions.udf.CIQ($C$2, "IQ_DILUT_EPS_NORM", L$6,$F$2,,,Ccy,Conv)</f>
        <v>6.4801000000000002</v>
      </c>
      <c r="M87" s="29">
        <f>_xll.ciqfunctions.udf.CIQ($C$2, "IQ_DILUT_EPS_NORM", M$6,$F$2,,,Ccy,Conv)</f>
        <v>6.8526899999999999</v>
      </c>
      <c r="N87" s="29">
        <f>_xll.ciqfunctions.udf.CIQ($C$2, "IQ_DILUT_EPS_NORM", N$6,$F$2,,,Ccy,Conv)</f>
        <v>7.3517000000000001</v>
      </c>
      <c r="O87" s="29"/>
      <c r="P87" s="29">
        <f>_xll.ciqfunctions.udf.CIQ($C$2, "IQ_DILUT_EPS_NORM", P$6,$F$2,,,Ccy,Conv)</f>
        <v>7.3517000000000001</v>
      </c>
      <c r="Q87" s="215"/>
      <c r="R87" s="215"/>
      <c r="S87" s="215"/>
      <c r="T87" s="215"/>
      <c r="U87" s="215"/>
      <c r="V87" s="222"/>
      <c r="W87" s="222"/>
      <c r="X87" s="222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5"/>
      <c r="AY87" s="215"/>
      <c r="AZ87" s="215"/>
      <c r="BA87" s="215"/>
      <c r="BB87" s="215"/>
      <c r="BC87" s="215"/>
      <c r="BD87" s="215"/>
      <c r="BE87" s="215"/>
      <c r="BF87" s="215"/>
      <c r="BG87" s="215"/>
      <c r="BH87" s="215"/>
      <c r="BI87" s="215"/>
      <c r="BJ87" s="215"/>
      <c r="BK87" s="215"/>
      <c r="BL87" s="215"/>
      <c r="BM87" s="215"/>
      <c r="BN87" s="215"/>
      <c r="BO87" s="215"/>
      <c r="BP87" s="215"/>
      <c r="BQ87" s="215"/>
      <c r="BR87" s="215"/>
      <c r="BS87" s="215"/>
      <c r="BT87" s="215"/>
      <c r="BU87" s="215"/>
      <c r="BV87" s="215"/>
      <c r="BW87" s="215"/>
      <c r="BX87" s="215"/>
      <c r="BY87" s="215"/>
      <c r="BZ87" s="215"/>
    </row>
    <row r="88" spans="1:7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15"/>
      <c r="R88" s="215"/>
      <c r="S88" s="215"/>
      <c r="T88" s="215"/>
      <c r="U88" s="215"/>
      <c r="V88" s="222"/>
      <c r="W88" s="222"/>
      <c r="X88" s="222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5"/>
      <c r="BG88" s="215"/>
      <c r="BH88" s="215"/>
      <c r="BI88" s="215"/>
      <c r="BJ88" s="215"/>
      <c r="BK88" s="215"/>
      <c r="BL88" s="215"/>
      <c r="BM88" s="215"/>
      <c r="BN88" s="215"/>
      <c r="BO88" s="215"/>
      <c r="BP88" s="215"/>
      <c r="BQ88" s="215"/>
      <c r="BR88" s="215"/>
      <c r="BS88" s="215"/>
      <c r="BT88" s="215"/>
      <c r="BU88" s="215"/>
      <c r="BV88" s="215"/>
      <c r="BW88" s="215"/>
      <c r="BX88" s="215"/>
      <c r="BY88" s="215"/>
      <c r="BZ88" s="215"/>
    </row>
    <row r="89" spans="1:78" x14ac:dyDescent="0.2">
      <c r="A89" s="2" t="str">
        <f>'Language Index'!A94</f>
        <v>Distributable Cash per Share (Diluted)</v>
      </c>
      <c r="B89" s="17"/>
      <c r="C89" s="17"/>
      <c r="D89" s="18">
        <f>_xll.ciqfunctions.udf.CIQ($C$2, "IQ_DISTRIBUTABLE_CASH_PER_SHARE_DILUTED", D$6,$F$2,,,Ccy,Conv)</f>
        <v>0</v>
      </c>
      <c r="E89" s="18">
        <f>_xll.ciqfunctions.udf.CIQ($C$2, "IQ_DISTRIBUTABLE_CASH_PER_SHARE_DILUTED", E$6,$F$2,,,Ccy,Conv)</f>
        <v>0</v>
      </c>
      <c r="F89" s="18">
        <f>_xll.ciqfunctions.udf.CIQ($C$2, "IQ_DISTRIBUTABLE_CASH_PER_SHARE_DILUTED", F$6,$F$2,,,Ccy,Conv)</f>
        <v>0</v>
      </c>
      <c r="G89" s="18">
        <f>_xll.ciqfunctions.udf.CIQ($C$2, "IQ_DISTRIBUTABLE_CASH_PER_SHARE_DILUTED", G$6,$F$2,,,Ccy,Conv)</f>
        <v>0</v>
      </c>
      <c r="H89" s="18">
        <f>_xll.ciqfunctions.udf.CIQ($C$2, "IQ_DISTRIBUTABLE_CASH_PER_SHARE_DILUTED", H$6,$F$2,,,Ccy,Conv)</f>
        <v>0</v>
      </c>
      <c r="I89" s="18">
        <f>_xll.ciqfunctions.udf.CIQ($C$2, "IQ_DISTRIBUTABLE_CASH_PER_SHARE_DILUTED", I$6,$F$2,,,Ccy,Conv)</f>
        <v>0</v>
      </c>
      <c r="J89" s="18">
        <f>_xll.ciqfunctions.udf.CIQ($C$2, "IQ_DISTRIBUTABLE_CASH_PER_SHARE_DILUTED", J$6,$F$2,,,Ccy,Conv)</f>
        <v>0</v>
      </c>
      <c r="K89" s="18">
        <f>_xll.ciqfunctions.udf.CIQ($C$2, "IQ_DISTRIBUTABLE_CASH_PER_SHARE_DILUTED", K$6,$F$2,,,Ccy,Conv)</f>
        <v>0</v>
      </c>
      <c r="L89" s="18">
        <f>_xll.ciqfunctions.udf.CIQ($C$2, "IQ_DISTRIBUTABLE_CASH_PER_SHARE_DILUTED", L$6,$F$2,,,Ccy,Conv)</f>
        <v>0</v>
      </c>
      <c r="M89" s="18">
        <f>_xll.ciqfunctions.udf.CIQ($C$2, "IQ_DISTRIBUTABLE_CASH_PER_SHARE_DILUTED", M$6,$F$2,,,Ccy,Conv)</f>
        <v>0</v>
      </c>
      <c r="N89" s="18">
        <f>_xll.ciqfunctions.udf.CIQ($C$2, "IQ_DISTRIBUTABLE_CASH_PER_SHARE_DILUTED", N$6,$F$2,,,Ccy,Conv)</f>
        <v>0</v>
      </c>
      <c r="O89" s="18"/>
      <c r="P89" s="18">
        <f>_xll.ciqfunctions.udf.CIQ($C$2, "IQ_DISTRIBUTABLE_CASH_PER_SHARE_DILUTED", P$6,$F$2,,,Ccy,Conv)</f>
        <v>0</v>
      </c>
      <c r="Q89" s="215"/>
      <c r="R89" s="215"/>
      <c r="S89" s="215"/>
      <c r="T89" s="215"/>
      <c r="U89" s="215"/>
      <c r="V89" s="235"/>
      <c r="W89" s="235"/>
      <c r="X89" s="235"/>
      <c r="Y89" s="237"/>
      <c r="Z89" s="237"/>
      <c r="AA89" s="237"/>
      <c r="AB89" s="237"/>
      <c r="AC89" s="237"/>
      <c r="AD89" s="237"/>
      <c r="AE89" s="215"/>
      <c r="AF89" s="215"/>
      <c r="AG89" s="215"/>
      <c r="AH89" s="237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215"/>
      <c r="BF89" s="215"/>
      <c r="BG89" s="215"/>
      <c r="BH89" s="215"/>
      <c r="BI89" s="215"/>
      <c r="BJ89" s="215"/>
      <c r="BK89" s="215"/>
      <c r="BL89" s="215"/>
      <c r="BM89" s="215"/>
      <c r="BN89" s="215"/>
      <c r="BO89" s="215"/>
      <c r="BP89" s="215"/>
      <c r="BQ89" s="215"/>
      <c r="BR89" s="215"/>
      <c r="BS89" s="215"/>
      <c r="BT89" s="215"/>
      <c r="BU89" s="215"/>
      <c r="BV89" s="215"/>
      <c r="BW89" s="215"/>
      <c r="BX89" s="215"/>
      <c r="BY89" s="215"/>
      <c r="BZ89" s="215"/>
    </row>
    <row r="90" spans="1:78" x14ac:dyDescent="0.2">
      <c r="A90" s="2" t="str">
        <f>'Language Index'!A95</f>
        <v>Distributable Cash Shares (Basic)</v>
      </c>
      <c r="B90" s="17"/>
      <c r="C90" s="17"/>
      <c r="D90" s="18">
        <f>_xll.ciqfunctions.udf.CIQ($C$2, "IQ_DISTRIBUTABLE_CASH_SHARES_BASIC", D$6,$F$2)</f>
        <v>0</v>
      </c>
      <c r="E90" s="18">
        <f>_xll.ciqfunctions.udf.CIQ($C$2, "IQ_DISTRIBUTABLE_CASH_SHARES_BASIC", E$6,$F$2)</f>
        <v>0</v>
      </c>
      <c r="F90" s="18">
        <f>_xll.ciqfunctions.udf.CIQ($C$2, "IQ_DISTRIBUTABLE_CASH_SHARES_BASIC", F$6,$F$2)</f>
        <v>0</v>
      </c>
      <c r="G90" s="18">
        <f>_xll.ciqfunctions.udf.CIQ($C$2, "IQ_DISTRIBUTABLE_CASH_SHARES_BASIC", G$6,$F$2)</f>
        <v>0</v>
      </c>
      <c r="H90" s="18">
        <f>_xll.ciqfunctions.udf.CIQ($C$2, "IQ_DISTRIBUTABLE_CASH_SHARES_BASIC", H$6,$F$2)</f>
        <v>0</v>
      </c>
      <c r="I90" s="18">
        <f>_xll.ciqfunctions.udf.CIQ($C$2, "IQ_DISTRIBUTABLE_CASH_SHARES_BASIC", I$6,$F$2)</f>
        <v>0</v>
      </c>
      <c r="J90" s="18">
        <f>_xll.ciqfunctions.udf.CIQ($C$2, "IQ_DISTRIBUTABLE_CASH_SHARES_BASIC", J$6,$F$2)</f>
        <v>0</v>
      </c>
      <c r="K90" s="18">
        <f>_xll.ciqfunctions.udf.CIQ($C$2, "IQ_DISTRIBUTABLE_CASH_SHARES_BASIC", K$6,$F$2)</f>
        <v>0</v>
      </c>
      <c r="L90" s="18">
        <f>_xll.ciqfunctions.udf.CIQ($C$2, "IQ_DISTRIBUTABLE_CASH_SHARES_BASIC", L$6,$F$2)</f>
        <v>0</v>
      </c>
      <c r="M90" s="18">
        <f>_xll.ciqfunctions.udf.CIQ($C$2, "IQ_DISTRIBUTABLE_CASH_SHARES_BASIC", M$6,$F$2)</f>
        <v>0</v>
      </c>
      <c r="N90" s="18">
        <f>_xll.ciqfunctions.udf.CIQ($C$2, "IQ_DISTRIBUTABLE_CASH_SHARES_BASIC", N$6,$F$2)</f>
        <v>0</v>
      </c>
      <c r="O90" s="18"/>
      <c r="P90" s="18">
        <f>_xll.ciqfunctions.udf.CIQ($C$2, "IQ_DISTRIBUTABLE_CASH_SHARES_BASIC", P$6,$F$2)</f>
        <v>0</v>
      </c>
      <c r="Q90" s="238"/>
      <c r="R90" s="215"/>
      <c r="S90" s="215"/>
      <c r="T90" s="215"/>
      <c r="U90" s="215"/>
      <c r="V90" s="236"/>
      <c r="W90" s="236"/>
      <c r="X90" s="236"/>
      <c r="Y90" s="237"/>
      <c r="Z90" s="237"/>
      <c r="AA90" s="237"/>
      <c r="AB90" s="237"/>
      <c r="AC90" s="237"/>
      <c r="AD90" s="237"/>
      <c r="AE90" s="215"/>
      <c r="AF90" s="215"/>
      <c r="AG90" s="215"/>
      <c r="AH90" s="237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  <c r="BD90" s="215"/>
      <c r="BE90" s="215"/>
      <c r="BF90" s="215"/>
      <c r="BG90" s="215"/>
      <c r="BH90" s="215"/>
      <c r="BI90" s="215"/>
      <c r="BJ90" s="215"/>
      <c r="BK90" s="215"/>
      <c r="BL90" s="215"/>
      <c r="BM90" s="215"/>
      <c r="BN90" s="215"/>
      <c r="BO90" s="215"/>
      <c r="BP90" s="215"/>
      <c r="BQ90" s="215"/>
      <c r="BR90" s="215"/>
      <c r="BS90" s="215"/>
      <c r="BT90" s="215"/>
      <c r="BU90" s="215"/>
      <c r="BV90" s="215"/>
      <c r="BW90" s="215"/>
      <c r="BX90" s="215"/>
      <c r="BY90" s="215"/>
      <c r="BZ90" s="215"/>
    </row>
    <row r="91" spans="1:78" x14ac:dyDescent="0.2">
      <c r="A91" s="2" t="str">
        <f>'Language Index'!A96</f>
        <v>Distributable Cash Shares (Diluted)</v>
      </c>
      <c r="B91" s="17"/>
      <c r="C91" s="17"/>
      <c r="D91" s="18">
        <f>_xll.ciqfunctions.udf.CIQ($C$2, "IQ_DISTRIBUTABLE_CASH_SHARES_DILUTED", D$6,$F$2)</f>
        <v>0</v>
      </c>
      <c r="E91" s="18">
        <f>_xll.ciqfunctions.udf.CIQ($C$2, "IQ_DISTRIBUTABLE_CASH_SHARES_DILUTED", E$6,$F$2)</f>
        <v>0</v>
      </c>
      <c r="F91" s="18">
        <f>_xll.ciqfunctions.udf.CIQ($C$2, "IQ_DISTRIBUTABLE_CASH_SHARES_DILUTED", F$6,$F$2)</f>
        <v>0</v>
      </c>
      <c r="G91" s="18">
        <f>_xll.ciqfunctions.udf.CIQ($C$2, "IQ_DISTRIBUTABLE_CASH_SHARES_DILUTED", G$6,$F$2)</f>
        <v>0</v>
      </c>
      <c r="H91" s="18">
        <f>_xll.ciqfunctions.udf.CIQ($C$2, "IQ_DISTRIBUTABLE_CASH_SHARES_DILUTED", H$6,$F$2)</f>
        <v>0</v>
      </c>
      <c r="I91" s="18">
        <f>_xll.ciqfunctions.udf.CIQ($C$2, "IQ_DISTRIBUTABLE_CASH_SHARES_DILUTED", I$6,$F$2)</f>
        <v>0</v>
      </c>
      <c r="J91" s="18">
        <f>_xll.ciqfunctions.udf.CIQ($C$2, "IQ_DISTRIBUTABLE_CASH_SHARES_DILUTED", J$6,$F$2)</f>
        <v>0</v>
      </c>
      <c r="K91" s="18">
        <f>_xll.ciqfunctions.udf.CIQ($C$2, "IQ_DISTRIBUTABLE_CASH_SHARES_DILUTED", K$6,$F$2)</f>
        <v>0</v>
      </c>
      <c r="L91" s="18">
        <f>_xll.ciqfunctions.udf.CIQ($C$2, "IQ_DISTRIBUTABLE_CASH_SHARES_DILUTED", L$6,$F$2)</f>
        <v>0</v>
      </c>
      <c r="M91" s="18">
        <f>_xll.ciqfunctions.udf.CIQ($C$2, "IQ_DISTRIBUTABLE_CASH_SHARES_DILUTED", M$6,$F$2)</f>
        <v>0</v>
      </c>
      <c r="N91" s="18">
        <f>_xll.ciqfunctions.udf.CIQ($C$2, "IQ_DISTRIBUTABLE_CASH_SHARES_DILUTED", N$6,$F$2)</f>
        <v>0</v>
      </c>
      <c r="O91" s="18"/>
      <c r="P91" s="18">
        <f>_xll.ciqfunctions.udf.CIQ($C$2, "IQ_DISTRIBUTABLE_CASH_SHARES_DILUTED", P$6,$F$2)</f>
        <v>0</v>
      </c>
      <c r="Q91" s="238"/>
      <c r="R91" s="215"/>
      <c r="S91" s="215"/>
      <c r="T91" s="215"/>
      <c r="U91" s="215"/>
      <c r="V91" s="236"/>
      <c r="W91" s="236"/>
      <c r="X91" s="236"/>
      <c r="Y91" s="237"/>
      <c r="Z91" s="237"/>
      <c r="AA91" s="237"/>
      <c r="AB91" s="237"/>
      <c r="AC91" s="237"/>
      <c r="AD91" s="237"/>
      <c r="AE91" s="215"/>
      <c r="AF91" s="215"/>
      <c r="AG91" s="215"/>
      <c r="AH91" s="237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5"/>
      <c r="BG91" s="215"/>
      <c r="BH91" s="215"/>
      <c r="BI91" s="215"/>
      <c r="BJ91" s="215"/>
      <c r="BK91" s="215"/>
      <c r="BL91" s="215"/>
      <c r="BM91" s="215"/>
      <c r="BN91" s="215"/>
      <c r="BO91" s="215"/>
      <c r="BP91" s="215"/>
      <c r="BQ91" s="215"/>
      <c r="BR91" s="215"/>
      <c r="BS91" s="215"/>
      <c r="BT91" s="215"/>
      <c r="BU91" s="215"/>
      <c r="BV91" s="215"/>
      <c r="BW91" s="215"/>
      <c r="BX91" s="215"/>
      <c r="BY91" s="215"/>
      <c r="BZ91" s="215"/>
    </row>
    <row r="92" spans="1:78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38"/>
      <c r="R92" s="215"/>
      <c r="S92" s="215"/>
      <c r="T92" s="215"/>
      <c r="U92" s="215"/>
      <c r="V92" s="236"/>
      <c r="W92" s="236"/>
      <c r="X92" s="236"/>
      <c r="Y92" s="237"/>
      <c r="Z92" s="237"/>
      <c r="AA92" s="237"/>
      <c r="AB92" s="237"/>
      <c r="AC92" s="237"/>
      <c r="AD92" s="237"/>
      <c r="AE92" s="215"/>
      <c r="AF92" s="215"/>
      <c r="AG92" s="215"/>
      <c r="AH92" s="237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/>
      <c r="BL92" s="215"/>
      <c r="BM92" s="215"/>
      <c r="BN92" s="215"/>
      <c r="BO92" s="215"/>
      <c r="BP92" s="215"/>
      <c r="BQ92" s="215"/>
      <c r="BR92" s="215"/>
      <c r="BS92" s="215"/>
      <c r="BT92" s="215"/>
      <c r="BU92" s="215"/>
      <c r="BV92" s="215"/>
      <c r="BW92" s="215"/>
      <c r="BX92" s="215"/>
      <c r="BY92" s="215"/>
      <c r="BZ92" s="215"/>
    </row>
    <row r="93" spans="1:78" x14ac:dyDescent="0.2">
      <c r="A93" s="2" t="str">
        <f>'Language Index'!A97</f>
        <v>Dividends per Share</v>
      </c>
      <c r="B93" s="28"/>
      <c r="C93" s="28"/>
      <c r="D93" s="29">
        <f>_xll.ciqfunctions.udf.CIQ($C$2, "IQ_DIV_SHARE", D$6,$F$2,,,Ccy,Conv)</f>
        <v>6.61</v>
      </c>
      <c r="E93" s="29">
        <f>_xll.ciqfunctions.udf.CIQ($C$2, "IQ_DIV_SHARE", E$6,$F$2,,,Ccy,Conv)</f>
        <v>6.62</v>
      </c>
      <c r="F93" s="29">
        <f>_xll.ciqfunctions.udf.CIQ($C$2, "IQ_DIV_SHARE", F$6,$F$2,,,Ccy,Conv)</f>
        <v>6.63</v>
      </c>
      <c r="G93" s="29">
        <f>_xll.ciqfunctions.udf.CIQ($C$2, "IQ_DIV_SHARE", G$6,$F$2,,,Ccy,Conv)</f>
        <v>6.64</v>
      </c>
      <c r="H93" s="29">
        <f>_xll.ciqfunctions.udf.CIQ($C$2, "IQ_DIV_SHARE", H$6,$F$2,,,Ccy,Conv)</f>
        <v>6.65</v>
      </c>
      <c r="I93" s="29">
        <f>_xll.ciqfunctions.udf.CIQ($C$2, "IQ_DIV_SHARE", I$6,$F$2,,,Ccy,Conv)</f>
        <v>6.66</v>
      </c>
      <c r="J93" s="29">
        <f>_xll.ciqfunctions.udf.CIQ($C$2, "IQ_DIV_SHARE", J$6,$F$2,,,Ccy,Conv)</f>
        <v>6.67</v>
      </c>
      <c r="K93" s="29">
        <f>_xll.ciqfunctions.udf.CIQ($C$2, "IQ_DIV_SHARE", K$6,$F$2,,,Ccy,Conv)</f>
        <v>6.68</v>
      </c>
      <c r="L93" s="29">
        <f>_xll.ciqfunctions.udf.CIQ($C$2, "IQ_DIV_SHARE", L$6,$F$2,,,Ccy,Conv)</f>
        <v>6.69</v>
      </c>
      <c r="M93" s="29">
        <f>_xll.ciqfunctions.udf.CIQ($C$2, "IQ_DIV_SHARE", M$6,$F$2,,,Ccy,Conv)</f>
        <v>6.7</v>
      </c>
      <c r="N93" s="29">
        <f>_xll.ciqfunctions.udf.CIQ($C$2, "IQ_DIV_SHARE", N$6,$F$2,,,Ccy,Conv)</f>
        <v>6.71</v>
      </c>
      <c r="O93" s="29"/>
      <c r="P93" s="29">
        <f>_xll.ciqfunctions.udf.CIQ($C$2, "IQ_DIV_SHARE", P$6,$F$2,,,Ccy,Conv)</f>
        <v>6.71</v>
      </c>
      <c r="Q93" s="234"/>
      <c r="R93" s="215"/>
      <c r="S93" s="215"/>
      <c r="T93" s="215"/>
      <c r="U93" s="215"/>
      <c r="V93" s="236"/>
      <c r="W93" s="236"/>
      <c r="X93" s="236"/>
      <c r="Y93" s="237"/>
      <c r="Z93" s="237"/>
      <c r="AA93" s="237"/>
      <c r="AB93" s="237"/>
      <c r="AC93" s="237"/>
      <c r="AD93" s="237"/>
      <c r="AE93" s="215"/>
      <c r="AF93" s="215"/>
      <c r="AG93" s="215"/>
      <c r="AH93" s="237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  <c r="BD93" s="215"/>
      <c r="BE93" s="215"/>
      <c r="BF93" s="215"/>
      <c r="BG93" s="215"/>
      <c r="BH93" s="215"/>
      <c r="BI93" s="215"/>
      <c r="BJ93" s="215"/>
      <c r="BK93" s="215"/>
      <c r="BL93" s="215"/>
      <c r="BM93" s="215"/>
      <c r="BN93" s="215"/>
      <c r="BO93" s="215"/>
      <c r="BP93" s="215"/>
      <c r="BQ93" s="215"/>
      <c r="BR93" s="215"/>
      <c r="BS93" s="215"/>
      <c r="BT93" s="215"/>
      <c r="BU93" s="215"/>
      <c r="BV93" s="215"/>
      <c r="BW93" s="215"/>
      <c r="BX93" s="215"/>
      <c r="BY93" s="215"/>
      <c r="BZ93" s="215"/>
    </row>
    <row r="94" spans="1:78" x14ac:dyDescent="0.2">
      <c r="A94" s="2" t="str">
        <f>'Language Index'!A98</f>
        <v>Shares per Depository Receipt</v>
      </c>
      <c r="B94" s="28"/>
      <c r="C94" s="28"/>
      <c r="D94" s="18">
        <f>_xll.ciqfunctions.udf.CIQ($C$2, "IQ_DR_RATIO_PRIMARY", D$6,$F$2)</f>
        <v>1</v>
      </c>
      <c r="E94" s="18">
        <f>_xll.ciqfunctions.udf.CIQ($C$2, "IQ_DR_RATIO_PRIMARY", E$6,$F$2)</f>
        <v>1</v>
      </c>
      <c r="F94" s="18">
        <f>_xll.ciqfunctions.udf.CIQ($C$2, "IQ_DR_RATIO_PRIMARY", F$6,$F$2)</f>
        <v>1</v>
      </c>
      <c r="G94" s="18">
        <f>_xll.ciqfunctions.udf.CIQ($C$2, "IQ_DR_RATIO_PRIMARY", G$6,$F$2)</f>
        <v>1</v>
      </c>
      <c r="H94" s="18">
        <f>_xll.ciqfunctions.udf.CIQ($C$2, "IQ_DR_RATIO_PRIMARY", H$6,$F$2)</f>
        <v>1</v>
      </c>
      <c r="I94" s="18">
        <f>_xll.ciqfunctions.udf.CIQ($C$2, "IQ_DR_RATIO_PRIMARY", I$6,$F$2)</f>
        <v>1</v>
      </c>
      <c r="J94" s="18">
        <f>_xll.ciqfunctions.udf.CIQ($C$2, "IQ_DR_RATIO_PRIMARY", J$6,$F$2)</f>
        <v>1</v>
      </c>
      <c r="K94" s="18">
        <f>_xll.ciqfunctions.udf.CIQ($C$2, "IQ_DR_RATIO_PRIMARY", K$6,$F$2)</f>
        <v>1</v>
      </c>
      <c r="L94" s="18">
        <f>_xll.ciqfunctions.udf.CIQ($C$2, "IQ_DR_RATIO_PRIMARY", L$6,$F$2)</f>
        <v>1</v>
      </c>
      <c r="M94" s="18">
        <f>_xll.ciqfunctions.udf.CIQ($C$2, "IQ_DR_RATIO_PRIMARY", M$6,$F$2)</f>
        <v>1</v>
      </c>
      <c r="N94" s="18">
        <f>_xll.ciqfunctions.udf.CIQ($C$2, "IQ_DR_RATIO_PRIMARY", N$6,$F$2)</f>
        <v>1</v>
      </c>
      <c r="O94" s="18"/>
      <c r="P94" s="18">
        <f>_xll.ciqfunctions.udf.CIQ($C$2, "IQ_DR_RATIO_PRIMARY", P$6,$F$2)</f>
        <v>1</v>
      </c>
      <c r="Q94" s="237"/>
      <c r="R94" s="215"/>
      <c r="S94" s="215"/>
      <c r="T94" s="215"/>
      <c r="U94" s="215"/>
      <c r="V94" s="236"/>
      <c r="W94" s="236"/>
      <c r="X94" s="236"/>
      <c r="Y94" s="237"/>
      <c r="Z94" s="237"/>
      <c r="AA94" s="237"/>
      <c r="AB94" s="237"/>
      <c r="AC94" s="237"/>
      <c r="AD94" s="237"/>
      <c r="AE94" s="215"/>
      <c r="AF94" s="215"/>
      <c r="AG94" s="215"/>
      <c r="AH94" s="237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5"/>
      <c r="BG94" s="215"/>
      <c r="BH94" s="215"/>
      <c r="BI94" s="215"/>
      <c r="BJ94" s="215"/>
      <c r="BK94" s="215"/>
      <c r="BL94" s="215"/>
      <c r="BM94" s="215"/>
      <c r="BN94" s="215"/>
      <c r="BO94" s="215"/>
      <c r="BP94" s="215"/>
      <c r="BQ94" s="215"/>
      <c r="BR94" s="215"/>
      <c r="BS94" s="215"/>
      <c r="BT94" s="215"/>
      <c r="BU94" s="215"/>
      <c r="BV94" s="215"/>
      <c r="BW94" s="215"/>
      <c r="BX94" s="215"/>
      <c r="BY94" s="215"/>
      <c r="BZ94" s="215"/>
    </row>
    <row r="95" spans="1:78" x14ac:dyDescent="0.2">
      <c r="A95" s="2" t="str">
        <f>'Language Index'!A99</f>
        <v>Revenues per Share</v>
      </c>
      <c r="B95" s="28"/>
      <c r="C95" s="28"/>
      <c r="D95" s="29">
        <f>_xll.ciqfunctions.udf.CIQ($C$2, "IQ_TOTAL_REV_SHARE", D$6,$F$2,,,Ccy,Conv)</f>
        <v>66.744730000000004</v>
      </c>
      <c r="E95" s="29">
        <f>_xll.ciqfunctions.udf.CIQ($C$2, "IQ_TOTAL_REV_SHARE", E$6,$F$2,,,Ccy,Conv)</f>
        <v>67.293109999999999</v>
      </c>
      <c r="F95" s="29">
        <f>_xll.ciqfunctions.udf.CIQ($C$2, "IQ_TOTAL_REV_SHARE", F$6,$F$2,,,Ccy,Conv)</f>
        <v>67.887730000000005</v>
      </c>
      <c r="G95" s="29">
        <f>_xll.ciqfunctions.udf.CIQ($C$2, "IQ_TOTAL_REV_SHARE", G$6,$F$2,,,Ccy,Conv)</f>
        <v>67.938289999999995</v>
      </c>
      <c r="H95" s="29">
        <f>_xll.ciqfunctions.udf.CIQ($C$2, "IQ_TOTAL_REV_SHARE", H$6,$F$2,,,Ccy,Conv)</f>
        <v>68.071060000000003</v>
      </c>
      <c r="I95" s="29">
        <f>_xll.ciqfunctions.udf.CIQ($C$2, "IQ_TOTAL_REV_SHARE", I$6,$F$2,,,Ccy,Conv)</f>
        <v>68.106110000000001</v>
      </c>
      <c r="J95" s="29">
        <f>_xll.ciqfunctions.udf.CIQ($C$2, "IQ_TOTAL_REV_SHARE", J$6,$F$2,,,Ccy,Conv)</f>
        <v>68.078959999999995</v>
      </c>
      <c r="K95" s="29">
        <f>_xll.ciqfunctions.udf.CIQ($C$2, "IQ_TOTAL_REV_SHARE", K$6,$F$2,,,Ccy,Conv)</f>
        <v>67.965069999999997</v>
      </c>
      <c r="L95" s="29">
        <f>_xll.ciqfunctions.udf.CIQ($C$2, "IQ_TOTAL_REV_SHARE", L$6,$F$2,,,Ccy,Conv)</f>
        <v>69.074280000000002</v>
      </c>
      <c r="M95" s="29">
        <f>_xll.ciqfunctions.udf.CIQ($C$2, "IQ_TOTAL_REV_SHARE", M$6,$F$2,,,Ccy,Conv)</f>
        <v>70.346069999999997</v>
      </c>
      <c r="N95" s="29">
        <f>_xll.ciqfunctions.udf.CIQ($C$2, "IQ_TOTAL_REV_SHARE", N$6,$F$2,,,Ccy,Conv)</f>
        <v>72.439599999999999</v>
      </c>
      <c r="O95" s="29"/>
      <c r="P95" s="29">
        <f>_xll.ciqfunctions.udf.CIQ($C$2, "IQ_TOTAL_REV_SHARE", P$6,$F$2,,,Ccy,Conv)</f>
        <v>72.439599999999999</v>
      </c>
      <c r="Q95" s="237"/>
      <c r="R95" s="215"/>
      <c r="S95" s="215"/>
      <c r="T95" s="215"/>
      <c r="U95" s="215"/>
      <c r="V95" s="236"/>
      <c r="W95" s="236"/>
      <c r="X95" s="236"/>
      <c r="Y95" s="237"/>
      <c r="Z95" s="237"/>
      <c r="AA95" s="237"/>
      <c r="AB95" s="237"/>
      <c r="AC95" s="237"/>
      <c r="AD95" s="237"/>
      <c r="AE95" s="215"/>
      <c r="AF95" s="215"/>
      <c r="AG95" s="215"/>
      <c r="AH95" s="237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5"/>
      <c r="AY95" s="215"/>
      <c r="AZ95" s="215"/>
      <c r="BA95" s="215"/>
      <c r="BB95" s="215"/>
      <c r="BC95" s="215"/>
      <c r="BD95" s="215"/>
      <c r="BE95" s="215"/>
      <c r="BF95" s="215"/>
      <c r="BG95" s="215"/>
      <c r="BH95" s="215"/>
      <c r="BI95" s="215"/>
      <c r="BJ95" s="215"/>
      <c r="BK95" s="215"/>
      <c r="BL95" s="215"/>
      <c r="BM95" s="215"/>
      <c r="BN95" s="215"/>
      <c r="BO95" s="215"/>
      <c r="BP95" s="215"/>
      <c r="BQ95" s="215"/>
      <c r="BR95" s="215"/>
      <c r="BS95" s="215"/>
      <c r="BT95" s="215"/>
      <c r="BU95" s="215"/>
      <c r="BV95" s="215"/>
      <c r="BW95" s="215"/>
      <c r="BX95" s="215"/>
      <c r="BY95" s="215"/>
      <c r="BZ95" s="215"/>
    </row>
    <row r="96" spans="1:78" x14ac:dyDescent="0.2">
      <c r="A96" s="2" t="str">
        <f>'Language Index'!A100</f>
        <v>Distributable Cash per Share</v>
      </c>
      <c r="B96" s="28"/>
      <c r="C96" s="28"/>
      <c r="D96" s="29">
        <f>_xll.ciqfunctions.udf.CIQ($C$2, "IQ_DISTRIBUTABLE_CASH_SHARE", D$6,$F$2,,,Ccy,Conv)</f>
        <v>0</v>
      </c>
      <c r="E96" s="29">
        <f>_xll.ciqfunctions.udf.CIQ($C$2, "IQ_DISTRIBUTABLE_CASH_SHARE", E$6,$F$2,,,Ccy,Conv)</f>
        <v>0</v>
      </c>
      <c r="F96" s="29">
        <f>_xll.ciqfunctions.udf.CIQ($C$2, "IQ_DISTRIBUTABLE_CASH_SHARE", F$6,$F$2,,,Ccy,Conv)</f>
        <v>0</v>
      </c>
      <c r="G96" s="29">
        <f>_xll.ciqfunctions.udf.CIQ($C$2, "IQ_DISTRIBUTABLE_CASH_SHARE", G$6,$F$2,,,Ccy,Conv)</f>
        <v>0</v>
      </c>
      <c r="H96" s="29">
        <f>_xll.ciqfunctions.udf.CIQ($C$2, "IQ_DISTRIBUTABLE_CASH_SHARE", H$6,$F$2,,,Ccy,Conv)</f>
        <v>0</v>
      </c>
      <c r="I96" s="29">
        <f>_xll.ciqfunctions.udf.CIQ($C$2, "IQ_DISTRIBUTABLE_CASH_SHARE", I$6,$F$2,,,Ccy,Conv)</f>
        <v>0</v>
      </c>
      <c r="J96" s="29">
        <f>_xll.ciqfunctions.udf.CIQ($C$2, "IQ_DISTRIBUTABLE_CASH_SHARE", J$6,$F$2,,,Ccy,Conv)</f>
        <v>0</v>
      </c>
      <c r="K96" s="29">
        <f>_xll.ciqfunctions.udf.CIQ($C$2, "IQ_DISTRIBUTABLE_CASH_SHARE", K$6,$F$2,,,Ccy,Conv)</f>
        <v>0</v>
      </c>
      <c r="L96" s="29">
        <f>_xll.ciqfunctions.udf.CIQ($C$2, "IQ_DISTRIBUTABLE_CASH_SHARE", L$6,$F$2,,,Ccy,Conv)</f>
        <v>0</v>
      </c>
      <c r="M96" s="29">
        <f>_xll.ciqfunctions.udf.CIQ($C$2, "IQ_DISTRIBUTABLE_CASH_SHARE", M$6,$F$2,,,Ccy,Conv)</f>
        <v>0</v>
      </c>
      <c r="N96" s="29">
        <f>_xll.ciqfunctions.udf.CIQ($C$2, "IQ_DISTRIBUTABLE_CASH_SHARE", N$6,$F$2,,,Ccy,Conv)</f>
        <v>0</v>
      </c>
      <c r="O96" s="29"/>
      <c r="P96" s="29">
        <f>_xll.ciqfunctions.udf.CIQ($C$2, "IQ_DISTRIBUTABLE_CASH_SHARE", P$6,$F$2,,,Ccy,Conv)</f>
        <v>0</v>
      </c>
      <c r="Q96" s="237"/>
      <c r="R96" s="215"/>
      <c r="S96" s="215"/>
      <c r="T96" s="215"/>
      <c r="U96" s="215"/>
      <c r="V96" s="236"/>
      <c r="W96" s="236"/>
      <c r="X96" s="236"/>
      <c r="Y96" s="237"/>
      <c r="Z96" s="237"/>
      <c r="AA96" s="237"/>
      <c r="AB96" s="237"/>
      <c r="AC96" s="237"/>
      <c r="AD96" s="237"/>
      <c r="AE96" s="215"/>
      <c r="AF96" s="215"/>
      <c r="AG96" s="215"/>
      <c r="AH96" s="237"/>
      <c r="AI96" s="215"/>
      <c r="AJ96" s="215"/>
      <c r="AK96" s="215"/>
      <c r="AL96" s="215"/>
      <c r="AM96" s="215"/>
      <c r="AN96" s="215"/>
      <c r="AO96" s="215"/>
      <c r="AP96" s="215"/>
      <c r="AQ96" s="215"/>
      <c r="AR96" s="215"/>
      <c r="AS96" s="215"/>
      <c r="AT96" s="215"/>
      <c r="AU96" s="215"/>
      <c r="AV96" s="215"/>
      <c r="AW96" s="215"/>
      <c r="AX96" s="215"/>
      <c r="AY96" s="215"/>
      <c r="AZ96" s="215"/>
      <c r="BA96" s="215"/>
      <c r="BB96" s="215"/>
      <c r="BC96" s="215"/>
      <c r="BD96" s="215"/>
      <c r="BE96" s="215"/>
      <c r="BF96" s="215"/>
      <c r="BG96" s="215"/>
      <c r="BH96" s="215"/>
      <c r="BI96" s="215"/>
      <c r="BJ96" s="215"/>
      <c r="BK96" s="215"/>
      <c r="BL96" s="215"/>
      <c r="BM96" s="215"/>
      <c r="BN96" s="215"/>
      <c r="BO96" s="215"/>
      <c r="BP96" s="215"/>
      <c r="BQ96" s="215"/>
      <c r="BR96" s="215"/>
      <c r="BS96" s="215"/>
      <c r="BT96" s="215"/>
      <c r="BU96" s="215"/>
      <c r="BV96" s="215"/>
      <c r="BW96" s="215"/>
      <c r="BX96" s="215"/>
      <c r="BY96" s="215"/>
      <c r="BZ96" s="215"/>
    </row>
    <row r="97" spans="1:78" x14ac:dyDescent="0.2">
      <c r="A97" s="2" t="str">
        <f>'Language Index'!A101</f>
        <v>Special Dividend per Share</v>
      </c>
      <c r="B97" s="28"/>
      <c r="C97" s="28"/>
      <c r="D97" s="29">
        <f>_xll.ciqfunctions.udf.CIQ($C$2, "IQ_SPECIAL_DIV_SHARE", D$6,$F$2,,,Ccy,Conv)</f>
        <v>0</v>
      </c>
      <c r="E97" s="29">
        <f>_xll.ciqfunctions.udf.CIQ($C$2, "IQ_SPECIAL_DIV_SHARE", E$6,$F$2,,,Ccy,Conv)</f>
        <v>0</v>
      </c>
      <c r="F97" s="29">
        <f>_xll.ciqfunctions.udf.CIQ($C$2, "IQ_SPECIAL_DIV_SHARE", F$6,$F$2,,,Ccy,Conv)</f>
        <v>0</v>
      </c>
      <c r="G97" s="29">
        <f>_xll.ciqfunctions.udf.CIQ($C$2, "IQ_SPECIAL_DIV_SHARE", G$6,$F$2,,,Ccy,Conv)</f>
        <v>0</v>
      </c>
      <c r="H97" s="29">
        <f>_xll.ciqfunctions.udf.CIQ($C$2, "IQ_SPECIAL_DIV_SHARE", H$6,$F$2,,,Ccy,Conv)</f>
        <v>0</v>
      </c>
      <c r="I97" s="29">
        <f>_xll.ciqfunctions.udf.CIQ($C$2, "IQ_SPECIAL_DIV_SHARE", I$6,$F$2,,,Ccy,Conv)</f>
        <v>0</v>
      </c>
      <c r="J97" s="29">
        <f>_xll.ciqfunctions.udf.CIQ($C$2, "IQ_SPECIAL_DIV_SHARE", J$6,$F$2,,,Ccy,Conv)</f>
        <v>0</v>
      </c>
      <c r="K97" s="29">
        <f>_xll.ciqfunctions.udf.CIQ($C$2, "IQ_SPECIAL_DIV_SHARE", K$6,$F$2,,,Ccy,Conv)</f>
        <v>0</v>
      </c>
      <c r="L97" s="29">
        <f>_xll.ciqfunctions.udf.CIQ($C$2, "IQ_SPECIAL_DIV_SHARE", L$6,$F$2,,,Ccy,Conv)</f>
        <v>0</v>
      </c>
      <c r="M97" s="29">
        <f>_xll.ciqfunctions.udf.CIQ($C$2, "IQ_SPECIAL_DIV_SHARE", M$6,$F$2,,,Ccy,Conv)</f>
        <v>0</v>
      </c>
      <c r="N97" s="29">
        <f>_xll.ciqfunctions.udf.CIQ($C$2, "IQ_SPECIAL_DIV_SHARE", N$6,$F$2,,,Ccy,Conv)</f>
        <v>0</v>
      </c>
      <c r="O97" s="29"/>
      <c r="P97" s="29">
        <f>_xll.ciqfunctions.udf.CIQ($C$2, "IQ_SPECIAL_DIV_SHARE", P$6,$F$2,,,Ccy,Conv)</f>
        <v>0</v>
      </c>
      <c r="Q97" s="237"/>
      <c r="R97" s="215"/>
      <c r="S97" s="215"/>
      <c r="T97" s="215"/>
      <c r="U97" s="215"/>
      <c r="V97" s="236"/>
      <c r="W97" s="236"/>
      <c r="X97" s="236"/>
      <c r="Y97" s="237"/>
      <c r="Z97" s="237"/>
      <c r="AA97" s="237"/>
      <c r="AB97" s="237"/>
      <c r="AC97" s="237"/>
      <c r="AD97" s="237"/>
      <c r="AE97" s="215"/>
      <c r="AF97" s="215"/>
      <c r="AG97" s="215"/>
      <c r="AH97" s="237"/>
      <c r="AI97" s="215"/>
      <c r="AJ97" s="215"/>
      <c r="AK97" s="215"/>
      <c r="AL97" s="215"/>
      <c r="AM97" s="215"/>
      <c r="AN97" s="215"/>
      <c r="AO97" s="215"/>
      <c r="AP97" s="215"/>
      <c r="AQ97" s="215"/>
      <c r="AR97" s="215"/>
      <c r="AS97" s="215"/>
      <c r="AT97" s="215"/>
      <c r="AU97" s="215"/>
      <c r="AV97" s="215"/>
      <c r="AW97" s="215"/>
      <c r="AX97" s="215"/>
      <c r="AY97" s="215"/>
      <c r="AZ97" s="215"/>
      <c r="BA97" s="215"/>
      <c r="BB97" s="215"/>
      <c r="BC97" s="215"/>
      <c r="BD97" s="215"/>
      <c r="BE97" s="215"/>
      <c r="BF97" s="215"/>
      <c r="BG97" s="215"/>
      <c r="BH97" s="215"/>
      <c r="BI97" s="215"/>
      <c r="BJ97" s="215"/>
      <c r="BK97" s="215"/>
      <c r="BL97" s="215"/>
      <c r="BM97" s="215"/>
      <c r="BN97" s="215"/>
      <c r="BO97" s="215"/>
      <c r="BP97" s="215"/>
      <c r="BQ97" s="215"/>
      <c r="BR97" s="215"/>
      <c r="BS97" s="215"/>
      <c r="BT97" s="215"/>
      <c r="BU97" s="215"/>
      <c r="BV97" s="215"/>
      <c r="BW97" s="215"/>
      <c r="BX97" s="215"/>
      <c r="BY97" s="215"/>
      <c r="BZ97" s="215"/>
    </row>
    <row r="98" spans="1:78" x14ac:dyDescent="0.2">
      <c r="A98" s="28"/>
      <c r="B98" s="28"/>
      <c r="C98" s="28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237"/>
      <c r="R98" s="215"/>
      <c r="S98" s="215"/>
      <c r="T98" s="215"/>
      <c r="U98" s="215"/>
      <c r="V98" s="222"/>
      <c r="W98" s="222"/>
      <c r="X98" s="222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15"/>
      <c r="AM98" s="215"/>
      <c r="AN98" s="215"/>
      <c r="AO98" s="215"/>
      <c r="AP98" s="215"/>
      <c r="AQ98" s="215"/>
      <c r="AR98" s="215"/>
      <c r="AS98" s="215"/>
      <c r="AT98" s="215"/>
      <c r="AU98" s="215"/>
      <c r="AV98" s="215"/>
      <c r="AW98" s="215"/>
      <c r="AX98" s="215"/>
      <c r="AY98" s="215"/>
      <c r="AZ98" s="215"/>
      <c r="BA98" s="215"/>
      <c r="BB98" s="215"/>
      <c r="BC98" s="215"/>
      <c r="BD98" s="215"/>
      <c r="BE98" s="215"/>
      <c r="BF98" s="215"/>
      <c r="BG98" s="215"/>
      <c r="BH98" s="215"/>
      <c r="BI98" s="215"/>
      <c r="BJ98" s="215"/>
      <c r="BK98" s="215"/>
      <c r="BL98" s="215"/>
      <c r="BM98" s="215"/>
      <c r="BN98" s="215"/>
      <c r="BO98" s="215"/>
      <c r="BP98" s="215"/>
      <c r="BQ98" s="215"/>
      <c r="BR98" s="215"/>
      <c r="BS98" s="215"/>
      <c r="BT98" s="215"/>
      <c r="BU98" s="215"/>
      <c r="BV98" s="215"/>
      <c r="BW98" s="215"/>
      <c r="BX98" s="215"/>
      <c r="BY98" s="215"/>
      <c r="BZ98" s="215"/>
    </row>
    <row r="99" spans="1:78" x14ac:dyDescent="0.2">
      <c r="A99" s="9" t="str">
        <f>'Language Index'!A865</f>
        <v>INCOME STATEMENT (Contd.)</v>
      </c>
      <c r="B99" s="1"/>
      <c r="C99" s="1"/>
      <c r="D99" s="14" t="str">
        <f>$T$2&amp; " "&amp;'Language Index'!A31&amp;","</f>
        <v>Last Twelve Months Ended,</v>
      </c>
      <c r="E99" s="14"/>
      <c r="F99" s="15"/>
      <c r="G99" s="15"/>
      <c r="H99" s="15"/>
      <c r="I99" s="15"/>
      <c r="J99" s="15"/>
      <c r="K99" s="15"/>
      <c r="L99" s="15"/>
      <c r="M99" s="15"/>
      <c r="N99" s="15"/>
      <c r="O99" s="4"/>
      <c r="P99" s="102" t="str">
        <f>'Language Index'!A14</f>
        <v>LTM</v>
      </c>
      <c r="Q99" s="237"/>
      <c r="R99" s="215"/>
      <c r="S99" s="215"/>
      <c r="T99" s="215"/>
      <c r="U99" s="215"/>
      <c r="V99" s="222"/>
      <c r="W99" s="222"/>
      <c r="X99" s="222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15"/>
      <c r="AM99" s="215"/>
      <c r="AN99" s="215"/>
      <c r="AO99" s="215"/>
      <c r="AP99" s="215"/>
      <c r="AQ99" s="215"/>
      <c r="AR99" s="215"/>
      <c r="AS99" s="215"/>
      <c r="AT99" s="215"/>
      <c r="AU99" s="215"/>
      <c r="AV99" s="215"/>
      <c r="AW99" s="215"/>
      <c r="AX99" s="215"/>
      <c r="AY99" s="215"/>
      <c r="AZ99" s="215"/>
      <c r="BA99" s="215"/>
      <c r="BB99" s="215"/>
      <c r="BC99" s="215"/>
      <c r="BD99" s="215"/>
      <c r="BE99" s="215"/>
      <c r="BF99" s="215"/>
      <c r="BG99" s="215"/>
      <c r="BH99" s="215"/>
      <c r="BI99" s="215"/>
      <c r="BJ99" s="215"/>
      <c r="BK99" s="215"/>
      <c r="BL99" s="215"/>
      <c r="BM99" s="215"/>
      <c r="BN99" s="215"/>
      <c r="BO99" s="215"/>
      <c r="BP99" s="215"/>
      <c r="BQ99" s="215"/>
      <c r="BR99" s="215"/>
      <c r="BS99" s="215"/>
      <c r="BT99" s="215"/>
      <c r="BU99" s="215"/>
      <c r="BV99" s="215"/>
      <c r="BW99" s="215"/>
      <c r="BX99" s="215"/>
      <c r="BY99" s="215"/>
      <c r="BZ99" s="215"/>
    </row>
    <row r="100" spans="1:78" x14ac:dyDescent="0.2">
      <c r="A100" s="9"/>
      <c r="B100" s="2"/>
      <c r="C100" s="2"/>
      <c r="D100" s="64">
        <f>_xll.ciqfunctions.udf.CIQ($C$2, "IQ_PERIODDATE",D$6,$F$2)</f>
        <v>45107</v>
      </c>
      <c r="E100" s="64">
        <f>_xll.ciqfunctions.udf.CIQ($C$2, "IQ_PERIODDATE",E$6,$F$2)</f>
        <v>45199</v>
      </c>
      <c r="F100" s="64">
        <f>_xll.ciqfunctions.udf.CIQ($C$2, "IQ_PERIODDATE",F$6,$F$2)</f>
        <v>45291</v>
      </c>
      <c r="G100" s="64">
        <f>_xll.ciqfunctions.udf.CIQ($C$2, "IQ_PERIODDATE",G$6,$F$2)</f>
        <v>45382</v>
      </c>
      <c r="H100" s="64">
        <f>_xll.ciqfunctions.udf.CIQ($C$2, "IQ_PERIODDATE",H$6,$F$2)</f>
        <v>45473</v>
      </c>
      <c r="I100" s="64">
        <f>_xll.ciqfunctions.udf.CIQ($C$2, "IQ_PERIODDATE",I$6,$F$2)</f>
        <v>45565</v>
      </c>
      <c r="J100" s="64">
        <f>_xll.ciqfunctions.udf.CIQ($C$2, "IQ_PERIODDATE",J$6,$F$2)</f>
        <v>45657</v>
      </c>
      <c r="K100" s="64">
        <f>_xll.ciqfunctions.udf.CIQ($C$2, "IQ_PERIODDATE",K$6,$F$2)</f>
        <v>45747</v>
      </c>
      <c r="L100" s="64">
        <f>_xll.ciqfunctions.udf.CIQ($C$2, "IQ_PERIODDATE",L$6,$F$2)</f>
        <v>45838</v>
      </c>
      <c r="M100" s="64">
        <f>_xll.ciqfunctions.udf.CIQ($C$2, "IQ_PERIODDATE",M$6,$F$2)</f>
        <v>45930</v>
      </c>
      <c r="N100" s="64">
        <f>_xll.ciqfunctions.udf.CIQ($C$2, "IQ_PERIODDATE",N$6,$F$2)</f>
        <v>46022</v>
      </c>
      <c r="O100" s="65"/>
      <c r="P100" s="64">
        <f>_xll.ciqfunctions.udf.CIQ($C$2, "IQ_PERIODDATE",P$6,$F$2)</f>
        <v>46022</v>
      </c>
      <c r="Q100" s="237"/>
      <c r="R100" s="215"/>
      <c r="S100" s="215"/>
      <c r="T100" s="215"/>
      <c r="U100" s="215"/>
      <c r="V100" s="222"/>
      <c r="W100" s="222"/>
      <c r="X100" s="222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15"/>
      <c r="AM100" s="215"/>
      <c r="AN100" s="215"/>
      <c r="AO100" s="215"/>
      <c r="AP100" s="215"/>
      <c r="AQ100" s="215"/>
      <c r="AR100" s="215"/>
      <c r="AS100" s="215"/>
      <c r="AT100" s="215"/>
      <c r="AU100" s="215"/>
      <c r="AV100" s="215"/>
      <c r="AW100" s="215"/>
      <c r="AX100" s="215"/>
      <c r="AY100" s="215"/>
      <c r="AZ100" s="215"/>
      <c r="BA100" s="215"/>
      <c r="BB100" s="215"/>
      <c r="BC100" s="215"/>
      <c r="BD100" s="215"/>
      <c r="BE100" s="215"/>
      <c r="BF100" s="215"/>
      <c r="BG100" s="215"/>
      <c r="BH100" s="215"/>
      <c r="BI100" s="215"/>
      <c r="BJ100" s="215"/>
      <c r="BK100" s="215"/>
      <c r="BL100" s="215"/>
      <c r="BM100" s="215"/>
      <c r="BN100" s="215"/>
      <c r="BO100" s="215"/>
      <c r="BP100" s="215"/>
      <c r="BQ100" s="215"/>
      <c r="BR100" s="215"/>
      <c r="BS100" s="215"/>
      <c r="BT100" s="215"/>
      <c r="BU100" s="215"/>
      <c r="BV100" s="215"/>
      <c r="BW100" s="215"/>
      <c r="BX100" s="215"/>
      <c r="BY100" s="215"/>
      <c r="BZ100" s="215"/>
    </row>
    <row r="101" spans="1:78" x14ac:dyDescent="0.2">
      <c r="A101" s="9" t="str">
        <f>'Language Index'!A102</f>
        <v>Supplemental Items</v>
      </c>
      <c r="B101" s="1"/>
      <c r="C101" s="1"/>
      <c r="D101" s="1"/>
      <c r="E101" s="1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215"/>
      <c r="R101" s="215"/>
      <c r="S101" s="215"/>
      <c r="T101" s="215"/>
      <c r="U101" s="215"/>
      <c r="V101" s="222"/>
      <c r="W101" s="222"/>
      <c r="X101" s="222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15"/>
      <c r="AM101" s="215"/>
      <c r="AN101" s="215"/>
      <c r="AO101" s="215"/>
      <c r="AP101" s="215"/>
      <c r="AQ101" s="215"/>
      <c r="AR101" s="215"/>
      <c r="AS101" s="215"/>
      <c r="AT101" s="215"/>
      <c r="AU101" s="215"/>
      <c r="AV101" s="215"/>
      <c r="AW101" s="215"/>
      <c r="AX101" s="215"/>
      <c r="AY101" s="215"/>
      <c r="AZ101" s="215"/>
      <c r="BA101" s="215"/>
      <c r="BB101" s="215"/>
      <c r="BC101" s="215"/>
      <c r="BD101" s="215"/>
      <c r="BE101" s="215"/>
      <c r="BF101" s="215"/>
      <c r="BG101" s="215"/>
      <c r="BH101" s="215"/>
      <c r="BI101" s="215"/>
      <c r="BJ101" s="215"/>
      <c r="BK101" s="215"/>
      <c r="BL101" s="215"/>
      <c r="BM101" s="215"/>
      <c r="BN101" s="215"/>
      <c r="BO101" s="215"/>
      <c r="BP101" s="215"/>
      <c r="BQ101" s="215"/>
      <c r="BR101" s="215"/>
      <c r="BS101" s="215"/>
      <c r="BT101" s="215"/>
      <c r="BU101" s="215"/>
      <c r="BV101" s="215"/>
      <c r="BW101" s="215"/>
      <c r="BX101" s="215"/>
      <c r="BY101" s="215"/>
      <c r="BZ101" s="215"/>
    </row>
    <row r="102" spans="1:78" x14ac:dyDescent="0.2">
      <c r="A102" s="2" t="str">
        <f>'Language Index'!A103</f>
        <v>Filing Date</v>
      </c>
      <c r="B102" s="26"/>
      <c r="C102" s="26"/>
      <c r="D102" s="35">
        <f>_xll.ciqfunctions.udf.CIQ($C$2, "IQ_FILINGDATE_IS",D$6,$F$2)</f>
        <v>45503</v>
      </c>
      <c r="E102" s="35">
        <f>_xll.ciqfunctions.udf.CIQ($C$2, "IQ_FILINGDATE_IS",E$6,$F$2)</f>
        <v>45595</v>
      </c>
      <c r="F102" s="35">
        <f>_xll.ciqfunctions.udf.CIQ($C$2, "IQ_FILINGDATE_IS",F$6,$F$2)</f>
        <v>46077</v>
      </c>
      <c r="G102" s="35">
        <f>_xll.ciqfunctions.udf.CIQ($C$2, "IQ_FILINGDATE_IS",G$6,$F$2)</f>
        <v>45771</v>
      </c>
      <c r="H102" s="35">
        <f>_xll.ciqfunctions.udf.CIQ($C$2, "IQ_FILINGDATE_IS",H$6,$F$2)</f>
        <v>45953</v>
      </c>
      <c r="I102" s="35">
        <f>_xll.ciqfunctions.udf.CIQ($C$2, "IQ_FILINGDATE_IS",I$6,$F$2)</f>
        <v>45953</v>
      </c>
      <c r="J102" s="35">
        <f>_xll.ciqfunctions.udf.CIQ($C$2, "IQ_FILINGDATE_IS",J$6,$F$2)</f>
        <v>46077</v>
      </c>
      <c r="K102" s="35">
        <f>_xll.ciqfunctions.udf.CIQ($C$2, "IQ_FILINGDATE_IS",K$6,$F$2)</f>
        <v>45771</v>
      </c>
      <c r="L102" s="35">
        <f>_xll.ciqfunctions.udf.CIQ($C$2, "IQ_FILINGDATE_IS",L$6,$F$2)</f>
        <v>45862</v>
      </c>
      <c r="M102" s="35">
        <f>_xll.ciqfunctions.udf.CIQ($C$2, "IQ_FILINGDATE_IS",M$6,$F$2)</f>
        <v>45953</v>
      </c>
      <c r="N102" s="35">
        <f>_xll.ciqfunctions.udf.CIQ($C$2, "IQ_FILINGDATE_IS",N$6,$F$2)</f>
        <v>46077</v>
      </c>
      <c r="O102" s="36"/>
      <c r="P102" s="35">
        <f>_xll.ciqfunctions.udf.CIQ($C$2, "IQ_FILINGDATE_IS",P$6,$F$2)</f>
        <v>46077</v>
      </c>
      <c r="Q102" s="215"/>
      <c r="R102" s="215"/>
      <c r="S102" s="215"/>
      <c r="T102" s="215"/>
      <c r="U102" s="215"/>
      <c r="V102" s="240"/>
      <c r="W102" s="240"/>
      <c r="X102" s="240"/>
      <c r="Y102" s="239"/>
      <c r="Z102" s="232"/>
      <c r="AA102" s="232"/>
      <c r="AB102" s="232"/>
      <c r="AC102" s="232"/>
      <c r="AD102" s="232"/>
      <c r="AE102" s="215"/>
      <c r="AF102" s="215"/>
      <c r="AG102" s="215"/>
      <c r="AH102" s="232"/>
      <c r="AI102" s="215"/>
      <c r="AJ102" s="215"/>
      <c r="AK102" s="215"/>
      <c r="AL102" s="215"/>
      <c r="AM102" s="215"/>
      <c r="AN102" s="215"/>
      <c r="AO102" s="215"/>
      <c r="AP102" s="215"/>
      <c r="AQ102" s="215"/>
      <c r="AR102" s="215"/>
      <c r="AS102" s="215"/>
      <c r="AT102" s="215"/>
      <c r="AU102" s="215"/>
      <c r="AV102" s="215"/>
      <c r="AW102" s="215"/>
      <c r="AX102" s="215"/>
      <c r="AY102" s="215"/>
      <c r="AZ102" s="215"/>
      <c r="BA102" s="215"/>
      <c r="BB102" s="215"/>
      <c r="BC102" s="215"/>
      <c r="BD102" s="215"/>
      <c r="BE102" s="215"/>
      <c r="BF102" s="215"/>
      <c r="BG102" s="215"/>
      <c r="BH102" s="215"/>
      <c r="BI102" s="215"/>
      <c r="BJ102" s="215"/>
      <c r="BK102" s="215"/>
      <c r="BL102" s="215"/>
      <c r="BM102" s="215"/>
      <c r="BN102" s="215"/>
      <c r="BO102" s="215"/>
      <c r="BP102" s="215"/>
      <c r="BQ102" s="215"/>
      <c r="BR102" s="215"/>
      <c r="BS102" s="215"/>
      <c r="BT102" s="215"/>
      <c r="BU102" s="215"/>
      <c r="BV102" s="215"/>
      <c r="BW102" s="215"/>
      <c r="BX102" s="215"/>
      <c r="BY102" s="215"/>
      <c r="BZ102" s="215"/>
    </row>
    <row r="103" spans="1:78" x14ac:dyDescent="0.2">
      <c r="A103" s="2" t="str">
        <f>'Language Index'!A104</f>
        <v>Period Length in Months</v>
      </c>
      <c r="B103" s="17"/>
      <c r="C103" s="26"/>
      <c r="D103" s="49">
        <f>_xll.ciqfunctions.udf.CIQ($C$2,"IQ_PERIODLENGTH_IS", D$6,$F$2)</f>
        <v>12</v>
      </c>
      <c r="E103" s="49">
        <f>_xll.ciqfunctions.udf.CIQ($C$2,"IQ_PERIODLENGTH_IS", E$6,$F$2)</f>
        <v>12</v>
      </c>
      <c r="F103" s="49">
        <f>_xll.ciqfunctions.udf.CIQ($C$2,"IQ_PERIODLENGTH_IS", F$6,$F$2)</f>
        <v>12</v>
      </c>
      <c r="G103" s="49">
        <f>_xll.ciqfunctions.udf.CIQ($C$2,"IQ_PERIODLENGTH_IS", G$6,$F$2)</f>
        <v>12</v>
      </c>
      <c r="H103" s="49">
        <f>_xll.ciqfunctions.udf.CIQ($C$2,"IQ_PERIODLENGTH_IS", H$6,$F$2)</f>
        <v>12</v>
      </c>
      <c r="I103" s="49">
        <f>_xll.ciqfunctions.udf.CIQ($C$2,"IQ_PERIODLENGTH_IS", I$6,$F$2)</f>
        <v>12</v>
      </c>
      <c r="J103" s="49">
        <f>_xll.ciqfunctions.udf.CIQ($C$2,"IQ_PERIODLENGTH_IS", J$6,$F$2)</f>
        <v>12</v>
      </c>
      <c r="K103" s="49">
        <f>_xll.ciqfunctions.udf.CIQ($C$2,"IQ_PERIODLENGTH_IS", K$6,$F$2)</f>
        <v>12</v>
      </c>
      <c r="L103" s="49">
        <f>_xll.ciqfunctions.udf.CIQ($C$2,"IQ_PERIODLENGTH_IS", L$6,$F$2)</f>
        <v>12</v>
      </c>
      <c r="M103" s="49">
        <f>_xll.ciqfunctions.udf.CIQ($C$2,"IQ_PERIODLENGTH_IS", M$6,$F$2)</f>
        <v>12</v>
      </c>
      <c r="N103" s="49">
        <f>_xll.ciqfunctions.udf.CIQ($C$2,"IQ_PERIODLENGTH_IS", N$6,$F$2)</f>
        <v>12</v>
      </c>
      <c r="O103" s="49"/>
      <c r="P103" s="49">
        <f>_xll.ciqfunctions.udf.CIQ($C$2,"IQ_PERIODLENGTH_IS", P$6,$F$2)</f>
        <v>12</v>
      </c>
      <c r="Q103" s="215"/>
      <c r="R103" s="215"/>
      <c r="S103" s="215"/>
      <c r="T103" s="215"/>
      <c r="U103" s="215"/>
      <c r="V103" s="240"/>
      <c r="W103" s="240"/>
      <c r="X103" s="240"/>
      <c r="Y103" s="239"/>
      <c r="Z103" s="232"/>
      <c r="AA103" s="232"/>
      <c r="AB103" s="232"/>
      <c r="AC103" s="232"/>
      <c r="AD103" s="232"/>
      <c r="AE103" s="215"/>
      <c r="AF103" s="215"/>
      <c r="AG103" s="215"/>
      <c r="AH103" s="232"/>
      <c r="AI103" s="215"/>
      <c r="AJ103" s="215"/>
      <c r="AK103" s="215"/>
      <c r="AL103" s="215"/>
      <c r="AM103" s="215"/>
      <c r="AN103" s="215"/>
      <c r="AO103" s="215"/>
      <c r="AP103" s="215"/>
      <c r="AQ103" s="215"/>
      <c r="AR103" s="215"/>
      <c r="AS103" s="215"/>
      <c r="AT103" s="215"/>
      <c r="AU103" s="215"/>
      <c r="AV103" s="215"/>
      <c r="AW103" s="215"/>
      <c r="AX103" s="215"/>
      <c r="AY103" s="215"/>
      <c r="AZ103" s="215"/>
      <c r="BA103" s="215"/>
      <c r="BB103" s="215"/>
      <c r="BC103" s="215"/>
      <c r="BD103" s="215"/>
      <c r="BE103" s="215"/>
      <c r="BF103" s="215"/>
      <c r="BG103" s="215"/>
      <c r="BH103" s="215"/>
      <c r="BI103" s="215"/>
      <c r="BJ103" s="215"/>
      <c r="BK103" s="215"/>
      <c r="BL103" s="215"/>
      <c r="BM103" s="215"/>
      <c r="BN103" s="215"/>
      <c r="BO103" s="215"/>
      <c r="BP103" s="215"/>
      <c r="BQ103" s="215"/>
      <c r="BR103" s="215"/>
      <c r="BS103" s="215"/>
      <c r="BT103" s="215"/>
      <c r="BU103" s="215"/>
      <c r="BV103" s="215"/>
      <c r="BW103" s="215"/>
      <c r="BX103" s="215"/>
      <c r="BY103" s="215"/>
      <c r="BZ103" s="215"/>
    </row>
    <row r="104" spans="1:78" x14ac:dyDescent="0.2">
      <c r="A104" s="2" t="str">
        <f>'Language Index'!A105</f>
        <v>EBITDA</v>
      </c>
      <c r="B104" s="26"/>
      <c r="C104" s="26"/>
      <c r="D104" s="18">
        <f>_xll.ciqfunctions.udf.CIQ($C$2,"IQ_EBITDA", D$6,$F$2,,,Ccy,Conv)</f>
        <v>11842</v>
      </c>
      <c r="E104" s="18">
        <f>_xll.ciqfunctions.udf.CIQ($C$2,"IQ_EBITDA", E$6,$F$2,,,Ccy,Conv)</f>
        <v>11837</v>
      </c>
      <c r="F104" s="18">
        <f>_xll.ciqfunctions.udf.CIQ($C$2,"IQ_EBITDA", F$6,$F$2,,,Ccy,Conv)</f>
        <v>12257</v>
      </c>
      <c r="G104" s="18">
        <f>_xll.ciqfunctions.udf.CIQ($C$2,"IQ_EBITDA", G$6,$F$2,,,Ccy,Conv)</f>
        <v>12659</v>
      </c>
      <c r="H104" s="18">
        <f>_xll.ciqfunctions.udf.CIQ($C$2,"IQ_EBITDA", H$6,$F$2,,,Ccy,Conv)</f>
        <v>12736</v>
      </c>
      <c r="I104" s="18">
        <f>_xll.ciqfunctions.udf.CIQ($C$2,"IQ_EBITDA", I$6,$F$2,,,Ccy,Conv)</f>
        <v>13044</v>
      </c>
      <c r="J104" s="18">
        <f>_xll.ciqfunctions.udf.CIQ($C$2,"IQ_EBITDA", J$6,$F$2,,,Ccy,Conv)</f>
        <v>12886</v>
      </c>
      <c r="K104" s="18">
        <f>_xll.ciqfunctions.udf.CIQ($C$2,"IQ_EBITDA", K$6,$F$2,,,Ccy,Conv)</f>
        <v>13281</v>
      </c>
      <c r="L104" s="18">
        <f>_xll.ciqfunctions.udf.CIQ($C$2,"IQ_EBITDA", L$6,$F$2,,,Ccy,Conv)</f>
        <v>14183</v>
      </c>
      <c r="M104" s="18">
        <f>_xll.ciqfunctions.udf.CIQ($C$2,"IQ_EBITDA", M$6,$F$2,,,Ccy,Conv)</f>
        <v>15042</v>
      </c>
      <c r="N104" s="18">
        <f>_xll.ciqfunctions.udf.CIQ($C$2,"IQ_EBITDA", N$6,$F$2,,,Ccy,Conv)</f>
        <v>16118</v>
      </c>
      <c r="O104" s="18"/>
      <c r="P104" s="18">
        <f>_xll.ciqfunctions.udf.CIQ($C$2,"IQ_EBITDA", P$6,$F$2,,,Ccy,Conv)</f>
        <v>16118</v>
      </c>
      <c r="Q104" s="215"/>
      <c r="R104" s="215"/>
      <c r="S104" s="215"/>
      <c r="T104" s="215"/>
      <c r="U104" s="215"/>
      <c r="V104" s="240"/>
      <c r="W104" s="240"/>
      <c r="X104" s="240"/>
      <c r="Y104" s="239"/>
      <c r="Z104" s="232"/>
      <c r="AA104" s="232"/>
      <c r="AB104" s="232"/>
      <c r="AC104" s="232"/>
      <c r="AD104" s="232"/>
      <c r="AE104" s="215"/>
      <c r="AF104" s="215"/>
      <c r="AG104" s="215"/>
      <c r="AH104" s="232"/>
      <c r="AI104" s="215"/>
      <c r="AJ104" s="215"/>
      <c r="AK104" s="215"/>
      <c r="AL104" s="215"/>
      <c r="AM104" s="215"/>
      <c r="AN104" s="215"/>
      <c r="AO104" s="215"/>
      <c r="AP104" s="215"/>
      <c r="AQ104" s="215"/>
      <c r="AR104" s="215"/>
      <c r="AS104" s="215"/>
      <c r="AT104" s="215"/>
      <c r="AU104" s="215"/>
      <c r="AV104" s="215"/>
      <c r="AW104" s="215"/>
      <c r="AX104" s="215"/>
      <c r="AY104" s="215"/>
      <c r="AZ104" s="215"/>
      <c r="BA104" s="215"/>
      <c r="BB104" s="215"/>
      <c r="BC104" s="215"/>
      <c r="BD104" s="215"/>
      <c r="BE104" s="215"/>
      <c r="BF104" s="215"/>
      <c r="BG104" s="215"/>
      <c r="BH104" s="215"/>
      <c r="BI104" s="215"/>
      <c r="BJ104" s="215"/>
      <c r="BK104" s="215"/>
      <c r="BL104" s="215"/>
      <c r="BM104" s="215"/>
      <c r="BN104" s="215"/>
      <c r="BO104" s="215"/>
      <c r="BP104" s="215"/>
      <c r="BQ104" s="215"/>
      <c r="BR104" s="215"/>
      <c r="BS104" s="215"/>
      <c r="BT104" s="215"/>
      <c r="BU104" s="215"/>
      <c r="BV104" s="215"/>
      <c r="BW104" s="215"/>
      <c r="BX104" s="215"/>
      <c r="BY104" s="215"/>
      <c r="BZ104" s="215"/>
    </row>
    <row r="105" spans="1:78" x14ac:dyDescent="0.2">
      <c r="A105" s="2" t="str">
        <f>'Language Index'!A106</f>
        <v>EBITDA (Incl. Equity Inc. from Affiliates)</v>
      </c>
      <c r="B105" s="17"/>
      <c r="C105" s="26"/>
      <c r="D105" s="18">
        <f>_xll.ciqfunctions.udf.CIQ($C$2,"IQ_EBITDA_EQ_INC", D$6,$F$2,,,Ccy,Conv)</f>
        <v>12994</v>
      </c>
      <c r="E105" s="18">
        <f>_xll.ciqfunctions.udf.CIQ($C$2,"IQ_EBITDA_EQ_INC", E$6,$F$2,,,Ccy,Conv)</f>
        <v>12941.5</v>
      </c>
      <c r="F105" s="18">
        <f>_xll.ciqfunctions.udf.CIQ($C$2,"IQ_EBITDA_EQ_INC", F$6,$F$2,,,Ccy,Conv)</f>
        <v>13549</v>
      </c>
      <c r="G105" s="18">
        <f>_xll.ciqfunctions.udf.CIQ($C$2,"IQ_EBITDA_EQ_INC", G$6,$F$2,,,Ccy,Conv)</f>
        <v>13962.25</v>
      </c>
      <c r="H105" s="18">
        <f>_xll.ciqfunctions.udf.CIQ($C$2,"IQ_EBITDA_EQ_INC", H$6,$F$2,,,Ccy,Conv)</f>
        <v>14050.5</v>
      </c>
      <c r="I105" s="18">
        <f>_xll.ciqfunctions.udf.CIQ($C$2,"IQ_EBITDA_EQ_INC", I$6,$F$2,,,Ccy,Conv)</f>
        <v>14369.75</v>
      </c>
      <c r="J105" s="18">
        <f>_xll.ciqfunctions.udf.CIQ($C$2,"IQ_EBITDA_EQ_INC", J$6,$F$2,,,Ccy,Conv)</f>
        <v>14195</v>
      </c>
      <c r="K105" s="18">
        <f>_xll.ciqfunctions.udf.CIQ($C$2,"IQ_EBITDA_EQ_INC", K$6,$F$2,,,Ccy,Conv)</f>
        <v>14594.25</v>
      </c>
      <c r="L105" s="18">
        <f>_xll.ciqfunctions.udf.CIQ($C$2,"IQ_EBITDA_EQ_INC", L$6,$F$2,,,Ccy,Conv)</f>
        <v>15500.5</v>
      </c>
      <c r="M105" s="18">
        <f>_xll.ciqfunctions.udf.CIQ($C$2,"IQ_EBITDA_EQ_INC", M$6,$F$2,,,Ccy,Conv)</f>
        <v>16363.75</v>
      </c>
      <c r="N105" s="18">
        <f>_xll.ciqfunctions.udf.CIQ($C$2,"IQ_EBITDA_EQ_INC", N$6,$F$2,,,Ccy,Conv)</f>
        <v>17426</v>
      </c>
      <c r="O105" s="18"/>
      <c r="P105" s="18">
        <f>_xll.ciqfunctions.udf.CIQ($C$2,"IQ_EBITDA_EQ_INC", P$6,$F$2,,,Ccy,Conv)</f>
        <v>17426</v>
      </c>
      <c r="Q105" s="239"/>
      <c r="R105" s="215"/>
      <c r="S105" s="215"/>
      <c r="T105" s="215"/>
      <c r="U105" s="215"/>
      <c r="V105" s="240"/>
      <c r="W105" s="240"/>
      <c r="X105" s="240"/>
      <c r="Y105" s="239"/>
      <c r="Z105" s="232"/>
      <c r="AA105" s="232"/>
      <c r="AB105" s="232"/>
      <c r="AC105" s="232"/>
      <c r="AD105" s="232"/>
      <c r="AE105" s="215"/>
      <c r="AF105" s="215"/>
      <c r="AG105" s="215"/>
      <c r="AH105" s="232"/>
      <c r="AI105" s="215"/>
      <c r="AJ105" s="215"/>
      <c r="AK105" s="215"/>
      <c r="AL105" s="215"/>
      <c r="AM105" s="215"/>
      <c r="AN105" s="215"/>
      <c r="AO105" s="215"/>
      <c r="AP105" s="215"/>
      <c r="AQ105" s="215"/>
      <c r="AR105" s="215"/>
      <c r="AS105" s="215"/>
      <c r="AT105" s="215"/>
      <c r="AU105" s="215"/>
      <c r="AV105" s="215"/>
      <c r="AW105" s="215"/>
      <c r="AX105" s="215"/>
      <c r="AY105" s="215"/>
      <c r="AZ105" s="215"/>
      <c r="BA105" s="215"/>
      <c r="BB105" s="215"/>
      <c r="BC105" s="215"/>
      <c r="BD105" s="215"/>
      <c r="BE105" s="215"/>
      <c r="BF105" s="215"/>
      <c r="BG105" s="215"/>
      <c r="BH105" s="215"/>
      <c r="BI105" s="215"/>
      <c r="BJ105" s="215"/>
      <c r="BK105" s="215"/>
      <c r="BL105" s="215"/>
      <c r="BM105" s="215"/>
      <c r="BN105" s="215"/>
      <c r="BO105" s="215"/>
      <c r="BP105" s="215"/>
      <c r="BQ105" s="215"/>
      <c r="BR105" s="215"/>
      <c r="BS105" s="215"/>
      <c r="BT105" s="215"/>
      <c r="BU105" s="215"/>
      <c r="BV105" s="215"/>
      <c r="BW105" s="215"/>
      <c r="BX105" s="215"/>
      <c r="BY105" s="215"/>
      <c r="BZ105" s="215"/>
    </row>
    <row r="106" spans="1:78" x14ac:dyDescent="0.2">
      <c r="A106" s="2" t="str">
        <f>'Language Index'!A107</f>
        <v>EBITDA (Excl. SBC and Incl. Equity Inc. from Affiliates)</v>
      </c>
      <c r="B106" s="17"/>
      <c r="C106" s="26"/>
      <c r="D106" s="18">
        <f>_xll.ciqfunctions.udf.CIQ($C$2,"IQ_EBITDA_EQ_INC_EXCL_SBC", D$6,$F$2,,,Ccy,Conv)</f>
        <v>12898</v>
      </c>
      <c r="E106" s="18">
        <f>_xll.ciqfunctions.udf.CIQ($C$2,"IQ_EBITDA_EQ_INC_EXCL_SBC", E$6,$F$2,,,Ccy,Conv)</f>
        <v>12929</v>
      </c>
      <c r="F106" s="18">
        <f>_xll.ciqfunctions.udf.CIQ($C$2,"IQ_EBITDA_EQ_INC_EXCL_SBC", F$6,$F$2,,,Ccy,Conv)</f>
        <v>13391</v>
      </c>
      <c r="G106" s="18">
        <f>_xll.ciqfunctions.udf.CIQ($C$2,"IQ_EBITDA_EQ_INC_EXCL_SBC", G$6,$F$2,,,Ccy,Conv)</f>
        <v>13844</v>
      </c>
      <c r="H106" s="18">
        <f>_xll.ciqfunctions.udf.CIQ($C$2,"IQ_EBITDA_EQ_INC_EXCL_SBC", H$6,$F$2,,,Ccy,Conv)</f>
        <v>13950</v>
      </c>
      <c r="I106" s="18">
        <f>_xll.ciqfunctions.udf.CIQ($C$2,"IQ_EBITDA_EQ_INC_EXCL_SBC", I$6,$F$2,,,Ccy,Conv)</f>
        <v>14301</v>
      </c>
      <c r="J106" s="18">
        <f>_xll.ciqfunctions.udf.CIQ($C$2,"IQ_EBITDA_EQ_INC_EXCL_SBC", J$6,$F$2,,,Ccy,Conv)</f>
        <v>14197</v>
      </c>
      <c r="K106" s="18">
        <f>_xll.ciqfunctions.udf.CIQ($C$2,"IQ_EBITDA_EQ_INC_EXCL_SBC", K$6,$F$2,,,Ccy,Conv)</f>
        <v>14673</v>
      </c>
      <c r="L106" s="18">
        <f>_xll.ciqfunctions.udf.CIQ($C$2,"IQ_EBITDA_EQ_INC_EXCL_SBC", L$6,$F$2,,,Ccy,Conv)</f>
        <v>15717</v>
      </c>
      <c r="M106" s="18">
        <f>_xll.ciqfunctions.udf.CIQ($C$2,"IQ_EBITDA_EQ_INC_EXCL_SBC", M$6,$F$2,,,Ccy,Conv)</f>
        <v>16673</v>
      </c>
      <c r="N106" s="18">
        <f>_xll.ciqfunctions.udf.CIQ($C$2,"IQ_EBITDA_EQ_INC_EXCL_SBC", N$6,$F$2,,,Ccy,Conv)</f>
        <v>17833</v>
      </c>
      <c r="O106" s="18"/>
      <c r="P106" s="18">
        <f>_xll.ciqfunctions.udf.CIQ($C$2,"IQ_EBITDA_EQ_INC_EXCL_SBC", P$6,$F$2,,,Ccy,Conv)</f>
        <v>17833</v>
      </c>
      <c r="Q106" s="239"/>
      <c r="R106" s="215"/>
      <c r="S106" s="215"/>
      <c r="T106" s="215"/>
      <c r="U106" s="215"/>
      <c r="V106" s="240"/>
      <c r="W106" s="240"/>
      <c r="X106" s="240"/>
      <c r="Y106" s="239"/>
      <c r="Z106" s="232"/>
      <c r="AA106" s="232"/>
      <c r="AB106" s="232"/>
      <c r="AC106" s="232"/>
      <c r="AD106" s="232"/>
      <c r="AE106" s="215"/>
      <c r="AF106" s="215"/>
      <c r="AG106" s="215"/>
      <c r="AH106" s="232"/>
      <c r="AI106" s="215"/>
      <c r="AJ106" s="215"/>
      <c r="AK106" s="215"/>
      <c r="AL106" s="215"/>
      <c r="AM106" s="215"/>
      <c r="AN106" s="215"/>
      <c r="AO106" s="215"/>
      <c r="AP106" s="215"/>
      <c r="AQ106" s="215"/>
      <c r="AR106" s="215"/>
      <c r="AS106" s="215"/>
      <c r="AT106" s="215"/>
      <c r="AU106" s="215"/>
      <c r="AV106" s="215"/>
      <c r="AW106" s="215"/>
      <c r="AX106" s="215"/>
      <c r="AY106" s="215"/>
      <c r="AZ106" s="215"/>
      <c r="BA106" s="215"/>
      <c r="BB106" s="215"/>
      <c r="BC106" s="215"/>
      <c r="BD106" s="215"/>
      <c r="BE106" s="215"/>
      <c r="BF106" s="215"/>
      <c r="BG106" s="215"/>
      <c r="BH106" s="215"/>
      <c r="BI106" s="215"/>
      <c r="BJ106" s="215"/>
      <c r="BK106" s="215"/>
      <c r="BL106" s="215"/>
      <c r="BM106" s="215"/>
      <c r="BN106" s="215"/>
      <c r="BO106" s="215"/>
      <c r="BP106" s="215"/>
      <c r="BQ106" s="215"/>
      <c r="BR106" s="215"/>
      <c r="BS106" s="215"/>
      <c r="BT106" s="215"/>
      <c r="BU106" s="215"/>
      <c r="BV106" s="215"/>
      <c r="BW106" s="215"/>
      <c r="BX106" s="215"/>
      <c r="BY106" s="215"/>
      <c r="BZ106" s="215"/>
    </row>
    <row r="107" spans="1:78" x14ac:dyDescent="0.2">
      <c r="A107" s="2" t="str">
        <f>'Language Index'!A108</f>
        <v>EBITDA (Excl. SBC)</v>
      </c>
      <c r="B107" s="17"/>
      <c r="C107" s="26"/>
      <c r="D107" s="18">
        <f>_xll.ciqfunctions.udf.CIQ($C$2,"IQ_EBITDA_EXCL_SBC", D$6,$F$2,,,Ccy,Conv)</f>
        <v>12898</v>
      </c>
      <c r="E107" s="18">
        <f>_xll.ciqfunctions.udf.CIQ($C$2,"IQ_EBITDA_EXCL_SBC", E$6,$F$2,,,Ccy,Conv)</f>
        <v>12929</v>
      </c>
      <c r="F107" s="18">
        <f>_xll.ciqfunctions.udf.CIQ($C$2,"IQ_EBITDA_EXCL_SBC", F$6,$F$2,,,Ccy,Conv)</f>
        <v>13391</v>
      </c>
      <c r="G107" s="18">
        <f>_xll.ciqfunctions.udf.CIQ($C$2,"IQ_EBITDA_EXCL_SBC", G$6,$F$2,,,Ccy,Conv)</f>
        <v>13844</v>
      </c>
      <c r="H107" s="18">
        <f>_xll.ciqfunctions.udf.CIQ($C$2,"IQ_EBITDA_EXCL_SBC", H$6,$F$2,,,Ccy,Conv)</f>
        <v>13950</v>
      </c>
      <c r="I107" s="18">
        <f>_xll.ciqfunctions.udf.CIQ($C$2,"IQ_EBITDA_EXCL_SBC", I$6,$F$2,,,Ccy,Conv)</f>
        <v>14301</v>
      </c>
      <c r="J107" s="18">
        <f>_xll.ciqfunctions.udf.CIQ($C$2,"IQ_EBITDA_EXCL_SBC", J$6,$F$2,,,Ccy,Conv)</f>
        <v>14197</v>
      </c>
      <c r="K107" s="18">
        <f>_xll.ciqfunctions.udf.CIQ($C$2,"IQ_EBITDA_EXCL_SBC", K$6,$F$2,,,Ccy,Conv)</f>
        <v>14673</v>
      </c>
      <c r="L107" s="18">
        <f>_xll.ciqfunctions.udf.CIQ($C$2,"IQ_EBITDA_EXCL_SBC", L$6,$F$2,,,Ccy,Conv)</f>
        <v>15717</v>
      </c>
      <c r="M107" s="18">
        <f>_xll.ciqfunctions.udf.CIQ($C$2,"IQ_EBITDA_EXCL_SBC", M$6,$F$2,,,Ccy,Conv)</f>
        <v>16673</v>
      </c>
      <c r="N107" s="18">
        <f>_xll.ciqfunctions.udf.CIQ($C$2,"IQ_EBITDA_EXCL_SBC", N$6,$F$2,,,Ccy,Conv)</f>
        <v>17833</v>
      </c>
      <c r="O107" s="18"/>
      <c r="P107" s="18">
        <f>_xll.ciqfunctions.udf.CIQ($C$2,"IQ_EBITDA_EXCL_SBC", P$6,$F$2,,,Ccy,Conv)</f>
        <v>17833</v>
      </c>
      <c r="Q107" s="239"/>
      <c r="R107" s="215"/>
      <c r="S107" s="215"/>
      <c r="T107" s="215"/>
      <c r="U107" s="215"/>
      <c r="V107" s="240"/>
      <c r="W107" s="240"/>
      <c r="X107" s="240"/>
      <c r="Y107" s="239"/>
      <c r="Z107" s="232"/>
      <c r="AA107" s="232"/>
      <c r="AB107" s="232"/>
      <c r="AC107" s="232"/>
      <c r="AD107" s="232"/>
      <c r="AE107" s="215"/>
      <c r="AF107" s="215"/>
      <c r="AG107" s="215"/>
      <c r="AH107" s="232"/>
      <c r="AI107" s="215"/>
      <c r="AJ107" s="215"/>
      <c r="AK107" s="215"/>
      <c r="AL107" s="215"/>
      <c r="AM107" s="215"/>
      <c r="AN107" s="215"/>
      <c r="AO107" s="215"/>
      <c r="AP107" s="215"/>
      <c r="AQ107" s="215"/>
      <c r="AR107" s="215"/>
      <c r="AS107" s="215"/>
      <c r="AT107" s="215"/>
      <c r="AU107" s="215"/>
      <c r="AV107" s="215"/>
      <c r="AW107" s="215"/>
      <c r="AX107" s="215"/>
      <c r="AY107" s="215"/>
      <c r="AZ107" s="215"/>
      <c r="BA107" s="215"/>
      <c r="BB107" s="215"/>
      <c r="BC107" s="215"/>
      <c r="BD107" s="215"/>
      <c r="BE107" s="215"/>
      <c r="BF107" s="215"/>
      <c r="BG107" s="215"/>
      <c r="BH107" s="215"/>
      <c r="BI107" s="215"/>
      <c r="BJ107" s="215"/>
      <c r="BK107" s="215"/>
      <c r="BL107" s="215"/>
      <c r="BM107" s="215"/>
      <c r="BN107" s="215"/>
      <c r="BO107" s="215"/>
      <c r="BP107" s="215"/>
      <c r="BQ107" s="215"/>
      <c r="BR107" s="215"/>
      <c r="BS107" s="215"/>
      <c r="BT107" s="215"/>
      <c r="BU107" s="215"/>
      <c r="BV107" s="215"/>
      <c r="BW107" s="215"/>
      <c r="BX107" s="215"/>
      <c r="BY107" s="215"/>
      <c r="BZ107" s="215"/>
    </row>
    <row r="108" spans="1:78" x14ac:dyDescent="0.2">
      <c r="A108" s="2" t="str">
        <f>'Language Index'!A109</f>
        <v>EBITDA, Lease Adjusted</v>
      </c>
      <c r="B108" s="17"/>
      <c r="C108" s="26"/>
      <c r="D108" s="18">
        <f>_xll.ciqfunctions.udf.CIQ($C$2,"IQ_EBITDA_LEASE_ADJUSTED", D$6,$F$2,,,Ccy,Conv)</f>
        <v>12994</v>
      </c>
      <c r="E108" s="18">
        <f>_xll.ciqfunctions.udf.CIQ($C$2,"IQ_EBITDA_LEASE_ADJUSTED", E$6,$F$2,,,Ccy,Conv)</f>
        <v>12941.5</v>
      </c>
      <c r="F108" s="18">
        <f>_xll.ciqfunctions.udf.CIQ($C$2,"IQ_EBITDA_LEASE_ADJUSTED", F$6,$F$2,,,Ccy,Conv)</f>
        <v>13549</v>
      </c>
      <c r="G108" s="18">
        <f>_xll.ciqfunctions.udf.CIQ($C$2,"IQ_EBITDA_LEASE_ADJUSTED", G$6,$F$2,,,Ccy,Conv)</f>
        <v>13962.25</v>
      </c>
      <c r="H108" s="18">
        <f>_xll.ciqfunctions.udf.CIQ($C$2,"IQ_EBITDA_LEASE_ADJUSTED", H$6,$F$2,,,Ccy,Conv)</f>
        <v>14050.5</v>
      </c>
      <c r="I108" s="18">
        <f>_xll.ciqfunctions.udf.CIQ($C$2,"IQ_EBITDA_LEASE_ADJUSTED", I$6,$F$2,,,Ccy,Conv)</f>
        <v>14369.75</v>
      </c>
      <c r="J108" s="18">
        <f>_xll.ciqfunctions.udf.CIQ($C$2,"IQ_EBITDA_LEASE_ADJUSTED", J$6,$F$2,,,Ccy,Conv)</f>
        <v>14195</v>
      </c>
      <c r="K108" s="18">
        <f>_xll.ciqfunctions.udf.CIQ($C$2,"IQ_EBITDA_LEASE_ADJUSTED", K$6,$F$2,,,Ccy,Conv)</f>
        <v>14594.25</v>
      </c>
      <c r="L108" s="18">
        <f>_xll.ciqfunctions.udf.CIQ($C$2,"IQ_EBITDA_LEASE_ADJUSTED", L$6,$F$2,,,Ccy,Conv)</f>
        <v>15500.5</v>
      </c>
      <c r="M108" s="18">
        <f>_xll.ciqfunctions.udf.CIQ($C$2,"IQ_EBITDA_LEASE_ADJUSTED", M$6,$F$2,,,Ccy,Conv)</f>
        <v>16363.75</v>
      </c>
      <c r="N108" s="18">
        <f>_xll.ciqfunctions.udf.CIQ($C$2,"IQ_EBITDA_LEASE_ADJUSTED", N$6,$F$2,,,Ccy,Conv)</f>
        <v>17426</v>
      </c>
      <c r="O108" s="18"/>
      <c r="P108" s="18">
        <f>_xll.ciqfunctions.udf.CIQ($C$2,"IQ_EBITDA_LEASE_ADJUSTED", P$6,$F$2,,,Ccy,Conv)</f>
        <v>17426</v>
      </c>
      <c r="Q108" s="239"/>
      <c r="R108" s="215"/>
      <c r="S108" s="215"/>
      <c r="T108" s="215"/>
      <c r="U108" s="215"/>
      <c r="V108" s="240"/>
      <c r="W108" s="240"/>
      <c r="X108" s="240"/>
      <c r="Y108" s="239"/>
      <c r="Z108" s="232"/>
      <c r="AA108" s="232"/>
      <c r="AB108" s="232"/>
      <c r="AC108" s="232"/>
      <c r="AD108" s="232"/>
      <c r="AE108" s="215"/>
      <c r="AF108" s="215"/>
      <c r="AG108" s="215"/>
      <c r="AH108" s="232"/>
      <c r="AI108" s="215"/>
      <c r="AJ108" s="215"/>
      <c r="AK108" s="215"/>
      <c r="AL108" s="215"/>
      <c r="AM108" s="215"/>
      <c r="AN108" s="215"/>
      <c r="AO108" s="215"/>
      <c r="AP108" s="215"/>
      <c r="AQ108" s="215"/>
      <c r="AR108" s="215"/>
      <c r="AS108" s="215"/>
      <c r="AT108" s="215"/>
      <c r="AU108" s="215"/>
      <c r="AV108" s="215"/>
      <c r="AW108" s="215"/>
      <c r="AX108" s="215"/>
      <c r="AY108" s="215"/>
      <c r="AZ108" s="215"/>
      <c r="BA108" s="215"/>
      <c r="BB108" s="215"/>
      <c r="BC108" s="215"/>
      <c r="BD108" s="215"/>
      <c r="BE108" s="215"/>
      <c r="BF108" s="215"/>
      <c r="BG108" s="215"/>
      <c r="BH108" s="215"/>
      <c r="BI108" s="215"/>
      <c r="BJ108" s="215"/>
      <c r="BK108" s="215"/>
      <c r="BL108" s="215"/>
      <c r="BM108" s="215"/>
      <c r="BN108" s="215"/>
      <c r="BO108" s="215"/>
      <c r="BP108" s="215"/>
      <c r="BQ108" s="215"/>
      <c r="BR108" s="215"/>
      <c r="BS108" s="215"/>
      <c r="BT108" s="215"/>
      <c r="BU108" s="215"/>
      <c r="BV108" s="215"/>
      <c r="BW108" s="215"/>
      <c r="BX108" s="215"/>
      <c r="BY108" s="215"/>
      <c r="BZ108" s="215"/>
    </row>
    <row r="109" spans="1:78" x14ac:dyDescent="0.2">
      <c r="A109" s="2" t="str">
        <f>'Language Index'!A110</f>
        <v>Lease Adjustment for EBITDA</v>
      </c>
      <c r="B109" s="17"/>
      <c r="C109" s="26"/>
      <c r="D109" s="18">
        <f>_xll.ciqfunctions.udf.CIQ($C$2,"IQ_LEASE_ADJUSTMENT_EBITDA", D$6,$F$2,,,Ccy,Conv)</f>
        <v>1152</v>
      </c>
      <c r="E109" s="18">
        <f>_xll.ciqfunctions.udf.CIQ($C$2,"IQ_LEASE_ADJUSTMENT_EBITDA", E$6,$F$2,,,Ccy,Conv)</f>
        <v>1104.5</v>
      </c>
      <c r="F109" s="18">
        <f>_xll.ciqfunctions.udf.CIQ($C$2,"IQ_LEASE_ADJUSTMENT_EBITDA", F$6,$F$2,,,Ccy,Conv)</f>
        <v>1292</v>
      </c>
      <c r="G109" s="18">
        <f>_xll.ciqfunctions.udf.CIQ($C$2,"IQ_LEASE_ADJUSTMENT_EBITDA", G$6,$F$2,,,Ccy,Conv)</f>
        <v>1303.25</v>
      </c>
      <c r="H109" s="18">
        <f>_xll.ciqfunctions.udf.CIQ($C$2,"IQ_LEASE_ADJUSTMENT_EBITDA", H$6,$F$2,,,Ccy,Conv)</f>
        <v>1314.5</v>
      </c>
      <c r="I109" s="18">
        <f>_xll.ciqfunctions.udf.CIQ($C$2,"IQ_LEASE_ADJUSTMENT_EBITDA", I$6,$F$2,,,Ccy,Conv)</f>
        <v>1325.75</v>
      </c>
      <c r="J109" s="18">
        <f>_xll.ciqfunctions.udf.CIQ($C$2,"IQ_LEASE_ADJUSTMENT_EBITDA", J$6,$F$2,,,Ccy,Conv)</f>
        <v>1309</v>
      </c>
      <c r="K109" s="18">
        <f>_xll.ciqfunctions.udf.CIQ($C$2,"IQ_LEASE_ADJUSTMENT_EBITDA", K$6,$F$2,,,Ccy,Conv)</f>
        <v>1313.25</v>
      </c>
      <c r="L109" s="18">
        <f>_xll.ciqfunctions.udf.CIQ($C$2,"IQ_LEASE_ADJUSTMENT_EBITDA", L$6,$F$2,,,Ccy,Conv)</f>
        <v>1317.5</v>
      </c>
      <c r="M109" s="18">
        <f>_xll.ciqfunctions.udf.CIQ($C$2,"IQ_LEASE_ADJUSTMENT_EBITDA", M$6,$F$2,,,Ccy,Conv)</f>
        <v>1321.75</v>
      </c>
      <c r="N109" s="18">
        <f>_xll.ciqfunctions.udf.CIQ($C$2,"IQ_LEASE_ADJUSTMENT_EBITDA", N$6,$F$2,,,Ccy,Conv)</f>
        <v>1308</v>
      </c>
      <c r="O109" s="18"/>
      <c r="P109" s="18">
        <f>_xll.ciqfunctions.udf.CIQ($C$2,"IQ_LEASE_ADJUSTMENT_EBITDA", P$6,$F$2,,,Ccy,Conv)</f>
        <v>1308</v>
      </c>
      <c r="Q109" s="239"/>
      <c r="R109" s="215"/>
      <c r="S109" s="215"/>
      <c r="T109" s="215"/>
      <c r="U109" s="215"/>
      <c r="V109" s="240"/>
      <c r="W109" s="240"/>
      <c r="X109" s="240"/>
      <c r="Y109" s="239"/>
      <c r="Z109" s="232"/>
      <c r="AA109" s="232"/>
      <c r="AB109" s="232"/>
      <c r="AC109" s="232"/>
      <c r="AD109" s="232"/>
      <c r="AE109" s="215"/>
      <c r="AF109" s="215"/>
      <c r="AG109" s="215"/>
      <c r="AH109" s="232"/>
      <c r="AI109" s="215"/>
      <c r="AJ109" s="215"/>
      <c r="AK109" s="215"/>
      <c r="AL109" s="215"/>
      <c r="AM109" s="215"/>
      <c r="AN109" s="215"/>
      <c r="AO109" s="215"/>
      <c r="AP109" s="215"/>
      <c r="AQ109" s="215"/>
      <c r="AR109" s="215"/>
      <c r="AS109" s="215"/>
      <c r="AT109" s="215"/>
      <c r="AU109" s="215"/>
      <c r="AV109" s="215"/>
      <c r="AW109" s="215"/>
      <c r="AX109" s="215"/>
      <c r="AY109" s="215"/>
      <c r="AZ109" s="215"/>
      <c r="BA109" s="215"/>
      <c r="BB109" s="215"/>
      <c r="BC109" s="215"/>
      <c r="BD109" s="215"/>
      <c r="BE109" s="215"/>
      <c r="BF109" s="215"/>
      <c r="BG109" s="215"/>
      <c r="BH109" s="215"/>
      <c r="BI109" s="215"/>
      <c r="BJ109" s="215"/>
      <c r="BK109" s="215"/>
      <c r="BL109" s="215"/>
      <c r="BM109" s="215"/>
      <c r="BN109" s="215"/>
      <c r="BO109" s="215"/>
      <c r="BP109" s="215"/>
      <c r="BQ109" s="215"/>
      <c r="BR109" s="215"/>
      <c r="BS109" s="215"/>
      <c r="BT109" s="215"/>
      <c r="BU109" s="215"/>
      <c r="BV109" s="215"/>
      <c r="BW109" s="215"/>
      <c r="BX109" s="215"/>
      <c r="BY109" s="215"/>
      <c r="BZ109" s="215"/>
    </row>
    <row r="110" spans="1:78" x14ac:dyDescent="0.2">
      <c r="A110" s="2" t="str">
        <f>'Language Index'!A111</f>
        <v>EBITDA (Incl. Equity Inc. from Affiliates, Excl. Op. Lease Adj.)</v>
      </c>
      <c r="B110" s="17"/>
      <c r="C110" s="26"/>
      <c r="D110" s="18">
        <f>_xll.ciqfunctions.udf.CIQ($C$2,"IQ_EBITDA_EQ_INC_EXCL_OPER_LEASE_ADJ", D$6,$F$2,,,Ccy,Conv)</f>
        <v>11842</v>
      </c>
      <c r="E110" s="18">
        <f>_xll.ciqfunctions.udf.CIQ($C$2,"IQ_EBITDA_EQ_INC_EXCL_OPER_LEASE_ADJ", E$6,$F$2,,,Ccy,Conv)</f>
        <v>11837</v>
      </c>
      <c r="F110" s="18">
        <f>_xll.ciqfunctions.udf.CIQ($C$2,"IQ_EBITDA_EQ_INC_EXCL_OPER_LEASE_ADJ", F$6,$F$2,,,Ccy,Conv)</f>
        <v>12257</v>
      </c>
      <c r="G110" s="18">
        <f>_xll.ciqfunctions.udf.CIQ($C$2,"IQ_EBITDA_EQ_INC_EXCL_OPER_LEASE_ADJ", G$6,$F$2,,,Ccy,Conv)</f>
        <v>12659</v>
      </c>
      <c r="H110" s="18">
        <f>_xll.ciqfunctions.udf.CIQ($C$2,"IQ_EBITDA_EQ_INC_EXCL_OPER_LEASE_ADJ", H$6,$F$2,,,Ccy,Conv)</f>
        <v>12736</v>
      </c>
      <c r="I110" s="18">
        <f>_xll.ciqfunctions.udf.CIQ($C$2,"IQ_EBITDA_EQ_INC_EXCL_OPER_LEASE_ADJ", I$6,$F$2,,,Ccy,Conv)</f>
        <v>13044</v>
      </c>
      <c r="J110" s="18">
        <f>_xll.ciqfunctions.udf.CIQ($C$2,"IQ_EBITDA_EQ_INC_EXCL_OPER_LEASE_ADJ", J$6,$F$2,,,Ccy,Conv)</f>
        <v>12886</v>
      </c>
      <c r="K110" s="18">
        <f>_xll.ciqfunctions.udf.CIQ($C$2,"IQ_EBITDA_EQ_INC_EXCL_OPER_LEASE_ADJ", K$6,$F$2,,,Ccy,Conv)</f>
        <v>13281</v>
      </c>
      <c r="L110" s="18">
        <f>_xll.ciqfunctions.udf.CIQ($C$2,"IQ_EBITDA_EQ_INC_EXCL_OPER_LEASE_ADJ", L$6,$F$2,,,Ccy,Conv)</f>
        <v>14183</v>
      </c>
      <c r="M110" s="18">
        <f>_xll.ciqfunctions.udf.CIQ($C$2,"IQ_EBITDA_EQ_INC_EXCL_OPER_LEASE_ADJ", M$6,$F$2,,,Ccy,Conv)</f>
        <v>15042</v>
      </c>
      <c r="N110" s="18">
        <f>_xll.ciqfunctions.udf.CIQ($C$2,"IQ_EBITDA_EQ_INC_EXCL_OPER_LEASE_ADJ", N$6,$F$2,,,Ccy,Conv)</f>
        <v>16118</v>
      </c>
      <c r="O110" s="18"/>
      <c r="P110" s="18">
        <f>_xll.ciqfunctions.udf.CIQ($C$2,"IQ_EBITDA_EQ_INC_EXCL_OPER_LEASE_ADJ", P$6,$F$2,,,Ccy,Conv)</f>
        <v>16118</v>
      </c>
      <c r="Q110" s="239"/>
      <c r="R110" s="215"/>
      <c r="S110" s="215"/>
      <c r="T110" s="215"/>
      <c r="U110" s="215"/>
      <c r="V110" s="240"/>
      <c r="W110" s="240"/>
      <c r="X110" s="240"/>
      <c r="Y110" s="239"/>
      <c r="Z110" s="232"/>
      <c r="AA110" s="232"/>
      <c r="AB110" s="232"/>
      <c r="AC110" s="232"/>
      <c r="AD110" s="232"/>
      <c r="AE110" s="215"/>
      <c r="AF110" s="215"/>
      <c r="AG110" s="215"/>
      <c r="AH110" s="232"/>
      <c r="AI110" s="215"/>
      <c r="AJ110" s="215"/>
      <c r="AK110" s="215"/>
      <c r="AL110" s="215"/>
      <c r="AM110" s="215"/>
      <c r="AN110" s="215"/>
      <c r="AO110" s="215"/>
      <c r="AP110" s="215"/>
      <c r="AQ110" s="215"/>
      <c r="AR110" s="215"/>
      <c r="AS110" s="215"/>
      <c r="AT110" s="215"/>
      <c r="AU110" s="215"/>
      <c r="AV110" s="215"/>
      <c r="AW110" s="215"/>
      <c r="AX110" s="215"/>
      <c r="AY110" s="215"/>
      <c r="AZ110" s="215"/>
      <c r="BA110" s="215"/>
      <c r="BB110" s="215"/>
      <c r="BC110" s="215"/>
      <c r="BD110" s="215"/>
      <c r="BE110" s="215"/>
      <c r="BF110" s="215"/>
      <c r="BG110" s="215"/>
      <c r="BH110" s="215"/>
      <c r="BI110" s="215"/>
      <c r="BJ110" s="215"/>
      <c r="BK110" s="215"/>
      <c r="BL110" s="215"/>
      <c r="BM110" s="215"/>
      <c r="BN110" s="215"/>
      <c r="BO110" s="215"/>
      <c r="BP110" s="215"/>
      <c r="BQ110" s="215"/>
      <c r="BR110" s="215"/>
      <c r="BS110" s="215"/>
      <c r="BT110" s="215"/>
      <c r="BU110" s="215"/>
      <c r="BV110" s="215"/>
      <c r="BW110" s="215"/>
      <c r="BX110" s="215"/>
      <c r="BY110" s="215"/>
      <c r="BZ110" s="215"/>
    </row>
    <row r="111" spans="1:78" x14ac:dyDescent="0.2">
      <c r="A111" s="2" t="str">
        <f>'Language Index'!A112</f>
        <v>EBIT</v>
      </c>
      <c r="B111" s="17"/>
      <c r="C111" s="26"/>
      <c r="D111" s="18">
        <f>_xll.ciqfunctions.udf.CIQ($C$2,"IQ_EBIT", D$6,$F$2,,,Ccy,Conv)</f>
        <v>8539</v>
      </c>
      <c r="E111" s="18">
        <f>_xll.ciqfunctions.udf.CIQ($C$2,"IQ_EBIT", E$6,$F$2,,,Ccy,Conv)</f>
        <v>9286</v>
      </c>
      <c r="F111" s="18">
        <f>_xll.ciqfunctions.udf.CIQ($C$2,"IQ_EBIT", F$6,$F$2,,,Ccy,Conv)</f>
        <v>9421</v>
      </c>
      <c r="G111" s="18">
        <f>_xll.ciqfunctions.udf.CIQ($C$2,"IQ_EBIT", G$6,$F$2,,,Ccy,Conv)</f>
        <v>9936</v>
      </c>
      <c r="H111" s="18">
        <f>_xll.ciqfunctions.udf.CIQ($C$2,"IQ_EBIT", H$6,$F$2,,,Ccy,Conv)</f>
        <v>10004</v>
      </c>
      <c r="I111" s="18">
        <f>_xll.ciqfunctions.udf.CIQ($C$2,"IQ_EBIT", I$6,$F$2,,,Ccy,Conv)</f>
        <v>9978</v>
      </c>
      <c r="J111" s="18">
        <f>_xll.ciqfunctions.udf.CIQ($C$2,"IQ_EBIT", J$6,$F$2,,,Ccy,Conv)</f>
        <v>9788</v>
      </c>
      <c r="K111" s="18">
        <f>_xll.ciqfunctions.udf.CIQ($C$2,"IQ_EBIT", K$6,$F$2,,,Ccy,Conv)</f>
        <v>10113</v>
      </c>
      <c r="L111" s="18">
        <f>_xll.ciqfunctions.udf.CIQ($C$2,"IQ_EBIT", L$6,$F$2,,,Ccy,Conv)</f>
        <v>10874</v>
      </c>
      <c r="M111" s="18">
        <f>_xll.ciqfunctions.udf.CIQ($C$2,"IQ_EBIT", M$6,$F$2,,,Ccy,Conv)</f>
        <v>11533</v>
      </c>
      <c r="N111" s="18">
        <f>_xll.ciqfunctions.udf.CIQ($C$2,"IQ_EBIT", N$6,$F$2,,,Ccy,Conv)</f>
        <v>12568</v>
      </c>
      <c r="O111" s="18"/>
      <c r="P111" s="18">
        <f>_xll.ciqfunctions.udf.CIQ($C$2,"IQ_EBIT", P$6,$F$2,,,Ccy,Conv)</f>
        <v>12568</v>
      </c>
      <c r="Q111" s="239"/>
      <c r="R111" s="215"/>
      <c r="S111" s="215"/>
      <c r="T111" s="215"/>
      <c r="U111" s="215"/>
      <c r="V111" s="240"/>
      <c r="W111" s="240"/>
      <c r="X111" s="240"/>
      <c r="Y111" s="239"/>
      <c r="Z111" s="232"/>
      <c r="AA111" s="232"/>
      <c r="AB111" s="232"/>
      <c r="AC111" s="232"/>
      <c r="AD111" s="232"/>
      <c r="AE111" s="215"/>
      <c r="AF111" s="215"/>
      <c r="AG111" s="215"/>
      <c r="AH111" s="232"/>
      <c r="AI111" s="215"/>
      <c r="AJ111" s="215"/>
      <c r="AK111" s="215"/>
      <c r="AL111" s="215"/>
      <c r="AM111" s="215"/>
      <c r="AN111" s="215"/>
      <c r="AO111" s="215"/>
      <c r="AP111" s="215"/>
      <c r="AQ111" s="215"/>
      <c r="AR111" s="215"/>
      <c r="AS111" s="215"/>
      <c r="AT111" s="215"/>
      <c r="AU111" s="215"/>
      <c r="AV111" s="215"/>
      <c r="AW111" s="215"/>
      <c r="AX111" s="215"/>
      <c r="AY111" s="215"/>
      <c r="AZ111" s="215"/>
      <c r="BA111" s="215"/>
      <c r="BB111" s="215"/>
      <c r="BC111" s="215"/>
      <c r="BD111" s="215"/>
      <c r="BE111" s="215"/>
      <c r="BF111" s="215"/>
      <c r="BG111" s="215"/>
      <c r="BH111" s="215"/>
      <c r="BI111" s="215"/>
      <c r="BJ111" s="215"/>
      <c r="BK111" s="215"/>
      <c r="BL111" s="215"/>
      <c r="BM111" s="215"/>
      <c r="BN111" s="215"/>
      <c r="BO111" s="215"/>
      <c r="BP111" s="215"/>
      <c r="BQ111" s="215"/>
      <c r="BR111" s="215"/>
      <c r="BS111" s="215"/>
      <c r="BT111" s="215"/>
      <c r="BU111" s="215"/>
      <c r="BV111" s="215"/>
      <c r="BW111" s="215"/>
      <c r="BX111" s="215"/>
      <c r="BY111" s="215"/>
      <c r="BZ111" s="215"/>
    </row>
    <row r="112" spans="1:78" x14ac:dyDescent="0.2">
      <c r="A112" s="2" t="str">
        <f>'Language Index'!A113</f>
        <v>EBIT (Incl. Equity Inc. from Affiliates)</v>
      </c>
      <c r="B112" s="17"/>
      <c r="C112" s="26"/>
      <c r="D112" s="18">
        <f>_xll.ciqfunctions.udf.CIQ($C$2,"IQ_EBIT_EQ_INC", D$6,$F$2,,,Ccy,Conv)</f>
        <v>8539</v>
      </c>
      <c r="E112" s="18">
        <f>_xll.ciqfunctions.udf.CIQ($C$2,"IQ_EBIT_EQ_INC", E$6,$F$2,,,Ccy,Conv)</f>
        <v>9286</v>
      </c>
      <c r="F112" s="18">
        <f>_xll.ciqfunctions.udf.CIQ($C$2,"IQ_EBIT_EQ_INC", F$6,$F$2,,,Ccy,Conv)</f>
        <v>9421</v>
      </c>
      <c r="G112" s="18">
        <f>_xll.ciqfunctions.udf.CIQ($C$2,"IQ_EBIT_EQ_INC", G$6,$F$2,,,Ccy,Conv)</f>
        <v>9936</v>
      </c>
      <c r="H112" s="18">
        <f>_xll.ciqfunctions.udf.CIQ($C$2,"IQ_EBIT_EQ_INC", H$6,$F$2,,,Ccy,Conv)</f>
        <v>10004</v>
      </c>
      <c r="I112" s="18">
        <f>_xll.ciqfunctions.udf.CIQ($C$2,"IQ_EBIT_EQ_INC", I$6,$F$2,,,Ccy,Conv)</f>
        <v>9978</v>
      </c>
      <c r="J112" s="18">
        <f>_xll.ciqfunctions.udf.CIQ($C$2,"IQ_EBIT_EQ_INC", J$6,$F$2,,,Ccy,Conv)</f>
        <v>9788</v>
      </c>
      <c r="K112" s="18">
        <f>_xll.ciqfunctions.udf.CIQ($C$2,"IQ_EBIT_EQ_INC", K$6,$F$2,,,Ccy,Conv)</f>
        <v>10113</v>
      </c>
      <c r="L112" s="18">
        <f>_xll.ciqfunctions.udf.CIQ($C$2,"IQ_EBIT_EQ_INC", L$6,$F$2,,,Ccy,Conv)</f>
        <v>10874</v>
      </c>
      <c r="M112" s="18">
        <f>_xll.ciqfunctions.udf.CIQ($C$2,"IQ_EBIT_EQ_INC", M$6,$F$2,,,Ccy,Conv)</f>
        <v>11533</v>
      </c>
      <c r="N112" s="18">
        <f>_xll.ciqfunctions.udf.CIQ($C$2,"IQ_EBIT_EQ_INC", N$6,$F$2,,,Ccy,Conv)</f>
        <v>12568</v>
      </c>
      <c r="O112" s="18"/>
      <c r="P112" s="18">
        <f>_xll.ciqfunctions.udf.CIQ($C$2,"IQ_EBIT_EQ_INC", P$6,$F$2,,,Ccy,Conv)</f>
        <v>12568</v>
      </c>
      <c r="Q112" s="239"/>
      <c r="R112" s="215"/>
      <c r="S112" s="215"/>
      <c r="T112" s="215"/>
      <c r="U112" s="215"/>
      <c r="V112" s="240"/>
      <c r="W112" s="240"/>
      <c r="X112" s="240"/>
      <c r="Y112" s="239"/>
      <c r="Z112" s="232"/>
      <c r="AA112" s="232"/>
      <c r="AB112" s="232"/>
      <c r="AC112" s="232"/>
      <c r="AD112" s="232"/>
      <c r="AE112" s="215"/>
      <c r="AF112" s="215"/>
      <c r="AG112" s="215"/>
      <c r="AH112" s="232"/>
      <c r="AI112" s="215"/>
      <c r="AJ112" s="215"/>
      <c r="AK112" s="215"/>
      <c r="AL112" s="215"/>
      <c r="AM112" s="215"/>
      <c r="AN112" s="215"/>
      <c r="AO112" s="215"/>
      <c r="AP112" s="215"/>
      <c r="AQ112" s="215"/>
      <c r="AR112" s="215"/>
      <c r="AS112" s="215"/>
      <c r="AT112" s="215"/>
      <c r="AU112" s="215"/>
      <c r="AV112" s="215"/>
      <c r="AW112" s="215"/>
      <c r="AX112" s="215"/>
      <c r="AY112" s="215"/>
      <c r="AZ112" s="215"/>
      <c r="BA112" s="215"/>
      <c r="BB112" s="215"/>
      <c r="BC112" s="215"/>
      <c r="BD112" s="215"/>
      <c r="BE112" s="215"/>
      <c r="BF112" s="215"/>
      <c r="BG112" s="215"/>
      <c r="BH112" s="215"/>
      <c r="BI112" s="215"/>
      <c r="BJ112" s="215"/>
      <c r="BK112" s="215"/>
      <c r="BL112" s="215"/>
      <c r="BM112" s="215"/>
      <c r="BN112" s="215"/>
      <c r="BO112" s="215"/>
      <c r="BP112" s="215"/>
      <c r="BQ112" s="215"/>
      <c r="BR112" s="215"/>
      <c r="BS112" s="215"/>
      <c r="BT112" s="215"/>
      <c r="BU112" s="215"/>
      <c r="BV112" s="215"/>
      <c r="BW112" s="215"/>
      <c r="BX112" s="215"/>
      <c r="BY112" s="215"/>
      <c r="BZ112" s="215"/>
    </row>
    <row r="113" spans="1:78" x14ac:dyDescent="0.2">
      <c r="A113" s="2" t="str">
        <f>'Language Index'!A114</f>
        <v>EBIT (Excl. SBC and Incl. Equity Inc. from Affiliates)</v>
      </c>
      <c r="B113" s="17"/>
      <c r="C113" s="26"/>
      <c r="D113" s="18">
        <f>_xll.ciqfunctions.udf.CIQ($C$2,"IQ_EBIT_EQ_INC_EXCL_SBC", D$6,$F$2,,,Ccy,Conv)</f>
        <v>9595</v>
      </c>
      <c r="E113" s="18">
        <f>_xll.ciqfunctions.udf.CIQ($C$2,"IQ_EBIT_EQ_INC_EXCL_SBC", E$6,$F$2,,,Ccy,Conv)</f>
        <v>10378</v>
      </c>
      <c r="F113" s="18">
        <f>_xll.ciqfunctions.udf.CIQ($C$2,"IQ_EBIT_EQ_INC_EXCL_SBC", F$6,$F$2,,,Ccy,Conv)</f>
        <v>10555</v>
      </c>
      <c r="G113" s="18">
        <f>_xll.ciqfunctions.udf.CIQ($C$2,"IQ_EBIT_EQ_INC_EXCL_SBC", G$6,$F$2,,,Ccy,Conv)</f>
        <v>11121</v>
      </c>
      <c r="H113" s="18">
        <f>_xll.ciqfunctions.udf.CIQ($C$2,"IQ_EBIT_EQ_INC_EXCL_SBC", H$6,$F$2,,,Ccy,Conv)</f>
        <v>11218</v>
      </c>
      <c r="I113" s="18">
        <f>_xll.ciqfunctions.udf.CIQ($C$2,"IQ_EBIT_EQ_INC_EXCL_SBC", I$6,$F$2,,,Ccy,Conv)</f>
        <v>11235</v>
      </c>
      <c r="J113" s="18">
        <f>_xll.ciqfunctions.udf.CIQ($C$2,"IQ_EBIT_EQ_INC_EXCL_SBC", J$6,$F$2,,,Ccy,Conv)</f>
        <v>11099</v>
      </c>
      <c r="K113" s="18">
        <f>_xll.ciqfunctions.udf.CIQ($C$2,"IQ_EBIT_EQ_INC_EXCL_SBC", K$6,$F$2,,,Ccy,Conv)</f>
        <v>11505</v>
      </c>
      <c r="L113" s="18">
        <f>_xll.ciqfunctions.udf.CIQ($C$2,"IQ_EBIT_EQ_INC_EXCL_SBC", L$6,$F$2,,,Ccy,Conv)</f>
        <v>12408</v>
      </c>
      <c r="M113" s="18">
        <f>_xll.ciqfunctions.udf.CIQ($C$2,"IQ_EBIT_EQ_INC_EXCL_SBC", M$6,$F$2,,,Ccy,Conv)</f>
        <v>13164</v>
      </c>
      <c r="N113" s="18">
        <f>_xll.ciqfunctions.udf.CIQ($C$2,"IQ_EBIT_EQ_INC_EXCL_SBC", N$6,$F$2,,,Ccy,Conv)</f>
        <v>14283</v>
      </c>
      <c r="O113" s="18"/>
      <c r="P113" s="18">
        <f>_xll.ciqfunctions.udf.CIQ($C$2,"IQ_EBIT_EQ_INC_EXCL_SBC", P$6,$F$2,,,Ccy,Conv)</f>
        <v>14283</v>
      </c>
      <c r="Q113" s="239"/>
      <c r="R113" s="215"/>
      <c r="S113" s="215"/>
      <c r="T113" s="215"/>
      <c r="U113" s="215"/>
      <c r="V113" s="240"/>
      <c r="W113" s="240"/>
      <c r="X113" s="240"/>
      <c r="Y113" s="239"/>
      <c r="Z113" s="232"/>
      <c r="AA113" s="232"/>
      <c r="AB113" s="232"/>
      <c r="AC113" s="232"/>
      <c r="AD113" s="232"/>
      <c r="AE113" s="215"/>
      <c r="AF113" s="215"/>
      <c r="AG113" s="215"/>
      <c r="AH113" s="232"/>
      <c r="AI113" s="215"/>
      <c r="AJ113" s="215"/>
      <c r="AK113" s="215"/>
      <c r="AL113" s="215"/>
      <c r="AM113" s="215"/>
      <c r="AN113" s="215"/>
      <c r="AO113" s="215"/>
      <c r="AP113" s="215"/>
      <c r="AQ113" s="215"/>
      <c r="AR113" s="215"/>
      <c r="AS113" s="215"/>
      <c r="AT113" s="215"/>
      <c r="AU113" s="215"/>
      <c r="AV113" s="215"/>
      <c r="AW113" s="215"/>
      <c r="AX113" s="215"/>
      <c r="AY113" s="215"/>
      <c r="AZ113" s="215"/>
      <c r="BA113" s="215"/>
      <c r="BB113" s="215"/>
      <c r="BC113" s="215"/>
      <c r="BD113" s="215"/>
      <c r="BE113" s="215"/>
      <c r="BF113" s="215"/>
      <c r="BG113" s="215"/>
      <c r="BH113" s="215"/>
      <c r="BI113" s="215"/>
      <c r="BJ113" s="215"/>
      <c r="BK113" s="215"/>
      <c r="BL113" s="215"/>
      <c r="BM113" s="215"/>
      <c r="BN113" s="215"/>
      <c r="BO113" s="215"/>
      <c r="BP113" s="215"/>
      <c r="BQ113" s="215"/>
      <c r="BR113" s="215"/>
      <c r="BS113" s="215"/>
      <c r="BT113" s="215"/>
      <c r="BU113" s="215"/>
      <c r="BV113" s="215"/>
      <c r="BW113" s="215"/>
      <c r="BX113" s="215"/>
      <c r="BY113" s="215"/>
      <c r="BZ113" s="215"/>
    </row>
    <row r="114" spans="1:78" x14ac:dyDescent="0.2">
      <c r="A114" s="2" t="str">
        <f>'Language Index'!A115</f>
        <v>EBIT (Excl. SBC)</v>
      </c>
      <c r="B114" s="17"/>
      <c r="C114" s="26"/>
      <c r="D114" s="18">
        <f>_xll.ciqfunctions.udf.CIQ($C$2,"IQ_EBIT_EXCL_SBC", D$6,$F$2,,,Ccy,Conv)</f>
        <v>9595</v>
      </c>
      <c r="E114" s="18">
        <f>_xll.ciqfunctions.udf.CIQ($C$2,"IQ_EBIT_EXCL_SBC", E$6,$F$2,,,Ccy,Conv)</f>
        <v>10378</v>
      </c>
      <c r="F114" s="18">
        <f>_xll.ciqfunctions.udf.CIQ($C$2,"IQ_EBIT_EXCL_SBC", F$6,$F$2,,,Ccy,Conv)</f>
        <v>10555</v>
      </c>
      <c r="G114" s="18">
        <f>_xll.ciqfunctions.udf.CIQ($C$2,"IQ_EBIT_EXCL_SBC", G$6,$F$2,,,Ccy,Conv)</f>
        <v>11121</v>
      </c>
      <c r="H114" s="18">
        <f>_xll.ciqfunctions.udf.CIQ($C$2,"IQ_EBIT_EXCL_SBC", H$6,$F$2,,,Ccy,Conv)</f>
        <v>11218</v>
      </c>
      <c r="I114" s="18">
        <f>_xll.ciqfunctions.udf.CIQ($C$2,"IQ_EBIT_EXCL_SBC", I$6,$F$2,,,Ccy,Conv)</f>
        <v>11235</v>
      </c>
      <c r="J114" s="18">
        <f>_xll.ciqfunctions.udf.CIQ($C$2,"IQ_EBIT_EXCL_SBC", J$6,$F$2,,,Ccy,Conv)</f>
        <v>11099</v>
      </c>
      <c r="K114" s="18">
        <f>_xll.ciqfunctions.udf.CIQ($C$2,"IQ_EBIT_EXCL_SBC", K$6,$F$2,,,Ccy,Conv)</f>
        <v>11505</v>
      </c>
      <c r="L114" s="18">
        <f>_xll.ciqfunctions.udf.CIQ($C$2,"IQ_EBIT_EXCL_SBC", L$6,$F$2,,,Ccy,Conv)</f>
        <v>12408</v>
      </c>
      <c r="M114" s="18">
        <f>_xll.ciqfunctions.udf.CIQ($C$2,"IQ_EBIT_EXCL_SBC", M$6,$F$2,,,Ccy,Conv)</f>
        <v>13164</v>
      </c>
      <c r="N114" s="18">
        <f>_xll.ciqfunctions.udf.CIQ($C$2,"IQ_EBIT_EXCL_SBC", N$6,$F$2,,,Ccy,Conv)</f>
        <v>14283</v>
      </c>
      <c r="O114" s="18"/>
      <c r="P114" s="18">
        <f>_xll.ciqfunctions.udf.CIQ($C$2,"IQ_EBIT_EXCL_SBC", P$6,$F$2,,,Ccy,Conv)</f>
        <v>14283</v>
      </c>
      <c r="Q114" s="239"/>
      <c r="R114" s="215"/>
      <c r="S114" s="215"/>
      <c r="T114" s="215"/>
      <c r="U114" s="215"/>
      <c r="V114" s="240"/>
      <c r="W114" s="240"/>
      <c r="X114" s="240"/>
      <c r="Y114" s="239"/>
      <c r="Z114" s="232"/>
      <c r="AA114" s="232"/>
      <c r="AB114" s="232"/>
      <c r="AC114" s="232"/>
      <c r="AD114" s="232"/>
      <c r="AE114" s="215"/>
      <c r="AF114" s="215"/>
      <c r="AG114" s="215"/>
      <c r="AH114" s="232"/>
      <c r="AI114" s="215"/>
      <c r="AJ114" s="215"/>
      <c r="AK114" s="215"/>
      <c r="AL114" s="215"/>
      <c r="AM114" s="215"/>
      <c r="AN114" s="215"/>
      <c r="AO114" s="215"/>
      <c r="AP114" s="215"/>
      <c r="AQ114" s="215"/>
      <c r="AR114" s="215"/>
      <c r="AS114" s="215"/>
      <c r="AT114" s="215"/>
      <c r="AU114" s="215"/>
      <c r="AV114" s="215"/>
      <c r="AW114" s="215"/>
      <c r="AX114" s="215"/>
      <c r="AY114" s="215"/>
      <c r="AZ114" s="215"/>
      <c r="BA114" s="215"/>
      <c r="BB114" s="215"/>
      <c r="BC114" s="215"/>
      <c r="BD114" s="215"/>
      <c r="BE114" s="215"/>
      <c r="BF114" s="215"/>
      <c r="BG114" s="215"/>
      <c r="BH114" s="215"/>
      <c r="BI114" s="215"/>
      <c r="BJ114" s="215"/>
      <c r="BK114" s="215"/>
      <c r="BL114" s="215"/>
      <c r="BM114" s="215"/>
      <c r="BN114" s="215"/>
      <c r="BO114" s="215"/>
      <c r="BP114" s="215"/>
      <c r="BQ114" s="215"/>
      <c r="BR114" s="215"/>
      <c r="BS114" s="215"/>
      <c r="BT114" s="215"/>
      <c r="BU114" s="215"/>
      <c r="BV114" s="215"/>
      <c r="BW114" s="215"/>
      <c r="BX114" s="215"/>
      <c r="BY114" s="215"/>
      <c r="BZ114" s="215"/>
    </row>
    <row r="115" spans="1:78" x14ac:dyDescent="0.2">
      <c r="A115" s="2" t="str">
        <f>'Language Index'!A116</f>
        <v>EBITA</v>
      </c>
      <c r="B115" s="17"/>
      <c r="C115" s="26"/>
      <c r="D115" s="18">
        <f>_xll.ciqfunctions.udf.CIQ($C$2,"IQ_EBITA", D$6,$F$2,,,Ccy,Conv)</f>
        <v>10139</v>
      </c>
      <c r="E115" s="18">
        <f>_xll.ciqfunctions.udf.CIQ($C$2,"IQ_EBITA", E$6,$F$2,,,Ccy,Conv)</f>
        <v>10399</v>
      </c>
      <c r="F115" s="18">
        <f>_xll.ciqfunctions.udf.CIQ($C$2,"IQ_EBITA", F$6,$F$2,,,Ccy,Conv)</f>
        <v>11048</v>
      </c>
      <c r="G115" s="18">
        <f>_xll.ciqfunctions.udf.CIQ($C$2,"IQ_EBITA", G$6,$F$2,,,Ccy,Conv)</f>
        <v>11444</v>
      </c>
      <c r="H115" s="18">
        <f>_xll.ciqfunctions.udf.CIQ($C$2,"IQ_EBITA", H$6,$F$2,,,Ccy,Conv)</f>
        <v>11393</v>
      </c>
      <c r="I115" s="18">
        <f>_xll.ciqfunctions.udf.CIQ($C$2,"IQ_EBITA", I$6,$F$2,,,Ccy,Conv)</f>
        <v>11759</v>
      </c>
      <c r="J115" s="18">
        <f>_xll.ciqfunctions.udf.CIQ($C$2,"IQ_EBITA", J$6,$F$2,,,Ccy,Conv)</f>
        <v>11618</v>
      </c>
      <c r="K115" s="18">
        <f>_xll.ciqfunctions.udf.CIQ($C$2,"IQ_EBITA", K$6,$F$2,,,Ccy,Conv)</f>
        <v>12010</v>
      </c>
      <c r="L115" s="18">
        <f>_xll.ciqfunctions.udf.CIQ($C$2,"IQ_EBITA", L$6,$F$2,,,Ccy,Conv)</f>
        <v>12882</v>
      </c>
      <c r="M115" s="18">
        <f>_xll.ciqfunctions.udf.CIQ($C$2,"IQ_EBITA", M$6,$F$2,,,Ccy,Conv)</f>
        <v>13620</v>
      </c>
      <c r="N115" s="18">
        <f>_xll.ciqfunctions.udf.CIQ($C$2,"IQ_EBITA", N$6,$F$2,,,Ccy,Conv)</f>
        <v>14734</v>
      </c>
      <c r="O115" s="18"/>
      <c r="P115" s="18">
        <f>_xll.ciqfunctions.udf.CIQ($C$2,"IQ_EBITA", P$6,$F$2,,,Ccy,Conv)</f>
        <v>14734</v>
      </c>
      <c r="Q115" s="239"/>
      <c r="R115" s="215"/>
      <c r="S115" s="215"/>
      <c r="T115" s="215"/>
      <c r="U115" s="215"/>
      <c r="V115" s="240"/>
      <c r="W115" s="240"/>
      <c r="X115" s="240"/>
      <c r="Y115" s="239"/>
      <c r="Z115" s="232"/>
      <c r="AA115" s="232"/>
      <c r="AB115" s="232"/>
      <c r="AC115" s="232"/>
      <c r="AD115" s="232"/>
      <c r="AE115" s="215"/>
      <c r="AF115" s="215"/>
      <c r="AG115" s="215"/>
      <c r="AH115" s="232"/>
      <c r="AI115" s="215"/>
      <c r="AJ115" s="215"/>
      <c r="AK115" s="215"/>
      <c r="AL115" s="215"/>
      <c r="AM115" s="215"/>
      <c r="AN115" s="215"/>
      <c r="AO115" s="215"/>
      <c r="AP115" s="215"/>
      <c r="AQ115" s="215"/>
      <c r="AR115" s="215"/>
      <c r="AS115" s="215"/>
      <c r="AT115" s="215"/>
      <c r="AU115" s="215"/>
      <c r="AV115" s="215"/>
      <c r="AW115" s="215"/>
      <c r="AX115" s="215"/>
      <c r="AY115" s="215"/>
      <c r="AZ115" s="215"/>
      <c r="BA115" s="215"/>
      <c r="BB115" s="215"/>
      <c r="BC115" s="215"/>
      <c r="BD115" s="215"/>
      <c r="BE115" s="215"/>
      <c r="BF115" s="215"/>
      <c r="BG115" s="215"/>
      <c r="BH115" s="215"/>
      <c r="BI115" s="215"/>
      <c r="BJ115" s="215"/>
      <c r="BK115" s="215"/>
      <c r="BL115" s="215"/>
      <c r="BM115" s="215"/>
      <c r="BN115" s="215"/>
      <c r="BO115" s="215"/>
      <c r="BP115" s="215"/>
      <c r="BQ115" s="215"/>
      <c r="BR115" s="215"/>
      <c r="BS115" s="215"/>
      <c r="BT115" s="215"/>
      <c r="BU115" s="215"/>
      <c r="BV115" s="215"/>
      <c r="BW115" s="215"/>
      <c r="BX115" s="215"/>
      <c r="BY115" s="215"/>
      <c r="BZ115" s="215"/>
    </row>
    <row r="116" spans="1:78" x14ac:dyDescent="0.2">
      <c r="A116" s="2" t="str">
        <f>'Language Index'!A117</f>
        <v>EBITA (Incl. Equity Inc. from Affiliates)</v>
      </c>
      <c r="B116" s="17"/>
      <c r="C116" s="26"/>
      <c r="D116" s="18">
        <f>_xll.ciqfunctions.udf.CIQ($C$2,"IQ_EBITA_EQ_INC", D$6,$F$2,,,Ccy,Conv)</f>
        <v>10139</v>
      </c>
      <c r="E116" s="18">
        <f>_xll.ciqfunctions.udf.CIQ($C$2,"IQ_EBITA_EQ_INC", E$6,$F$2,,,Ccy,Conv)</f>
        <v>10399</v>
      </c>
      <c r="F116" s="18">
        <f>_xll.ciqfunctions.udf.CIQ($C$2,"IQ_EBITA_EQ_INC", F$6,$F$2,,,Ccy,Conv)</f>
        <v>11048</v>
      </c>
      <c r="G116" s="18">
        <f>_xll.ciqfunctions.udf.CIQ($C$2,"IQ_EBITA_EQ_INC", G$6,$F$2,,,Ccy,Conv)</f>
        <v>11444</v>
      </c>
      <c r="H116" s="18">
        <f>_xll.ciqfunctions.udf.CIQ($C$2,"IQ_EBITA_EQ_INC", H$6,$F$2,,,Ccy,Conv)</f>
        <v>11393</v>
      </c>
      <c r="I116" s="18">
        <f>_xll.ciqfunctions.udf.CIQ($C$2,"IQ_EBITA_EQ_INC", I$6,$F$2,,,Ccy,Conv)</f>
        <v>11759</v>
      </c>
      <c r="J116" s="18">
        <f>_xll.ciqfunctions.udf.CIQ($C$2,"IQ_EBITA_EQ_INC", J$6,$F$2,,,Ccy,Conv)</f>
        <v>11618</v>
      </c>
      <c r="K116" s="18">
        <f>_xll.ciqfunctions.udf.CIQ($C$2,"IQ_EBITA_EQ_INC", K$6,$F$2,,,Ccy,Conv)</f>
        <v>12010</v>
      </c>
      <c r="L116" s="18">
        <f>_xll.ciqfunctions.udf.CIQ($C$2,"IQ_EBITA_EQ_INC", L$6,$F$2,,,Ccy,Conv)</f>
        <v>12882</v>
      </c>
      <c r="M116" s="18">
        <f>_xll.ciqfunctions.udf.CIQ($C$2,"IQ_EBITA_EQ_INC", M$6,$F$2,,,Ccy,Conv)</f>
        <v>13620</v>
      </c>
      <c r="N116" s="18">
        <f>_xll.ciqfunctions.udf.CIQ($C$2,"IQ_EBITA_EQ_INC", N$6,$F$2,,,Ccy,Conv)</f>
        <v>14734</v>
      </c>
      <c r="O116" s="18"/>
      <c r="P116" s="18">
        <f>_xll.ciqfunctions.udf.CIQ($C$2,"IQ_EBITA_EQ_INC", P$6,$F$2,,,Ccy,Conv)</f>
        <v>14734</v>
      </c>
      <c r="Q116" s="239"/>
      <c r="R116" s="215"/>
      <c r="S116" s="215"/>
      <c r="T116" s="215"/>
      <c r="U116" s="215"/>
      <c r="V116" s="240"/>
      <c r="W116" s="240"/>
      <c r="X116" s="240"/>
      <c r="Y116" s="239"/>
      <c r="Z116" s="232"/>
      <c r="AA116" s="232"/>
      <c r="AB116" s="232"/>
      <c r="AC116" s="232"/>
      <c r="AD116" s="232"/>
      <c r="AE116" s="215"/>
      <c r="AF116" s="215"/>
      <c r="AG116" s="215"/>
      <c r="AH116" s="232"/>
      <c r="AI116" s="215"/>
      <c r="AJ116" s="215"/>
      <c r="AK116" s="215"/>
      <c r="AL116" s="215"/>
      <c r="AM116" s="215"/>
      <c r="AN116" s="215"/>
      <c r="AO116" s="215"/>
      <c r="AP116" s="215"/>
      <c r="AQ116" s="215"/>
      <c r="AR116" s="215"/>
      <c r="AS116" s="215"/>
      <c r="AT116" s="215"/>
      <c r="AU116" s="215"/>
      <c r="AV116" s="215"/>
      <c r="AW116" s="215"/>
      <c r="AX116" s="215"/>
      <c r="AY116" s="215"/>
      <c r="AZ116" s="215"/>
      <c r="BA116" s="215"/>
      <c r="BB116" s="215"/>
      <c r="BC116" s="215"/>
      <c r="BD116" s="215"/>
      <c r="BE116" s="215"/>
      <c r="BF116" s="215"/>
      <c r="BG116" s="215"/>
      <c r="BH116" s="215"/>
      <c r="BI116" s="215"/>
      <c r="BJ116" s="215"/>
      <c r="BK116" s="215"/>
      <c r="BL116" s="215"/>
      <c r="BM116" s="215"/>
      <c r="BN116" s="215"/>
      <c r="BO116" s="215"/>
      <c r="BP116" s="215"/>
      <c r="BQ116" s="215"/>
      <c r="BR116" s="215"/>
      <c r="BS116" s="215"/>
      <c r="BT116" s="215"/>
      <c r="BU116" s="215"/>
      <c r="BV116" s="215"/>
      <c r="BW116" s="215"/>
      <c r="BX116" s="215"/>
      <c r="BY116" s="215"/>
      <c r="BZ116" s="215"/>
    </row>
    <row r="117" spans="1:78" x14ac:dyDescent="0.2">
      <c r="A117" s="2" t="str">
        <f>'Language Index'!A118</f>
        <v>EBITA (Excl. SBC and Incl. Equity Inc. from Affiliates)</v>
      </c>
      <c r="B117" s="17"/>
      <c r="C117" s="26"/>
      <c r="D117" s="18">
        <f>_xll.ciqfunctions.udf.CIQ($C$2,"IQ_EBITA_EQ_INC_EXCL_SBC", D$6,$F$2,,,Ccy,Conv)</f>
        <v>11195</v>
      </c>
      <c r="E117" s="18">
        <f>_xll.ciqfunctions.udf.CIQ($C$2,"IQ_EBITA_EQ_INC_EXCL_SBC", E$6,$F$2,,,Ccy,Conv)</f>
        <v>11491</v>
      </c>
      <c r="F117" s="18">
        <f>_xll.ciqfunctions.udf.CIQ($C$2,"IQ_EBITA_EQ_INC_EXCL_SBC", F$6,$F$2,,,Ccy,Conv)</f>
        <v>12182</v>
      </c>
      <c r="G117" s="18">
        <f>_xll.ciqfunctions.udf.CIQ($C$2,"IQ_EBITA_EQ_INC_EXCL_SBC", G$6,$F$2,,,Ccy,Conv)</f>
        <v>12629</v>
      </c>
      <c r="H117" s="18">
        <f>_xll.ciqfunctions.udf.CIQ($C$2,"IQ_EBITA_EQ_INC_EXCL_SBC", H$6,$F$2,,,Ccy,Conv)</f>
        <v>12607</v>
      </c>
      <c r="I117" s="18">
        <f>_xll.ciqfunctions.udf.CIQ($C$2,"IQ_EBITA_EQ_INC_EXCL_SBC", I$6,$F$2,,,Ccy,Conv)</f>
        <v>13016</v>
      </c>
      <c r="J117" s="18">
        <f>_xll.ciqfunctions.udf.CIQ($C$2,"IQ_EBITA_EQ_INC_EXCL_SBC", J$6,$F$2,,,Ccy,Conv)</f>
        <v>12929</v>
      </c>
      <c r="K117" s="18">
        <f>_xll.ciqfunctions.udf.CIQ($C$2,"IQ_EBITA_EQ_INC_EXCL_SBC", K$6,$F$2,,,Ccy,Conv)</f>
        <v>13402</v>
      </c>
      <c r="L117" s="18">
        <f>_xll.ciqfunctions.udf.CIQ($C$2,"IQ_EBITA_EQ_INC_EXCL_SBC", L$6,$F$2,,,Ccy,Conv)</f>
        <v>14416</v>
      </c>
      <c r="M117" s="18">
        <f>_xll.ciqfunctions.udf.CIQ($C$2,"IQ_EBITA_EQ_INC_EXCL_SBC", M$6,$F$2,,,Ccy,Conv)</f>
        <v>15251</v>
      </c>
      <c r="N117" s="18">
        <f>_xll.ciqfunctions.udf.CIQ($C$2,"IQ_EBITA_EQ_INC_EXCL_SBC", N$6,$F$2,,,Ccy,Conv)</f>
        <v>16449</v>
      </c>
      <c r="O117" s="18"/>
      <c r="P117" s="18">
        <f>_xll.ciqfunctions.udf.CIQ($C$2,"IQ_EBITA_EQ_INC_EXCL_SBC", P$6,$F$2,,,Ccy,Conv)</f>
        <v>16449</v>
      </c>
      <c r="Q117" s="239"/>
      <c r="R117" s="215"/>
      <c r="S117" s="215"/>
      <c r="T117" s="215"/>
      <c r="U117" s="215"/>
      <c r="V117" s="240"/>
      <c r="W117" s="240"/>
      <c r="X117" s="240"/>
      <c r="Y117" s="239"/>
      <c r="Z117" s="232"/>
      <c r="AA117" s="232"/>
      <c r="AB117" s="232"/>
      <c r="AC117" s="232"/>
      <c r="AD117" s="232"/>
      <c r="AE117" s="215"/>
      <c r="AF117" s="215"/>
      <c r="AG117" s="215"/>
      <c r="AH117" s="232"/>
      <c r="AI117" s="215"/>
      <c r="AJ117" s="215"/>
      <c r="AK117" s="215"/>
      <c r="AL117" s="215"/>
      <c r="AM117" s="215"/>
      <c r="AN117" s="215"/>
      <c r="AO117" s="215"/>
      <c r="AP117" s="215"/>
      <c r="AQ117" s="215"/>
      <c r="AR117" s="215"/>
      <c r="AS117" s="215"/>
      <c r="AT117" s="215"/>
      <c r="AU117" s="215"/>
      <c r="AV117" s="215"/>
      <c r="AW117" s="215"/>
      <c r="AX117" s="215"/>
      <c r="AY117" s="215"/>
      <c r="AZ117" s="215"/>
      <c r="BA117" s="215"/>
      <c r="BB117" s="215"/>
      <c r="BC117" s="215"/>
      <c r="BD117" s="215"/>
      <c r="BE117" s="215"/>
      <c r="BF117" s="215"/>
      <c r="BG117" s="215"/>
      <c r="BH117" s="215"/>
      <c r="BI117" s="215"/>
      <c r="BJ117" s="215"/>
      <c r="BK117" s="215"/>
      <c r="BL117" s="215"/>
      <c r="BM117" s="215"/>
      <c r="BN117" s="215"/>
      <c r="BO117" s="215"/>
      <c r="BP117" s="215"/>
      <c r="BQ117" s="215"/>
      <c r="BR117" s="215"/>
      <c r="BS117" s="215"/>
      <c r="BT117" s="215"/>
      <c r="BU117" s="215"/>
      <c r="BV117" s="215"/>
      <c r="BW117" s="215"/>
      <c r="BX117" s="215"/>
      <c r="BY117" s="215"/>
      <c r="BZ117" s="215"/>
    </row>
    <row r="118" spans="1:78" x14ac:dyDescent="0.2">
      <c r="A118" s="2" t="str">
        <f>'Language Index'!A119</f>
        <v>EBITA (Excl. SBC)</v>
      </c>
      <c r="B118" s="17"/>
      <c r="C118" s="26"/>
      <c r="D118" s="18">
        <f>_xll.ciqfunctions.udf.CIQ($C$2,"IQ_EBITA_EXCL_SBC", D$6,$F$2,,,Ccy,Conv)</f>
        <v>11195</v>
      </c>
      <c r="E118" s="18">
        <f>_xll.ciqfunctions.udf.CIQ($C$2,"IQ_EBITA_EXCL_SBC", E$6,$F$2,,,Ccy,Conv)</f>
        <v>11491</v>
      </c>
      <c r="F118" s="18">
        <f>_xll.ciqfunctions.udf.CIQ($C$2,"IQ_EBITA_EXCL_SBC", F$6,$F$2,,,Ccy,Conv)</f>
        <v>12182</v>
      </c>
      <c r="G118" s="18">
        <f>_xll.ciqfunctions.udf.CIQ($C$2,"IQ_EBITA_EXCL_SBC", G$6,$F$2,,,Ccy,Conv)</f>
        <v>12629</v>
      </c>
      <c r="H118" s="18">
        <f>_xll.ciqfunctions.udf.CIQ($C$2,"IQ_EBITA_EXCL_SBC", H$6,$F$2,,,Ccy,Conv)</f>
        <v>12607</v>
      </c>
      <c r="I118" s="18">
        <f>_xll.ciqfunctions.udf.CIQ($C$2,"IQ_EBITA_EXCL_SBC", I$6,$F$2,,,Ccy,Conv)</f>
        <v>13016</v>
      </c>
      <c r="J118" s="18">
        <f>_xll.ciqfunctions.udf.CIQ($C$2,"IQ_EBITA_EXCL_SBC", J$6,$F$2,,,Ccy,Conv)</f>
        <v>12929</v>
      </c>
      <c r="K118" s="18">
        <f>_xll.ciqfunctions.udf.CIQ($C$2,"IQ_EBITA_EXCL_SBC", K$6,$F$2,,,Ccy,Conv)</f>
        <v>13402</v>
      </c>
      <c r="L118" s="18">
        <f>_xll.ciqfunctions.udf.CIQ($C$2,"IQ_EBITA_EXCL_SBC", L$6,$F$2,,,Ccy,Conv)</f>
        <v>14416</v>
      </c>
      <c r="M118" s="18">
        <f>_xll.ciqfunctions.udf.CIQ($C$2,"IQ_EBITA_EXCL_SBC", M$6,$F$2,,,Ccy,Conv)</f>
        <v>15251</v>
      </c>
      <c r="N118" s="18">
        <f>_xll.ciqfunctions.udf.CIQ($C$2,"IQ_EBITA_EXCL_SBC", N$6,$F$2,,,Ccy,Conv)</f>
        <v>16449</v>
      </c>
      <c r="O118" s="18"/>
      <c r="P118" s="18">
        <f>_xll.ciqfunctions.udf.CIQ($C$2,"IQ_EBITA_EXCL_SBC", P$6,$F$2,,,Ccy,Conv)</f>
        <v>16449</v>
      </c>
      <c r="Q118" s="239"/>
      <c r="R118" s="215"/>
      <c r="S118" s="215"/>
      <c r="T118" s="215"/>
      <c r="U118" s="215"/>
      <c r="V118" s="240"/>
      <c r="W118" s="240"/>
      <c r="X118" s="240"/>
      <c r="Y118" s="239"/>
      <c r="Z118" s="232"/>
      <c r="AA118" s="232"/>
      <c r="AB118" s="232"/>
      <c r="AC118" s="232"/>
      <c r="AD118" s="232"/>
      <c r="AE118" s="215"/>
      <c r="AF118" s="215"/>
      <c r="AG118" s="215"/>
      <c r="AH118" s="232"/>
      <c r="AI118" s="215"/>
      <c r="AJ118" s="215"/>
      <c r="AK118" s="215"/>
      <c r="AL118" s="215"/>
      <c r="AM118" s="215"/>
      <c r="AN118" s="215"/>
      <c r="AO118" s="215"/>
      <c r="AP118" s="215"/>
      <c r="AQ118" s="215"/>
      <c r="AR118" s="215"/>
      <c r="AS118" s="215"/>
      <c r="AT118" s="215"/>
      <c r="AU118" s="215"/>
      <c r="AV118" s="215"/>
      <c r="AW118" s="215"/>
      <c r="AX118" s="215"/>
      <c r="AY118" s="215"/>
      <c r="AZ118" s="215"/>
      <c r="BA118" s="215"/>
      <c r="BB118" s="215"/>
      <c r="BC118" s="215"/>
      <c r="BD118" s="215"/>
      <c r="BE118" s="215"/>
      <c r="BF118" s="215"/>
      <c r="BG118" s="215"/>
      <c r="BH118" s="215"/>
      <c r="BI118" s="215"/>
      <c r="BJ118" s="215"/>
      <c r="BK118" s="215"/>
      <c r="BL118" s="215"/>
      <c r="BM118" s="215"/>
      <c r="BN118" s="215"/>
      <c r="BO118" s="215"/>
      <c r="BP118" s="215"/>
      <c r="BQ118" s="215"/>
      <c r="BR118" s="215"/>
      <c r="BS118" s="215"/>
      <c r="BT118" s="215"/>
      <c r="BU118" s="215"/>
      <c r="BV118" s="215"/>
      <c r="BW118" s="215"/>
      <c r="BX118" s="215"/>
      <c r="BY118" s="215"/>
      <c r="BZ118" s="215"/>
    </row>
    <row r="119" spans="1:78" x14ac:dyDescent="0.2">
      <c r="A119" s="2" t="str">
        <f>'Language Index'!A120</f>
        <v>EBITDAR</v>
      </c>
      <c r="B119" s="17"/>
      <c r="C119" s="26"/>
      <c r="D119" s="18">
        <f>_xll.ciqfunctions.udf.CIQ($C$2,"IQ_EBITDAR", D$6,$F$2,,,Ccy,Conv)</f>
        <v>0</v>
      </c>
      <c r="E119" s="18">
        <f>_xll.ciqfunctions.udf.CIQ($C$2,"IQ_EBITDAR", E$6,$F$2,,,Ccy,Conv)</f>
        <v>0</v>
      </c>
      <c r="F119" s="18">
        <f>_xll.ciqfunctions.udf.CIQ($C$2,"IQ_EBITDAR", F$6,$F$2,,,Ccy,Conv)</f>
        <v>13549</v>
      </c>
      <c r="G119" s="18">
        <f>_xll.ciqfunctions.udf.CIQ($C$2,"IQ_EBITDAR", G$6,$F$2,,,Ccy,Conv)</f>
        <v>0</v>
      </c>
      <c r="H119" s="18">
        <f>_xll.ciqfunctions.udf.CIQ($C$2,"IQ_EBITDAR", H$6,$F$2,,,Ccy,Conv)</f>
        <v>0</v>
      </c>
      <c r="I119" s="18">
        <f>_xll.ciqfunctions.udf.CIQ($C$2,"IQ_EBITDAR", I$6,$F$2,,,Ccy,Conv)</f>
        <v>0</v>
      </c>
      <c r="J119" s="18">
        <f>_xll.ciqfunctions.udf.CIQ($C$2,"IQ_EBITDAR", J$6,$F$2,,,Ccy,Conv)</f>
        <v>14195</v>
      </c>
      <c r="K119" s="18">
        <f>_xll.ciqfunctions.udf.CIQ($C$2,"IQ_EBITDAR", K$6,$F$2,,,Ccy,Conv)</f>
        <v>0</v>
      </c>
      <c r="L119" s="18">
        <f>_xll.ciqfunctions.udf.CIQ($C$2,"IQ_EBITDAR", L$6,$F$2,,,Ccy,Conv)</f>
        <v>0</v>
      </c>
      <c r="M119" s="18">
        <f>_xll.ciqfunctions.udf.CIQ($C$2,"IQ_EBITDAR", M$6,$F$2,,,Ccy,Conv)</f>
        <v>0</v>
      </c>
      <c r="N119" s="18">
        <f>_xll.ciqfunctions.udf.CIQ($C$2,"IQ_EBITDAR", N$6,$F$2,,,Ccy,Conv)</f>
        <v>17426</v>
      </c>
      <c r="O119" s="18"/>
      <c r="P119" s="18">
        <f>_xll.ciqfunctions.udf.CIQ($C$2,"IQ_EBITDAR", P$6,$F$2,,,Ccy,Conv)</f>
        <v>17426</v>
      </c>
      <c r="Q119" s="239"/>
      <c r="R119" s="215"/>
      <c r="S119" s="215"/>
      <c r="T119" s="215"/>
      <c r="U119" s="215"/>
      <c r="V119" s="240"/>
      <c r="W119" s="240"/>
      <c r="X119" s="240"/>
      <c r="Y119" s="239"/>
      <c r="Z119" s="232"/>
      <c r="AA119" s="232"/>
      <c r="AB119" s="232"/>
      <c r="AC119" s="232"/>
      <c r="AD119" s="232"/>
      <c r="AE119" s="215"/>
      <c r="AF119" s="215"/>
      <c r="AG119" s="215"/>
      <c r="AH119" s="232"/>
      <c r="AI119" s="215"/>
      <c r="AJ119" s="215"/>
      <c r="AK119" s="215"/>
      <c r="AL119" s="215"/>
      <c r="AM119" s="215"/>
      <c r="AN119" s="215"/>
      <c r="AO119" s="215"/>
      <c r="AP119" s="215"/>
      <c r="AQ119" s="215"/>
      <c r="AR119" s="215"/>
      <c r="AS119" s="215"/>
      <c r="AT119" s="215"/>
      <c r="AU119" s="215"/>
      <c r="AV119" s="215"/>
      <c r="AW119" s="215"/>
      <c r="AX119" s="215"/>
      <c r="AY119" s="215"/>
      <c r="AZ119" s="215"/>
      <c r="BA119" s="215"/>
      <c r="BB119" s="215"/>
      <c r="BC119" s="215"/>
      <c r="BD119" s="215"/>
      <c r="BE119" s="215"/>
      <c r="BF119" s="215"/>
      <c r="BG119" s="215"/>
      <c r="BH119" s="215"/>
      <c r="BI119" s="215"/>
      <c r="BJ119" s="215"/>
      <c r="BK119" s="215"/>
      <c r="BL119" s="215"/>
      <c r="BM119" s="215"/>
      <c r="BN119" s="215"/>
      <c r="BO119" s="215"/>
      <c r="BP119" s="215"/>
      <c r="BQ119" s="215"/>
      <c r="BR119" s="215"/>
      <c r="BS119" s="215"/>
      <c r="BT119" s="215"/>
      <c r="BU119" s="215"/>
      <c r="BV119" s="215"/>
      <c r="BW119" s="215"/>
      <c r="BX119" s="215"/>
      <c r="BY119" s="215"/>
      <c r="BZ119" s="215"/>
    </row>
    <row r="120" spans="1:78" x14ac:dyDescent="0.2">
      <c r="A120" s="2" t="str">
        <f>'Language Index'!A121</f>
        <v>EBITDAR (Incl. Equity Inc. from Affiliates)</v>
      </c>
      <c r="B120" s="17"/>
      <c r="C120" s="26"/>
      <c r="D120" s="18">
        <f>_xll.ciqfunctions.udf.CIQ($C$2,"IQ_EBITDAR_EQ_INC", D$6,$F$2,,,Ccy,Conv)</f>
        <v>0</v>
      </c>
      <c r="E120" s="18">
        <f>_xll.ciqfunctions.udf.CIQ($C$2,"IQ_EBITDAR_EQ_INC", E$6,$F$2,,,Ccy,Conv)</f>
        <v>0</v>
      </c>
      <c r="F120" s="18">
        <f>_xll.ciqfunctions.udf.CIQ($C$2,"IQ_EBITDAR_EQ_INC", F$6,$F$2,,,Ccy,Conv)</f>
        <v>14841</v>
      </c>
      <c r="G120" s="18">
        <f>_xll.ciqfunctions.udf.CIQ($C$2,"IQ_EBITDAR_EQ_INC", G$6,$F$2,,,Ccy,Conv)</f>
        <v>0</v>
      </c>
      <c r="H120" s="18">
        <f>_xll.ciqfunctions.udf.CIQ($C$2,"IQ_EBITDAR_EQ_INC", H$6,$F$2,,,Ccy,Conv)</f>
        <v>0</v>
      </c>
      <c r="I120" s="18">
        <f>_xll.ciqfunctions.udf.CIQ($C$2,"IQ_EBITDAR_EQ_INC", I$6,$F$2,,,Ccy,Conv)</f>
        <v>0</v>
      </c>
      <c r="J120" s="18">
        <f>_xll.ciqfunctions.udf.CIQ($C$2,"IQ_EBITDAR_EQ_INC", J$6,$F$2,,,Ccy,Conv)</f>
        <v>15504</v>
      </c>
      <c r="K120" s="18">
        <f>_xll.ciqfunctions.udf.CIQ($C$2,"IQ_EBITDAR_EQ_INC", K$6,$F$2,,,Ccy,Conv)</f>
        <v>0</v>
      </c>
      <c r="L120" s="18">
        <f>_xll.ciqfunctions.udf.CIQ($C$2,"IQ_EBITDAR_EQ_INC", L$6,$F$2,,,Ccy,Conv)</f>
        <v>0</v>
      </c>
      <c r="M120" s="18">
        <f>_xll.ciqfunctions.udf.CIQ($C$2,"IQ_EBITDAR_EQ_INC", M$6,$F$2,,,Ccy,Conv)</f>
        <v>0</v>
      </c>
      <c r="N120" s="18">
        <f>_xll.ciqfunctions.udf.CIQ($C$2,"IQ_EBITDAR_EQ_INC", N$6,$F$2,,,Ccy,Conv)</f>
        <v>18734</v>
      </c>
      <c r="O120" s="18"/>
      <c r="P120" s="18">
        <f>_xll.ciqfunctions.udf.CIQ($C$2,"IQ_EBITDAR_EQ_INC", P$6,$F$2,,,Ccy,Conv)</f>
        <v>18734</v>
      </c>
      <c r="Q120" s="239"/>
      <c r="R120" s="215"/>
      <c r="S120" s="215"/>
      <c r="T120" s="215"/>
      <c r="U120" s="215"/>
      <c r="V120" s="240"/>
      <c r="W120" s="240"/>
      <c r="X120" s="240"/>
      <c r="Y120" s="239"/>
      <c r="Z120" s="232"/>
      <c r="AA120" s="232"/>
      <c r="AB120" s="232"/>
      <c r="AC120" s="232"/>
      <c r="AD120" s="232"/>
      <c r="AE120" s="215"/>
      <c r="AF120" s="215"/>
      <c r="AG120" s="215"/>
      <c r="AH120" s="232"/>
      <c r="AI120" s="215"/>
      <c r="AJ120" s="215"/>
      <c r="AK120" s="215"/>
      <c r="AL120" s="215"/>
      <c r="AM120" s="215"/>
      <c r="AN120" s="215"/>
      <c r="AO120" s="215"/>
      <c r="AP120" s="215"/>
      <c r="AQ120" s="215"/>
      <c r="AR120" s="215"/>
      <c r="AS120" s="215"/>
      <c r="AT120" s="215"/>
      <c r="AU120" s="215"/>
      <c r="AV120" s="215"/>
      <c r="AW120" s="215"/>
      <c r="AX120" s="215"/>
      <c r="AY120" s="215"/>
      <c r="AZ120" s="215"/>
      <c r="BA120" s="215"/>
      <c r="BB120" s="215"/>
      <c r="BC120" s="215"/>
      <c r="BD120" s="215"/>
      <c r="BE120" s="215"/>
      <c r="BF120" s="215"/>
      <c r="BG120" s="215"/>
      <c r="BH120" s="215"/>
      <c r="BI120" s="215"/>
      <c r="BJ120" s="215"/>
      <c r="BK120" s="215"/>
      <c r="BL120" s="215"/>
      <c r="BM120" s="215"/>
      <c r="BN120" s="215"/>
      <c r="BO120" s="215"/>
      <c r="BP120" s="215"/>
      <c r="BQ120" s="215"/>
      <c r="BR120" s="215"/>
      <c r="BS120" s="215"/>
      <c r="BT120" s="215"/>
      <c r="BU120" s="215"/>
      <c r="BV120" s="215"/>
      <c r="BW120" s="215"/>
      <c r="BX120" s="215"/>
      <c r="BY120" s="215"/>
      <c r="BZ120" s="215"/>
    </row>
    <row r="121" spans="1:78" x14ac:dyDescent="0.2">
      <c r="A121" s="2" t="str">
        <f>'Language Index'!A122</f>
        <v>EBITDAR (Excl. SBC and Incl. Equity Inc. from Affiliates)</v>
      </c>
      <c r="B121" s="17"/>
      <c r="C121" s="26"/>
      <c r="D121" s="18">
        <f>_xll.ciqfunctions.udf.CIQ($C$2,"IQ_EBITDAR_EQ_INC_EXCL_SBC", D$6,$F$2,,,Ccy,Conv)</f>
        <v>0</v>
      </c>
      <c r="E121" s="18">
        <f>_xll.ciqfunctions.udf.CIQ($C$2,"IQ_EBITDAR_EQ_INC_EXCL_SBC", E$6,$F$2,,,Ccy,Conv)</f>
        <v>0</v>
      </c>
      <c r="F121" s="18">
        <f>_xll.ciqfunctions.udf.CIQ($C$2,"IQ_EBITDAR_EQ_INC_EXCL_SBC", F$6,$F$2,,,Ccy,Conv)</f>
        <v>14683</v>
      </c>
      <c r="G121" s="18">
        <f>_xll.ciqfunctions.udf.CIQ($C$2,"IQ_EBITDAR_EQ_INC_EXCL_SBC", G$6,$F$2,,,Ccy,Conv)</f>
        <v>0</v>
      </c>
      <c r="H121" s="18">
        <f>_xll.ciqfunctions.udf.CIQ($C$2,"IQ_EBITDAR_EQ_INC_EXCL_SBC", H$6,$F$2,,,Ccy,Conv)</f>
        <v>0</v>
      </c>
      <c r="I121" s="18">
        <f>_xll.ciqfunctions.udf.CIQ($C$2,"IQ_EBITDAR_EQ_INC_EXCL_SBC", I$6,$F$2,,,Ccy,Conv)</f>
        <v>0</v>
      </c>
      <c r="J121" s="18">
        <f>_xll.ciqfunctions.udf.CIQ($C$2,"IQ_EBITDAR_EQ_INC_EXCL_SBC", J$6,$F$2,,,Ccy,Conv)</f>
        <v>15506</v>
      </c>
      <c r="K121" s="18">
        <f>_xll.ciqfunctions.udf.CIQ($C$2,"IQ_EBITDAR_EQ_INC_EXCL_SBC", K$6,$F$2,,,Ccy,Conv)</f>
        <v>0</v>
      </c>
      <c r="L121" s="18">
        <f>_xll.ciqfunctions.udf.CIQ($C$2,"IQ_EBITDAR_EQ_INC_EXCL_SBC", L$6,$F$2,,,Ccy,Conv)</f>
        <v>0</v>
      </c>
      <c r="M121" s="18">
        <f>_xll.ciqfunctions.udf.CIQ($C$2,"IQ_EBITDAR_EQ_INC_EXCL_SBC", M$6,$F$2,,,Ccy,Conv)</f>
        <v>0</v>
      </c>
      <c r="N121" s="18">
        <f>_xll.ciqfunctions.udf.CIQ($C$2,"IQ_EBITDAR_EQ_INC_EXCL_SBC", N$6,$F$2,,,Ccy,Conv)</f>
        <v>19141</v>
      </c>
      <c r="O121" s="18"/>
      <c r="P121" s="18">
        <f>_xll.ciqfunctions.udf.CIQ($C$2,"IQ_EBITDAR_EQ_INC_EXCL_SBC", P$6,$F$2,,,Ccy,Conv)</f>
        <v>19141</v>
      </c>
      <c r="Q121" s="239"/>
      <c r="R121" s="215"/>
      <c r="S121" s="215"/>
      <c r="T121" s="215"/>
      <c r="U121" s="215"/>
      <c r="V121" s="240"/>
      <c r="W121" s="240"/>
      <c r="X121" s="240"/>
      <c r="Y121" s="239"/>
      <c r="Z121" s="232"/>
      <c r="AA121" s="232"/>
      <c r="AB121" s="232"/>
      <c r="AC121" s="232"/>
      <c r="AD121" s="232"/>
      <c r="AE121" s="215"/>
      <c r="AF121" s="215"/>
      <c r="AG121" s="215"/>
      <c r="AH121" s="232"/>
      <c r="AI121" s="215"/>
      <c r="AJ121" s="215"/>
      <c r="AK121" s="215"/>
      <c r="AL121" s="215"/>
      <c r="AM121" s="215"/>
      <c r="AN121" s="215"/>
      <c r="AO121" s="215"/>
      <c r="AP121" s="215"/>
      <c r="AQ121" s="215"/>
      <c r="AR121" s="215"/>
      <c r="AS121" s="215"/>
      <c r="AT121" s="215"/>
      <c r="AU121" s="215"/>
      <c r="AV121" s="215"/>
      <c r="AW121" s="215"/>
      <c r="AX121" s="215"/>
      <c r="AY121" s="215"/>
      <c r="AZ121" s="215"/>
      <c r="BA121" s="215"/>
      <c r="BB121" s="215"/>
      <c r="BC121" s="215"/>
      <c r="BD121" s="215"/>
      <c r="BE121" s="215"/>
      <c r="BF121" s="215"/>
      <c r="BG121" s="215"/>
      <c r="BH121" s="215"/>
      <c r="BI121" s="215"/>
      <c r="BJ121" s="215"/>
      <c r="BK121" s="215"/>
      <c r="BL121" s="215"/>
      <c r="BM121" s="215"/>
      <c r="BN121" s="215"/>
      <c r="BO121" s="215"/>
      <c r="BP121" s="215"/>
      <c r="BQ121" s="215"/>
      <c r="BR121" s="215"/>
      <c r="BS121" s="215"/>
      <c r="BT121" s="215"/>
      <c r="BU121" s="215"/>
      <c r="BV121" s="215"/>
      <c r="BW121" s="215"/>
      <c r="BX121" s="215"/>
      <c r="BY121" s="215"/>
      <c r="BZ121" s="215"/>
    </row>
    <row r="122" spans="1:78" x14ac:dyDescent="0.2">
      <c r="A122" s="2" t="str">
        <f>'Language Index'!A123</f>
        <v>EBITDAR (Excl. SBC)</v>
      </c>
      <c r="B122" s="17"/>
      <c r="C122" s="26"/>
      <c r="D122" s="18">
        <f>_xll.ciqfunctions.udf.CIQ($C$2,"IQ_EBITDAR_EXCL_SBC", D$6,$F$2,,,Ccy,Conv)</f>
        <v>0</v>
      </c>
      <c r="E122" s="18">
        <f>_xll.ciqfunctions.udf.CIQ($C$2,"IQ_EBITDAR_EXCL_SBC", E$6,$F$2,,,Ccy,Conv)</f>
        <v>0</v>
      </c>
      <c r="F122" s="18">
        <f>_xll.ciqfunctions.udf.CIQ($C$2,"IQ_EBITDAR_EXCL_SBC", F$6,$F$2,,,Ccy,Conv)</f>
        <v>14683</v>
      </c>
      <c r="G122" s="18">
        <f>_xll.ciqfunctions.udf.CIQ($C$2,"IQ_EBITDAR_EXCL_SBC", G$6,$F$2,,,Ccy,Conv)</f>
        <v>0</v>
      </c>
      <c r="H122" s="18">
        <f>_xll.ciqfunctions.udf.CIQ($C$2,"IQ_EBITDAR_EXCL_SBC", H$6,$F$2,,,Ccy,Conv)</f>
        <v>0</v>
      </c>
      <c r="I122" s="18">
        <f>_xll.ciqfunctions.udf.CIQ($C$2,"IQ_EBITDAR_EXCL_SBC", I$6,$F$2,,,Ccy,Conv)</f>
        <v>0</v>
      </c>
      <c r="J122" s="18">
        <f>_xll.ciqfunctions.udf.CIQ($C$2,"IQ_EBITDAR_EXCL_SBC", J$6,$F$2,,,Ccy,Conv)</f>
        <v>15506</v>
      </c>
      <c r="K122" s="18">
        <f>_xll.ciqfunctions.udf.CIQ($C$2,"IQ_EBITDAR_EXCL_SBC", K$6,$F$2,,,Ccy,Conv)</f>
        <v>0</v>
      </c>
      <c r="L122" s="18">
        <f>_xll.ciqfunctions.udf.CIQ($C$2,"IQ_EBITDAR_EXCL_SBC", L$6,$F$2,,,Ccy,Conv)</f>
        <v>0</v>
      </c>
      <c r="M122" s="18">
        <f>_xll.ciqfunctions.udf.CIQ($C$2,"IQ_EBITDAR_EXCL_SBC", M$6,$F$2,,,Ccy,Conv)</f>
        <v>0</v>
      </c>
      <c r="N122" s="18">
        <f>_xll.ciqfunctions.udf.CIQ($C$2,"IQ_EBITDAR_EXCL_SBC", N$6,$F$2,,,Ccy,Conv)</f>
        <v>19141</v>
      </c>
      <c r="O122" s="18"/>
      <c r="P122" s="18">
        <f>_xll.ciqfunctions.udf.CIQ($C$2,"IQ_EBITDAR_EXCL_SBC", P$6,$F$2,,,Ccy,Conv)</f>
        <v>19141</v>
      </c>
      <c r="Q122" s="239"/>
      <c r="R122" s="215"/>
      <c r="S122" s="215"/>
      <c r="T122" s="215"/>
      <c r="U122" s="215"/>
      <c r="V122" s="240"/>
      <c r="W122" s="240"/>
      <c r="X122" s="240"/>
      <c r="Y122" s="239"/>
      <c r="Z122" s="232"/>
      <c r="AA122" s="232"/>
      <c r="AB122" s="232"/>
      <c r="AC122" s="232"/>
      <c r="AD122" s="232"/>
      <c r="AE122" s="215"/>
      <c r="AF122" s="215"/>
      <c r="AG122" s="215"/>
      <c r="AH122" s="232"/>
      <c r="AI122" s="215"/>
      <c r="AJ122" s="215"/>
      <c r="AK122" s="215"/>
      <c r="AL122" s="215"/>
      <c r="AM122" s="215"/>
      <c r="AN122" s="215"/>
      <c r="AO122" s="215"/>
      <c r="AP122" s="215"/>
      <c r="AQ122" s="215"/>
      <c r="AR122" s="215"/>
      <c r="AS122" s="215"/>
      <c r="AT122" s="215"/>
      <c r="AU122" s="215"/>
      <c r="AV122" s="215"/>
      <c r="AW122" s="215"/>
      <c r="AX122" s="215"/>
      <c r="AY122" s="215"/>
      <c r="AZ122" s="215"/>
      <c r="BA122" s="215"/>
      <c r="BB122" s="215"/>
      <c r="BC122" s="215"/>
      <c r="BD122" s="215"/>
      <c r="BE122" s="215"/>
      <c r="BF122" s="215"/>
      <c r="BG122" s="215"/>
      <c r="BH122" s="215"/>
      <c r="BI122" s="215"/>
      <c r="BJ122" s="215"/>
      <c r="BK122" s="215"/>
      <c r="BL122" s="215"/>
      <c r="BM122" s="215"/>
      <c r="BN122" s="215"/>
      <c r="BO122" s="215"/>
      <c r="BP122" s="215"/>
      <c r="BQ122" s="215"/>
      <c r="BR122" s="215"/>
      <c r="BS122" s="215"/>
      <c r="BT122" s="215"/>
      <c r="BU122" s="215"/>
      <c r="BV122" s="215"/>
      <c r="BW122" s="215"/>
      <c r="BX122" s="215"/>
      <c r="BY122" s="215"/>
      <c r="BZ122" s="215"/>
    </row>
    <row r="123" spans="1:78" x14ac:dyDescent="0.2">
      <c r="A123" s="2" t="str">
        <f>'Language Index'!A124</f>
        <v>EBITDA - CAPEX</v>
      </c>
      <c r="B123" s="17"/>
      <c r="C123" s="26"/>
      <c r="D123" s="18">
        <f>_xll.ciqfunctions.udf.CIQ($C$2,"IQ_EBITDA_CAPEX", D$6,$F$2,,,Ccy,Conv)</f>
        <v>10452</v>
      </c>
      <c r="E123" s="18">
        <f>_xll.ciqfunctions.udf.CIQ($C$2,"IQ_EBITDA_CAPEX", E$6,$F$2,,,Ccy,Conv)</f>
        <v>10483</v>
      </c>
      <c r="F123" s="18">
        <f>_xll.ciqfunctions.udf.CIQ($C$2,"IQ_EBITDA_CAPEX", F$6,$F$2,,,Ccy,Conv)</f>
        <v>11012</v>
      </c>
      <c r="G123" s="18">
        <f>_xll.ciqfunctions.udf.CIQ($C$2,"IQ_EBITDA_CAPEX", G$6,$F$2,,,Ccy,Conv)</f>
        <v>11475</v>
      </c>
      <c r="H123" s="18">
        <f>_xll.ciqfunctions.udf.CIQ($C$2,"IQ_EBITDA_CAPEX", H$6,$F$2,,,Ccy,Conv)</f>
        <v>11696</v>
      </c>
      <c r="I123" s="18">
        <f>_xll.ciqfunctions.udf.CIQ($C$2,"IQ_EBITDA_CAPEX", I$6,$F$2,,,Ccy,Conv)</f>
        <v>11999</v>
      </c>
      <c r="J123" s="18">
        <f>_xll.ciqfunctions.udf.CIQ($C$2,"IQ_EBITDA_CAPEX", J$6,$F$2,,,Ccy,Conv)</f>
        <v>11838</v>
      </c>
      <c r="K123" s="18">
        <f>_xll.ciqfunctions.udf.CIQ($C$2,"IQ_EBITDA_CAPEX", K$6,$F$2,,,Ccy,Conv)</f>
        <v>12228</v>
      </c>
      <c r="L123" s="18">
        <f>_xll.ciqfunctions.udf.CIQ($C$2,"IQ_EBITDA_CAPEX", L$6,$F$2,,,Ccy,Conv)</f>
        <v>13140</v>
      </c>
      <c r="M123" s="18">
        <f>_xll.ciqfunctions.udf.CIQ($C$2,"IQ_EBITDA_CAPEX", M$6,$F$2,,,Ccy,Conv)</f>
        <v>14030</v>
      </c>
      <c r="N123" s="18">
        <f>_xll.ciqfunctions.udf.CIQ($C$2,"IQ_EBITDA_CAPEX", N$6,$F$2,,,Ccy,Conv)</f>
        <v>15027</v>
      </c>
      <c r="O123" s="18"/>
      <c r="P123" s="18">
        <f>_xll.ciqfunctions.udf.CIQ($C$2,"IQ_EBITDA_CAPEX", P$6,$F$2,,,Ccy,Conv)</f>
        <v>15027</v>
      </c>
      <c r="Q123" s="238"/>
      <c r="R123" s="215"/>
      <c r="S123" s="215"/>
      <c r="T123" s="215"/>
      <c r="U123" s="215"/>
      <c r="V123" s="240"/>
      <c r="W123" s="240"/>
      <c r="X123" s="240"/>
      <c r="Y123" s="239"/>
      <c r="Z123" s="232"/>
      <c r="AA123" s="232"/>
      <c r="AB123" s="232"/>
      <c r="AC123" s="232"/>
      <c r="AD123" s="232"/>
      <c r="AE123" s="215"/>
      <c r="AF123" s="215"/>
      <c r="AG123" s="215"/>
      <c r="AH123" s="232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5"/>
      <c r="AY123" s="215"/>
      <c r="AZ123" s="215"/>
      <c r="BA123" s="215"/>
      <c r="BB123" s="215"/>
      <c r="BC123" s="215"/>
      <c r="BD123" s="215"/>
      <c r="BE123" s="215"/>
      <c r="BF123" s="215"/>
      <c r="BG123" s="215"/>
      <c r="BH123" s="215"/>
      <c r="BI123" s="215"/>
      <c r="BJ123" s="215"/>
      <c r="BK123" s="215"/>
      <c r="BL123" s="215"/>
      <c r="BM123" s="215"/>
      <c r="BN123" s="215"/>
      <c r="BO123" s="215"/>
      <c r="BP123" s="215"/>
      <c r="BQ123" s="215"/>
      <c r="BR123" s="215"/>
      <c r="BS123" s="215"/>
      <c r="BT123" s="215"/>
      <c r="BU123" s="215"/>
      <c r="BV123" s="215"/>
      <c r="BW123" s="215"/>
      <c r="BX123" s="215"/>
      <c r="BY123" s="215"/>
      <c r="BZ123" s="215"/>
    </row>
    <row r="124" spans="1:78" x14ac:dyDescent="0.2">
      <c r="A124" s="2" t="str">
        <f>'Language Index'!A125</f>
        <v>Fees and Other Income</v>
      </c>
      <c r="B124" s="17"/>
      <c r="C124" s="26"/>
      <c r="D124" s="18">
        <f>_xll.ciqfunctions.udf.CIQ($C$2,"IQ_FEES_OTHER_INCOME", D$6,$F$2,,,Ccy,Conv)</f>
        <v>0</v>
      </c>
      <c r="E124" s="18">
        <f>_xll.ciqfunctions.udf.CIQ($C$2,"IQ_FEES_OTHER_INCOME", E$6,$F$2,,,Ccy,Conv)</f>
        <v>0</v>
      </c>
      <c r="F124" s="18">
        <f>_xll.ciqfunctions.udf.CIQ($C$2,"IQ_FEES_OTHER_INCOME", F$6,$F$2,,,Ccy,Conv)</f>
        <v>0</v>
      </c>
      <c r="G124" s="18">
        <f>_xll.ciqfunctions.udf.CIQ($C$2,"IQ_FEES_OTHER_INCOME", G$6,$F$2,,,Ccy,Conv)</f>
        <v>0</v>
      </c>
      <c r="H124" s="18">
        <f>_xll.ciqfunctions.udf.CIQ($C$2,"IQ_FEES_OTHER_INCOME", H$6,$F$2,,,Ccy,Conv)</f>
        <v>0</v>
      </c>
      <c r="I124" s="18">
        <f>_xll.ciqfunctions.udf.CIQ($C$2,"IQ_FEES_OTHER_INCOME", I$6,$F$2,,,Ccy,Conv)</f>
        <v>0</v>
      </c>
      <c r="J124" s="18">
        <f>_xll.ciqfunctions.udf.CIQ($C$2,"IQ_FEES_OTHER_INCOME", J$6,$F$2,,,Ccy,Conv)</f>
        <v>0</v>
      </c>
      <c r="K124" s="18">
        <f>_xll.ciqfunctions.udf.CIQ($C$2,"IQ_FEES_OTHER_INCOME", K$6,$F$2,,,Ccy,Conv)</f>
        <v>0</v>
      </c>
      <c r="L124" s="18">
        <f>_xll.ciqfunctions.udf.CIQ($C$2,"IQ_FEES_OTHER_INCOME", L$6,$F$2,,,Ccy,Conv)</f>
        <v>0</v>
      </c>
      <c r="M124" s="18">
        <f>_xll.ciqfunctions.udf.CIQ($C$2,"IQ_FEES_OTHER_INCOME", M$6,$F$2,,,Ccy,Conv)</f>
        <v>0</v>
      </c>
      <c r="N124" s="18">
        <f>_xll.ciqfunctions.udf.CIQ($C$2,"IQ_FEES_OTHER_INCOME", N$6,$F$2,,,Ccy,Conv)</f>
        <v>0</v>
      </c>
      <c r="O124" s="18"/>
      <c r="P124" s="18">
        <f>_xll.ciqfunctions.udf.CIQ($C$2,"IQ_FEES_OTHER_INCOME", P$6,$F$2,,,Ccy,Conv)</f>
        <v>0</v>
      </c>
      <c r="Q124" s="239"/>
      <c r="R124" s="215"/>
      <c r="S124" s="215"/>
      <c r="T124" s="215"/>
      <c r="U124" s="215"/>
      <c r="V124" s="240"/>
      <c r="W124" s="240"/>
      <c r="X124" s="240"/>
      <c r="Y124" s="239"/>
      <c r="Z124" s="232"/>
      <c r="AA124" s="232"/>
      <c r="AB124" s="232"/>
      <c r="AC124" s="232"/>
      <c r="AD124" s="232"/>
      <c r="AE124" s="215"/>
      <c r="AF124" s="215"/>
      <c r="AG124" s="215"/>
      <c r="AH124" s="232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  <c r="BD124" s="215"/>
      <c r="BE124" s="215"/>
      <c r="BF124" s="215"/>
      <c r="BG124" s="215"/>
      <c r="BH124" s="215"/>
      <c r="BI124" s="215"/>
      <c r="BJ124" s="215"/>
      <c r="BK124" s="215"/>
      <c r="BL124" s="215"/>
      <c r="BM124" s="215"/>
      <c r="BN124" s="215"/>
      <c r="BO124" s="215"/>
      <c r="BP124" s="215"/>
      <c r="BQ124" s="215"/>
      <c r="BR124" s="215"/>
      <c r="BS124" s="215"/>
      <c r="BT124" s="215"/>
      <c r="BU124" s="215"/>
      <c r="BV124" s="215"/>
      <c r="BW124" s="215"/>
      <c r="BX124" s="215"/>
      <c r="BY124" s="215"/>
      <c r="BZ124" s="215"/>
    </row>
    <row r="125" spans="1:78" x14ac:dyDescent="0.2">
      <c r="A125" s="2" t="str">
        <f>'Language Index'!A126</f>
        <v>Same Store Sales Growth</v>
      </c>
      <c r="B125" s="2"/>
      <c r="C125" s="26"/>
      <c r="D125" s="18">
        <f>_xll.ciqfunctions.udf.CIQ($C$2,"IQ_SAME_STORE", D$6,$F$2)</f>
        <v>0</v>
      </c>
      <c r="E125" s="18">
        <f>_xll.ciqfunctions.udf.CIQ($C$2,"IQ_SAME_STORE", E$6,$F$2)</f>
        <v>0</v>
      </c>
      <c r="F125" s="18">
        <f>_xll.ciqfunctions.udf.CIQ($C$2,"IQ_SAME_STORE", F$6,$F$2)</f>
        <v>0</v>
      </c>
      <c r="G125" s="18">
        <f>_xll.ciqfunctions.udf.CIQ($C$2,"IQ_SAME_STORE", G$6,$F$2)</f>
        <v>0</v>
      </c>
      <c r="H125" s="18">
        <f>_xll.ciqfunctions.udf.CIQ($C$2,"IQ_SAME_STORE", H$6,$F$2)</f>
        <v>0</v>
      </c>
      <c r="I125" s="18">
        <f>_xll.ciqfunctions.udf.CIQ($C$2,"IQ_SAME_STORE", I$6,$F$2)</f>
        <v>0</v>
      </c>
      <c r="J125" s="18">
        <f>_xll.ciqfunctions.udf.CIQ($C$2,"IQ_SAME_STORE", J$6,$F$2)</f>
        <v>0</v>
      </c>
      <c r="K125" s="18">
        <f>_xll.ciqfunctions.udf.CIQ($C$2,"IQ_SAME_STORE", K$6,$F$2)</f>
        <v>0</v>
      </c>
      <c r="L125" s="18">
        <f>_xll.ciqfunctions.udf.CIQ($C$2,"IQ_SAME_STORE", L$6,$F$2)</f>
        <v>0</v>
      </c>
      <c r="M125" s="18">
        <f>_xll.ciqfunctions.udf.CIQ($C$2,"IQ_SAME_STORE", M$6,$F$2)</f>
        <v>0</v>
      </c>
      <c r="N125" s="18">
        <f>_xll.ciqfunctions.udf.CIQ($C$2,"IQ_SAME_STORE", N$6,$F$2)</f>
        <v>0</v>
      </c>
      <c r="O125" s="2"/>
      <c r="P125" s="18">
        <f>_xll.ciqfunctions.udf.CIQ($C$2,"IQ_SAME_STORE", P$6,$F$2)</f>
        <v>0</v>
      </c>
      <c r="Q125" s="215"/>
      <c r="R125" s="215"/>
      <c r="S125" s="215"/>
      <c r="T125" s="215"/>
      <c r="U125" s="215"/>
      <c r="V125" s="240"/>
      <c r="W125" s="240"/>
      <c r="X125" s="240"/>
      <c r="Y125" s="239"/>
      <c r="Z125" s="232"/>
      <c r="AA125" s="232"/>
      <c r="AB125" s="232"/>
      <c r="AC125" s="232"/>
      <c r="AD125" s="232"/>
      <c r="AE125" s="215"/>
      <c r="AF125" s="215"/>
      <c r="AG125" s="215"/>
      <c r="AH125" s="232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215"/>
      <c r="AY125" s="215"/>
      <c r="AZ125" s="215"/>
      <c r="BA125" s="215"/>
      <c r="BB125" s="215"/>
      <c r="BC125" s="215"/>
      <c r="BD125" s="215"/>
      <c r="BE125" s="215"/>
      <c r="BF125" s="215"/>
      <c r="BG125" s="215"/>
      <c r="BH125" s="215"/>
      <c r="BI125" s="215"/>
      <c r="BJ125" s="215"/>
      <c r="BK125" s="215"/>
      <c r="BL125" s="215"/>
      <c r="BM125" s="215"/>
      <c r="BN125" s="215"/>
      <c r="BO125" s="215"/>
      <c r="BP125" s="215"/>
      <c r="BQ125" s="215"/>
      <c r="BR125" s="215"/>
      <c r="BS125" s="215"/>
      <c r="BT125" s="215"/>
      <c r="BU125" s="215"/>
      <c r="BV125" s="215"/>
      <c r="BW125" s="215"/>
      <c r="BX125" s="215"/>
      <c r="BY125" s="215"/>
      <c r="BZ125" s="215"/>
    </row>
    <row r="126" spans="1:78" x14ac:dyDescent="0.2">
      <c r="A126" s="2" t="str">
        <f>'Language Index'!A127</f>
        <v>As-Reported Total Revenue</v>
      </c>
      <c r="B126" s="17"/>
      <c r="C126" s="26"/>
      <c r="D126" s="18">
        <f>_xll.ciqfunctions.udf.CIQ($C$2, "IQ_TOTAL_REV_AS_REPORTED", D$6,$F$2,,,Ccy,Conv)</f>
        <v>60525</v>
      </c>
      <c r="E126" s="18">
        <f>_xll.ciqfunctions.udf.CIQ($C$2, "IQ_TOTAL_REV_AS_REPORTED", E$6,$F$2,,,Ccy,Conv)</f>
        <v>61169</v>
      </c>
      <c r="F126" s="18">
        <f>_xll.ciqfunctions.udf.CIQ($C$2, "IQ_TOTAL_REV_AS_REPORTED", F$6,$F$2,,,Ccy,Conv)</f>
        <v>61860</v>
      </c>
      <c r="G126" s="18">
        <f>_xll.ciqfunctions.udf.CIQ($C$2, "IQ_TOTAL_REV_AS_REPORTED", G$6,$F$2,,,Ccy,Conv)</f>
        <v>62070</v>
      </c>
      <c r="H126" s="18">
        <f>_xll.ciqfunctions.udf.CIQ($C$2, "IQ_TOTAL_REV_AS_REPORTED", H$6,$F$2,,,Ccy,Conv)</f>
        <v>62364</v>
      </c>
      <c r="I126" s="18">
        <f>_xll.ciqfunctions.udf.CIQ($C$2, "IQ_TOTAL_REV_AS_REPORTED", I$6,$F$2,,,Ccy,Conv)</f>
        <v>62580</v>
      </c>
      <c r="J126" s="18">
        <f>_xll.ciqfunctions.udf.CIQ($C$2, "IQ_TOTAL_REV_AS_REPORTED", J$6,$F$2,,,Ccy,Conv)</f>
        <v>62753</v>
      </c>
      <c r="K126" s="18">
        <f>_xll.ciqfunctions.udf.CIQ($C$2, "IQ_TOTAL_REV_AS_REPORTED", K$6,$F$2,,,Ccy,Conv)</f>
        <v>62832</v>
      </c>
      <c r="L126" s="18">
        <f>_xll.ciqfunctions.udf.CIQ($C$2, "IQ_TOTAL_REV_AS_REPORTED", L$6,$F$2,,,Ccy,Conv)</f>
        <v>64041</v>
      </c>
      <c r="M126" s="18">
        <f>_xll.ciqfunctions.udf.CIQ($C$2, "IQ_TOTAL_REV_AS_REPORTED", M$6,$F$2,,,Ccy,Conv)</f>
        <v>65403</v>
      </c>
      <c r="N126" s="18">
        <f>_xll.ciqfunctions.udf.CIQ($C$2, "IQ_TOTAL_REV_AS_REPORTED", N$6,$F$2,,,Ccy,Conv)</f>
        <v>67535</v>
      </c>
      <c r="O126" s="18"/>
      <c r="P126" s="18">
        <f>_xll.ciqfunctions.udf.CIQ($C$2, "IQ_TOTAL_REV_AS_REPORTED", P$6,$F$2,,,Ccy,Conv)</f>
        <v>67535</v>
      </c>
      <c r="Q126" s="238"/>
      <c r="R126" s="215"/>
      <c r="S126" s="215"/>
      <c r="T126" s="215"/>
      <c r="U126" s="215"/>
      <c r="V126" s="240"/>
      <c r="W126" s="240"/>
      <c r="X126" s="240"/>
      <c r="Y126" s="239"/>
      <c r="Z126" s="232"/>
      <c r="AA126" s="232"/>
      <c r="AB126" s="232"/>
      <c r="AC126" s="232"/>
      <c r="AD126" s="232"/>
      <c r="AE126" s="215"/>
      <c r="AF126" s="215"/>
      <c r="AG126" s="215"/>
      <c r="AH126" s="232"/>
      <c r="AI126" s="215"/>
      <c r="AJ126" s="215"/>
      <c r="AK126" s="215"/>
      <c r="AL126" s="215"/>
      <c r="AM126" s="215"/>
      <c r="AN126" s="215"/>
      <c r="AO126" s="215"/>
      <c r="AP126" s="215"/>
      <c r="AQ126" s="215"/>
      <c r="AR126" s="215"/>
      <c r="AS126" s="215"/>
      <c r="AT126" s="215"/>
      <c r="AU126" s="215"/>
      <c r="AV126" s="215"/>
      <c r="AW126" s="215"/>
      <c r="AX126" s="215"/>
      <c r="AY126" s="215"/>
      <c r="AZ126" s="215"/>
      <c r="BA126" s="215"/>
      <c r="BB126" s="215"/>
      <c r="BC126" s="215"/>
      <c r="BD126" s="215"/>
      <c r="BE126" s="215"/>
      <c r="BF126" s="215"/>
      <c r="BG126" s="215"/>
      <c r="BH126" s="215"/>
      <c r="BI126" s="215"/>
      <c r="BJ126" s="215"/>
      <c r="BK126" s="215"/>
      <c r="BL126" s="215"/>
      <c r="BM126" s="215"/>
      <c r="BN126" s="215"/>
      <c r="BO126" s="215"/>
      <c r="BP126" s="215"/>
      <c r="BQ126" s="215"/>
      <c r="BR126" s="215"/>
      <c r="BS126" s="215"/>
      <c r="BT126" s="215"/>
      <c r="BU126" s="215"/>
      <c r="BV126" s="215"/>
      <c r="BW126" s="215"/>
      <c r="BX126" s="215"/>
      <c r="BY126" s="215"/>
      <c r="BZ126" s="215"/>
    </row>
    <row r="127" spans="1:78" x14ac:dyDescent="0.2">
      <c r="A127" s="2" t="str">
        <f>'Language Index'!A128</f>
        <v>As Reported EBITDA</v>
      </c>
      <c r="B127" s="17"/>
      <c r="C127" s="26"/>
      <c r="D127" s="18">
        <f>_xll.ciqfunctions.udf.CIQ($C$2, "IQ_AS_REPORTED_EBITDA", D$6,$F$2,,,Ccy,Conv)</f>
        <v>0</v>
      </c>
      <c r="E127" s="18">
        <f>_xll.ciqfunctions.udf.CIQ($C$2, "IQ_AS_REPORTED_EBITDA", E$6,$F$2,,,Ccy,Conv)</f>
        <v>0</v>
      </c>
      <c r="F127" s="18">
        <f>_xll.ciqfunctions.udf.CIQ($C$2, "IQ_AS_REPORTED_EBITDA", F$6,$F$2,,,Ccy,Conv)</f>
        <v>0</v>
      </c>
      <c r="G127" s="18">
        <f>_xll.ciqfunctions.udf.CIQ($C$2, "IQ_AS_REPORTED_EBITDA", G$6,$F$2,,,Ccy,Conv)</f>
        <v>0</v>
      </c>
      <c r="H127" s="18">
        <f>_xll.ciqfunctions.udf.CIQ($C$2, "IQ_AS_REPORTED_EBITDA", H$6,$F$2,,,Ccy,Conv)</f>
        <v>0</v>
      </c>
      <c r="I127" s="18">
        <f>_xll.ciqfunctions.udf.CIQ($C$2, "IQ_AS_REPORTED_EBITDA", I$6,$F$2,,,Ccy,Conv)</f>
        <v>0</v>
      </c>
      <c r="J127" s="18">
        <f>_xll.ciqfunctions.udf.CIQ($C$2, "IQ_AS_REPORTED_EBITDA", J$6,$F$2,,,Ccy,Conv)</f>
        <v>0</v>
      </c>
      <c r="K127" s="18">
        <f>_xll.ciqfunctions.udf.CIQ($C$2, "IQ_AS_REPORTED_EBITDA", K$6,$F$2,,,Ccy,Conv)</f>
        <v>0</v>
      </c>
      <c r="L127" s="18">
        <f>_xll.ciqfunctions.udf.CIQ($C$2, "IQ_AS_REPORTED_EBITDA", L$6,$F$2,,,Ccy,Conv)</f>
        <v>0</v>
      </c>
      <c r="M127" s="18">
        <f>_xll.ciqfunctions.udf.CIQ($C$2, "IQ_AS_REPORTED_EBITDA", M$6,$F$2,,,Ccy,Conv)</f>
        <v>0</v>
      </c>
      <c r="N127" s="18">
        <f>_xll.ciqfunctions.udf.CIQ($C$2, "IQ_AS_REPORTED_EBITDA", N$6,$F$2,,,Ccy,Conv)</f>
        <v>0</v>
      </c>
      <c r="O127" s="18"/>
      <c r="P127" s="18">
        <f>_xll.ciqfunctions.udf.CIQ($C$2, "IQ_AS_REPORTED_EBITDA", P$6,$F$2,,,Ccy,Conv)</f>
        <v>0</v>
      </c>
      <c r="Q127" s="238"/>
      <c r="R127" s="215"/>
      <c r="S127" s="215"/>
      <c r="T127" s="215"/>
      <c r="U127" s="215"/>
      <c r="V127" s="240"/>
      <c r="W127" s="240"/>
      <c r="X127" s="240"/>
      <c r="Y127" s="239"/>
      <c r="Z127" s="232"/>
      <c r="AA127" s="232"/>
      <c r="AB127" s="232"/>
      <c r="AC127" s="232"/>
      <c r="AD127" s="232"/>
      <c r="AE127" s="215"/>
      <c r="AF127" s="215"/>
      <c r="AG127" s="215"/>
      <c r="AH127" s="232"/>
      <c r="AI127" s="215"/>
      <c r="AJ127" s="215"/>
      <c r="AK127" s="215"/>
      <c r="AL127" s="215"/>
      <c r="AM127" s="215"/>
      <c r="AN127" s="215"/>
      <c r="AO127" s="215"/>
      <c r="AP127" s="215"/>
      <c r="AQ127" s="215"/>
      <c r="AR127" s="215"/>
      <c r="AS127" s="215"/>
      <c r="AT127" s="215"/>
      <c r="AU127" s="215"/>
      <c r="AV127" s="215"/>
      <c r="AW127" s="215"/>
      <c r="AX127" s="215"/>
      <c r="AY127" s="215"/>
      <c r="AZ127" s="215"/>
      <c r="BA127" s="215"/>
      <c r="BB127" s="215"/>
      <c r="BC127" s="215"/>
      <c r="BD127" s="215"/>
      <c r="BE127" s="215"/>
      <c r="BF127" s="215"/>
      <c r="BG127" s="215"/>
      <c r="BH127" s="215"/>
      <c r="BI127" s="215"/>
      <c r="BJ127" s="215"/>
      <c r="BK127" s="215"/>
      <c r="BL127" s="215"/>
      <c r="BM127" s="215"/>
      <c r="BN127" s="215"/>
      <c r="BO127" s="215"/>
      <c r="BP127" s="215"/>
      <c r="BQ127" s="215"/>
      <c r="BR127" s="215"/>
      <c r="BS127" s="215"/>
      <c r="BT127" s="215"/>
      <c r="BU127" s="215"/>
      <c r="BV127" s="215"/>
      <c r="BW127" s="215"/>
      <c r="BX127" s="215"/>
      <c r="BY127" s="215"/>
      <c r="BZ127" s="215"/>
    </row>
    <row r="128" spans="1:78" x14ac:dyDescent="0.2">
      <c r="A128" s="2" t="str">
        <f>'Language Index'!A129</f>
        <v>Provision for Doubtful Accounts - Patient Service Revenue</v>
      </c>
      <c r="B128" s="17"/>
      <c r="C128" s="26"/>
      <c r="D128" s="18">
        <f>_xll.ciqfunctions.udf.CIQ($C$2, "IQ_PROV_BAD_DEBTS_PATIENT_SERVICE_REV", D$6,$F$2,,,Ccy,Conv)</f>
        <v>0</v>
      </c>
      <c r="E128" s="18">
        <f>_xll.ciqfunctions.udf.CIQ($C$2, "IQ_PROV_BAD_DEBTS_PATIENT_SERVICE_REV", E$6,$F$2,,,Ccy,Conv)</f>
        <v>0</v>
      </c>
      <c r="F128" s="18">
        <f>_xll.ciqfunctions.udf.CIQ($C$2, "IQ_PROV_BAD_DEBTS_PATIENT_SERVICE_REV", F$6,$F$2,,,Ccy,Conv)</f>
        <v>0</v>
      </c>
      <c r="G128" s="18">
        <f>_xll.ciqfunctions.udf.CIQ($C$2, "IQ_PROV_BAD_DEBTS_PATIENT_SERVICE_REV", G$6,$F$2,,,Ccy,Conv)</f>
        <v>0</v>
      </c>
      <c r="H128" s="18">
        <f>_xll.ciqfunctions.udf.CIQ($C$2, "IQ_PROV_BAD_DEBTS_PATIENT_SERVICE_REV", H$6,$F$2,,,Ccy,Conv)</f>
        <v>0</v>
      </c>
      <c r="I128" s="18">
        <f>_xll.ciqfunctions.udf.CIQ($C$2, "IQ_PROV_BAD_DEBTS_PATIENT_SERVICE_REV", I$6,$F$2,,,Ccy,Conv)</f>
        <v>0</v>
      </c>
      <c r="J128" s="18">
        <f>_xll.ciqfunctions.udf.CIQ($C$2, "IQ_PROV_BAD_DEBTS_PATIENT_SERVICE_REV", J$6,$F$2,,,Ccy,Conv)</f>
        <v>0</v>
      </c>
      <c r="K128" s="18">
        <f>_xll.ciqfunctions.udf.CIQ($C$2, "IQ_PROV_BAD_DEBTS_PATIENT_SERVICE_REV", K$6,$F$2,,,Ccy,Conv)</f>
        <v>0</v>
      </c>
      <c r="L128" s="18">
        <f>_xll.ciqfunctions.udf.CIQ($C$2, "IQ_PROV_BAD_DEBTS_PATIENT_SERVICE_REV", L$6,$F$2,,,Ccy,Conv)</f>
        <v>0</v>
      </c>
      <c r="M128" s="18">
        <f>_xll.ciqfunctions.udf.CIQ($C$2, "IQ_PROV_BAD_DEBTS_PATIENT_SERVICE_REV", M$6,$F$2,,,Ccy,Conv)</f>
        <v>0</v>
      </c>
      <c r="N128" s="18">
        <f>_xll.ciqfunctions.udf.CIQ($C$2, "IQ_PROV_BAD_DEBTS_PATIENT_SERVICE_REV", N$6,$F$2,,,Ccy,Conv)</f>
        <v>0</v>
      </c>
      <c r="O128" s="18"/>
      <c r="P128" s="18">
        <f>_xll.ciqfunctions.udf.CIQ($C$2, "IQ_PROV_BAD_DEBTS_PATIENT_SERVICE_REV", P$6,$F$2,,,Ccy,Conv)</f>
        <v>0</v>
      </c>
      <c r="Q128" s="238"/>
      <c r="R128" s="215"/>
      <c r="S128" s="215"/>
      <c r="T128" s="215"/>
      <c r="U128" s="215"/>
      <c r="V128" s="240"/>
      <c r="W128" s="240"/>
      <c r="X128" s="240"/>
      <c r="Y128" s="239"/>
      <c r="Z128" s="232"/>
      <c r="AA128" s="232"/>
      <c r="AB128" s="232"/>
      <c r="AC128" s="232"/>
      <c r="AD128" s="232"/>
      <c r="AE128" s="215"/>
      <c r="AF128" s="215"/>
      <c r="AG128" s="215"/>
      <c r="AH128" s="232"/>
      <c r="AI128" s="215"/>
      <c r="AJ128" s="215"/>
      <c r="AK128" s="215"/>
      <c r="AL128" s="215"/>
      <c r="AM128" s="215"/>
      <c r="AN128" s="215"/>
      <c r="AO128" s="215"/>
      <c r="AP128" s="215"/>
      <c r="AQ128" s="215"/>
      <c r="AR128" s="215"/>
      <c r="AS128" s="215"/>
      <c r="AT128" s="215"/>
      <c r="AU128" s="215"/>
      <c r="AV128" s="215"/>
      <c r="AW128" s="215"/>
      <c r="AX128" s="215"/>
      <c r="AY128" s="215"/>
      <c r="AZ128" s="215"/>
      <c r="BA128" s="215"/>
      <c r="BB128" s="215"/>
      <c r="BC128" s="215"/>
      <c r="BD128" s="215"/>
      <c r="BE128" s="215"/>
      <c r="BF128" s="215"/>
      <c r="BG128" s="215"/>
      <c r="BH128" s="215"/>
      <c r="BI128" s="215"/>
      <c r="BJ128" s="215"/>
      <c r="BK128" s="215"/>
      <c r="BL128" s="215"/>
      <c r="BM128" s="215"/>
      <c r="BN128" s="215"/>
      <c r="BO128" s="215"/>
      <c r="BP128" s="215"/>
      <c r="BQ128" s="215"/>
      <c r="BR128" s="215"/>
      <c r="BS128" s="215"/>
      <c r="BT128" s="215"/>
      <c r="BU128" s="215"/>
      <c r="BV128" s="215"/>
      <c r="BW128" s="215"/>
      <c r="BX128" s="215"/>
      <c r="BY128" s="215"/>
      <c r="BZ128" s="215"/>
    </row>
    <row r="129" spans="1:78" x14ac:dyDescent="0.2">
      <c r="A129" s="2" t="str">
        <f>'Language Index'!A130</f>
        <v>Earnings to Parent before Extraordinary Items</v>
      </c>
      <c r="B129" s="17"/>
      <c r="C129" s="26"/>
      <c r="D129" s="18">
        <f>_xll.ciqfunctions.udf.CIQ($C$2, "IQ_EARNING_PARENT_EXCL_EXTRA", D$6,$F$2,,,Ccy,Conv)</f>
        <v>2170</v>
      </c>
      <c r="E129" s="18">
        <f>_xll.ciqfunctions.udf.CIQ($C$2, "IQ_EARNING_PARENT_EXCL_EXTRA", E$6,$F$2,,,Ccy,Conv)</f>
        <v>7098</v>
      </c>
      <c r="F129" s="18">
        <f>_xll.ciqfunctions.udf.CIQ($C$2, "IQ_EARNING_PARENT_EXCL_EXTRA", F$6,$F$2,,,Ccy,Conv)</f>
        <v>7514</v>
      </c>
      <c r="G129" s="18">
        <f>_xll.ciqfunctions.udf.CIQ($C$2, "IQ_EARNING_PARENT_EXCL_EXTRA", G$6,$F$2,,,Ccy,Conv)</f>
        <v>8155</v>
      </c>
      <c r="H129" s="18">
        <f>_xll.ciqfunctions.udf.CIQ($C$2, "IQ_EARNING_PARENT_EXCL_EXTRA", H$6,$F$2,,,Ccy,Conv)</f>
        <v>8404</v>
      </c>
      <c r="I129" s="18">
        <f>_xll.ciqfunctions.udf.CIQ($C$2, "IQ_EARNING_PARENT_EXCL_EXTRA", I$6,$F$2,,,Ccy,Conv)</f>
        <v>6373</v>
      </c>
      <c r="J129" s="18">
        <f>_xll.ciqfunctions.udf.CIQ($C$2, "IQ_EARNING_PARENT_EXCL_EXTRA", J$6,$F$2,,,Ccy,Conv)</f>
        <v>6015</v>
      </c>
      <c r="K129" s="18">
        <f>_xll.ciqfunctions.udf.CIQ($C$2, "IQ_EARNING_PARENT_EXCL_EXTRA", K$6,$F$2,,,Ccy,Conv)</f>
        <v>5494</v>
      </c>
      <c r="L129" s="18">
        <f>_xll.ciqfunctions.udf.CIQ($C$2, "IQ_EARNING_PARENT_EXCL_EXTRA", L$6,$F$2,,,Ccy,Conv)</f>
        <v>5858</v>
      </c>
      <c r="M129" s="18">
        <f>_xll.ciqfunctions.udf.CIQ($C$2, "IQ_EARNING_PARENT_EXCL_EXTRA", M$6,$F$2,,,Ccy,Conv)</f>
        <v>7919</v>
      </c>
      <c r="N129" s="18">
        <f>_xll.ciqfunctions.udf.CIQ($C$2, "IQ_EARNING_PARENT_EXCL_EXTRA", N$6,$F$2,,,Ccy,Conv)</f>
        <v>10571</v>
      </c>
      <c r="O129" s="18"/>
      <c r="P129" s="18">
        <f>_xll.ciqfunctions.udf.CIQ($C$2, "IQ_EARNING_PARENT_EXCL_EXTRA", P$6,$F$2,,,Ccy,Conv)</f>
        <v>10571</v>
      </c>
      <c r="Q129" s="238"/>
      <c r="R129" s="215"/>
      <c r="S129" s="215"/>
      <c r="T129" s="215"/>
      <c r="U129" s="215"/>
      <c r="V129" s="240"/>
      <c r="W129" s="240"/>
      <c r="X129" s="240"/>
      <c r="Y129" s="239"/>
      <c r="Z129" s="232"/>
      <c r="AA129" s="232"/>
      <c r="AB129" s="232"/>
      <c r="AC129" s="232"/>
      <c r="AD129" s="232"/>
      <c r="AE129" s="215"/>
      <c r="AF129" s="215"/>
      <c r="AG129" s="215"/>
      <c r="AH129" s="232"/>
      <c r="AI129" s="215"/>
      <c r="AJ129" s="215"/>
      <c r="AK129" s="215"/>
      <c r="AL129" s="215"/>
      <c r="AM129" s="215"/>
      <c r="AN129" s="215"/>
      <c r="AO129" s="215"/>
      <c r="AP129" s="215"/>
      <c r="AQ129" s="215"/>
      <c r="AR129" s="215"/>
      <c r="AS129" s="215"/>
      <c r="AT129" s="215"/>
      <c r="AU129" s="215"/>
      <c r="AV129" s="215"/>
      <c r="AW129" s="215"/>
      <c r="AX129" s="215"/>
      <c r="AY129" s="215"/>
      <c r="AZ129" s="215"/>
      <c r="BA129" s="215"/>
      <c r="BB129" s="215"/>
      <c r="BC129" s="215"/>
      <c r="BD129" s="215"/>
      <c r="BE129" s="215"/>
      <c r="BF129" s="215"/>
      <c r="BG129" s="215"/>
      <c r="BH129" s="215"/>
      <c r="BI129" s="215"/>
      <c r="BJ129" s="215"/>
      <c r="BK129" s="215"/>
      <c r="BL129" s="215"/>
      <c r="BM129" s="215"/>
      <c r="BN129" s="215"/>
      <c r="BO129" s="215"/>
      <c r="BP129" s="215"/>
      <c r="BQ129" s="215"/>
      <c r="BR129" s="215"/>
      <c r="BS129" s="215"/>
      <c r="BT129" s="215"/>
      <c r="BU129" s="215"/>
      <c r="BV129" s="215"/>
      <c r="BW129" s="215"/>
      <c r="BX129" s="215"/>
      <c r="BY129" s="215"/>
      <c r="BZ129" s="215"/>
    </row>
    <row r="130" spans="1:78" x14ac:dyDescent="0.2">
      <c r="A130" s="2" t="str">
        <f>'Language Index'!A131</f>
        <v>Net Income per SFAS 123 (after Options)</v>
      </c>
      <c r="B130" s="17"/>
      <c r="C130" s="26"/>
      <c r="D130" s="18">
        <f>_xll.ciqfunctions.udf.CIQ($C$2, "IQ_NI_SFAS", D$6,$F$2,,,Ccy,Conv)</f>
        <v>0</v>
      </c>
      <c r="E130" s="18">
        <f>_xll.ciqfunctions.udf.CIQ($C$2, "IQ_NI_SFAS", E$6,$F$2,,,Ccy,Conv)</f>
        <v>0</v>
      </c>
      <c r="F130" s="18">
        <f>_xll.ciqfunctions.udf.CIQ($C$2, "IQ_NI_SFAS", F$6,$F$2,,,Ccy,Conv)</f>
        <v>0</v>
      </c>
      <c r="G130" s="18">
        <f>_xll.ciqfunctions.udf.CIQ($C$2, "IQ_NI_SFAS", G$6,$F$2,,,Ccy,Conv)</f>
        <v>0</v>
      </c>
      <c r="H130" s="18">
        <f>_xll.ciqfunctions.udf.CIQ($C$2, "IQ_NI_SFAS", H$6,$F$2,,,Ccy,Conv)</f>
        <v>0</v>
      </c>
      <c r="I130" s="18">
        <f>_xll.ciqfunctions.udf.CIQ($C$2, "IQ_NI_SFAS", I$6,$F$2,,,Ccy,Conv)</f>
        <v>0</v>
      </c>
      <c r="J130" s="18">
        <f>_xll.ciqfunctions.udf.CIQ($C$2, "IQ_NI_SFAS", J$6,$F$2,,,Ccy,Conv)</f>
        <v>0</v>
      </c>
      <c r="K130" s="18">
        <f>_xll.ciqfunctions.udf.CIQ($C$2, "IQ_NI_SFAS", K$6,$F$2,,,Ccy,Conv)</f>
        <v>0</v>
      </c>
      <c r="L130" s="18">
        <f>_xll.ciqfunctions.udf.CIQ($C$2, "IQ_NI_SFAS", L$6,$F$2,,,Ccy,Conv)</f>
        <v>0</v>
      </c>
      <c r="M130" s="18">
        <f>_xll.ciqfunctions.udf.CIQ($C$2, "IQ_NI_SFAS", M$6,$F$2,,,Ccy,Conv)</f>
        <v>0</v>
      </c>
      <c r="N130" s="18">
        <f>_xll.ciqfunctions.udf.CIQ($C$2, "IQ_NI_SFAS", N$6,$F$2,,,Ccy,Conv)</f>
        <v>0</v>
      </c>
      <c r="O130" s="18"/>
      <c r="P130" s="18">
        <f>_xll.ciqfunctions.udf.CIQ($C$2, "IQ_NI_SFAS", P$6,$F$2,,,Ccy,Conv)</f>
        <v>0</v>
      </c>
      <c r="Q130" s="238"/>
      <c r="R130" s="215"/>
      <c r="S130" s="215"/>
      <c r="T130" s="215"/>
      <c r="U130" s="215"/>
      <c r="V130" s="240"/>
      <c r="W130" s="240"/>
      <c r="X130" s="240"/>
      <c r="Y130" s="239"/>
      <c r="Z130" s="232"/>
      <c r="AA130" s="232"/>
      <c r="AB130" s="232"/>
      <c r="AC130" s="232"/>
      <c r="AD130" s="232"/>
      <c r="AE130" s="215"/>
      <c r="AF130" s="215"/>
      <c r="AG130" s="215"/>
      <c r="AH130" s="232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5"/>
      <c r="AW130" s="215"/>
      <c r="AX130" s="215"/>
      <c r="AY130" s="215"/>
      <c r="AZ130" s="215"/>
      <c r="BA130" s="215"/>
      <c r="BB130" s="215"/>
      <c r="BC130" s="215"/>
      <c r="BD130" s="215"/>
      <c r="BE130" s="215"/>
      <c r="BF130" s="215"/>
      <c r="BG130" s="215"/>
      <c r="BH130" s="215"/>
      <c r="BI130" s="215"/>
      <c r="BJ130" s="215"/>
      <c r="BK130" s="215"/>
      <c r="BL130" s="215"/>
      <c r="BM130" s="215"/>
      <c r="BN130" s="215"/>
      <c r="BO130" s="215"/>
      <c r="BP130" s="215"/>
      <c r="BQ130" s="215"/>
      <c r="BR130" s="215"/>
      <c r="BS130" s="215"/>
      <c r="BT130" s="215"/>
      <c r="BU130" s="215"/>
      <c r="BV130" s="215"/>
      <c r="BW130" s="215"/>
      <c r="BX130" s="215"/>
      <c r="BY130" s="215"/>
      <c r="BZ130" s="215"/>
    </row>
    <row r="131" spans="1:78" x14ac:dyDescent="0.2">
      <c r="A131" s="2" t="str">
        <f>'Language Index'!A132</f>
        <v>Interest Income</v>
      </c>
      <c r="B131" s="17"/>
      <c r="C131" s="26"/>
      <c r="D131" s="18">
        <f>_xll.ciqfunctions.udf.CIQ($C$2, "IQ_INTEREST_INCOME", D$6,$F$2,,,Ccy,Conv)</f>
        <v>487</v>
      </c>
      <c r="E131" s="18">
        <f>_xll.ciqfunctions.udf.CIQ($C$2, "IQ_INTEREST_INCOME", E$6,$F$2,,,Ccy,Conv)</f>
        <v>591</v>
      </c>
      <c r="F131" s="18">
        <f>_xll.ciqfunctions.udf.CIQ($C$2, "IQ_INTEREST_INCOME", F$6,$F$2,,,Ccy,Conv)</f>
        <v>670</v>
      </c>
      <c r="G131" s="18">
        <f>_xll.ciqfunctions.udf.CIQ($C$2, "IQ_INTEREST_INCOME", G$6,$F$2,,,Ccy,Conv)</f>
        <v>710</v>
      </c>
      <c r="H131" s="18">
        <f>_xll.ciqfunctions.udf.CIQ($C$2, "IQ_INTEREST_INCOME", H$6,$F$2,,,Ccy,Conv)</f>
        <v>726</v>
      </c>
      <c r="I131" s="18">
        <f>_xll.ciqfunctions.udf.CIQ($C$2, "IQ_INTEREST_INCOME", I$6,$F$2,,,Ccy,Conv)</f>
        <v>740</v>
      </c>
      <c r="J131" s="18">
        <f>_xll.ciqfunctions.udf.CIQ($C$2, "IQ_INTEREST_INCOME", J$6,$F$2,,,Ccy,Conv)</f>
        <v>747</v>
      </c>
      <c r="K131" s="18">
        <f>_xll.ciqfunctions.udf.CIQ($C$2, "IQ_INTEREST_INCOME", K$6,$F$2,,,Ccy,Conv)</f>
        <v>728</v>
      </c>
      <c r="L131" s="18">
        <f>_xll.ciqfunctions.udf.CIQ($C$2, "IQ_INTEREST_INCOME", L$6,$F$2,,,Ccy,Conv)</f>
        <v>683</v>
      </c>
      <c r="M131" s="18">
        <f>_xll.ciqfunctions.udf.CIQ($C$2, "IQ_INTEREST_INCOME", M$6,$F$2,,,Ccy,Conv)</f>
        <v>663</v>
      </c>
      <c r="N131" s="18">
        <f>_xll.ciqfunctions.udf.CIQ($C$2, "IQ_INTEREST_INCOME", N$6,$F$2,,,Ccy,Conv)</f>
        <v>645</v>
      </c>
      <c r="O131" s="18"/>
      <c r="P131" s="18">
        <f>_xll.ciqfunctions.udf.CIQ($C$2, "IQ_INTEREST_INCOME", P$6,$F$2,,,Ccy,Conv)</f>
        <v>645</v>
      </c>
      <c r="Q131" s="238"/>
      <c r="R131" s="215"/>
      <c r="S131" s="215"/>
      <c r="T131" s="215"/>
      <c r="U131" s="215"/>
      <c r="V131" s="240"/>
      <c r="W131" s="240"/>
      <c r="X131" s="240"/>
      <c r="Y131" s="239"/>
      <c r="Z131" s="232"/>
      <c r="AA131" s="232"/>
      <c r="AB131" s="232"/>
      <c r="AC131" s="232"/>
      <c r="AD131" s="232"/>
      <c r="AE131" s="215"/>
      <c r="AF131" s="215"/>
      <c r="AG131" s="215"/>
      <c r="AH131" s="232"/>
      <c r="AI131" s="215"/>
      <c r="AJ131" s="215"/>
      <c r="AK131" s="215"/>
      <c r="AL131" s="215"/>
      <c r="AM131" s="215"/>
      <c r="AN131" s="215"/>
      <c r="AO131" s="215"/>
      <c r="AP131" s="215"/>
      <c r="AQ131" s="215"/>
      <c r="AR131" s="215"/>
      <c r="AS131" s="215"/>
      <c r="AT131" s="215"/>
      <c r="AU131" s="215"/>
      <c r="AV131" s="215"/>
      <c r="AW131" s="215"/>
      <c r="AX131" s="215"/>
      <c r="AY131" s="215"/>
      <c r="AZ131" s="215"/>
      <c r="BA131" s="215"/>
      <c r="BB131" s="215"/>
      <c r="BC131" s="215"/>
      <c r="BD131" s="215"/>
      <c r="BE131" s="215"/>
      <c r="BF131" s="215"/>
      <c r="BG131" s="215"/>
      <c r="BH131" s="215"/>
      <c r="BI131" s="215"/>
      <c r="BJ131" s="215"/>
      <c r="BK131" s="215"/>
      <c r="BL131" s="215"/>
      <c r="BM131" s="215"/>
      <c r="BN131" s="215"/>
      <c r="BO131" s="215"/>
      <c r="BP131" s="215"/>
      <c r="BQ131" s="215"/>
      <c r="BR131" s="215"/>
      <c r="BS131" s="215"/>
      <c r="BT131" s="215"/>
      <c r="BU131" s="215"/>
      <c r="BV131" s="215"/>
      <c r="BW131" s="215"/>
      <c r="BX131" s="215"/>
      <c r="BY131" s="215"/>
      <c r="BZ131" s="215"/>
    </row>
    <row r="132" spans="1:78" x14ac:dyDescent="0.2">
      <c r="A132" s="2" t="str">
        <f>'Language Index'!A133</f>
        <v>Investment Income</v>
      </c>
      <c r="B132" s="17"/>
      <c r="C132" s="26"/>
      <c r="D132" s="18">
        <f>_xll.ciqfunctions.udf.CIQ($C$2, "IQ_INVESTMENT_INCOME", D$6,$F$2,,,Ccy,Conv)</f>
        <v>0</v>
      </c>
      <c r="E132" s="18">
        <f>_xll.ciqfunctions.udf.CIQ($C$2, "IQ_INVESTMENT_INCOME", E$6,$F$2,,,Ccy,Conv)</f>
        <v>0</v>
      </c>
      <c r="F132" s="18">
        <f>_xll.ciqfunctions.udf.CIQ($C$2, "IQ_INVESTMENT_INCOME", F$6,$F$2,,,Ccy,Conv)</f>
        <v>0</v>
      </c>
      <c r="G132" s="18">
        <f>_xll.ciqfunctions.udf.CIQ($C$2, "IQ_INVESTMENT_INCOME", G$6,$F$2,,,Ccy,Conv)</f>
        <v>0</v>
      </c>
      <c r="H132" s="18">
        <f>_xll.ciqfunctions.udf.CIQ($C$2, "IQ_INVESTMENT_INCOME", H$6,$F$2,,,Ccy,Conv)</f>
        <v>0</v>
      </c>
      <c r="I132" s="18">
        <f>_xll.ciqfunctions.udf.CIQ($C$2, "IQ_INVESTMENT_INCOME", I$6,$F$2,,,Ccy,Conv)</f>
        <v>0</v>
      </c>
      <c r="J132" s="18">
        <f>_xll.ciqfunctions.udf.CIQ($C$2, "IQ_INVESTMENT_INCOME", J$6,$F$2,,,Ccy,Conv)</f>
        <v>0</v>
      </c>
      <c r="K132" s="18">
        <f>_xll.ciqfunctions.udf.CIQ($C$2, "IQ_INVESTMENT_INCOME", K$6,$F$2,,,Ccy,Conv)</f>
        <v>0</v>
      </c>
      <c r="L132" s="18">
        <f>_xll.ciqfunctions.udf.CIQ($C$2, "IQ_INVESTMENT_INCOME", L$6,$F$2,,,Ccy,Conv)</f>
        <v>0</v>
      </c>
      <c r="M132" s="18">
        <f>_xll.ciqfunctions.udf.CIQ($C$2, "IQ_INVESTMENT_INCOME", M$6,$F$2,,,Ccy,Conv)</f>
        <v>0</v>
      </c>
      <c r="N132" s="18">
        <f>_xll.ciqfunctions.udf.CIQ($C$2, "IQ_INVESTMENT_INCOME", N$6,$F$2,,,Ccy,Conv)</f>
        <v>0</v>
      </c>
      <c r="O132" s="18"/>
      <c r="P132" s="18">
        <f>_xll.ciqfunctions.udf.CIQ($C$2, "IQ_INVESTMENT_INCOME", P$6,$F$2,,,Ccy,Conv)</f>
        <v>0</v>
      </c>
      <c r="Q132" s="238"/>
      <c r="R132" s="215"/>
      <c r="S132" s="215"/>
      <c r="T132" s="215"/>
      <c r="U132" s="215"/>
      <c r="V132" s="240"/>
      <c r="W132" s="240"/>
      <c r="X132" s="240"/>
      <c r="Y132" s="239"/>
      <c r="Z132" s="232"/>
      <c r="AA132" s="232"/>
      <c r="AB132" s="232"/>
      <c r="AC132" s="232"/>
      <c r="AD132" s="232"/>
      <c r="AE132" s="215"/>
      <c r="AF132" s="215"/>
      <c r="AG132" s="215"/>
      <c r="AH132" s="232"/>
      <c r="AI132" s="215"/>
      <c r="AJ132" s="215"/>
      <c r="AK132" s="215"/>
      <c r="AL132" s="215"/>
      <c r="AM132" s="215"/>
      <c r="AN132" s="215"/>
      <c r="AO132" s="215"/>
      <c r="AP132" s="215"/>
      <c r="AQ132" s="215"/>
      <c r="AR132" s="215"/>
      <c r="AS132" s="215"/>
      <c r="AT132" s="215"/>
      <c r="AU132" s="215"/>
      <c r="AV132" s="215"/>
      <c r="AW132" s="215"/>
      <c r="AX132" s="215"/>
      <c r="AY132" s="215"/>
      <c r="AZ132" s="215"/>
      <c r="BA132" s="215"/>
      <c r="BB132" s="215"/>
      <c r="BC132" s="215"/>
      <c r="BD132" s="215"/>
      <c r="BE132" s="215"/>
      <c r="BF132" s="215"/>
      <c r="BG132" s="215"/>
      <c r="BH132" s="215"/>
      <c r="BI132" s="215"/>
      <c r="BJ132" s="215"/>
      <c r="BK132" s="215"/>
      <c r="BL132" s="215"/>
      <c r="BM132" s="215"/>
      <c r="BN132" s="215"/>
      <c r="BO132" s="215"/>
      <c r="BP132" s="215"/>
      <c r="BQ132" s="215"/>
      <c r="BR132" s="215"/>
      <c r="BS132" s="215"/>
      <c r="BT132" s="215"/>
      <c r="BU132" s="215"/>
      <c r="BV132" s="215"/>
      <c r="BW132" s="215"/>
      <c r="BX132" s="215"/>
      <c r="BY132" s="215"/>
      <c r="BZ132" s="215"/>
    </row>
    <row r="133" spans="1:78" x14ac:dyDescent="0.2">
      <c r="A133" s="2" t="str">
        <f>'Language Index'!A134</f>
        <v>Excise Taxes Excluded from Sales</v>
      </c>
      <c r="B133" s="17"/>
      <c r="C133" s="26"/>
      <c r="D133" s="18">
        <f>_xll.ciqfunctions.udf.CIQ($C$2, "IQ_EXCISE_TAXES_EXCL_SALES", D$6,$F$2,,,Ccy,Conv)</f>
        <v>0</v>
      </c>
      <c r="E133" s="18">
        <f>_xll.ciqfunctions.udf.CIQ($C$2, "IQ_EXCISE_TAXES_EXCL_SALES", E$6,$F$2,,,Ccy,Conv)</f>
        <v>0</v>
      </c>
      <c r="F133" s="18">
        <f>_xll.ciqfunctions.udf.CIQ($C$2, "IQ_EXCISE_TAXES_EXCL_SALES", F$6,$F$2,,,Ccy,Conv)</f>
        <v>0</v>
      </c>
      <c r="G133" s="18">
        <f>_xll.ciqfunctions.udf.CIQ($C$2, "IQ_EXCISE_TAXES_EXCL_SALES", G$6,$F$2,,,Ccy,Conv)</f>
        <v>0</v>
      </c>
      <c r="H133" s="18">
        <f>_xll.ciqfunctions.udf.CIQ($C$2, "IQ_EXCISE_TAXES_EXCL_SALES", H$6,$F$2,,,Ccy,Conv)</f>
        <v>0</v>
      </c>
      <c r="I133" s="18">
        <f>_xll.ciqfunctions.udf.CIQ($C$2, "IQ_EXCISE_TAXES_EXCL_SALES", I$6,$F$2,,,Ccy,Conv)</f>
        <v>0</v>
      </c>
      <c r="J133" s="18">
        <f>_xll.ciqfunctions.udf.CIQ($C$2, "IQ_EXCISE_TAXES_EXCL_SALES", J$6,$F$2,,,Ccy,Conv)</f>
        <v>0</v>
      </c>
      <c r="K133" s="18">
        <f>_xll.ciqfunctions.udf.CIQ($C$2, "IQ_EXCISE_TAXES_EXCL_SALES", K$6,$F$2,,,Ccy,Conv)</f>
        <v>0</v>
      </c>
      <c r="L133" s="18">
        <f>_xll.ciqfunctions.udf.CIQ($C$2, "IQ_EXCISE_TAXES_EXCL_SALES", L$6,$F$2,,,Ccy,Conv)</f>
        <v>0</v>
      </c>
      <c r="M133" s="18">
        <f>_xll.ciqfunctions.udf.CIQ($C$2, "IQ_EXCISE_TAXES_EXCL_SALES", M$6,$F$2,,,Ccy,Conv)</f>
        <v>0</v>
      </c>
      <c r="N133" s="18">
        <f>_xll.ciqfunctions.udf.CIQ($C$2, "IQ_EXCISE_TAXES_EXCL_SALES", N$6,$F$2,,,Ccy,Conv)</f>
        <v>0</v>
      </c>
      <c r="O133" s="18"/>
      <c r="P133" s="18">
        <f>_xll.ciqfunctions.udf.CIQ($C$2, "IQ_EXCISE_TAXES_EXCL_SALES", P$6,$F$2,,,Ccy,Conv)</f>
        <v>0</v>
      </c>
      <c r="Q133" s="238"/>
      <c r="R133" s="215"/>
      <c r="S133" s="215"/>
      <c r="T133" s="215"/>
      <c r="U133" s="215"/>
      <c r="V133" s="240"/>
      <c r="W133" s="240"/>
      <c r="X133" s="240"/>
      <c r="Y133" s="239"/>
      <c r="Z133" s="232"/>
      <c r="AA133" s="232"/>
      <c r="AB133" s="232"/>
      <c r="AC133" s="232"/>
      <c r="AD133" s="232"/>
      <c r="AE133" s="215"/>
      <c r="AF133" s="215"/>
      <c r="AG133" s="215"/>
      <c r="AH133" s="232"/>
      <c r="AI133" s="215"/>
      <c r="AJ133" s="215"/>
      <c r="AK133" s="215"/>
      <c r="AL133" s="215"/>
      <c r="AM133" s="215"/>
      <c r="AN133" s="215"/>
      <c r="AO133" s="215"/>
      <c r="AP133" s="215"/>
      <c r="AQ133" s="215"/>
      <c r="AR133" s="215"/>
      <c r="AS133" s="215"/>
      <c r="AT133" s="215"/>
      <c r="AU133" s="215"/>
      <c r="AV133" s="215"/>
      <c r="AW133" s="215"/>
      <c r="AX133" s="215"/>
      <c r="AY133" s="215"/>
      <c r="AZ133" s="215"/>
      <c r="BA133" s="215"/>
      <c r="BB133" s="215"/>
      <c r="BC133" s="215"/>
      <c r="BD133" s="215"/>
      <c r="BE133" s="215"/>
      <c r="BF133" s="215"/>
      <c r="BG133" s="215"/>
      <c r="BH133" s="215"/>
      <c r="BI133" s="215"/>
      <c r="BJ133" s="215"/>
      <c r="BK133" s="215"/>
      <c r="BL133" s="215"/>
      <c r="BM133" s="215"/>
      <c r="BN133" s="215"/>
      <c r="BO133" s="215"/>
      <c r="BP133" s="215"/>
      <c r="BQ133" s="215"/>
      <c r="BR133" s="215"/>
      <c r="BS133" s="215"/>
      <c r="BT133" s="215"/>
      <c r="BU133" s="215"/>
      <c r="BV133" s="215"/>
      <c r="BW133" s="215"/>
      <c r="BX133" s="215"/>
      <c r="BY133" s="215"/>
      <c r="BZ133" s="215"/>
    </row>
    <row r="134" spans="1:78" x14ac:dyDescent="0.2">
      <c r="A134" s="2" t="str">
        <f>'Language Index'!A135</f>
        <v>Excise Taxes Included in Sales</v>
      </c>
      <c r="B134" s="17"/>
      <c r="C134" s="26"/>
      <c r="D134" s="18">
        <f>_xll.ciqfunctions.udf.CIQ($C$2, "IQ_EXCISE_TAXES_INCL_SALES", D$6,$F$2,,,Ccy,Conv)</f>
        <v>0</v>
      </c>
      <c r="E134" s="18">
        <f>_xll.ciqfunctions.udf.CIQ($C$2, "IQ_EXCISE_TAXES_INCL_SALES", E$6,$F$2,,,Ccy,Conv)</f>
        <v>0</v>
      </c>
      <c r="F134" s="18">
        <f>_xll.ciqfunctions.udf.CIQ($C$2, "IQ_EXCISE_TAXES_INCL_SALES", F$6,$F$2,,,Ccy,Conv)</f>
        <v>0</v>
      </c>
      <c r="G134" s="18">
        <f>_xll.ciqfunctions.udf.CIQ($C$2, "IQ_EXCISE_TAXES_INCL_SALES", G$6,$F$2,,,Ccy,Conv)</f>
        <v>0</v>
      </c>
      <c r="H134" s="18">
        <f>_xll.ciqfunctions.udf.CIQ($C$2, "IQ_EXCISE_TAXES_INCL_SALES", H$6,$F$2,,,Ccy,Conv)</f>
        <v>0</v>
      </c>
      <c r="I134" s="18">
        <f>_xll.ciqfunctions.udf.CIQ($C$2, "IQ_EXCISE_TAXES_INCL_SALES", I$6,$F$2,,,Ccy,Conv)</f>
        <v>0</v>
      </c>
      <c r="J134" s="18">
        <f>_xll.ciqfunctions.udf.CIQ($C$2, "IQ_EXCISE_TAXES_INCL_SALES", J$6,$F$2,,,Ccy,Conv)</f>
        <v>0</v>
      </c>
      <c r="K134" s="18">
        <f>_xll.ciqfunctions.udf.CIQ($C$2, "IQ_EXCISE_TAXES_INCL_SALES", K$6,$F$2,,,Ccy,Conv)</f>
        <v>0</v>
      </c>
      <c r="L134" s="18">
        <f>_xll.ciqfunctions.udf.CIQ($C$2, "IQ_EXCISE_TAXES_INCL_SALES", L$6,$F$2,,,Ccy,Conv)</f>
        <v>0</v>
      </c>
      <c r="M134" s="18">
        <f>_xll.ciqfunctions.udf.CIQ($C$2, "IQ_EXCISE_TAXES_INCL_SALES", M$6,$F$2,,,Ccy,Conv)</f>
        <v>0</v>
      </c>
      <c r="N134" s="18">
        <f>_xll.ciqfunctions.udf.CIQ($C$2, "IQ_EXCISE_TAXES_INCL_SALES", N$6,$F$2,,,Ccy,Conv)</f>
        <v>0</v>
      </c>
      <c r="O134" s="18"/>
      <c r="P134" s="18">
        <f>_xll.ciqfunctions.udf.CIQ($C$2, "IQ_EXCISE_TAXES_INCL_SALES", P$6,$F$2,,,Ccy,Conv)</f>
        <v>0</v>
      </c>
      <c r="Q134" s="238"/>
      <c r="R134" s="215"/>
      <c r="S134" s="215"/>
      <c r="T134" s="215"/>
      <c r="U134" s="215"/>
      <c r="V134" s="240"/>
      <c r="W134" s="240"/>
      <c r="X134" s="240"/>
      <c r="Y134" s="239"/>
      <c r="Z134" s="232"/>
      <c r="AA134" s="232"/>
      <c r="AB134" s="232"/>
      <c r="AC134" s="232"/>
      <c r="AD134" s="232"/>
      <c r="AE134" s="215"/>
      <c r="AF134" s="215"/>
      <c r="AG134" s="215"/>
      <c r="AH134" s="232"/>
      <c r="AI134" s="215"/>
      <c r="AJ134" s="215"/>
      <c r="AK134" s="215"/>
      <c r="AL134" s="215"/>
      <c r="AM134" s="215"/>
      <c r="AN134" s="215"/>
      <c r="AO134" s="215"/>
      <c r="AP134" s="215"/>
      <c r="AQ134" s="215"/>
      <c r="AR134" s="215"/>
      <c r="AS134" s="215"/>
      <c r="AT134" s="215"/>
      <c r="AU134" s="215"/>
      <c r="AV134" s="215"/>
      <c r="AW134" s="215"/>
      <c r="AX134" s="215"/>
      <c r="AY134" s="215"/>
      <c r="AZ134" s="215"/>
      <c r="BA134" s="215"/>
      <c r="BB134" s="215"/>
      <c r="BC134" s="215"/>
      <c r="BD134" s="215"/>
      <c r="BE134" s="215"/>
      <c r="BF134" s="215"/>
      <c r="BG134" s="215"/>
      <c r="BH134" s="215"/>
      <c r="BI134" s="215"/>
      <c r="BJ134" s="215"/>
      <c r="BK134" s="215"/>
      <c r="BL134" s="215"/>
      <c r="BM134" s="215"/>
      <c r="BN134" s="215"/>
      <c r="BO134" s="215"/>
      <c r="BP134" s="215"/>
      <c r="BQ134" s="215"/>
      <c r="BR134" s="215"/>
      <c r="BS134" s="215"/>
      <c r="BT134" s="215"/>
      <c r="BU134" s="215"/>
      <c r="BV134" s="215"/>
      <c r="BW134" s="215"/>
      <c r="BX134" s="215"/>
      <c r="BY134" s="215"/>
      <c r="BZ134" s="215"/>
    </row>
    <row r="135" spans="1:78" x14ac:dyDescent="0.2">
      <c r="A135" s="2" t="str">
        <f>'Language Index'!A136</f>
        <v>Current Domestic Taxes</v>
      </c>
      <c r="B135" s="17"/>
      <c r="C135" s="26"/>
      <c r="D135" s="18">
        <f>_xll.ciqfunctions.udf.CIQ($C$2, "IQ_CURR_DOMESTIC_TAXES", D$6,$F$2,,,Ccy,Conv)</f>
        <v>575</v>
      </c>
      <c r="E135" s="18">
        <f>_xll.ciqfunctions.udf.CIQ($C$2, "IQ_CURR_DOMESTIC_TAXES", E$6,$F$2,,,Ccy,Conv)</f>
        <v>575</v>
      </c>
      <c r="F135" s="18">
        <f>_xll.ciqfunctions.udf.CIQ($C$2, "IQ_CURR_DOMESTIC_TAXES", F$6,$F$2,,,Ccy,Conv)</f>
        <v>687</v>
      </c>
      <c r="G135" s="18">
        <f>_xll.ciqfunctions.udf.CIQ($C$2, "IQ_CURR_DOMESTIC_TAXES", G$6,$F$2,,,Ccy,Conv)</f>
        <v>687</v>
      </c>
      <c r="H135" s="18">
        <f>_xll.ciqfunctions.udf.CIQ($C$2, "IQ_CURR_DOMESTIC_TAXES", H$6,$F$2,,,Ccy,Conv)</f>
        <v>687</v>
      </c>
      <c r="I135" s="18">
        <f>_xll.ciqfunctions.udf.CIQ($C$2, "IQ_CURR_DOMESTIC_TAXES", I$6,$F$2,,,Ccy,Conv)</f>
        <v>687</v>
      </c>
      <c r="J135" s="18">
        <f>_xll.ciqfunctions.udf.CIQ($C$2, "IQ_CURR_DOMESTIC_TAXES", J$6,$F$2,,,Ccy,Conv)</f>
        <v>-183</v>
      </c>
      <c r="K135" s="18">
        <f>_xll.ciqfunctions.udf.CIQ($C$2, "IQ_CURR_DOMESTIC_TAXES", K$6,$F$2,,,Ccy,Conv)</f>
        <v>-183</v>
      </c>
      <c r="L135" s="18">
        <f>_xll.ciqfunctions.udf.CIQ($C$2, "IQ_CURR_DOMESTIC_TAXES", L$6,$F$2,,,Ccy,Conv)</f>
        <v>-183</v>
      </c>
      <c r="M135" s="18">
        <f>_xll.ciqfunctions.udf.CIQ($C$2, "IQ_CURR_DOMESTIC_TAXES", M$6,$F$2,,,Ccy,Conv)</f>
        <v>-183</v>
      </c>
      <c r="N135" s="18">
        <f>_xll.ciqfunctions.udf.CIQ($C$2, "IQ_CURR_DOMESTIC_TAXES", N$6,$F$2,,,Ccy,Conv)</f>
        <v>-1587</v>
      </c>
      <c r="O135" s="18"/>
      <c r="P135" s="18">
        <f>_xll.ciqfunctions.udf.CIQ($C$2, "IQ_CURR_DOMESTIC_TAXES", P$6,$F$2,,,Ccy,Conv)</f>
        <v>-1587</v>
      </c>
      <c r="Q135" s="238"/>
      <c r="R135" s="215"/>
      <c r="S135" s="215"/>
      <c r="T135" s="215"/>
      <c r="U135" s="215"/>
      <c r="V135" s="240"/>
      <c r="W135" s="240"/>
      <c r="X135" s="240"/>
      <c r="Y135" s="239"/>
      <c r="Z135" s="232"/>
      <c r="AA135" s="232"/>
      <c r="AB135" s="232"/>
      <c r="AC135" s="232"/>
      <c r="AD135" s="232"/>
      <c r="AE135" s="215"/>
      <c r="AF135" s="215"/>
      <c r="AG135" s="215"/>
      <c r="AH135" s="232"/>
      <c r="AI135" s="215"/>
      <c r="AJ135" s="215"/>
      <c r="AK135" s="215"/>
      <c r="AL135" s="215"/>
      <c r="AM135" s="215"/>
      <c r="AN135" s="215"/>
      <c r="AO135" s="215"/>
      <c r="AP135" s="215"/>
      <c r="AQ135" s="215"/>
      <c r="AR135" s="215"/>
      <c r="AS135" s="215"/>
      <c r="AT135" s="215"/>
      <c r="AU135" s="215"/>
      <c r="AV135" s="215"/>
      <c r="AW135" s="215"/>
      <c r="AX135" s="215"/>
      <c r="AY135" s="215"/>
      <c r="AZ135" s="215"/>
      <c r="BA135" s="215"/>
      <c r="BB135" s="215"/>
      <c r="BC135" s="215"/>
      <c r="BD135" s="215"/>
      <c r="BE135" s="215"/>
      <c r="BF135" s="215"/>
      <c r="BG135" s="215"/>
      <c r="BH135" s="215"/>
      <c r="BI135" s="215"/>
      <c r="BJ135" s="215"/>
      <c r="BK135" s="215"/>
      <c r="BL135" s="215"/>
      <c r="BM135" s="215"/>
      <c r="BN135" s="215"/>
      <c r="BO135" s="215"/>
      <c r="BP135" s="215"/>
      <c r="BQ135" s="215"/>
      <c r="BR135" s="215"/>
      <c r="BS135" s="215"/>
      <c r="BT135" s="215"/>
      <c r="BU135" s="215"/>
      <c r="BV135" s="215"/>
      <c r="BW135" s="215"/>
      <c r="BX135" s="215"/>
      <c r="BY135" s="215"/>
      <c r="BZ135" s="215"/>
    </row>
    <row r="136" spans="1:78" x14ac:dyDescent="0.2">
      <c r="A136" s="2" t="str">
        <f>'Language Index'!A137</f>
        <v>Current Foreign Taxes</v>
      </c>
      <c r="B136" s="17"/>
      <c r="C136" s="26"/>
      <c r="D136" s="18">
        <f>_xll.ciqfunctions.udf.CIQ($C$2, "IQ_CURR_FOREIGN_TAXES", D$6,$F$2,,,Ccy,Conv)</f>
        <v>1676</v>
      </c>
      <c r="E136" s="18">
        <f>_xll.ciqfunctions.udf.CIQ($C$2, "IQ_CURR_FOREIGN_TAXES", E$6,$F$2,,,Ccy,Conv)</f>
        <v>1676</v>
      </c>
      <c r="F136" s="18">
        <f>_xll.ciqfunctions.udf.CIQ($C$2, "IQ_CURR_FOREIGN_TAXES", F$6,$F$2,,,Ccy,Conv)</f>
        <v>1594</v>
      </c>
      <c r="G136" s="18">
        <f>_xll.ciqfunctions.udf.CIQ($C$2, "IQ_CURR_FOREIGN_TAXES", G$6,$F$2,,,Ccy,Conv)</f>
        <v>1594</v>
      </c>
      <c r="H136" s="18">
        <f>_xll.ciqfunctions.udf.CIQ($C$2, "IQ_CURR_FOREIGN_TAXES", H$6,$F$2,,,Ccy,Conv)</f>
        <v>1594</v>
      </c>
      <c r="I136" s="18">
        <f>_xll.ciqfunctions.udf.CIQ($C$2, "IQ_CURR_FOREIGN_TAXES", I$6,$F$2,,,Ccy,Conv)</f>
        <v>1594</v>
      </c>
      <c r="J136" s="18">
        <f>_xll.ciqfunctions.udf.CIQ($C$2, "IQ_CURR_FOREIGN_TAXES", J$6,$F$2,,,Ccy,Conv)</f>
        <v>2301</v>
      </c>
      <c r="K136" s="18">
        <f>_xll.ciqfunctions.udf.CIQ($C$2, "IQ_CURR_FOREIGN_TAXES", K$6,$F$2,,,Ccy,Conv)</f>
        <v>2301</v>
      </c>
      <c r="L136" s="18">
        <f>_xll.ciqfunctions.udf.CIQ($C$2, "IQ_CURR_FOREIGN_TAXES", L$6,$F$2,,,Ccy,Conv)</f>
        <v>2301</v>
      </c>
      <c r="M136" s="18">
        <f>_xll.ciqfunctions.udf.CIQ($C$2, "IQ_CURR_FOREIGN_TAXES", M$6,$F$2,,,Ccy,Conv)</f>
        <v>2301</v>
      </c>
      <c r="N136" s="18">
        <f>_xll.ciqfunctions.udf.CIQ($C$2, "IQ_CURR_FOREIGN_TAXES", N$6,$F$2,,,Ccy,Conv)</f>
        <v>2303</v>
      </c>
      <c r="O136" s="18"/>
      <c r="P136" s="18">
        <f>_xll.ciqfunctions.udf.CIQ($C$2, "IQ_CURR_FOREIGN_TAXES", P$6,$F$2,,,Ccy,Conv)</f>
        <v>2303</v>
      </c>
      <c r="Q136" s="238"/>
      <c r="R136" s="215"/>
      <c r="S136" s="215"/>
      <c r="T136" s="215"/>
      <c r="U136" s="215"/>
      <c r="V136" s="240"/>
      <c r="W136" s="240"/>
      <c r="X136" s="240"/>
      <c r="Y136" s="239"/>
      <c r="Z136" s="232"/>
      <c r="AA136" s="232"/>
      <c r="AB136" s="232"/>
      <c r="AC136" s="232"/>
      <c r="AD136" s="232"/>
      <c r="AE136" s="215"/>
      <c r="AF136" s="215"/>
      <c r="AG136" s="215"/>
      <c r="AH136" s="232"/>
      <c r="AI136" s="215"/>
      <c r="AJ136" s="215"/>
      <c r="AK136" s="215"/>
      <c r="AL136" s="215"/>
      <c r="AM136" s="215"/>
      <c r="AN136" s="215"/>
      <c r="AO136" s="215"/>
      <c r="AP136" s="215"/>
      <c r="AQ136" s="215"/>
      <c r="AR136" s="215"/>
      <c r="AS136" s="215"/>
      <c r="AT136" s="215"/>
      <c r="AU136" s="215"/>
      <c r="AV136" s="215"/>
      <c r="AW136" s="215"/>
      <c r="AX136" s="215"/>
      <c r="AY136" s="215"/>
      <c r="AZ136" s="215"/>
      <c r="BA136" s="215"/>
      <c r="BB136" s="215"/>
      <c r="BC136" s="215"/>
      <c r="BD136" s="215"/>
      <c r="BE136" s="215"/>
      <c r="BF136" s="215"/>
      <c r="BG136" s="215"/>
      <c r="BH136" s="215"/>
      <c r="BI136" s="215"/>
      <c r="BJ136" s="215"/>
      <c r="BK136" s="215"/>
      <c r="BL136" s="215"/>
      <c r="BM136" s="215"/>
      <c r="BN136" s="215"/>
      <c r="BO136" s="215"/>
      <c r="BP136" s="215"/>
      <c r="BQ136" s="215"/>
      <c r="BR136" s="215"/>
      <c r="BS136" s="215"/>
      <c r="BT136" s="215"/>
      <c r="BU136" s="215"/>
      <c r="BV136" s="215"/>
      <c r="BW136" s="215"/>
      <c r="BX136" s="215"/>
      <c r="BY136" s="215"/>
      <c r="BZ136" s="215"/>
    </row>
    <row r="137" spans="1:78" x14ac:dyDescent="0.2">
      <c r="A137" s="2" t="str">
        <f>'Language Index'!A138</f>
        <v>Total Current Taxes</v>
      </c>
      <c r="B137" s="17"/>
      <c r="C137" s="26"/>
      <c r="D137" s="18">
        <f>_xll.ciqfunctions.udf.CIQ($C$2, "IQ_CURR_TAXES", D$6,$F$2,,,Ccy,Conv)</f>
        <v>2251</v>
      </c>
      <c r="E137" s="18">
        <f>_xll.ciqfunctions.udf.CIQ($C$2, "IQ_CURR_TAXES", E$6,$F$2,,,Ccy,Conv)</f>
        <v>2251</v>
      </c>
      <c r="F137" s="18">
        <f>_xll.ciqfunctions.udf.CIQ($C$2, "IQ_CURR_TAXES", F$6,$F$2,,,Ccy,Conv)</f>
        <v>2281</v>
      </c>
      <c r="G137" s="18">
        <f>_xll.ciqfunctions.udf.CIQ($C$2, "IQ_CURR_TAXES", G$6,$F$2,,,Ccy,Conv)</f>
        <v>2281</v>
      </c>
      <c r="H137" s="18">
        <f>_xll.ciqfunctions.udf.CIQ($C$2, "IQ_CURR_TAXES", H$6,$F$2,,,Ccy,Conv)</f>
        <v>2281</v>
      </c>
      <c r="I137" s="18">
        <f>_xll.ciqfunctions.udf.CIQ($C$2, "IQ_CURR_TAXES", I$6,$F$2,,,Ccy,Conv)</f>
        <v>2281</v>
      </c>
      <c r="J137" s="18">
        <f>_xll.ciqfunctions.udf.CIQ($C$2, "IQ_CURR_TAXES", J$6,$F$2,,,Ccy,Conv)</f>
        <v>2118</v>
      </c>
      <c r="K137" s="18">
        <f>_xll.ciqfunctions.udf.CIQ($C$2, "IQ_CURR_TAXES", K$6,$F$2,,,Ccy,Conv)</f>
        <v>2118</v>
      </c>
      <c r="L137" s="18">
        <f>_xll.ciqfunctions.udf.CIQ($C$2, "IQ_CURR_TAXES", L$6,$F$2,,,Ccy,Conv)</f>
        <v>2118</v>
      </c>
      <c r="M137" s="18">
        <f>_xll.ciqfunctions.udf.CIQ($C$2, "IQ_CURR_TAXES", M$6,$F$2,,,Ccy,Conv)</f>
        <v>2118</v>
      </c>
      <c r="N137" s="18">
        <f>_xll.ciqfunctions.udf.CIQ($C$2, "IQ_CURR_TAXES", N$6,$F$2,,,Ccy,Conv)</f>
        <v>716</v>
      </c>
      <c r="O137" s="18"/>
      <c r="P137" s="18">
        <f>_xll.ciqfunctions.udf.CIQ($C$2, "IQ_CURR_TAXES", P$6,$F$2,,,Ccy,Conv)</f>
        <v>716</v>
      </c>
      <c r="Q137" s="238"/>
      <c r="R137" s="215"/>
      <c r="S137" s="215"/>
      <c r="T137" s="215"/>
      <c r="U137" s="215"/>
      <c r="V137" s="240"/>
      <c r="W137" s="240"/>
      <c r="X137" s="240"/>
      <c r="Y137" s="239"/>
      <c r="Z137" s="232"/>
      <c r="AA137" s="232"/>
      <c r="AB137" s="232"/>
      <c r="AC137" s="232"/>
      <c r="AD137" s="232"/>
      <c r="AE137" s="215"/>
      <c r="AF137" s="215"/>
      <c r="AG137" s="215"/>
      <c r="AH137" s="232"/>
      <c r="AI137" s="215"/>
      <c r="AJ137" s="215"/>
      <c r="AK137" s="215"/>
      <c r="AL137" s="215"/>
      <c r="AM137" s="215"/>
      <c r="AN137" s="215"/>
      <c r="AO137" s="215"/>
      <c r="AP137" s="215"/>
      <c r="AQ137" s="215"/>
      <c r="AR137" s="215"/>
      <c r="AS137" s="215"/>
      <c r="AT137" s="215"/>
      <c r="AU137" s="215"/>
      <c r="AV137" s="215"/>
      <c r="AW137" s="215"/>
      <c r="AX137" s="215"/>
      <c r="AY137" s="215"/>
      <c r="AZ137" s="215"/>
      <c r="BA137" s="215"/>
      <c r="BB137" s="215"/>
      <c r="BC137" s="215"/>
      <c r="BD137" s="215"/>
      <c r="BE137" s="215"/>
      <c r="BF137" s="215"/>
      <c r="BG137" s="215"/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/>
      <c r="BU137" s="215"/>
      <c r="BV137" s="215"/>
      <c r="BW137" s="215"/>
      <c r="BX137" s="215"/>
      <c r="BY137" s="215"/>
      <c r="BZ137" s="215"/>
    </row>
    <row r="138" spans="1:78" x14ac:dyDescent="0.2">
      <c r="A138" s="2" t="str">
        <f>'Language Index'!A139</f>
        <v>Deferred Domestic Taxes</v>
      </c>
      <c r="B138" s="17"/>
      <c r="C138" s="26"/>
      <c r="D138" s="18">
        <f>_xll.ciqfunctions.udf.CIQ($C$2, "IQ_DEFERRED_DOMESTIC_TAXES", D$6,$F$2,,,Ccy,Conv)</f>
        <v>-3131</v>
      </c>
      <c r="E138" s="18">
        <f>_xll.ciqfunctions.udf.CIQ($C$2, "IQ_DEFERRED_DOMESTIC_TAXES", E$6,$F$2,,,Ccy,Conv)</f>
        <v>-3131</v>
      </c>
      <c r="F138" s="18">
        <f>_xll.ciqfunctions.udf.CIQ($C$2, "IQ_DEFERRED_DOMESTIC_TAXES", F$6,$F$2,,,Ccy,Conv)</f>
        <v>-1533</v>
      </c>
      <c r="G138" s="18">
        <f>_xll.ciqfunctions.udf.CIQ($C$2, "IQ_DEFERRED_DOMESTIC_TAXES", G$6,$F$2,,,Ccy,Conv)</f>
        <v>-1533</v>
      </c>
      <c r="H138" s="18">
        <f>_xll.ciqfunctions.udf.CIQ($C$2, "IQ_DEFERRED_DOMESTIC_TAXES", H$6,$F$2,,,Ccy,Conv)</f>
        <v>-1533</v>
      </c>
      <c r="I138" s="18">
        <f>_xll.ciqfunctions.udf.CIQ($C$2, "IQ_DEFERRED_DOMESTIC_TAXES", I$6,$F$2,,,Ccy,Conv)</f>
        <v>-1533</v>
      </c>
      <c r="J138" s="18">
        <f>_xll.ciqfunctions.udf.CIQ($C$2, "IQ_DEFERRED_DOMESTIC_TAXES", J$6,$F$2,,,Ccy,Conv)</f>
        <v>-2539</v>
      </c>
      <c r="K138" s="18">
        <f>_xll.ciqfunctions.udf.CIQ($C$2, "IQ_DEFERRED_DOMESTIC_TAXES", K$6,$F$2,,,Ccy,Conv)</f>
        <v>-2539</v>
      </c>
      <c r="L138" s="18">
        <f>_xll.ciqfunctions.udf.CIQ($C$2, "IQ_DEFERRED_DOMESTIC_TAXES", L$6,$F$2,,,Ccy,Conv)</f>
        <v>-2539</v>
      </c>
      <c r="M138" s="18">
        <f>_xll.ciqfunctions.udf.CIQ($C$2, "IQ_DEFERRED_DOMESTIC_TAXES", M$6,$F$2,,,Ccy,Conv)</f>
        <v>-2539</v>
      </c>
      <c r="N138" s="18">
        <f>_xll.ciqfunctions.udf.CIQ($C$2, "IQ_DEFERRED_DOMESTIC_TAXES", N$6,$F$2,,,Ccy,Conv)</f>
        <v>-249</v>
      </c>
      <c r="O138" s="18"/>
      <c r="P138" s="18">
        <f>_xll.ciqfunctions.udf.CIQ($C$2, "IQ_DEFERRED_DOMESTIC_TAXES", P$6,$F$2,,,Ccy,Conv)</f>
        <v>-249</v>
      </c>
      <c r="Q138" s="238"/>
      <c r="R138" s="215"/>
      <c r="S138" s="215"/>
      <c r="T138" s="215"/>
      <c r="U138" s="215"/>
      <c r="V138" s="240"/>
      <c r="W138" s="240"/>
      <c r="X138" s="240"/>
      <c r="Y138" s="239"/>
      <c r="Z138" s="232"/>
      <c r="AA138" s="232"/>
      <c r="AB138" s="232"/>
      <c r="AC138" s="232"/>
      <c r="AD138" s="232"/>
      <c r="AE138" s="215"/>
      <c r="AF138" s="215"/>
      <c r="AG138" s="215"/>
      <c r="AH138" s="232"/>
      <c r="AI138" s="215"/>
      <c r="AJ138" s="215"/>
      <c r="AK138" s="215"/>
      <c r="AL138" s="215"/>
      <c r="AM138" s="215"/>
      <c r="AN138" s="215"/>
      <c r="AO138" s="215"/>
      <c r="AP138" s="215"/>
      <c r="AQ138" s="215"/>
      <c r="AR138" s="215"/>
      <c r="AS138" s="215"/>
      <c r="AT138" s="215"/>
      <c r="AU138" s="215"/>
      <c r="AV138" s="215"/>
      <c r="AW138" s="215"/>
      <c r="AX138" s="215"/>
      <c r="AY138" s="215"/>
      <c r="AZ138" s="215"/>
      <c r="BA138" s="215"/>
      <c r="BB138" s="215"/>
      <c r="BC138" s="215"/>
      <c r="BD138" s="215"/>
      <c r="BE138" s="215"/>
      <c r="BF138" s="215"/>
      <c r="BG138" s="215"/>
      <c r="BH138" s="215"/>
      <c r="BI138" s="215"/>
      <c r="BJ138" s="215"/>
      <c r="BK138" s="215"/>
      <c r="BL138" s="215"/>
      <c r="BM138" s="215"/>
      <c r="BN138" s="215"/>
      <c r="BO138" s="215"/>
      <c r="BP138" s="215"/>
      <c r="BQ138" s="215"/>
      <c r="BR138" s="215"/>
      <c r="BS138" s="215"/>
      <c r="BT138" s="215"/>
      <c r="BU138" s="215"/>
      <c r="BV138" s="215"/>
      <c r="BW138" s="215"/>
      <c r="BX138" s="215"/>
      <c r="BY138" s="215"/>
      <c r="BZ138" s="215"/>
    </row>
    <row r="139" spans="1:78" x14ac:dyDescent="0.2">
      <c r="A139" s="2" t="str">
        <f>'Language Index'!A140</f>
        <v>Deferred Foreign Taxes</v>
      </c>
      <c r="B139" s="17"/>
      <c r="C139" s="26"/>
      <c r="D139" s="18">
        <f>_xll.ciqfunctions.udf.CIQ($C$2, "IQ_DEFERRED_FOREIGN_TAXES", D$6,$F$2,,,Ccy,Conv)</f>
        <v>252</v>
      </c>
      <c r="E139" s="18">
        <f>_xll.ciqfunctions.udf.CIQ($C$2, "IQ_DEFERRED_FOREIGN_TAXES", E$6,$F$2,,,Ccy,Conv)</f>
        <v>252</v>
      </c>
      <c r="F139" s="18">
        <f>_xll.ciqfunctions.udf.CIQ($C$2, "IQ_DEFERRED_FOREIGN_TAXES", F$6,$F$2,,,Ccy,Conv)</f>
        <v>428</v>
      </c>
      <c r="G139" s="18">
        <f>_xll.ciqfunctions.udf.CIQ($C$2, "IQ_DEFERRED_FOREIGN_TAXES", G$6,$F$2,,,Ccy,Conv)</f>
        <v>428</v>
      </c>
      <c r="H139" s="18">
        <f>_xll.ciqfunctions.udf.CIQ($C$2, "IQ_DEFERRED_FOREIGN_TAXES", H$6,$F$2,,,Ccy,Conv)</f>
        <v>428</v>
      </c>
      <c r="I139" s="18">
        <f>_xll.ciqfunctions.udf.CIQ($C$2, "IQ_DEFERRED_FOREIGN_TAXES", I$6,$F$2,,,Ccy,Conv)</f>
        <v>428</v>
      </c>
      <c r="J139" s="18">
        <f>_xll.ciqfunctions.udf.CIQ($C$2, "IQ_DEFERRED_FOREIGN_TAXES", J$6,$F$2,,,Ccy,Conv)</f>
        <v>203</v>
      </c>
      <c r="K139" s="18">
        <f>_xll.ciqfunctions.udf.CIQ($C$2, "IQ_DEFERRED_FOREIGN_TAXES", K$6,$F$2,,,Ccy,Conv)</f>
        <v>203</v>
      </c>
      <c r="L139" s="18">
        <f>_xll.ciqfunctions.udf.CIQ($C$2, "IQ_DEFERRED_FOREIGN_TAXES", L$6,$F$2,,,Ccy,Conv)</f>
        <v>203</v>
      </c>
      <c r="M139" s="18">
        <f>_xll.ciqfunctions.udf.CIQ($C$2, "IQ_DEFERRED_FOREIGN_TAXES", M$6,$F$2,,,Ccy,Conv)</f>
        <v>203</v>
      </c>
      <c r="N139" s="18">
        <f>_xll.ciqfunctions.udf.CIQ($C$2, "IQ_DEFERRED_FOREIGN_TAXES", N$6,$F$2,,,Ccy,Conv)</f>
        <v>-708</v>
      </c>
      <c r="O139" s="18"/>
      <c r="P139" s="18">
        <f>_xll.ciqfunctions.udf.CIQ($C$2, "IQ_DEFERRED_FOREIGN_TAXES", P$6,$F$2,,,Ccy,Conv)</f>
        <v>-708</v>
      </c>
      <c r="Q139" s="238"/>
      <c r="R139" s="215"/>
      <c r="S139" s="215"/>
      <c r="T139" s="215"/>
      <c r="U139" s="215"/>
      <c r="V139" s="240"/>
      <c r="W139" s="240"/>
      <c r="X139" s="240"/>
      <c r="Y139" s="239"/>
      <c r="Z139" s="232"/>
      <c r="AA139" s="232"/>
      <c r="AB139" s="232"/>
      <c r="AC139" s="232"/>
      <c r="AD139" s="232"/>
      <c r="AE139" s="215"/>
      <c r="AF139" s="215"/>
      <c r="AG139" s="215"/>
      <c r="AH139" s="232"/>
      <c r="AI139" s="215"/>
      <c r="AJ139" s="215"/>
      <c r="AK139" s="215"/>
      <c r="AL139" s="215"/>
      <c r="AM139" s="215"/>
      <c r="AN139" s="215"/>
      <c r="AO139" s="215"/>
      <c r="AP139" s="215"/>
      <c r="AQ139" s="215"/>
      <c r="AR139" s="215"/>
      <c r="AS139" s="215"/>
      <c r="AT139" s="215"/>
      <c r="AU139" s="215"/>
      <c r="AV139" s="215"/>
      <c r="AW139" s="215"/>
      <c r="AX139" s="215"/>
      <c r="AY139" s="215"/>
      <c r="AZ139" s="215"/>
      <c r="BA139" s="215"/>
      <c r="BB139" s="215"/>
      <c r="BC139" s="215"/>
      <c r="BD139" s="215"/>
      <c r="BE139" s="215"/>
      <c r="BF139" s="215"/>
      <c r="BG139" s="215"/>
      <c r="BH139" s="215"/>
      <c r="BI139" s="215"/>
      <c r="BJ139" s="215"/>
      <c r="BK139" s="215"/>
      <c r="BL139" s="215"/>
      <c r="BM139" s="215"/>
      <c r="BN139" s="215"/>
      <c r="BO139" s="215"/>
      <c r="BP139" s="215"/>
      <c r="BQ139" s="215"/>
      <c r="BR139" s="215"/>
      <c r="BS139" s="215"/>
      <c r="BT139" s="215"/>
      <c r="BU139" s="215"/>
      <c r="BV139" s="215"/>
      <c r="BW139" s="215"/>
      <c r="BX139" s="215"/>
      <c r="BY139" s="215"/>
      <c r="BZ139" s="215"/>
    </row>
    <row r="140" spans="1:78" x14ac:dyDescent="0.2">
      <c r="A140" s="2" t="str">
        <f>'Language Index'!A141</f>
        <v>Total Deferred Taxes</v>
      </c>
      <c r="B140" s="17"/>
      <c r="C140" s="26"/>
      <c r="D140" s="18">
        <f>_xll.ciqfunctions.udf.CIQ($C$2, "IQ_DEFERRED_TAXES_TOTAL", D$6,$F$2,,,Ccy,Conv)</f>
        <v>-2879</v>
      </c>
      <c r="E140" s="18">
        <f>_xll.ciqfunctions.udf.CIQ($C$2, "IQ_DEFERRED_TAXES_TOTAL", E$6,$F$2,,,Ccy,Conv)</f>
        <v>-2879</v>
      </c>
      <c r="F140" s="18">
        <f>_xll.ciqfunctions.udf.CIQ($C$2, "IQ_DEFERRED_TAXES_TOTAL", F$6,$F$2,,,Ccy,Conv)</f>
        <v>-1105</v>
      </c>
      <c r="G140" s="18">
        <f>_xll.ciqfunctions.udf.CIQ($C$2, "IQ_DEFERRED_TAXES_TOTAL", G$6,$F$2,,,Ccy,Conv)</f>
        <v>-1105</v>
      </c>
      <c r="H140" s="18">
        <f>_xll.ciqfunctions.udf.CIQ($C$2, "IQ_DEFERRED_TAXES_TOTAL", H$6,$F$2,,,Ccy,Conv)</f>
        <v>-1105</v>
      </c>
      <c r="I140" s="18">
        <f>_xll.ciqfunctions.udf.CIQ($C$2, "IQ_DEFERRED_TAXES_TOTAL", I$6,$F$2,,,Ccy,Conv)</f>
        <v>-1105</v>
      </c>
      <c r="J140" s="18">
        <f>_xll.ciqfunctions.udf.CIQ($C$2, "IQ_DEFERRED_TAXES_TOTAL", J$6,$F$2,,,Ccy,Conv)</f>
        <v>-2336</v>
      </c>
      <c r="K140" s="18">
        <f>_xll.ciqfunctions.udf.CIQ($C$2, "IQ_DEFERRED_TAXES_TOTAL", K$6,$F$2,,,Ccy,Conv)</f>
        <v>-2336</v>
      </c>
      <c r="L140" s="18">
        <f>_xll.ciqfunctions.udf.CIQ($C$2, "IQ_DEFERRED_TAXES_TOTAL", L$6,$F$2,,,Ccy,Conv)</f>
        <v>-2336</v>
      </c>
      <c r="M140" s="18">
        <f>_xll.ciqfunctions.udf.CIQ($C$2, "IQ_DEFERRED_TAXES_TOTAL", M$6,$F$2,,,Ccy,Conv)</f>
        <v>-2336</v>
      </c>
      <c r="N140" s="18">
        <f>_xll.ciqfunctions.udf.CIQ($C$2, "IQ_DEFERRED_TAXES_TOTAL", N$6,$F$2,,,Ccy,Conv)</f>
        <v>-957</v>
      </c>
      <c r="O140" s="18"/>
      <c r="P140" s="18">
        <f>_xll.ciqfunctions.udf.CIQ($C$2, "IQ_DEFERRED_TAXES_TOTAL", P$6,$F$2,,,Ccy,Conv)</f>
        <v>-957</v>
      </c>
      <c r="Q140" s="238"/>
      <c r="R140" s="215"/>
      <c r="S140" s="215"/>
      <c r="T140" s="215"/>
      <c r="U140" s="215"/>
      <c r="V140" s="240"/>
      <c r="W140" s="240"/>
      <c r="X140" s="240"/>
      <c r="Y140" s="239"/>
      <c r="Z140" s="232"/>
      <c r="AA140" s="232"/>
      <c r="AB140" s="232"/>
      <c r="AC140" s="232"/>
      <c r="AD140" s="232"/>
      <c r="AE140" s="215"/>
      <c r="AF140" s="215"/>
      <c r="AG140" s="215"/>
      <c r="AH140" s="232"/>
      <c r="AI140" s="215"/>
      <c r="AJ140" s="215"/>
      <c r="AK140" s="215"/>
      <c r="AL140" s="215"/>
      <c r="AM140" s="215"/>
      <c r="AN140" s="215"/>
      <c r="AO140" s="215"/>
      <c r="AP140" s="215"/>
      <c r="AQ140" s="215"/>
      <c r="AR140" s="215"/>
      <c r="AS140" s="215"/>
      <c r="AT140" s="215"/>
      <c r="AU140" s="215"/>
      <c r="AV140" s="215"/>
      <c r="AW140" s="215"/>
      <c r="AX140" s="215"/>
      <c r="AY140" s="215"/>
      <c r="AZ140" s="215"/>
      <c r="BA140" s="215"/>
      <c r="BB140" s="215"/>
      <c r="BC140" s="215"/>
      <c r="BD140" s="215"/>
      <c r="BE140" s="215"/>
      <c r="BF140" s="215"/>
      <c r="BG140" s="215"/>
      <c r="BH140" s="215"/>
      <c r="BI140" s="215"/>
      <c r="BJ140" s="215"/>
      <c r="BK140" s="215"/>
      <c r="BL140" s="215"/>
      <c r="BM140" s="215"/>
      <c r="BN140" s="215"/>
      <c r="BO140" s="215"/>
      <c r="BP140" s="215"/>
      <c r="BQ140" s="215"/>
      <c r="BR140" s="215"/>
      <c r="BS140" s="215"/>
      <c r="BT140" s="215"/>
      <c r="BU140" s="215"/>
      <c r="BV140" s="215"/>
      <c r="BW140" s="215"/>
      <c r="BX140" s="215"/>
      <c r="BY140" s="215"/>
      <c r="BZ140" s="215"/>
    </row>
    <row r="141" spans="1:78" x14ac:dyDescent="0.2">
      <c r="A141" s="2" t="str">
        <f>'Language Index'!A142</f>
        <v>Non-Recurring Income Taxes</v>
      </c>
      <c r="B141" s="17"/>
      <c r="C141" s="26"/>
      <c r="D141" s="18">
        <f>_xll.ciqfunctions.udf.CIQ($C$2, "IQ_NONRECURRING_INCOME_TAXES", D$6,$F$2,,,Ccy,Conv)</f>
        <v>157</v>
      </c>
      <c r="E141" s="18">
        <f>_xll.ciqfunctions.udf.CIQ($C$2, "IQ_NONRECURRING_INCOME_TAXES", E$6,$F$2,,,Ccy,Conv)</f>
        <v>133</v>
      </c>
      <c r="F141" s="18">
        <f>_xll.ciqfunctions.udf.CIQ($C$2, "IQ_NONRECURRING_INCOME_TAXES", F$6,$F$2,,,Ccy,Conv)</f>
        <v>0</v>
      </c>
      <c r="G141" s="18">
        <f>_xll.ciqfunctions.udf.CIQ($C$2, "IQ_NONRECURRING_INCOME_TAXES", G$6,$F$2,,,Ccy,Conv)</f>
        <v>-358</v>
      </c>
      <c r="H141" s="18">
        <f>_xll.ciqfunctions.udf.CIQ($C$2, "IQ_NONRECURRING_INCOME_TAXES", H$6,$F$2,,,Ccy,Conv)</f>
        <v>416</v>
      </c>
      <c r="I141" s="18">
        <f>_xll.ciqfunctions.udf.CIQ($C$2, "IQ_NONRECURRING_INCOME_TAXES", I$6,$F$2,,,Ccy,Conv)</f>
        <v>438</v>
      </c>
      <c r="J141" s="18">
        <f>_xll.ciqfunctions.udf.CIQ($C$2, "IQ_NONRECURRING_INCOME_TAXES", J$6,$F$2,,,Ccy,Conv)</f>
        <v>-455</v>
      </c>
      <c r="K141" s="18">
        <f>_xll.ciqfunctions.udf.CIQ($C$2, "IQ_NONRECURRING_INCOME_TAXES", K$6,$F$2,,,Ccy,Conv)</f>
        <v>-9</v>
      </c>
      <c r="L141" s="18">
        <f>_xll.ciqfunctions.udf.CIQ($C$2, "IQ_NONRECURRING_INCOME_TAXES", L$6,$F$2,,,Ccy,Conv)</f>
        <v>-21</v>
      </c>
      <c r="M141" s="18">
        <f>_xll.ciqfunctions.udf.CIQ($C$2, "IQ_NONRECURRING_INCOME_TAXES", M$6,$F$2,,,Ccy,Conv)</f>
        <v>-1196</v>
      </c>
      <c r="N141" s="18">
        <f>_xll.ciqfunctions.udf.CIQ($C$2, "IQ_NONRECURRING_INCOME_TAXES", N$6,$F$2,,,Ccy,Conv)</f>
        <v>-1161</v>
      </c>
      <c r="O141" s="18"/>
      <c r="P141" s="18">
        <f>_xll.ciqfunctions.udf.CIQ($C$2, "IQ_NONRECURRING_INCOME_TAXES", P$6,$F$2,,,Ccy,Conv)</f>
        <v>-1161</v>
      </c>
      <c r="Q141" s="238"/>
      <c r="R141" s="215"/>
      <c r="S141" s="215"/>
      <c r="T141" s="215"/>
      <c r="U141" s="215"/>
      <c r="V141" s="240"/>
      <c r="W141" s="240"/>
      <c r="X141" s="240"/>
      <c r="Y141" s="239"/>
      <c r="Z141" s="232"/>
      <c r="AA141" s="232"/>
      <c r="AB141" s="232"/>
      <c r="AC141" s="232"/>
      <c r="AD141" s="232"/>
      <c r="AE141" s="215"/>
      <c r="AF141" s="215"/>
      <c r="AG141" s="215"/>
      <c r="AH141" s="232"/>
      <c r="AI141" s="215"/>
      <c r="AJ141" s="215"/>
      <c r="AK141" s="215"/>
      <c r="AL141" s="215"/>
      <c r="AM141" s="215"/>
      <c r="AN141" s="215"/>
      <c r="AO141" s="215"/>
      <c r="AP141" s="215"/>
      <c r="AQ141" s="215"/>
      <c r="AR141" s="215"/>
      <c r="AS141" s="215"/>
      <c r="AT141" s="215"/>
      <c r="AU141" s="215"/>
      <c r="AV141" s="215"/>
      <c r="AW141" s="215"/>
      <c r="AX141" s="215"/>
      <c r="AY141" s="215"/>
      <c r="AZ141" s="215"/>
      <c r="BA141" s="215"/>
      <c r="BB141" s="215"/>
      <c r="BC141" s="215"/>
      <c r="BD141" s="215"/>
      <c r="BE141" s="215"/>
      <c r="BF141" s="215"/>
      <c r="BG141" s="215"/>
      <c r="BH141" s="215"/>
      <c r="BI141" s="215"/>
      <c r="BJ141" s="215"/>
      <c r="BK141" s="215"/>
      <c r="BL141" s="215"/>
      <c r="BM141" s="215"/>
      <c r="BN141" s="215"/>
      <c r="BO141" s="215"/>
      <c r="BP141" s="215"/>
      <c r="BQ141" s="215"/>
      <c r="BR141" s="215"/>
      <c r="BS141" s="215"/>
      <c r="BT141" s="215"/>
      <c r="BU141" s="215"/>
      <c r="BV141" s="215"/>
      <c r="BW141" s="215"/>
      <c r="BX141" s="215"/>
      <c r="BY141" s="215"/>
      <c r="BZ141" s="215"/>
    </row>
    <row r="142" spans="1:78" x14ac:dyDescent="0.2">
      <c r="A142" s="2" t="str">
        <f>'Language Index'!A143</f>
        <v>Normalized Net Income</v>
      </c>
      <c r="B142" s="17"/>
      <c r="C142" s="26"/>
      <c r="D142" s="18">
        <f>_xll.ciqfunctions.udf.CIQ($C$2, "IQ_NI_NORM", D$6,$F$2,,,Ccy,Conv)</f>
        <v>5054.375</v>
      </c>
      <c r="E142" s="18">
        <f>_xll.ciqfunctions.udf.CIQ($C$2, "IQ_NI_NORM", E$6,$F$2,,,Ccy,Conv)</f>
        <v>5603.75</v>
      </c>
      <c r="F142" s="18">
        <f>_xll.ciqfunctions.udf.CIQ($C$2, "IQ_NI_NORM", F$6,$F$2,,,Ccy,Conv)</f>
        <v>5406.875</v>
      </c>
      <c r="G142" s="18">
        <f>_xll.ciqfunctions.udf.CIQ($C$2, "IQ_NI_NORM", G$6,$F$2,,,Ccy,Conv)</f>
        <v>5632.5</v>
      </c>
      <c r="H142" s="18">
        <f>_xll.ciqfunctions.udf.CIQ($C$2, "IQ_NI_NORM", H$6,$F$2,,,Ccy,Conv)</f>
        <v>5724.375</v>
      </c>
      <c r="I142" s="18">
        <f>_xll.ciqfunctions.udf.CIQ($C$2, "IQ_NI_NORM", I$6,$F$2,,,Ccy,Conv)</f>
        <v>5698.125</v>
      </c>
      <c r="J142" s="18">
        <f>_xll.ciqfunctions.udf.CIQ($C$2, "IQ_NI_NORM", J$6,$F$2,,,Ccy,Conv)</f>
        <v>5698.125</v>
      </c>
      <c r="K142" s="18">
        <f>_xll.ciqfunctions.udf.CIQ($C$2, "IQ_NI_NORM", K$6,$F$2,,,Ccy,Conv)</f>
        <v>5881.875</v>
      </c>
      <c r="L142" s="18">
        <f>_xll.ciqfunctions.udf.CIQ($C$2, "IQ_NI_NORM", L$6,$F$2,,,Ccy,Conv)</f>
        <v>6114.375</v>
      </c>
      <c r="M142" s="18">
        <f>_xll.ciqfunctions.udf.CIQ($C$2, "IQ_NI_NORM", M$6,$F$2,,,Ccy,Conv)</f>
        <v>6483.75</v>
      </c>
      <c r="N142" s="18">
        <f>_xll.ciqfunctions.udf.CIQ($C$2, "IQ_NI_NORM", N$6,$F$2,,,Ccy,Conv)</f>
        <v>6974.375</v>
      </c>
      <c r="O142" s="18"/>
      <c r="P142" s="18">
        <f>_xll.ciqfunctions.udf.CIQ($C$2, "IQ_NI_NORM", P$6,$F$2,,,Ccy,Conv)</f>
        <v>6974.375</v>
      </c>
      <c r="Q142" s="238"/>
      <c r="R142" s="215"/>
      <c r="S142" s="215"/>
      <c r="T142" s="215"/>
      <c r="U142" s="215"/>
      <c r="V142" s="240"/>
      <c r="W142" s="240"/>
      <c r="X142" s="240"/>
      <c r="Y142" s="239"/>
      <c r="Z142" s="232"/>
      <c r="AA142" s="232"/>
      <c r="AB142" s="232"/>
      <c r="AC142" s="232"/>
      <c r="AD142" s="232"/>
      <c r="AE142" s="215"/>
      <c r="AF142" s="215"/>
      <c r="AG142" s="215"/>
      <c r="AH142" s="232"/>
      <c r="AI142" s="215"/>
      <c r="AJ142" s="215"/>
      <c r="AK142" s="215"/>
      <c r="AL142" s="215"/>
      <c r="AM142" s="215"/>
      <c r="AN142" s="215"/>
      <c r="AO142" s="215"/>
      <c r="AP142" s="215"/>
      <c r="AQ142" s="215"/>
      <c r="AR142" s="215"/>
      <c r="AS142" s="215"/>
      <c r="AT142" s="215"/>
      <c r="AU142" s="215"/>
      <c r="AV142" s="215"/>
      <c r="AW142" s="215"/>
      <c r="AX142" s="215"/>
      <c r="AY142" s="215"/>
      <c r="AZ142" s="215"/>
      <c r="BA142" s="215"/>
      <c r="BB142" s="215"/>
      <c r="BC142" s="215"/>
      <c r="BD142" s="215"/>
      <c r="BE142" s="215"/>
      <c r="BF142" s="215"/>
      <c r="BG142" s="215"/>
      <c r="BH142" s="215"/>
      <c r="BI142" s="215"/>
      <c r="BJ142" s="215"/>
      <c r="BK142" s="215"/>
      <c r="BL142" s="215"/>
      <c r="BM142" s="215"/>
      <c r="BN142" s="215"/>
      <c r="BO142" s="215"/>
      <c r="BP142" s="215"/>
      <c r="BQ142" s="215"/>
      <c r="BR142" s="215"/>
      <c r="BS142" s="215"/>
      <c r="BT142" s="215"/>
      <c r="BU142" s="215"/>
      <c r="BV142" s="215"/>
      <c r="BW142" s="215"/>
      <c r="BX142" s="215"/>
      <c r="BY142" s="215"/>
      <c r="BZ142" s="215"/>
    </row>
    <row r="143" spans="1:78" x14ac:dyDescent="0.2">
      <c r="A143" s="2" t="str">
        <f>'Language Index'!A144</f>
        <v>Diluted Net Income</v>
      </c>
      <c r="B143" s="17"/>
      <c r="C143" s="26"/>
      <c r="D143" s="18">
        <f>_xll.ciqfunctions.udf.CIQ($C$2, "IQ_DILUT_NI", D$6,$F$2,,,Ccy,Conv)</f>
        <v>2166.6508600000002</v>
      </c>
      <c r="E143" s="18">
        <f>_xll.ciqfunctions.udf.CIQ($C$2, "IQ_DILUT_NI", E$6,$F$2,,,Ccy,Conv)</f>
        <v>7094.0633399999997</v>
      </c>
      <c r="F143" s="18">
        <f>_xll.ciqfunctions.udf.CIQ($C$2, "IQ_DILUT_NI", F$6,$F$2,,,Ccy,Conv)</f>
        <v>7514.9017000000003</v>
      </c>
      <c r="G143" s="18">
        <f>_xll.ciqfunctions.udf.CIQ($C$2, "IQ_DILUT_NI", G$6,$F$2,,,Ccy,Conv)</f>
        <v>8156.1984300000004</v>
      </c>
      <c r="H143" s="18">
        <f>_xll.ciqfunctions.udf.CIQ($C$2, "IQ_DILUT_NI", H$6,$F$2,,,Ccy,Conv)</f>
        <v>8398.6477500000001</v>
      </c>
      <c r="I143" s="18">
        <f>_xll.ciqfunctions.udf.CIQ($C$2, "IQ_DILUT_NI", I$6,$F$2,,,Ccy,Conv)</f>
        <v>6377.5447000000004</v>
      </c>
      <c r="J143" s="18">
        <f>_xll.ciqfunctions.udf.CIQ($C$2, "IQ_DILUT_NI", J$6,$F$2,,,Ccy,Conv)</f>
        <v>6016.5750600000001</v>
      </c>
      <c r="K143" s="18">
        <f>_xll.ciqfunctions.udf.CIQ($C$2, "IQ_DILUT_NI", K$6,$F$2,,,Ccy,Conv)</f>
        <v>5497.8885600000003</v>
      </c>
      <c r="L143" s="18">
        <f>_xll.ciqfunctions.udf.CIQ($C$2, "IQ_DILUT_NI", L$6,$F$2,,,Ccy,Conv)</f>
        <v>5855.02106</v>
      </c>
      <c r="M143" s="18">
        <f>_xll.ciqfunctions.udf.CIQ($C$2, "IQ_DILUT_NI", M$6,$F$2,,,Ccy,Conv)</f>
        <v>7922.5530600000002</v>
      </c>
      <c r="N143" s="18">
        <f>_xll.ciqfunctions.udf.CIQ($C$2, "IQ_DILUT_NI", N$6,$F$2,,,Ccy,Conv)</f>
        <v>10568.242039999999</v>
      </c>
      <c r="O143" s="18"/>
      <c r="P143" s="18">
        <f>_xll.ciqfunctions.udf.CIQ($C$2, "IQ_DILUT_NI", P$6,$F$2,,,Ccy,Conv)</f>
        <v>10568.242039999999</v>
      </c>
      <c r="Q143" s="238"/>
      <c r="R143" s="215"/>
      <c r="S143" s="215"/>
      <c r="T143" s="215"/>
      <c r="U143" s="215"/>
      <c r="V143" s="240"/>
      <c r="W143" s="240"/>
      <c r="X143" s="240"/>
      <c r="Y143" s="239"/>
      <c r="Z143" s="232"/>
      <c r="AA143" s="232"/>
      <c r="AB143" s="232"/>
      <c r="AC143" s="232"/>
      <c r="AD143" s="232"/>
      <c r="AE143" s="215"/>
      <c r="AF143" s="215"/>
      <c r="AG143" s="215"/>
      <c r="AH143" s="232"/>
      <c r="AI143" s="215"/>
      <c r="AJ143" s="215"/>
      <c r="AK143" s="215"/>
      <c r="AL143" s="215"/>
      <c r="AM143" s="215"/>
      <c r="AN143" s="215"/>
      <c r="AO143" s="215"/>
      <c r="AP143" s="215"/>
      <c r="AQ143" s="215"/>
      <c r="AR143" s="215"/>
      <c r="AS143" s="215"/>
      <c r="AT143" s="215"/>
      <c r="AU143" s="215"/>
      <c r="AV143" s="215"/>
      <c r="AW143" s="215"/>
      <c r="AX143" s="215"/>
      <c r="AY143" s="215"/>
      <c r="AZ143" s="215"/>
      <c r="BA143" s="215"/>
      <c r="BB143" s="215"/>
      <c r="BC143" s="215"/>
      <c r="BD143" s="215"/>
      <c r="BE143" s="215"/>
      <c r="BF143" s="215"/>
      <c r="BG143" s="215"/>
      <c r="BH143" s="215"/>
      <c r="BI143" s="215"/>
      <c r="BJ143" s="215"/>
      <c r="BK143" s="215"/>
      <c r="BL143" s="215"/>
      <c r="BM143" s="215"/>
      <c r="BN143" s="215"/>
      <c r="BO143" s="215"/>
      <c r="BP143" s="215"/>
      <c r="BQ143" s="215"/>
      <c r="BR143" s="215"/>
      <c r="BS143" s="215"/>
      <c r="BT143" s="215"/>
      <c r="BU143" s="215"/>
      <c r="BV143" s="215"/>
      <c r="BW143" s="215"/>
      <c r="BX143" s="215"/>
      <c r="BY143" s="215"/>
      <c r="BZ143" s="215"/>
    </row>
    <row r="144" spans="1:78" x14ac:dyDescent="0.2">
      <c r="A144" s="2" t="str">
        <f>'Language Index'!A145</f>
        <v>Interest Capitalized</v>
      </c>
      <c r="B144" s="17"/>
      <c r="C144" s="26"/>
      <c r="D144" s="18">
        <f>_xll.ciqfunctions.udf.CIQ($C$2, "IQ_CAPITALIZED_INTEREST", D$6,$F$2,,,Ccy,Conv)</f>
        <v>0</v>
      </c>
      <c r="E144" s="18">
        <f>_xll.ciqfunctions.udf.CIQ($C$2, "IQ_CAPITALIZED_INTEREST", E$6,$F$2,,,Ccy,Conv)</f>
        <v>0</v>
      </c>
      <c r="F144" s="18">
        <f>_xll.ciqfunctions.udf.CIQ($C$2, "IQ_CAPITALIZED_INTEREST", F$6,$F$2,,,Ccy,Conv)</f>
        <v>9</v>
      </c>
      <c r="G144" s="18">
        <f>_xll.ciqfunctions.udf.CIQ($C$2, "IQ_CAPITALIZED_INTEREST", G$6,$F$2,,,Ccy,Conv)</f>
        <v>0</v>
      </c>
      <c r="H144" s="18">
        <f>_xll.ciqfunctions.udf.CIQ($C$2, "IQ_CAPITALIZED_INTEREST", H$6,$F$2,,,Ccy,Conv)</f>
        <v>0</v>
      </c>
      <c r="I144" s="18">
        <f>_xll.ciqfunctions.udf.CIQ($C$2, "IQ_CAPITALIZED_INTEREST", I$6,$F$2,,,Ccy,Conv)</f>
        <v>0</v>
      </c>
      <c r="J144" s="18">
        <f>_xll.ciqfunctions.udf.CIQ($C$2, "IQ_CAPITALIZED_INTEREST", J$6,$F$2,,,Ccy,Conv)</f>
        <v>12</v>
      </c>
      <c r="K144" s="18">
        <f>_xll.ciqfunctions.udf.CIQ($C$2, "IQ_CAPITALIZED_INTEREST", K$6,$F$2,,,Ccy,Conv)</f>
        <v>0</v>
      </c>
      <c r="L144" s="18">
        <f>_xll.ciqfunctions.udf.CIQ($C$2, "IQ_CAPITALIZED_INTEREST", L$6,$F$2,,,Ccy,Conv)</f>
        <v>0</v>
      </c>
      <c r="M144" s="18">
        <f>_xll.ciqfunctions.udf.CIQ($C$2, "IQ_CAPITALIZED_INTEREST", M$6,$F$2,,,Ccy,Conv)</f>
        <v>0</v>
      </c>
      <c r="N144" s="18">
        <f>_xll.ciqfunctions.udf.CIQ($C$2, "IQ_CAPITALIZED_INTEREST", N$6,$F$2,,,Ccy,Conv)</f>
        <v>4</v>
      </c>
      <c r="O144" s="18"/>
      <c r="P144" s="18">
        <f>_xll.ciqfunctions.udf.CIQ($C$2, "IQ_CAPITALIZED_INTEREST", P$6,$F$2,,,Ccy,Conv)</f>
        <v>4</v>
      </c>
      <c r="Q144" s="238"/>
      <c r="R144" s="215"/>
      <c r="S144" s="215"/>
      <c r="T144" s="215"/>
      <c r="U144" s="215"/>
      <c r="V144" s="240"/>
      <c r="W144" s="240"/>
      <c r="X144" s="240"/>
      <c r="Y144" s="239"/>
      <c r="Z144" s="232"/>
      <c r="AA144" s="232"/>
      <c r="AB144" s="232"/>
      <c r="AC144" s="232"/>
      <c r="AD144" s="232"/>
      <c r="AE144" s="215"/>
      <c r="AF144" s="215"/>
      <c r="AG144" s="215"/>
      <c r="AH144" s="232"/>
      <c r="AI144" s="215"/>
      <c r="AJ144" s="215"/>
      <c r="AK144" s="215"/>
      <c r="AL144" s="215"/>
      <c r="AM144" s="215"/>
      <c r="AN144" s="215"/>
      <c r="AO144" s="215"/>
      <c r="AP144" s="215"/>
      <c r="AQ144" s="215"/>
      <c r="AR144" s="215"/>
      <c r="AS144" s="215"/>
      <c r="AT144" s="215"/>
      <c r="AU144" s="215"/>
      <c r="AV144" s="215"/>
      <c r="AW144" s="215"/>
      <c r="AX144" s="215"/>
      <c r="AY144" s="215"/>
      <c r="AZ144" s="215"/>
      <c r="BA144" s="215"/>
      <c r="BB144" s="215"/>
      <c r="BC144" s="215"/>
      <c r="BD144" s="215"/>
      <c r="BE144" s="215"/>
      <c r="BF144" s="215"/>
      <c r="BG144" s="215"/>
      <c r="BH144" s="215"/>
      <c r="BI144" s="215"/>
      <c r="BJ144" s="215"/>
      <c r="BK144" s="215"/>
      <c r="BL144" s="215"/>
      <c r="BM144" s="215"/>
      <c r="BN144" s="215"/>
      <c r="BO144" s="215"/>
      <c r="BP144" s="215"/>
      <c r="BQ144" s="215"/>
      <c r="BR144" s="215"/>
      <c r="BS144" s="215"/>
      <c r="BT144" s="215"/>
      <c r="BU144" s="215"/>
      <c r="BV144" s="215"/>
      <c r="BW144" s="215"/>
      <c r="BX144" s="215"/>
      <c r="BY144" s="215"/>
      <c r="BZ144" s="215"/>
    </row>
    <row r="145" spans="1:78" x14ac:dyDescent="0.2">
      <c r="A145" s="2" t="str">
        <f>'Language Index'!A146</f>
        <v>Interest On Long Term Debt</v>
      </c>
      <c r="B145" s="17"/>
      <c r="C145" s="26"/>
      <c r="D145" s="18">
        <f>_xll.ciqfunctions.udf.CIQ($C$2, "IQ_INT_EXP_LTD", D$6,$F$2,,,Ccy,Conv)</f>
        <v>0</v>
      </c>
      <c r="E145" s="18">
        <f>_xll.ciqfunctions.udf.CIQ($C$2, "IQ_INT_EXP_LTD", E$6,$F$2,,,Ccy,Conv)</f>
        <v>0</v>
      </c>
      <c r="F145" s="18">
        <f>_xll.ciqfunctions.udf.CIQ($C$2, "IQ_INT_EXP_LTD", F$6,$F$2,,,Ccy,Conv)</f>
        <v>0</v>
      </c>
      <c r="G145" s="18">
        <f>_xll.ciqfunctions.udf.CIQ($C$2, "IQ_INT_EXP_LTD", G$6,$F$2,,,Ccy,Conv)</f>
        <v>0</v>
      </c>
      <c r="H145" s="18">
        <f>_xll.ciqfunctions.udf.CIQ($C$2, "IQ_INT_EXP_LTD", H$6,$F$2,,,Ccy,Conv)</f>
        <v>0</v>
      </c>
      <c r="I145" s="18">
        <f>_xll.ciqfunctions.udf.CIQ($C$2, "IQ_INT_EXP_LTD", I$6,$F$2,,,Ccy,Conv)</f>
        <v>0</v>
      </c>
      <c r="J145" s="18">
        <f>_xll.ciqfunctions.udf.CIQ($C$2, "IQ_INT_EXP_LTD", J$6,$F$2,,,Ccy,Conv)</f>
        <v>0</v>
      </c>
      <c r="K145" s="18">
        <f>_xll.ciqfunctions.udf.CIQ($C$2, "IQ_INT_EXP_LTD", K$6,$F$2,,,Ccy,Conv)</f>
        <v>0</v>
      </c>
      <c r="L145" s="18">
        <f>_xll.ciqfunctions.udf.CIQ($C$2, "IQ_INT_EXP_LTD", L$6,$F$2,,,Ccy,Conv)</f>
        <v>0</v>
      </c>
      <c r="M145" s="18">
        <f>_xll.ciqfunctions.udf.CIQ($C$2, "IQ_INT_EXP_LTD", M$6,$F$2,,,Ccy,Conv)</f>
        <v>0</v>
      </c>
      <c r="N145" s="18">
        <f>_xll.ciqfunctions.udf.CIQ($C$2, "IQ_INT_EXP_LTD", N$6,$F$2,,,Ccy,Conv)</f>
        <v>0</v>
      </c>
      <c r="O145" s="18"/>
      <c r="P145" s="18">
        <f>_xll.ciqfunctions.udf.CIQ($C$2, "IQ_INT_EXP_LTD", P$6,$F$2,,,Ccy,Conv)</f>
        <v>0</v>
      </c>
      <c r="Q145" s="238"/>
      <c r="R145" s="215"/>
      <c r="S145" s="215"/>
      <c r="T145" s="215"/>
      <c r="U145" s="215"/>
      <c r="V145" s="240"/>
      <c r="W145" s="240"/>
      <c r="X145" s="240"/>
      <c r="Y145" s="239"/>
      <c r="Z145" s="232"/>
      <c r="AA145" s="232"/>
      <c r="AB145" s="232"/>
      <c r="AC145" s="232"/>
      <c r="AD145" s="232"/>
      <c r="AE145" s="215"/>
      <c r="AF145" s="215"/>
      <c r="AG145" s="215"/>
      <c r="AH145" s="232"/>
      <c r="AI145" s="215"/>
      <c r="AJ145" s="215"/>
      <c r="AK145" s="215"/>
      <c r="AL145" s="215"/>
      <c r="AM145" s="215"/>
      <c r="AN145" s="215"/>
      <c r="AO145" s="215"/>
      <c r="AP145" s="215"/>
      <c r="AQ145" s="215"/>
      <c r="AR145" s="215"/>
      <c r="AS145" s="215"/>
      <c r="AT145" s="215"/>
      <c r="AU145" s="215"/>
      <c r="AV145" s="215"/>
      <c r="AW145" s="215"/>
      <c r="AX145" s="215"/>
      <c r="AY145" s="215"/>
      <c r="AZ145" s="215"/>
      <c r="BA145" s="215"/>
      <c r="BB145" s="215"/>
      <c r="BC145" s="215"/>
      <c r="BD145" s="215"/>
      <c r="BE145" s="215"/>
      <c r="BF145" s="215"/>
      <c r="BG145" s="215"/>
      <c r="BH145" s="215"/>
      <c r="BI145" s="215"/>
      <c r="BJ145" s="215"/>
      <c r="BK145" s="215"/>
      <c r="BL145" s="215"/>
      <c r="BM145" s="215"/>
      <c r="BN145" s="215"/>
      <c r="BO145" s="215"/>
      <c r="BP145" s="215"/>
      <c r="BQ145" s="215"/>
      <c r="BR145" s="215"/>
      <c r="BS145" s="215"/>
      <c r="BT145" s="215"/>
      <c r="BU145" s="215"/>
      <c r="BV145" s="215"/>
      <c r="BW145" s="215"/>
      <c r="BX145" s="215"/>
      <c r="BY145" s="215"/>
      <c r="BZ145" s="215"/>
    </row>
    <row r="146" spans="1:78" x14ac:dyDescent="0.2">
      <c r="A146" s="2" t="str">
        <f>'Language Index'!A147</f>
        <v>Interest Expenses On Lease Liability/Debt</v>
      </c>
      <c r="B146" s="17"/>
      <c r="C146" s="26"/>
      <c r="D146" s="18">
        <f>_xll.ciqfunctions.udf.CIQ($C$2, "IQ_INTEREST_EXP_LEASE_LIABILITY_DEBT", D$6,$F$2,,,Ccy,Conv)</f>
        <v>0</v>
      </c>
      <c r="E146" s="18">
        <f>_xll.ciqfunctions.udf.CIQ($C$2, "IQ_INTEREST_EXP_LEASE_LIABILITY_DEBT", E$6,$F$2,,,Ccy,Conv)</f>
        <v>0</v>
      </c>
      <c r="F146" s="18">
        <f>_xll.ciqfunctions.udf.CIQ($C$2, "IQ_INTEREST_EXP_LEASE_LIABILITY_DEBT", F$6,$F$2,,,Ccy,Conv)</f>
        <v>0</v>
      </c>
      <c r="G146" s="18">
        <f>_xll.ciqfunctions.udf.CIQ($C$2, "IQ_INTEREST_EXP_LEASE_LIABILITY_DEBT", G$6,$F$2,,,Ccy,Conv)</f>
        <v>0</v>
      </c>
      <c r="H146" s="18">
        <f>_xll.ciqfunctions.udf.CIQ($C$2, "IQ_INTEREST_EXP_LEASE_LIABILITY_DEBT", H$6,$F$2,,,Ccy,Conv)</f>
        <v>0</v>
      </c>
      <c r="I146" s="18">
        <f>_xll.ciqfunctions.udf.CIQ($C$2, "IQ_INTEREST_EXP_LEASE_LIABILITY_DEBT", I$6,$F$2,,,Ccy,Conv)</f>
        <v>0</v>
      </c>
      <c r="J146" s="18">
        <f>_xll.ciqfunctions.udf.CIQ($C$2, "IQ_INTEREST_EXP_LEASE_LIABILITY_DEBT", J$6,$F$2,,,Ccy,Conv)</f>
        <v>0</v>
      </c>
      <c r="K146" s="18">
        <f>_xll.ciqfunctions.udf.CIQ($C$2, "IQ_INTEREST_EXP_LEASE_LIABILITY_DEBT", K$6,$F$2,,,Ccy,Conv)</f>
        <v>0</v>
      </c>
      <c r="L146" s="18">
        <f>_xll.ciqfunctions.udf.CIQ($C$2, "IQ_INTEREST_EXP_LEASE_LIABILITY_DEBT", L$6,$F$2,,,Ccy,Conv)</f>
        <v>0</v>
      </c>
      <c r="M146" s="18">
        <f>_xll.ciqfunctions.udf.CIQ($C$2, "IQ_INTEREST_EXP_LEASE_LIABILITY_DEBT", M$6,$F$2,,,Ccy,Conv)</f>
        <v>0</v>
      </c>
      <c r="N146" s="18">
        <f>_xll.ciqfunctions.udf.CIQ($C$2, "IQ_INTEREST_EXP_LEASE_LIABILITY_DEBT", N$6,$F$2,,,Ccy,Conv)</f>
        <v>0</v>
      </c>
      <c r="O146" s="18"/>
      <c r="P146" s="18">
        <f>_xll.ciqfunctions.udf.CIQ($C$2, "IQ_INTEREST_EXP_LEASE_LIABILITY_DEBT", P$6,$F$2,,,Ccy,Conv)</f>
        <v>0</v>
      </c>
      <c r="Q146" s="238"/>
      <c r="R146" s="215"/>
      <c r="S146" s="215"/>
      <c r="T146" s="215"/>
      <c r="U146" s="215"/>
      <c r="V146" s="240"/>
      <c r="W146" s="240"/>
      <c r="X146" s="240"/>
      <c r="Y146" s="239"/>
      <c r="Z146" s="232"/>
      <c r="AA146" s="232"/>
      <c r="AB146" s="232"/>
      <c r="AC146" s="232"/>
      <c r="AD146" s="232"/>
      <c r="AE146" s="215"/>
      <c r="AF146" s="215"/>
      <c r="AG146" s="215"/>
      <c r="AH146" s="232"/>
      <c r="AI146" s="215"/>
      <c r="AJ146" s="215"/>
      <c r="AK146" s="215"/>
      <c r="AL146" s="215"/>
      <c r="AM146" s="215"/>
      <c r="AN146" s="215"/>
      <c r="AO146" s="215"/>
      <c r="AP146" s="215"/>
      <c r="AQ146" s="215"/>
      <c r="AR146" s="215"/>
      <c r="AS146" s="215"/>
      <c r="AT146" s="215"/>
      <c r="AU146" s="215"/>
      <c r="AV146" s="215"/>
      <c r="AW146" s="215"/>
      <c r="AX146" s="215"/>
      <c r="AY146" s="215"/>
      <c r="AZ146" s="215"/>
      <c r="BA146" s="215"/>
      <c r="BB146" s="215"/>
      <c r="BC146" s="215"/>
      <c r="BD146" s="215"/>
      <c r="BE146" s="215"/>
      <c r="BF146" s="215"/>
      <c r="BG146" s="215"/>
      <c r="BH146" s="215"/>
      <c r="BI146" s="215"/>
      <c r="BJ146" s="215"/>
      <c r="BK146" s="215"/>
      <c r="BL146" s="215"/>
      <c r="BM146" s="215"/>
      <c r="BN146" s="215"/>
      <c r="BO146" s="215"/>
      <c r="BP146" s="215"/>
      <c r="BQ146" s="215"/>
      <c r="BR146" s="215"/>
      <c r="BS146" s="215"/>
      <c r="BT146" s="215"/>
      <c r="BU146" s="215"/>
      <c r="BV146" s="215"/>
      <c r="BW146" s="215"/>
      <c r="BX146" s="215"/>
      <c r="BY146" s="215"/>
      <c r="BZ146" s="215"/>
    </row>
    <row r="147" spans="1:78" x14ac:dyDescent="0.2">
      <c r="A147" s="2" t="str">
        <f>'Language Index'!A148</f>
        <v>Interest Expense (Incl. Cap. Interest)</v>
      </c>
      <c r="B147" s="17"/>
      <c r="C147" s="26"/>
      <c r="D147" s="18">
        <f>_xll.ciqfunctions.udf.CIQ($C$2, "IQ_INT_EXP_INCL_CAP", D$6,$F$2,,,Ccy,Conv)</f>
        <v>1408</v>
      </c>
      <c r="E147" s="18">
        <f>_xll.ciqfunctions.udf.CIQ($C$2, "IQ_INT_EXP_INCL_CAP", E$6,$F$2,,,Ccy,Conv)</f>
        <v>1523</v>
      </c>
      <c r="F147" s="18">
        <f>_xll.ciqfunctions.udf.CIQ($C$2, "IQ_INT_EXP_INCL_CAP", F$6,$F$2,,,Ccy,Conv)</f>
        <v>1616</v>
      </c>
      <c r="G147" s="18">
        <f>_xll.ciqfunctions.udf.CIQ($C$2, "IQ_INT_EXP_INCL_CAP", G$6,$F$2,,,Ccy,Conv)</f>
        <v>1679</v>
      </c>
      <c r="H147" s="18">
        <f>_xll.ciqfunctions.udf.CIQ($C$2, "IQ_INT_EXP_INCL_CAP", H$6,$F$2,,,Ccy,Conv)</f>
        <v>1689</v>
      </c>
      <c r="I147" s="18">
        <f>_xll.ciqfunctions.udf.CIQ($C$2, "IQ_INT_EXP_INCL_CAP", I$6,$F$2,,,Ccy,Conv)</f>
        <v>1705</v>
      </c>
      <c r="J147" s="18">
        <f>_xll.ciqfunctions.udf.CIQ($C$2, "IQ_INT_EXP_INCL_CAP", J$6,$F$2,,,Ccy,Conv)</f>
        <v>1724</v>
      </c>
      <c r="K147" s="18">
        <f>_xll.ciqfunctions.udf.CIQ($C$2, "IQ_INT_EXP_INCL_CAP", K$6,$F$2,,,Ccy,Conv)</f>
        <v>1747</v>
      </c>
      <c r="L147" s="18">
        <f>_xll.ciqfunctions.udf.CIQ($C$2, "IQ_INT_EXP_INCL_CAP", L$6,$F$2,,,Ccy,Conv)</f>
        <v>1828</v>
      </c>
      <c r="M147" s="18">
        <f>_xll.ciqfunctions.udf.CIQ($C$2, "IQ_INT_EXP_INCL_CAP", M$6,$F$2,,,Ccy,Conv)</f>
        <v>1888</v>
      </c>
      <c r="N147" s="18">
        <f>_xll.ciqfunctions.udf.CIQ($C$2, "IQ_INT_EXP_INCL_CAP", N$6,$F$2,,,Ccy,Conv)</f>
        <v>1939</v>
      </c>
      <c r="O147" s="18"/>
      <c r="P147" s="18">
        <f>_xll.ciqfunctions.udf.CIQ($C$2, "IQ_INT_EXP_INCL_CAP", P$6,$F$2,,,Ccy,Conv)</f>
        <v>1939</v>
      </c>
      <c r="Q147" s="238"/>
      <c r="R147" s="215"/>
      <c r="S147" s="215"/>
      <c r="T147" s="215"/>
      <c r="U147" s="215"/>
      <c r="V147" s="240"/>
      <c r="W147" s="240"/>
      <c r="X147" s="240"/>
      <c r="Y147" s="239"/>
      <c r="Z147" s="232"/>
      <c r="AA147" s="232"/>
      <c r="AB147" s="232"/>
      <c r="AC147" s="232"/>
      <c r="AD147" s="232"/>
      <c r="AE147" s="215"/>
      <c r="AF147" s="215"/>
      <c r="AG147" s="215"/>
      <c r="AH147" s="232"/>
      <c r="AI147" s="215"/>
      <c r="AJ147" s="215"/>
      <c r="AK147" s="215"/>
      <c r="AL147" s="215"/>
      <c r="AM147" s="215"/>
      <c r="AN147" s="215"/>
      <c r="AO147" s="215"/>
      <c r="AP147" s="215"/>
      <c r="AQ147" s="215"/>
      <c r="AR147" s="215"/>
      <c r="AS147" s="215"/>
      <c r="AT147" s="215"/>
      <c r="AU147" s="215"/>
      <c r="AV147" s="215"/>
      <c r="AW147" s="215"/>
      <c r="AX147" s="215"/>
      <c r="AY147" s="215"/>
      <c r="AZ147" s="215"/>
      <c r="BA147" s="215"/>
      <c r="BB147" s="215"/>
      <c r="BC147" s="215"/>
      <c r="BD147" s="215"/>
      <c r="BE147" s="215"/>
      <c r="BF147" s="215"/>
      <c r="BG147" s="215"/>
      <c r="BH147" s="215"/>
      <c r="BI147" s="215"/>
      <c r="BJ147" s="215"/>
      <c r="BK147" s="215"/>
      <c r="BL147" s="215"/>
      <c r="BM147" s="215"/>
      <c r="BN147" s="215"/>
      <c r="BO147" s="215"/>
      <c r="BP147" s="215"/>
      <c r="BQ147" s="215"/>
      <c r="BR147" s="215"/>
      <c r="BS147" s="215"/>
      <c r="BT147" s="215"/>
      <c r="BU147" s="215"/>
      <c r="BV147" s="215"/>
      <c r="BW147" s="215"/>
      <c r="BX147" s="215"/>
      <c r="BY147" s="215"/>
      <c r="BZ147" s="215"/>
    </row>
    <row r="148" spans="1:78" x14ac:dyDescent="0.2">
      <c r="A148" s="2" t="str">
        <f>'Language Index'!A149</f>
        <v>Non-Cash Pension Expense</v>
      </c>
      <c r="B148" s="17"/>
      <c r="C148" s="26"/>
      <c r="D148" s="18">
        <f>_xll.ciqfunctions.udf.CIQ($C$2, "IQ_NONCASH_PENSION_EXP", D$6,$F$2,,,Ccy,Conv)</f>
        <v>0</v>
      </c>
      <c r="E148" s="18">
        <f>_xll.ciqfunctions.udf.CIQ($C$2, "IQ_NONCASH_PENSION_EXP", E$6,$F$2,,,Ccy,Conv)</f>
        <v>0</v>
      </c>
      <c r="F148" s="18">
        <f>_xll.ciqfunctions.udf.CIQ($C$2, "IQ_NONCASH_PENSION_EXP", F$6,$F$2,,,Ccy,Conv)</f>
        <v>-147</v>
      </c>
      <c r="G148" s="18">
        <f>_xll.ciqfunctions.udf.CIQ($C$2, "IQ_NONCASH_PENSION_EXP", G$6,$F$2,,,Ccy,Conv)</f>
        <v>0</v>
      </c>
      <c r="H148" s="18">
        <f>_xll.ciqfunctions.udf.CIQ($C$2, "IQ_NONCASH_PENSION_EXP", H$6,$F$2,,,Ccy,Conv)</f>
        <v>0</v>
      </c>
      <c r="I148" s="18">
        <f>_xll.ciqfunctions.udf.CIQ($C$2, "IQ_NONCASH_PENSION_EXP", I$6,$F$2,,,Ccy,Conv)</f>
        <v>0</v>
      </c>
      <c r="J148" s="18">
        <f>_xll.ciqfunctions.udf.CIQ($C$2, "IQ_NONCASH_PENSION_EXP", J$6,$F$2,,,Ccy,Conv)</f>
        <v>3353</v>
      </c>
      <c r="K148" s="18">
        <f>_xll.ciqfunctions.udf.CIQ($C$2, "IQ_NONCASH_PENSION_EXP", K$6,$F$2,,,Ccy,Conv)</f>
        <v>0</v>
      </c>
      <c r="L148" s="18">
        <f>_xll.ciqfunctions.udf.CIQ($C$2, "IQ_NONCASH_PENSION_EXP", L$6,$F$2,,,Ccy,Conv)</f>
        <v>0</v>
      </c>
      <c r="M148" s="18">
        <f>_xll.ciqfunctions.udf.CIQ($C$2, "IQ_NONCASH_PENSION_EXP", M$6,$F$2,,,Ccy,Conv)</f>
        <v>0</v>
      </c>
      <c r="N148" s="18">
        <f>_xll.ciqfunctions.udf.CIQ($C$2, "IQ_NONCASH_PENSION_EXP", N$6,$F$2,,,Ccy,Conv)</f>
        <v>-49</v>
      </c>
      <c r="O148" s="18"/>
      <c r="P148" s="18">
        <f>_xll.ciqfunctions.udf.CIQ($C$2, "IQ_NONCASH_PENSION_EXP", P$6,$F$2,,,Ccy,Conv)</f>
        <v>-49</v>
      </c>
      <c r="Q148" s="238"/>
      <c r="R148" s="215"/>
      <c r="S148" s="215"/>
      <c r="T148" s="215"/>
      <c r="U148" s="215"/>
      <c r="V148" s="240"/>
      <c r="W148" s="240"/>
      <c r="X148" s="240"/>
      <c r="Y148" s="239"/>
      <c r="Z148" s="232"/>
      <c r="AA148" s="232"/>
      <c r="AB148" s="232"/>
      <c r="AC148" s="232"/>
      <c r="AD148" s="232"/>
      <c r="AE148" s="215"/>
      <c r="AF148" s="215"/>
      <c r="AG148" s="215"/>
      <c r="AH148" s="232"/>
      <c r="AI148" s="215"/>
      <c r="AJ148" s="215"/>
      <c r="AK148" s="215"/>
      <c r="AL148" s="215"/>
      <c r="AM148" s="215"/>
      <c r="AN148" s="215"/>
      <c r="AO148" s="215"/>
      <c r="AP148" s="215"/>
      <c r="AQ148" s="215"/>
      <c r="AR148" s="215"/>
      <c r="AS148" s="215"/>
      <c r="AT148" s="215"/>
      <c r="AU148" s="215"/>
      <c r="AV148" s="215"/>
      <c r="AW148" s="215"/>
      <c r="AX148" s="215"/>
      <c r="AY148" s="215"/>
      <c r="AZ148" s="215"/>
      <c r="BA148" s="215"/>
      <c r="BB148" s="215"/>
      <c r="BC148" s="215"/>
      <c r="BD148" s="215"/>
      <c r="BE148" s="215"/>
      <c r="BF148" s="215"/>
      <c r="BG148" s="215"/>
      <c r="BH148" s="215"/>
      <c r="BI148" s="215"/>
      <c r="BJ148" s="215"/>
      <c r="BK148" s="215"/>
      <c r="BL148" s="215"/>
      <c r="BM148" s="215"/>
      <c r="BN148" s="215"/>
      <c r="BO148" s="215"/>
      <c r="BP148" s="215"/>
      <c r="BQ148" s="215"/>
      <c r="BR148" s="215"/>
      <c r="BS148" s="215"/>
      <c r="BT148" s="215"/>
      <c r="BU148" s="215"/>
      <c r="BV148" s="215"/>
      <c r="BW148" s="215"/>
      <c r="BX148" s="215"/>
      <c r="BY148" s="215"/>
      <c r="BZ148" s="215"/>
    </row>
    <row r="149" spans="1:78" x14ac:dyDescent="0.2">
      <c r="A149" s="2" t="str">
        <f>'Language Index'!A150</f>
        <v>D&amp;A For EBITDA</v>
      </c>
      <c r="B149" s="17"/>
      <c r="C149" s="26"/>
      <c r="D149" s="18">
        <f>_xll.ciqfunctions.udf.CIQ($C$2, "IQ_DA_EBITDA", D$6,$F$2,,,Ccy,Conv)</f>
        <v>3303</v>
      </c>
      <c r="E149" s="18">
        <f>_xll.ciqfunctions.udf.CIQ($C$2, "IQ_DA_EBITDA", E$6,$F$2,,,Ccy,Conv)</f>
        <v>2551</v>
      </c>
      <c r="F149" s="18">
        <f>_xll.ciqfunctions.udf.CIQ($C$2, "IQ_DA_EBITDA", F$6,$F$2,,,Ccy,Conv)</f>
        <v>2836</v>
      </c>
      <c r="G149" s="18">
        <f>_xll.ciqfunctions.udf.CIQ($C$2, "IQ_DA_EBITDA", G$6,$F$2,,,Ccy,Conv)</f>
        <v>2723</v>
      </c>
      <c r="H149" s="18">
        <f>_xll.ciqfunctions.udf.CIQ($C$2, "IQ_DA_EBITDA", H$6,$F$2,,,Ccy,Conv)</f>
        <v>2732</v>
      </c>
      <c r="I149" s="18">
        <f>_xll.ciqfunctions.udf.CIQ($C$2, "IQ_DA_EBITDA", I$6,$F$2,,,Ccy,Conv)</f>
        <v>3066</v>
      </c>
      <c r="J149" s="18">
        <f>_xll.ciqfunctions.udf.CIQ($C$2, "IQ_DA_EBITDA", J$6,$F$2,,,Ccy,Conv)</f>
        <v>3098</v>
      </c>
      <c r="K149" s="18">
        <f>_xll.ciqfunctions.udf.CIQ($C$2, "IQ_DA_EBITDA", K$6,$F$2,,,Ccy,Conv)</f>
        <v>3168</v>
      </c>
      <c r="L149" s="18">
        <f>_xll.ciqfunctions.udf.CIQ($C$2, "IQ_DA_EBITDA", L$6,$F$2,,,Ccy,Conv)</f>
        <v>3309</v>
      </c>
      <c r="M149" s="18">
        <f>_xll.ciqfunctions.udf.CIQ($C$2, "IQ_DA_EBITDA", M$6,$F$2,,,Ccy,Conv)</f>
        <v>3509</v>
      </c>
      <c r="N149" s="18">
        <f>_xll.ciqfunctions.udf.CIQ($C$2, "IQ_DA_EBITDA", N$6,$F$2,,,Ccy,Conv)</f>
        <v>3550</v>
      </c>
      <c r="O149" s="18"/>
      <c r="P149" s="18">
        <f>_xll.ciqfunctions.udf.CIQ($C$2, "IQ_DA_EBITDA", P$6,$F$2,,,Ccy,Conv)</f>
        <v>3550</v>
      </c>
      <c r="Q149" s="238"/>
      <c r="R149" s="215"/>
      <c r="S149" s="215"/>
      <c r="T149" s="215"/>
      <c r="U149" s="215"/>
      <c r="V149" s="240"/>
      <c r="W149" s="240"/>
      <c r="X149" s="240"/>
      <c r="Y149" s="239"/>
      <c r="Z149" s="232"/>
      <c r="AA149" s="232"/>
      <c r="AB149" s="232"/>
      <c r="AC149" s="232"/>
      <c r="AD149" s="232"/>
      <c r="AE149" s="215"/>
      <c r="AF149" s="215"/>
      <c r="AG149" s="215"/>
      <c r="AH149" s="232"/>
      <c r="AI149" s="215"/>
      <c r="AJ149" s="215"/>
      <c r="AK149" s="215"/>
      <c r="AL149" s="215"/>
      <c r="AM149" s="215"/>
      <c r="AN149" s="215"/>
      <c r="AO149" s="215"/>
      <c r="AP149" s="215"/>
      <c r="AQ149" s="215"/>
      <c r="AR149" s="215"/>
      <c r="AS149" s="215"/>
      <c r="AT149" s="215"/>
      <c r="AU149" s="215"/>
      <c r="AV149" s="215"/>
      <c r="AW149" s="215"/>
      <c r="AX149" s="215"/>
      <c r="AY149" s="215"/>
      <c r="AZ149" s="215"/>
      <c r="BA149" s="215"/>
      <c r="BB149" s="215"/>
      <c r="BC149" s="215"/>
      <c r="BD149" s="215"/>
      <c r="BE149" s="215"/>
      <c r="BF149" s="215"/>
      <c r="BG149" s="215"/>
      <c r="BH149" s="215"/>
      <c r="BI149" s="215"/>
      <c r="BJ149" s="215"/>
      <c r="BK149" s="215"/>
      <c r="BL149" s="215"/>
      <c r="BM149" s="215"/>
      <c r="BN149" s="215"/>
      <c r="BO149" s="215"/>
      <c r="BP149" s="215"/>
      <c r="BQ149" s="215"/>
      <c r="BR149" s="215"/>
      <c r="BS149" s="215"/>
      <c r="BT149" s="215"/>
      <c r="BU149" s="215"/>
      <c r="BV149" s="215"/>
      <c r="BW149" s="215"/>
      <c r="BX149" s="215"/>
      <c r="BY149" s="215"/>
      <c r="BZ149" s="215"/>
    </row>
    <row r="150" spans="1:78" x14ac:dyDescent="0.2">
      <c r="A150" s="2" t="str">
        <f>'Language Index'!A151</f>
        <v>Distributable Cash</v>
      </c>
      <c r="B150" s="17"/>
      <c r="C150" s="26"/>
      <c r="D150" s="18">
        <f>_xll.ciqfunctions.udf.CIQ($C$2, "IQ_DISTRIBUTABLE_CASH", D$6,$F$2,,,Ccy,Conv)</f>
        <v>0</v>
      </c>
      <c r="E150" s="18">
        <f>_xll.ciqfunctions.udf.CIQ($C$2, "IQ_DISTRIBUTABLE_CASH", E$6,$F$2,,,Ccy,Conv)</f>
        <v>0</v>
      </c>
      <c r="F150" s="18">
        <f>_xll.ciqfunctions.udf.CIQ($C$2, "IQ_DISTRIBUTABLE_CASH", F$6,$F$2,,,Ccy,Conv)</f>
        <v>0</v>
      </c>
      <c r="G150" s="18">
        <f>_xll.ciqfunctions.udf.CIQ($C$2, "IQ_DISTRIBUTABLE_CASH", G$6,$F$2,,,Ccy,Conv)</f>
        <v>0</v>
      </c>
      <c r="H150" s="18">
        <f>_xll.ciqfunctions.udf.CIQ($C$2, "IQ_DISTRIBUTABLE_CASH", H$6,$F$2,,,Ccy,Conv)</f>
        <v>0</v>
      </c>
      <c r="I150" s="18">
        <f>_xll.ciqfunctions.udf.CIQ($C$2, "IQ_DISTRIBUTABLE_CASH", I$6,$F$2,,,Ccy,Conv)</f>
        <v>0</v>
      </c>
      <c r="J150" s="18">
        <f>_xll.ciqfunctions.udf.CIQ($C$2, "IQ_DISTRIBUTABLE_CASH", J$6,$F$2,,,Ccy,Conv)</f>
        <v>0</v>
      </c>
      <c r="K150" s="18">
        <f>_xll.ciqfunctions.udf.CIQ($C$2, "IQ_DISTRIBUTABLE_CASH", K$6,$F$2,,,Ccy,Conv)</f>
        <v>0</v>
      </c>
      <c r="L150" s="18">
        <f>_xll.ciqfunctions.udf.CIQ($C$2, "IQ_DISTRIBUTABLE_CASH", L$6,$F$2,,,Ccy,Conv)</f>
        <v>0</v>
      </c>
      <c r="M150" s="18">
        <f>_xll.ciqfunctions.udf.CIQ($C$2, "IQ_DISTRIBUTABLE_CASH", M$6,$F$2,,,Ccy,Conv)</f>
        <v>0</v>
      </c>
      <c r="N150" s="18">
        <f>_xll.ciqfunctions.udf.CIQ($C$2, "IQ_DISTRIBUTABLE_CASH", N$6,$F$2,,,Ccy,Conv)</f>
        <v>0</v>
      </c>
      <c r="O150" s="18"/>
      <c r="P150" s="18">
        <f>_xll.ciqfunctions.udf.CIQ($C$2, "IQ_DISTRIBUTABLE_CASH", P$6,$F$2,,,Ccy,Conv)</f>
        <v>0</v>
      </c>
      <c r="Q150" s="238"/>
      <c r="R150" s="215"/>
      <c r="S150" s="215"/>
      <c r="T150" s="215"/>
      <c r="U150" s="215"/>
      <c r="V150" s="240"/>
      <c r="W150" s="240"/>
      <c r="X150" s="240"/>
      <c r="Y150" s="239"/>
      <c r="Z150" s="232"/>
      <c r="AA150" s="232"/>
      <c r="AB150" s="232"/>
      <c r="AC150" s="232"/>
      <c r="AD150" s="232"/>
      <c r="AE150" s="215"/>
      <c r="AF150" s="215"/>
      <c r="AG150" s="215"/>
      <c r="AH150" s="232"/>
      <c r="AI150" s="215"/>
      <c r="AJ150" s="215"/>
      <c r="AK150" s="215"/>
      <c r="AL150" s="215"/>
      <c r="AM150" s="215"/>
      <c r="AN150" s="215"/>
      <c r="AO150" s="215"/>
      <c r="AP150" s="215"/>
      <c r="AQ150" s="215"/>
      <c r="AR150" s="215"/>
      <c r="AS150" s="215"/>
      <c r="AT150" s="215"/>
      <c r="AU150" s="215"/>
      <c r="AV150" s="215"/>
      <c r="AW150" s="215"/>
      <c r="AX150" s="215"/>
      <c r="AY150" s="215"/>
      <c r="AZ150" s="215"/>
      <c r="BA150" s="215"/>
      <c r="BB150" s="215"/>
      <c r="BC150" s="215"/>
      <c r="BD150" s="215"/>
      <c r="BE150" s="215"/>
      <c r="BF150" s="215"/>
      <c r="BG150" s="215"/>
      <c r="BH150" s="215"/>
      <c r="BI150" s="215"/>
      <c r="BJ150" s="215"/>
      <c r="BK150" s="215"/>
      <c r="BL150" s="215"/>
      <c r="BM150" s="215"/>
      <c r="BN150" s="215"/>
      <c r="BO150" s="215"/>
      <c r="BP150" s="215"/>
      <c r="BQ150" s="215"/>
      <c r="BR150" s="215"/>
      <c r="BS150" s="215"/>
      <c r="BT150" s="215"/>
      <c r="BU150" s="215"/>
      <c r="BV150" s="215"/>
      <c r="BW150" s="215"/>
      <c r="BX150" s="215"/>
      <c r="BY150" s="215"/>
      <c r="BZ150" s="215"/>
    </row>
    <row r="151" spans="1:78" x14ac:dyDescent="0.2">
      <c r="A151" s="2" t="str">
        <f>'Language Index'!A152</f>
        <v>Standardized Distributable Cash</v>
      </c>
      <c r="B151" s="17"/>
      <c r="C151" s="26"/>
      <c r="D151" s="18">
        <f>_xll.ciqfunctions.udf.CIQ($C$2, "IQ_DISTRIBUTABLE_CASH_STANDARDIZED", D$6,$F$2,,,Ccy,Conv)</f>
        <v>0</v>
      </c>
      <c r="E151" s="18">
        <f>_xll.ciqfunctions.udf.CIQ($C$2, "IQ_DISTRIBUTABLE_CASH_STANDARDIZED", E$6,$F$2,,,Ccy,Conv)</f>
        <v>0</v>
      </c>
      <c r="F151" s="18">
        <f>_xll.ciqfunctions.udf.CIQ($C$2, "IQ_DISTRIBUTABLE_CASH_STANDARDIZED", F$6,$F$2,,,Ccy,Conv)</f>
        <v>0</v>
      </c>
      <c r="G151" s="18">
        <f>_xll.ciqfunctions.udf.CIQ($C$2, "IQ_DISTRIBUTABLE_CASH_STANDARDIZED", G$6,$F$2,,,Ccy,Conv)</f>
        <v>0</v>
      </c>
      <c r="H151" s="18">
        <f>_xll.ciqfunctions.udf.CIQ($C$2, "IQ_DISTRIBUTABLE_CASH_STANDARDIZED", H$6,$F$2,,,Ccy,Conv)</f>
        <v>0</v>
      </c>
      <c r="I151" s="18">
        <f>_xll.ciqfunctions.udf.CIQ($C$2, "IQ_DISTRIBUTABLE_CASH_STANDARDIZED", I$6,$F$2,,,Ccy,Conv)</f>
        <v>0</v>
      </c>
      <c r="J151" s="18">
        <f>_xll.ciqfunctions.udf.CIQ($C$2, "IQ_DISTRIBUTABLE_CASH_STANDARDIZED", J$6,$F$2,,,Ccy,Conv)</f>
        <v>0</v>
      </c>
      <c r="K151" s="18">
        <f>_xll.ciqfunctions.udf.CIQ($C$2, "IQ_DISTRIBUTABLE_CASH_STANDARDIZED", K$6,$F$2,,,Ccy,Conv)</f>
        <v>0</v>
      </c>
      <c r="L151" s="18">
        <f>_xll.ciqfunctions.udf.CIQ($C$2, "IQ_DISTRIBUTABLE_CASH_STANDARDIZED", L$6,$F$2,,,Ccy,Conv)</f>
        <v>0</v>
      </c>
      <c r="M151" s="18">
        <f>_xll.ciqfunctions.udf.CIQ($C$2, "IQ_DISTRIBUTABLE_CASH_STANDARDIZED", M$6,$F$2,,,Ccy,Conv)</f>
        <v>0</v>
      </c>
      <c r="N151" s="18">
        <f>_xll.ciqfunctions.udf.CIQ($C$2, "IQ_DISTRIBUTABLE_CASH_STANDARDIZED", N$6,$F$2,,,Ccy,Conv)</f>
        <v>0</v>
      </c>
      <c r="O151" s="18"/>
      <c r="P151" s="18">
        <f>_xll.ciqfunctions.udf.CIQ($C$2, "IQ_DISTRIBUTABLE_CASH_STANDARDIZED", P$6,$F$2,,,Ccy,Conv)</f>
        <v>0</v>
      </c>
      <c r="Q151" s="238"/>
      <c r="R151" s="215"/>
      <c r="S151" s="215"/>
      <c r="T151" s="215"/>
      <c r="U151" s="215"/>
      <c r="V151" s="240"/>
      <c r="W151" s="240"/>
      <c r="X151" s="240"/>
      <c r="Y151" s="239"/>
      <c r="Z151" s="232"/>
      <c r="AA151" s="232"/>
      <c r="AB151" s="232"/>
      <c r="AC151" s="232"/>
      <c r="AD151" s="232"/>
      <c r="AE151" s="215"/>
      <c r="AF151" s="215"/>
      <c r="AG151" s="215"/>
      <c r="AH151" s="232"/>
      <c r="AI151" s="215"/>
      <c r="AJ151" s="215"/>
      <c r="AK151" s="215"/>
      <c r="AL151" s="215"/>
      <c r="AM151" s="215"/>
      <c r="AN151" s="215"/>
      <c r="AO151" s="215"/>
      <c r="AP151" s="215"/>
      <c r="AQ151" s="215"/>
      <c r="AR151" s="215"/>
      <c r="AS151" s="215"/>
      <c r="AT151" s="215"/>
      <c r="AU151" s="215"/>
      <c r="AV151" s="215"/>
      <c r="AW151" s="215"/>
      <c r="AX151" s="215"/>
      <c r="AY151" s="215"/>
      <c r="AZ151" s="215"/>
      <c r="BA151" s="215"/>
      <c r="BB151" s="215"/>
      <c r="BC151" s="215"/>
      <c r="BD151" s="215"/>
      <c r="BE151" s="215"/>
      <c r="BF151" s="215"/>
      <c r="BG151" s="215"/>
      <c r="BH151" s="215"/>
      <c r="BI151" s="215"/>
      <c r="BJ151" s="215"/>
      <c r="BK151" s="215"/>
      <c r="BL151" s="215"/>
      <c r="BM151" s="215"/>
      <c r="BN151" s="215"/>
      <c r="BO151" s="215"/>
      <c r="BP151" s="215"/>
      <c r="BQ151" s="215"/>
      <c r="BR151" s="215"/>
      <c r="BS151" s="215"/>
      <c r="BT151" s="215"/>
      <c r="BU151" s="215"/>
      <c r="BV151" s="215"/>
      <c r="BW151" s="215"/>
      <c r="BX151" s="215"/>
      <c r="BY151" s="215"/>
      <c r="BZ151" s="215"/>
    </row>
    <row r="152" spans="1:78" x14ac:dyDescent="0.2">
      <c r="A152" s="2" t="str">
        <f>'Language Index'!A95</f>
        <v>Distributable Cash Shares (Basic)</v>
      </c>
      <c r="B152" s="17"/>
      <c r="C152" s="26"/>
      <c r="D152" s="18">
        <f>_xll.ciqfunctions.udf.CIQ($C$2, "IQ_DISTRIBUTABLE_CASH_SHARES_BASIC", D$6,$F$2)</f>
        <v>0</v>
      </c>
      <c r="E152" s="18">
        <f>_xll.ciqfunctions.udf.CIQ($C$2, "IQ_DISTRIBUTABLE_CASH_SHARES_BASIC", E$6,$F$2)</f>
        <v>0</v>
      </c>
      <c r="F152" s="18">
        <f>_xll.ciqfunctions.udf.CIQ($C$2, "IQ_DISTRIBUTABLE_CASH_SHARES_BASIC", F$6,$F$2)</f>
        <v>0</v>
      </c>
      <c r="G152" s="18">
        <f>_xll.ciqfunctions.udf.CIQ($C$2, "IQ_DISTRIBUTABLE_CASH_SHARES_BASIC", G$6,$F$2)</f>
        <v>0</v>
      </c>
      <c r="H152" s="18">
        <f>_xll.ciqfunctions.udf.CIQ($C$2, "IQ_DISTRIBUTABLE_CASH_SHARES_BASIC", H$6,$F$2)</f>
        <v>0</v>
      </c>
      <c r="I152" s="18">
        <f>_xll.ciqfunctions.udf.CIQ($C$2, "IQ_DISTRIBUTABLE_CASH_SHARES_BASIC", I$6,$F$2)</f>
        <v>0</v>
      </c>
      <c r="J152" s="18">
        <f>_xll.ciqfunctions.udf.CIQ($C$2, "IQ_DISTRIBUTABLE_CASH_SHARES_BASIC", J$6,$F$2)</f>
        <v>0</v>
      </c>
      <c r="K152" s="18">
        <f>_xll.ciqfunctions.udf.CIQ($C$2, "IQ_DISTRIBUTABLE_CASH_SHARES_BASIC", K$6,$F$2)</f>
        <v>0</v>
      </c>
      <c r="L152" s="18">
        <f>_xll.ciqfunctions.udf.CIQ($C$2, "IQ_DISTRIBUTABLE_CASH_SHARES_BASIC", L$6,$F$2)</f>
        <v>0</v>
      </c>
      <c r="M152" s="18">
        <f>_xll.ciqfunctions.udf.CIQ($C$2, "IQ_DISTRIBUTABLE_CASH_SHARES_BASIC", M$6,$F$2)</f>
        <v>0</v>
      </c>
      <c r="N152" s="18">
        <f>_xll.ciqfunctions.udf.CIQ($C$2, "IQ_DISTRIBUTABLE_CASH_SHARES_BASIC", N$6,$F$2)</f>
        <v>0</v>
      </c>
      <c r="O152" s="18"/>
      <c r="P152" s="18">
        <f>_xll.ciqfunctions.udf.CIQ($C$2, "IQ_DISTRIBUTABLE_CASH_SHARES_BASIC", P$6,$F$2)</f>
        <v>0</v>
      </c>
      <c r="Q152" s="238"/>
      <c r="R152" s="215"/>
      <c r="S152" s="215"/>
      <c r="T152" s="215"/>
      <c r="U152" s="215"/>
      <c r="V152" s="240"/>
      <c r="W152" s="240"/>
      <c r="X152" s="240"/>
      <c r="Y152" s="239"/>
      <c r="Z152" s="232"/>
      <c r="AA152" s="232"/>
      <c r="AB152" s="232"/>
      <c r="AC152" s="232"/>
      <c r="AD152" s="232"/>
      <c r="AE152" s="215"/>
      <c r="AF152" s="215"/>
      <c r="AG152" s="215"/>
      <c r="AH152" s="232"/>
      <c r="AI152" s="215"/>
      <c r="AJ152" s="215"/>
      <c r="AK152" s="215"/>
      <c r="AL152" s="215"/>
      <c r="AM152" s="215"/>
      <c r="AN152" s="215"/>
      <c r="AO152" s="215"/>
      <c r="AP152" s="215"/>
      <c r="AQ152" s="215"/>
      <c r="AR152" s="215"/>
      <c r="AS152" s="215"/>
      <c r="AT152" s="215"/>
      <c r="AU152" s="215"/>
      <c r="AV152" s="215"/>
      <c r="AW152" s="215"/>
      <c r="AX152" s="215"/>
      <c r="AY152" s="215"/>
      <c r="AZ152" s="215"/>
      <c r="BA152" s="215"/>
      <c r="BB152" s="215"/>
      <c r="BC152" s="215"/>
      <c r="BD152" s="215"/>
      <c r="BE152" s="215"/>
      <c r="BF152" s="215"/>
      <c r="BG152" s="215"/>
      <c r="BH152" s="215"/>
      <c r="BI152" s="215"/>
      <c r="BJ152" s="215"/>
      <c r="BK152" s="215"/>
      <c r="BL152" s="215"/>
      <c r="BM152" s="215"/>
      <c r="BN152" s="215"/>
      <c r="BO152" s="215"/>
      <c r="BP152" s="215"/>
      <c r="BQ152" s="215"/>
      <c r="BR152" s="215"/>
      <c r="BS152" s="215"/>
      <c r="BT152" s="215"/>
      <c r="BU152" s="215"/>
      <c r="BV152" s="215"/>
      <c r="BW152" s="215"/>
      <c r="BX152" s="215"/>
      <c r="BY152" s="215"/>
      <c r="BZ152" s="215"/>
    </row>
    <row r="153" spans="1:78" x14ac:dyDescent="0.2">
      <c r="A153" s="2" t="str">
        <f>'Language Index'!A96</f>
        <v>Distributable Cash Shares (Diluted)</v>
      </c>
      <c r="B153" s="17"/>
      <c r="C153" s="26"/>
      <c r="D153" s="18">
        <f>_xll.ciqfunctions.udf.CIQ($C$2, "IQ_DISTRIBUTABLE_CASH_SHARES_DILUTED", D$6,$F$2)</f>
        <v>0</v>
      </c>
      <c r="E153" s="18">
        <f>_xll.ciqfunctions.udf.CIQ($C$2, "IQ_DISTRIBUTABLE_CASH_SHARES_DILUTED", E$6,$F$2)</f>
        <v>0</v>
      </c>
      <c r="F153" s="18">
        <f>_xll.ciqfunctions.udf.CIQ($C$2, "IQ_DISTRIBUTABLE_CASH_SHARES_DILUTED", F$6,$F$2)</f>
        <v>0</v>
      </c>
      <c r="G153" s="18">
        <f>_xll.ciqfunctions.udf.CIQ($C$2, "IQ_DISTRIBUTABLE_CASH_SHARES_DILUTED", G$6,$F$2)</f>
        <v>0</v>
      </c>
      <c r="H153" s="18">
        <f>_xll.ciqfunctions.udf.CIQ($C$2, "IQ_DISTRIBUTABLE_CASH_SHARES_DILUTED", H$6,$F$2)</f>
        <v>0</v>
      </c>
      <c r="I153" s="18">
        <f>_xll.ciqfunctions.udf.CIQ($C$2, "IQ_DISTRIBUTABLE_CASH_SHARES_DILUTED", I$6,$F$2)</f>
        <v>0</v>
      </c>
      <c r="J153" s="18">
        <f>_xll.ciqfunctions.udf.CIQ($C$2, "IQ_DISTRIBUTABLE_CASH_SHARES_DILUTED", J$6,$F$2)</f>
        <v>0</v>
      </c>
      <c r="K153" s="18">
        <f>_xll.ciqfunctions.udf.CIQ($C$2, "IQ_DISTRIBUTABLE_CASH_SHARES_DILUTED", K$6,$F$2)</f>
        <v>0</v>
      </c>
      <c r="L153" s="18">
        <f>_xll.ciqfunctions.udf.CIQ($C$2, "IQ_DISTRIBUTABLE_CASH_SHARES_DILUTED", L$6,$F$2)</f>
        <v>0</v>
      </c>
      <c r="M153" s="18">
        <f>_xll.ciqfunctions.udf.CIQ($C$2, "IQ_DISTRIBUTABLE_CASH_SHARES_DILUTED", M$6,$F$2)</f>
        <v>0</v>
      </c>
      <c r="N153" s="18">
        <f>_xll.ciqfunctions.udf.CIQ($C$2, "IQ_DISTRIBUTABLE_CASH_SHARES_DILUTED", N$6,$F$2)</f>
        <v>0</v>
      </c>
      <c r="O153" s="18"/>
      <c r="P153" s="18">
        <f>_xll.ciqfunctions.udf.CIQ($C$2, "IQ_DISTRIBUTABLE_CASH_SHARES_DILUTED", P$6,$F$2)</f>
        <v>0</v>
      </c>
      <c r="Q153" s="238"/>
      <c r="R153" s="215"/>
      <c r="S153" s="215"/>
      <c r="T153" s="215"/>
      <c r="U153" s="215"/>
      <c r="V153" s="240"/>
      <c r="W153" s="240"/>
      <c r="X153" s="240"/>
      <c r="Y153" s="239"/>
      <c r="Z153" s="232"/>
      <c r="AA153" s="232"/>
      <c r="AB153" s="232"/>
      <c r="AC153" s="232"/>
      <c r="AD153" s="232"/>
      <c r="AE153" s="215"/>
      <c r="AF153" s="215"/>
      <c r="AG153" s="215"/>
      <c r="AH153" s="232"/>
      <c r="AI153" s="215"/>
      <c r="AJ153" s="215"/>
      <c r="AK153" s="215"/>
      <c r="AL153" s="215"/>
      <c r="AM153" s="215"/>
      <c r="AN153" s="215"/>
      <c r="AO153" s="215"/>
      <c r="AP153" s="215"/>
      <c r="AQ153" s="215"/>
      <c r="AR153" s="215"/>
      <c r="AS153" s="215"/>
      <c r="AT153" s="215"/>
      <c r="AU153" s="215"/>
      <c r="AV153" s="215"/>
      <c r="AW153" s="215"/>
      <c r="AX153" s="215"/>
      <c r="AY153" s="215"/>
      <c r="AZ153" s="215"/>
      <c r="BA153" s="215"/>
      <c r="BB153" s="215"/>
      <c r="BC153" s="215"/>
      <c r="BD153" s="215"/>
      <c r="BE153" s="215"/>
      <c r="BF153" s="215"/>
      <c r="BG153" s="215"/>
      <c r="BH153" s="215"/>
      <c r="BI153" s="215"/>
      <c r="BJ153" s="215"/>
      <c r="BK153" s="215"/>
      <c r="BL153" s="215"/>
      <c r="BM153" s="215"/>
      <c r="BN153" s="215"/>
      <c r="BO153" s="215"/>
      <c r="BP153" s="215"/>
      <c r="BQ153" s="215"/>
      <c r="BR153" s="215"/>
      <c r="BS153" s="215"/>
      <c r="BT153" s="215"/>
      <c r="BU153" s="215"/>
      <c r="BV153" s="215"/>
      <c r="BW153" s="215"/>
      <c r="BX153" s="215"/>
      <c r="BY153" s="215"/>
      <c r="BZ153" s="215"/>
    </row>
    <row r="154" spans="1:78" x14ac:dyDescent="0.2">
      <c r="A154" s="2" t="str">
        <f>'Language Index'!A153</f>
        <v>Annualized Distributions per Unit</v>
      </c>
      <c r="B154" s="2"/>
      <c r="C154" s="26"/>
      <c r="D154" s="18">
        <f>_xll.ciqfunctions.udf.CIQ($C$2, "IQ_ANNU_DISTRIBUTION_UNIT", D$6,$F$2,,,Ccy,Conv)</f>
        <v>0</v>
      </c>
      <c r="E154" s="18">
        <f>_xll.ciqfunctions.udf.CIQ($C$2, "IQ_ANNU_DISTRIBUTION_UNIT", E$6,$F$2,,,Ccy,Conv)</f>
        <v>0</v>
      </c>
      <c r="F154" s="18">
        <f>_xll.ciqfunctions.udf.CIQ($C$2, "IQ_ANNU_DISTRIBUTION_UNIT", F$6,$F$2,,,Ccy,Conv)</f>
        <v>0</v>
      </c>
      <c r="G154" s="18">
        <f>_xll.ciqfunctions.udf.CIQ($C$2, "IQ_ANNU_DISTRIBUTION_UNIT", G$6,$F$2,,,Ccy,Conv)</f>
        <v>0</v>
      </c>
      <c r="H154" s="18">
        <f>_xll.ciqfunctions.udf.CIQ($C$2, "IQ_ANNU_DISTRIBUTION_UNIT", H$6,$F$2,,,Ccy,Conv)</f>
        <v>0</v>
      </c>
      <c r="I154" s="18">
        <f>_xll.ciqfunctions.udf.CIQ($C$2, "IQ_ANNU_DISTRIBUTION_UNIT", I$6,$F$2,,,Ccy,Conv)</f>
        <v>0</v>
      </c>
      <c r="J154" s="18">
        <f>_xll.ciqfunctions.udf.CIQ($C$2, "IQ_ANNU_DISTRIBUTION_UNIT", J$6,$F$2,,,Ccy,Conv)</f>
        <v>0</v>
      </c>
      <c r="K154" s="18">
        <f>_xll.ciqfunctions.udf.CIQ($C$2, "IQ_ANNU_DISTRIBUTION_UNIT", K$6,$F$2,,,Ccy,Conv)</f>
        <v>0</v>
      </c>
      <c r="L154" s="18">
        <f>_xll.ciqfunctions.udf.CIQ($C$2, "IQ_ANNU_DISTRIBUTION_UNIT", L$6,$F$2,,,Ccy,Conv)</f>
        <v>0</v>
      </c>
      <c r="M154" s="18">
        <f>_xll.ciqfunctions.udf.CIQ($C$2, "IQ_ANNU_DISTRIBUTION_UNIT", M$6,$F$2,,,Ccy,Conv)</f>
        <v>0</v>
      </c>
      <c r="N154" s="18">
        <f>_xll.ciqfunctions.udf.CIQ($C$2, "IQ_ANNU_DISTRIBUTION_UNIT", N$6,$F$2,,,Ccy,Conv)</f>
        <v>0</v>
      </c>
      <c r="O154" s="18"/>
      <c r="P154" s="18">
        <f>_xll.ciqfunctions.udf.CIQ($C$2, "IQ_ANNU_DISTRIBUTION_UNIT", P$6,$F$2,,,Ccy,Conv)</f>
        <v>0</v>
      </c>
      <c r="Q154" s="238"/>
      <c r="R154" s="215"/>
      <c r="S154" s="215"/>
      <c r="T154" s="215"/>
      <c r="U154" s="215"/>
      <c r="V154" s="240"/>
      <c r="W154" s="240"/>
      <c r="X154" s="240"/>
      <c r="Y154" s="239"/>
      <c r="Z154" s="232"/>
      <c r="AA154" s="232"/>
      <c r="AB154" s="232"/>
      <c r="AC154" s="232"/>
      <c r="AD154" s="232"/>
      <c r="AE154" s="215"/>
      <c r="AF154" s="215"/>
      <c r="AG154" s="215"/>
      <c r="AH154" s="232"/>
      <c r="AI154" s="215"/>
      <c r="AJ154" s="215"/>
      <c r="AK154" s="215"/>
      <c r="AL154" s="215"/>
      <c r="AM154" s="215"/>
      <c r="AN154" s="215"/>
      <c r="AO154" s="215"/>
      <c r="AP154" s="215"/>
      <c r="AQ154" s="215"/>
      <c r="AR154" s="215"/>
      <c r="AS154" s="215"/>
      <c r="AT154" s="215"/>
      <c r="AU154" s="215"/>
      <c r="AV154" s="215"/>
      <c r="AW154" s="215"/>
      <c r="AX154" s="215"/>
      <c r="AY154" s="215"/>
      <c r="AZ154" s="215"/>
      <c r="BA154" s="215"/>
      <c r="BB154" s="215"/>
      <c r="BC154" s="215"/>
      <c r="BD154" s="215"/>
      <c r="BE154" s="215"/>
      <c r="BF154" s="215"/>
      <c r="BG154" s="215"/>
      <c r="BH154" s="215"/>
      <c r="BI154" s="215"/>
      <c r="BJ154" s="215"/>
      <c r="BK154" s="215"/>
      <c r="BL154" s="215"/>
      <c r="BM154" s="215"/>
      <c r="BN154" s="215"/>
      <c r="BO154" s="215"/>
      <c r="BP154" s="215"/>
      <c r="BQ154" s="215"/>
      <c r="BR154" s="215"/>
      <c r="BS154" s="215"/>
      <c r="BT154" s="215"/>
      <c r="BU154" s="215"/>
      <c r="BV154" s="215"/>
      <c r="BW154" s="215"/>
      <c r="BX154" s="215"/>
      <c r="BY154" s="215"/>
      <c r="BZ154" s="215"/>
    </row>
    <row r="155" spans="1:78" x14ac:dyDescent="0.2">
      <c r="A155" s="2" t="str">
        <f>'Language Index'!A154</f>
        <v>Distributable Cash Payout Ratio (Income Trusts)</v>
      </c>
      <c r="B155" s="17"/>
      <c r="C155" s="26"/>
      <c r="D155" s="18">
        <f>_xll.ciqfunctions.udf.CIQ($C$2, "IQ_DISTRIBUTABLE_CASH_PAYOUT", D$6,$F$2)</f>
        <v>0</v>
      </c>
      <c r="E155" s="18">
        <f>_xll.ciqfunctions.udf.CIQ($C$2, "IQ_DISTRIBUTABLE_CASH_PAYOUT", E$6,$F$2)</f>
        <v>0</v>
      </c>
      <c r="F155" s="18">
        <f>_xll.ciqfunctions.udf.CIQ($C$2, "IQ_DISTRIBUTABLE_CASH_PAYOUT", F$6,$F$2)</f>
        <v>0</v>
      </c>
      <c r="G155" s="18">
        <f>_xll.ciqfunctions.udf.CIQ($C$2, "IQ_DISTRIBUTABLE_CASH_PAYOUT", G$6,$F$2)</f>
        <v>0</v>
      </c>
      <c r="H155" s="18">
        <f>_xll.ciqfunctions.udf.CIQ($C$2, "IQ_DISTRIBUTABLE_CASH_PAYOUT", H$6,$F$2)</f>
        <v>0</v>
      </c>
      <c r="I155" s="18">
        <f>_xll.ciqfunctions.udf.CIQ($C$2, "IQ_DISTRIBUTABLE_CASH_PAYOUT", I$6,$F$2)</f>
        <v>0</v>
      </c>
      <c r="J155" s="18">
        <f>_xll.ciqfunctions.udf.CIQ($C$2, "IQ_DISTRIBUTABLE_CASH_PAYOUT", J$6,$F$2)</f>
        <v>0</v>
      </c>
      <c r="K155" s="18">
        <f>_xll.ciqfunctions.udf.CIQ($C$2, "IQ_DISTRIBUTABLE_CASH_PAYOUT", K$6,$F$2)</f>
        <v>0</v>
      </c>
      <c r="L155" s="18">
        <f>_xll.ciqfunctions.udf.CIQ($C$2, "IQ_DISTRIBUTABLE_CASH_PAYOUT", L$6,$F$2)</f>
        <v>0</v>
      </c>
      <c r="M155" s="18">
        <f>_xll.ciqfunctions.udf.CIQ($C$2, "IQ_DISTRIBUTABLE_CASH_PAYOUT", M$6,$F$2)</f>
        <v>0</v>
      </c>
      <c r="N155" s="18">
        <f>_xll.ciqfunctions.udf.CIQ($C$2, "IQ_DISTRIBUTABLE_CASH_PAYOUT", N$6,$F$2)</f>
        <v>0</v>
      </c>
      <c r="O155" s="18"/>
      <c r="P155" s="18">
        <f>_xll.ciqfunctions.udf.CIQ($C$2, "IQ_DISTRIBUTABLE_CASH_PAYOUT", P$6,$F$2)</f>
        <v>0</v>
      </c>
      <c r="Q155" s="238"/>
      <c r="R155" s="215"/>
      <c r="S155" s="215"/>
      <c r="T155" s="215"/>
      <c r="U155" s="215"/>
      <c r="V155" s="240"/>
      <c r="W155" s="240"/>
      <c r="X155" s="240"/>
      <c r="Y155" s="239"/>
      <c r="Z155" s="232"/>
      <c r="AA155" s="232"/>
      <c r="AB155" s="232"/>
      <c r="AC155" s="232"/>
      <c r="AD155" s="232"/>
      <c r="AE155" s="215"/>
      <c r="AF155" s="215"/>
      <c r="AG155" s="215"/>
      <c r="AH155" s="232"/>
      <c r="AI155" s="215"/>
      <c r="AJ155" s="215"/>
      <c r="AK155" s="215"/>
      <c r="AL155" s="215"/>
      <c r="AM155" s="215"/>
      <c r="AN155" s="215"/>
      <c r="AO155" s="215"/>
      <c r="AP155" s="215"/>
      <c r="AQ155" s="215"/>
      <c r="AR155" s="215"/>
      <c r="AS155" s="215"/>
      <c r="AT155" s="215"/>
      <c r="AU155" s="215"/>
      <c r="AV155" s="215"/>
      <c r="AW155" s="215"/>
      <c r="AX155" s="215"/>
      <c r="AY155" s="215"/>
      <c r="AZ155" s="215"/>
      <c r="BA155" s="215"/>
      <c r="BB155" s="215"/>
      <c r="BC155" s="215"/>
      <c r="BD155" s="215"/>
      <c r="BE155" s="215"/>
      <c r="BF155" s="215"/>
      <c r="BG155" s="215"/>
      <c r="BH155" s="215"/>
      <c r="BI155" s="215"/>
      <c r="BJ155" s="215"/>
      <c r="BK155" s="215"/>
      <c r="BL155" s="215"/>
      <c r="BM155" s="215"/>
      <c r="BN155" s="215"/>
      <c r="BO155" s="215"/>
      <c r="BP155" s="215"/>
      <c r="BQ155" s="215"/>
      <c r="BR155" s="215"/>
      <c r="BS155" s="215"/>
      <c r="BT155" s="215"/>
      <c r="BU155" s="215"/>
      <c r="BV155" s="215"/>
      <c r="BW155" s="215"/>
      <c r="BX155" s="215"/>
      <c r="BY155" s="215"/>
      <c r="BZ155" s="215"/>
    </row>
    <row r="156" spans="1:78" x14ac:dyDescent="0.2">
      <c r="A156" s="2" t="str">
        <f>'Language Index'!A155</f>
        <v>Common Stock Dividend Declared</v>
      </c>
      <c r="B156" s="17"/>
      <c r="C156" s="26"/>
      <c r="D156" s="18">
        <f>_xll.ciqfunctions.udf.CIQ($C$2, "IQ_COMMON_DIV", D$6,$F$2,,,Ccy,Conv)</f>
        <v>5992</v>
      </c>
      <c r="E156" s="18">
        <f>_xll.ciqfunctions.udf.CIQ($C$2, "IQ_COMMON_DIV", E$6,$F$2,,,Ccy,Conv)</f>
        <v>6016</v>
      </c>
      <c r="F156" s="18">
        <f>_xll.ciqfunctions.udf.CIQ($C$2, "IQ_COMMON_DIV", F$6,$F$2,,,Ccy,Conv)</f>
        <v>6040</v>
      </c>
      <c r="G156" s="18">
        <f>_xll.ciqfunctions.udf.CIQ($C$2, "IQ_COMMON_DIV", G$6,$F$2,,,Ccy,Conv)</f>
        <v>6065</v>
      </c>
      <c r="H156" s="18">
        <f>_xll.ciqfunctions.udf.CIQ($C$2, "IQ_COMMON_DIV", H$6,$F$2,,,Ccy,Conv)</f>
        <v>6092</v>
      </c>
      <c r="I156" s="18">
        <f>_xll.ciqfunctions.udf.CIQ($C$2, "IQ_COMMON_DIV", I$6,$F$2,,,Ccy,Conv)</f>
        <v>6119</v>
      </c>
      <c r="J156" s="18">
        <f>_xll.ciqfunctions.udf.CIQ($C$2, "IQ_COMMON_DIV", J$6,$F$2,,,Ccy,Conv)</f>
        <v>6147</v>
      </c>
      <c r="K156" s="18">
        <f>_xll.ciqfunctions.udf.CIQ($C$2, "IQ_COMMON_DIV", K$6,$F$2,,,Ccy,Conv)</f>
        <v>6174</v>
      </c>
      <c r="L156" s="18">
        <f>_xll.ciqfunctions.udf.CIQ($C$2, "IQ_COMMON_DIV", L$6,$F$2,,,Ccy,Conv)</f>
        <v>6201</v>
      </c>
      <c r="M156" s="18">
        <f>_xll.ciqfunctions.udf.CIQ($C$2, "IQ_COMMON_DIV", M$6,$F$2,,,Ccy,Conv)</f>
        <v>6227</v>
      </c>
      <c r="N156" s="18">
        <f>_xll.ciqfunctions.udf.CIQ($C$2, "IQ_COMMON_DIV", N$6,$F$2,,,Ccy,Conv)</f>
        <v>6255</v>
      </c>
      <c r="O156" s="18"/>
      <c r="P156" s="18">
        <f>_xll.ciqfunctions.udf.CIQ($C$2, "IQ_COMMON_DIV", P$6,$F$2,,,Ccy,Conv)</f>
        <v>6255</v>
      </c>
      <c r="Q156" s="238"/>
      <c r="R156" s="215"/>
      <c r="S156" s="215"/>
      <c r="T156" s="215"/>
      <c r="U156" s="215"/>
      <c r="V156" s="240"/>
      <c r="W156" s="240"/>
      <c r="X156" s="240"/>
      <c r="Y156" s="239"/>
      <c r="Z156" s="232"/>
      <c r="AA156" s="232"/>
      <c r="AB156" s="232"/>
      <c r="AC156" s="232"/>
      <c r="AD156" s="232"/>
      <c r="AE156" s="215"/>
      <c r="AF156" s="215"/>
      <c r="AG156" s="215"/>
      <c r="AH156" s="232"/>
      <c r="AI156" s="215"/>
      <c r="AJ156" s="215"/>
      <c r="AK156" s="215"/>
      <c r="AL156" s="215"/>
      <c r="AM156" s="215"/>
      <c r="AN156" s="215"/>
      <c r="AO156" s="215"/>
      <c r="AP156" s="215"/>
      <c r="AQ156" s="215"/>
      <c r="AR156" s="215"/>
      <c r="AS156" s="215"/>
      <c r="AT156" s="215"/>
      <c r="AU156" s="215"/>
      <c r="AV156" s="215"/>
      <c r="AW156" s="215"/>
      <c r="AX156" s="215"/>
      <c r="AY156" s="215"/>
      <c r="AZ156" s="215"/>
      <c r="BA156" s="215"/>
      <c r="BB156" s="215"/>
      <c r="BC156" s="215"/>
      <c r="BD156" s="215"/>
      <c r="BE156" s="215"/>
      <c r="BF156" s="215"/>
      <c r="BG156" s="215"/>
      <c r="BH156" s="215"/>
      <c r="BI156" s="215"/>
      <c r="BJ156" s="215"/>
      <c r="BK156" s="215"/>
      <c r="BL156" s="215"/>
      <c r="BM156" s="215"/>
      <c r="BN156" s="215"/>
      <c r="BO156" s="215"/>
      <c r="BP156" s="215"/>
      <c r="BQ156" s="215"/>
      <c r="BR156" s="215"/>
      <c r="BS156" s="215"/>
      <c r="BT156" s="215"/>
      <c r="BU156" s="215"/>
      <c r="BV156" s="215"/>
      <c r="BW156" s="215"/>
      <c r="BX156" s="215"/>
      <c r="BY156" s="215"/>
      <c r="BZ156" s="215"/>
    </row>
    <row r="157" spans="1:78" x14ac:dyDescent="0.2">
      <c r="A157" s="2" t="str">
        <f>'Language Index'!A156</f>
        <v>Effective Tax Rate (%)</v>
      </c>
      <c r="B157" s="38"/>
      <c r="C157" s="26"/>
      <c r="D157" s="18" t="str">
        <f>_xll.ciqfunctions.udf.CIQ($C$2, "IQ_EFFECT_TAX_RATE", D$6,$F$2)</f>
        <v>NM</v>
      </c>
      <c r="E157" s="18">
        <f>_xll.ciqfunctions.udf.CIQ($C$2, "IQ_EFFECT_TAX_RATE", E$6,$F$2)</f>
        <v>13.901</v>
      </c>
      <c r="F157" s="18">
        <f>_xll.ciqfunctions.udf.CIQ($C$2, "IQ_EFFECT_TAX_RATE", F$6,$F$2)</f>
        <v>13.5327</v>
      </c>
      <c r="G157" s="18">
        <f>_xll.ciqfunctions.udf.CIQ($C$2, "IQ_EFFECT_TAX_RATE", G$6,$F$2)</f>
        <v>6.3182</v>
      </c>
      <c r="H157" s="18">
        <f>_xll.ciqfunctions.udf.CIQ($C$2, "IQ_EFFECT_TAX_RATE", H$6,$F$2)</f>
        <v>5.8375000000000004</v>
      </c>
      <c r="I157" s="18" t="str">
        <f>_xll.ciqfunctions.udf.CIQ($C$2, "IQ_EFFECT_TAX_RATE", I$6,$F$2)</f>
        <v>NM</v>
      </c>
      <c r="J157" s="18" t="str">
        <f>_xll.ciqfunctions.udf.CIQ($C$2, "IQ_EFFECT_TAX_RATE", J$6,$F$2)</f>
        <v>NM</v>
      </c>
      <c r="K157" s="18">
        <f>_xll.ciqfunctions.udf.CIQ($C$2, "IQ_EFFECT_TAX_RATE", K$6,$F$2)</f>
        <v>6.5804999999999998</v>
      </c>
      <c r="L157" s="18">
        <f>_xll.ciqfunctions.udf.CIQ($C$2, "IQ_EFFECT_TAX_RATE", L$6,$F$2)</f>
        <v>6.4066999999999998</v>
      </c>
      <c r="M157" s="18">
        <f>_xll.ciqfunctions.udf.CIQ($C$2, "IQ_EFFECT_TAX_RATE", M$6,$F$2)</f>
        <v>16.562999999999999</v>
      </c>
      <c r="N157" s="18" t="str">
        <f>_xll.ciqfunctions.udf.CIQ($C$2, "IQ_EFFECT_TAX_RATE", N$6,$F$2)</f>
        <v>NM</v>
      </c>
      <c r="O157" s="18"/>
      <c r="P157" s="18" t="str">
        <f>_xll.ciqfunctions.udf.CIQ($C$2, "IQ_EFFECT_TAX_RATE", P$6,$F$2)</f>
        <v>NM</v>
      </c>
      <c r="Q157" s="238"/>
      <c r="R157" s="215"/>
      <c r="S157" s="215"/>
      <c r="T157" s="215"/>
      <c r="U157" s="215"/>
      <c r="V157" s="240"/>
      <c r="W157" s="240"/>
      <c r="X157" s="240"/>
      <c r="Y157" s="239"/>
      <c r="Z157" s="232"/>
      <c r="AA157" s="232"/>
      <c r="AB157" s="232"/>
      <c r="AC157" s="232"/>
      <c r="AD157" s="232"/>
      <c r="AE157" s="215"/>
      <c r="AF157" s="215"/>
      <c r="AG157" s="215"/>
      <c r="AH157" s="232"/>
      <c r="AI157" s="215"/>
      <c r="AJ157" s="215"/>
      <c r="AK157" s="215"/>
      <c r="AL157" s="215"/>
      <c r="AM157" s="215"/>
      <c r="AN157" s="215"/>
      <c r="AO157" s="215"/>
      <c r="AP157" s="215"/>
      <c r="AQ157" s="215"/>
      <c r="AR157" s="215"/>
      <c r="AS157" s="215"/>
      <c r="AT157" s="215"/>
      <c r="AU157" s="215"/>
      <c r="AV157" s="215"/>
      <c r="AW157" s="215"/>
      <c r="AX157" s="215"/>
      <c r="AY157" s="215"/>
      <c r="AZ157" s="215"/>
      <c r="BA157" s="215"/>
      <c r="BB157" s="215"/>
      <c r="BC157" s="215"/>
      <c r="BD157" s="215"/>
      <c r="BE157" s="215"/>
      <c r="BF157" s="215"/>
      <c r="BG157" s="215"/>
      <c r="BH157" s="215"/>
      <c r="BI157" s="215"/>
      <c r="BJ157" s="215"/>
      <c r="BK157" s="215"/>
      <c r="BL157" s="215"/>
      <c r="BM157" s="215"/>
      <c r="BN157" s="215"/>
      <c r="BO157" s="215"/>
      <c r="BP157" s="215"/>
      <c r="BQ157" s="215"/>
      <c r="BR157" s="215"/>
      <c r="BS157" s="215"/>
      <c r="BT157" s="215"/>
      <c r="BU157" s="215"/>
      <c r="BV157" s="215"/>
      <c r="BW157" s="215"/>
      <c r="BX157" s="215"/>
      <c r="BY157" s="215"/>
      <c r="BZ157" s="215"/>
    </row>
    <row r="158" spans="1:78" x14ac:dyDescent="0.2">
      <c r="A158" s="2" t="str">
        <f>'Language Index'!A157</f>
        <v>Payout Ratio (%)</v>
      </c>
      <c r="B158" s="38"/>
      <c r="C158" s="26"/>
      <c r="D158" s="18">
        <f>_xll.ciqfunctions.udf.CIQ($C$2, "IQ_PAYOUT_RATIO", D$6,$F$2)</f>
        <v>295.90120000000002</v>
      </c>
      <c r="E158" s="18">
        <f>_xll.ciqfunctions.udf.CIQ($C$2, "IQ_PAYOUT_RATIO", E$6,$F$2)</f>
        <v>86.886099999999999</v>
      </c>
      <c r="F158" s="18">
        <f>_xll.ciqfunctions.udf.CIQ($C$2, "IQ_PAYOUT_RATIO", F$6,$F$2)</f>
        <v>80.511799999999994</v>
      </c>
      <c r="G158" s="18">
        <f>_xll.ciqfunctions.udf.CIQ($C$2, "IQ_PAYOUT_RATIO", G$6,$F$2)</f>
        <v>74.144199999999998</v>
      </c>
      <c r="H158" s="18">
        <f>_xll.ciqfunctions.udf.CIQ($C$2, "IQ_PAYOUT_RATIO", H$6,$F$2)</f>
        <v>72.253799999999998</v>
      </c>
      <c r="I158" s="18">
        <f>_xll.ciqfunctions.udf.CIQ($C$2, "IQ_PAYOUT_RATIO", I$6,$F$2)</f>
        <v>95.654200000000003</v>
      </c>
      <c r="J158" s="18">
        <f>_xll.ciqfunctions.udf.CIQ($C$2, "IQ_PAYOUT_RATIO", J$6,$F$2)</f>
        <v>102.0587</v>
      </c>
      <c r="K158" s="18">
        <f>_xll.ciqfunctions.udf.CIQ($C$2, "IQ_PAYOUT_RATIO", K$6,$F$2)</f>
        <v>112.8083</v>
      </c>
      <c r="L158" s="18">
        <f>_xll.ciqfunctions.udf.CIQ($C$2, "IQ_PAYOUT_RATIO", L$6,$F$2)</f>
        <v>106.30889999999999</v>
      </c>
      <c r="M158" s="18">
        <f>_xll.ciqfunctions.udf.CIQ($C$2, "IQ_PAYOUT_RATIO", M$6,$F$2)</f>
        <v>78.753</v>
      </c>
      <c r="N158" s="18">
        <f>_xll.ciqfunctions.udf.CIQ($C$2, "IQ_PAYOUT_RATIO", N$6,$F$2)</f>
        <v>59.048400000000001</v>
      </c>
      <c r="O158" s="18"/>
      <c r="P158" s="18">
        <f>_xll.ciqfunctions.udf.CIQ($C$2, "IQ_PAYOUT_RATIO", P$6,$F$2)</f>
        <v>59.048400000000001</v>
      </c>
      <c r="Q158" s="238"/>
      <c r="R158" s="215"/>
      <c r="S158" s="215"/>
      <c r="T158" s="215"/>
      <c r="U158" s="215"/>
      <c r="V158" s="222"/>
      <c r="W158" s="222"/>
      <c r="X158" s="222"/>
      <c r="Y158" s="215"/>
      <c r="Z158" s="215"/>
      <c r="AA158" s="215"/>
      <c r="AB158" s="215"/>
      <c r="AC158" s="215"/>
      <c r="AD158" s="215"/>
      <c r="AE158" s="215"/>
      <c r="AF158" s="215"/>
      <c r="AG158" s="215"/>
      <c r="AH158" s="215"/>
      <c r="AI158" s="215"/>
      <c r="AJ158" s="215"/>
      <c r="AK158" s="215"/>
      <c r="AL158" s="215"/>
      <c r="AM158" s="215"/>
      <c r="AN158" s="215"/>
      <c r="AO158" s="215"/>
      <c r="AP158" s="215"/>
      <c r="AQ158" s="215"/>
      <c r="AR158" s="215"/>
      <c r="AS158" s="215"/>
      <c r="AT158" s="215"/>
      <c r="AU158" s="215"/>
      <c r="AV158" s="215"/>
      <c r="AW158" s="215"/>
      <c r="AX158" s="215"/>
      <c r="AY158" s="215"/>
      <c r="AZ158" s="215"/>
      <c r="BA158" s="215"/>
      <c r="BB158" s="215"/>
      <c r="BC158" s="215"/>
      <c r="BD158" s="215"/>
      <c r="BE158" s="215"/>
      <c r="BF158" s="215"/>
      <c r="BG158" s="215"/>
      <c r="BH158" s="215"/>
      <c r="BI158" s="215"/>
      <c r="BJ158" s="215"/>
      <c r="BK158" s="215"/>
      <c r="BL158" s="215"/>
      <c r="BM158" s="215"/>
      <c r="BN158" s="215"/>
      <c r="BO158" s="215"/>
      <c r="BP158" s="215"/>
      <c r="BQ158" s="215"/>
      <c r="BR158" s="215"/>
      <c r="BS158" s="215"/>
      <c r="BT158" s="215"/>
      <c r="BU158" s="215"/>
      <c r="BV158" s="215"/>
      <c r="BW158" s="215"/>
      <c r="BX158" s="215"/>
      <c r="BY158" s="215"/>
      <c r="BZ158" s="215"/>
    </row>
    <row r="159" spans="1:78" x14ac:dyDescent="0.2">
      <c r="A159" s="2" t="str">
        <f>'Language Index'!A158</f>
        <v>Debt Issuance Costs</v>
      </c>
      <c r="B159" s="28"/>
      <c r="C159" s="26"/>
      <c r="D159" s="18">
        <f>_xll.ciqfunctions.udf.CIQ($C$2, "IQ_DIC", D$6,$F$2,,,Ccy,Conv)</f>
        <v>0</v>
      </c>
      <c r="E159" s="18">
        <f>_xll.ciqfunctions.udf.CIQ($C$2, "IQ_DIC", E$6,$F$2,,,Ccy,Conv)</f>
        <v>0</v>
      </c>
      <c r="F159" s="18">
        <f>_xll.ciqfunctions.udf.CIQ($C$2, "IQ_DIC", F$6,$F$2,,,Ccy,Conv)</f>
        <v>0</v>
      </c>
      <c r="G159" s="18">
        <f>_xll.ciqfunctions.udf.CIQ($C$2, "IQ_DIC", G$6,$F$2,,,Ccy,Conv)</f>
        <v>0</v>
      </c>
      <c r="H159" s="18">
        <f>_xll.ciqfunctions.udf.CIQ($C$2, "IQ_DIC", H$6,$F$2,,,Ccy,Conv)</f>
        <v>0</v>
      </c>
      <c r="I159" s="18">
        <f>_xll.ciqfunctions.udf.CIQ($C$2, "IQ_DIC", I$6,$F$2,,,Ccy,Conv)</f>
        <v>0</v>
      </c>
      <c r="J159" s="18">
        <f>_xll.ciqfunctions.udf.CIQ($C$2, "IQ_DIC", J$6,$F$2,,,Ccy,Conv)</f>
        <v>0</v>
      </c>
      <c r="K159" s="18">
        <f>_xll.ciqfunctions.udf.CIQ($C$2, "IQ_DIC", K$6,$F$2,,,Ccy,Conv)</f>
        <v>0</v>
      </c>
      <c r="L159" s="18">
        <f>_xll.ciqfunctions.udf.CIQ($C$2, "IQ_DIC", L$6,$F$2,,,Ccy,Conv)</f>
        <v>0</v>
      </c>
      <c r="M159" s="18">
        <f>_xll.ciqfunctions.udf.CIQ($C$2, "IQ_DIC", M$6,$F$2,,,Ccy,Conv)</f>
        <v>0</v>
      </c>
      <c r="N159" s="18">
        <f>_xll.ciqfunctions.udf.CIQ($C$2, "IQ_DIC", N$6,$F$2,,,Ccy,Conv)</f>
        <v>0</v>
      </c>
      <c r="O159" s="18"/>
      <c r="P159" s="18">
        <f>_xll.ciqfunctions.udf.CIQ($C$2, "IQ_DIC", P$6,$F$2,,,Ccy,Conv)</f>
        <v>0</v>
      </c>
      <c r="Q159" s="238"/>
      <c r="R159" s="215"/>
      <c r="S159" s="215"/>
      <c r="T159" s="215"/>
      <c r="U159" s="215"/>
      <c r="V159" s="222"/>
      <c r="W159" s="222"/>
      <c r="X159" s="222"/>
      <c r="Y159" s="215"/>
      <c r="Z159" s="215"/>
      <c r="AA159" s="215"/>
      <c r="AB159" s="215"/>
      <c r="AC159" s="215"/>
      <c r="AD159" s="215"/>
      <c r="AE159" s="215"/>
      <c r="AF159" s="215"/>
      <c r="AG159" s="215"/>
      <c r="AH159" s="215"/>
      <c r="AI159" s="215"/>
      <c r="AJ159" s="215"/>
      <c r="AK159" s="215"/>
      <c r="AL159" s="215"/>
      <c r="AM159" s="215"/>
      <c r="AN159" s="215"/>
      <c r="AO159" s="215"/>
      <c r="AP159" s="215"/>
      <c r="AQ159" s="215"/>
      <c r="AR159" s="215"/>
      <c r="AS159" s="215"/>
      <c r="AT159" s="215"/>
      <c r="AU159" s="215"/>
      <c r="AV159" s="215"/>
      <c r="AW159" s="215"/>
      <c r="AX159" s="215"/>
      <c r="AY159" s="215"/>
      <c r="AZ159" s="215"/>
      <c r="BA159" s="215"/>
      <c r="BB159" s="215"/>
      <c r="BC159" s="215"/>
      <c r="BD159" s="215"/>
      <c r="BE159" s="215"/>
      <c r="BF159" s="215"/>
      <c r="BG159" s="215"/>
      <c r="BH159" s="215"/>
      <c r="BI159" s="215"/>
      <c r="BJ159" s="215"/>
      <c r="BK159" s="215"/>
      <c r="BL159" s="215"/>
      <c r="BM159" s="215"/>
      <c r="BN159" s="215"/>
      <c r="BO159" s="215"/>
      <c r="BP159" s="215"/>
      <c r="BQ159" s="215"/>
      <c r="BR159" s="215"/>
      <c r="BS159" s="215"/>
      <c r="BT159" s="215"/>
      <c r="BU159" s="215"/>
      <c r="BV159" s="215"/>
      <c r="BW159" s="215"/>
      <c r="BX159" s="215"/>
      <c r="BY159" s="215"/>
      <c r="BZ159" s="215"/>
    </row>
    <row r="160" spans="1:78" x14ac:dyDescent="0.2">
      <c r="A160" s="2" t="str">
        <f>'Language Index'!A159</f>
        <v>Filing Currency</v>
      </c>
      <c r="B160" s="38"/>
      <c r="C160" s="26"/>
      <c r="D160" s="40" t="str">
        <f>_xll.ciqfunctions.udf.CIQ($C$2, "IQ_FILING_CURRENCY", D$6,$F$2)</f>
        <v>USD</v>
      </c>
      <c r="E160" s="40" t="str">
        <f>_xll.ciqfunctions.udf.CIQ($C$2, "IQ_FILING_CURRENCY", E$6,$F$2)</f>
        <v>USD</v>
      </c>
      <c r="F160" s="40" t="str">
        <f>_xll.ciqfunctions.udf.CIQ($C$2, "IQ_FILING_CURRENCY", F$6,$F$2)</f>
        <v>USD</v>
      </c>
      <c r="G160" s="40" t="str">
        <f>_xll.ciqfunctions.udf.CIQ($C$2, "IQ_FILING_CURRENCY", G$6,$F$2)</f>
        <v>USD</v>
      </c>
      <c r="H160" s="40" t="str">
        <f>_xll.ciqfunctions.udf.CIQ($C$2, "IQ_FILING_CURRENCY", H$6,$F$2)</f>
        <v>USD</v>
      </c>
      <c r="I160" s="40" t="str">
        <f>_xll.ciqfunctions.udf.CIQ($C$2, "IQ_FILING_CURRENCY", I$6,$F$2)</f>
        <v>USD</v>
      </c>
      <c r="J160" s="40" t="str">
        <f>_xll.ciqfunctions.udf.CIQ($C$2, "IQ_FILING_CURRENCY", J$6,$F$2)</f>
        <v>USD</v>
      </c>
      <c r="K160" s="40" t="str">
        <f>_xll.ciqfunctions.udf.CIQ($C$2, "IQ_FILING_CURRENCY", K$6,$F$2)</f>
        <v>USD</v>
      </c>
      <c r="L160" s="40" t="str">
        <f>_xll.ciqfunctions.udf.CIQ($C$2, "IQ_FILING_CURRENCY", L$6,$F$2)</f>
        <v>USD</v>
      </c>
      <c r="M160" s="40" t="str">
        <f>_xll.ciqfunctions.udf.CIQ($C$2, "IQ_FILING_CURRENCY", M$6,$F$2)</f>
        <v>USD</v>
      </c>
      <c r="N160" s="40" t="str">
        <f>_xll.ciqfunctions.udf.CIQ($C$2, "IQ_FILING_CURRENCY", N$6,$F$2)</f>
        <v>USD</v>
      </c>
      <c r="O160" s="40"/>
      <c r="P160" s="40" t="str">
        <f>_xll.ciqfunctions.udf.CIQ($C$2, "IQ_FILING_CURRENCY", P$6,$F$2)</f>
        <v>USD</v>
      </c>
      <c r="Q160" s="238"/>
      <c r="R160" s="215"/>
      <c r="S160" s="215"/>
      <c r="T160" s="215"/>
      <c r="U160" s="215"/>
      <c r="V160" s="222"/>
      <c r="W160" s="222"/>
      <c r="X160" s="222"/>
      <c r="Y160" s="241"/>
      <c r="Z160" s="241"/>
      <c r="AA160" s="241"/>
      <c r="AB160" s="241"/>
      <c r="AC160" s="241"/>
      <c r="AD160" s="241"/>
      <c r="AE160" s="215"/>
      <c r="AF160" s="215"/>
      <c r="AG160" s="215"/>
      <c r="AH160" s="241"/>
      <c r="AI160" s="215"/>
      <c r="AJ160" s="215"/>
      <c r="AK160" s="215"/>
      <c r="AL160" s="215"/>
      <c r="AM160" s="215"/>
      <c r="AN160" s="215"/>
      <c r="AO160" s="215"/>
      <c r="AP160" s="215"/>
      <c r="AQ160" s="215"/>
      <c r="AR160" s="215"/>
      <c r="AS160" s="215"/>
      <c r="AT160" s="215"/>
      <c r="AU160" s="215"/>
      <c r="AV160" s="215"/>
      <c r="AW160" s="215"/>
      <c r="AX160" s="215"/>
      <c r="AY160" s="215"/>
      <c r="AZ160" s="215"/>
      <c r="BA160" s="215"/>
      <c r="BB160" s="215"/>
      <c r="BC160" s="215"/>
      <c r="BD160" s="215"/>
      <c r="BE160" s="215"/>
      <c r="BF160" s="215"/>
      <c r="BG160" s="215"/>
      <c r="BH160" s="215"/>
      <c r="BI160" s="215"/>
      <c r="BJ160" s="215"/>
      <c r="BK160" s="215"/>
      <c r="BL160" s="215"/>
      <c r="BM160" s="215"/>
      <c r="BN160" s="215"/>
      <c r="BO160" s="215"/>
      <c r="BP160" s="215"/>
      <c r="BQ160" s="215"/>
      <c r="BR160" s="215"/>
      <c r="BS160" s="215"/>
      <c r="BT160" s="215"/>
      <c r="BU160" s="215"/>
      <c r="BV160" s="215"/>
      <c r="BW160" s="215"/>
      <c r="BX160" s="215"/>
      <c r="BY160" s="215"/>
      <c r="BZ160" s="215"/>
    </row>
    <row r="161" spans="1:78" x14ac:dyDescent="0.2">
      <c r="A161" s="2" t="str">
        <f>'Language Index'!A160</f>
        <v>Restatement Type</v>
      </c>
      <c r="B161" s="38"/>
      <c r="C161" s="26"/>
      <c r="D161" s="40" t="str">
        <f>_xll.ciqfunctions.udf.CIQ($C$2, "IQ_RESTATEMENT_IS",D$6,$F$2)</f>
        <v>RC</v>
      </c>
      <c r="E161" s="40" t="str">
        <f>_xll.ciqfunctions.udf.CIQ($C$2, "IQ_RESTATEMENT_IS",E$6,$F$2)</f>
        <v>RC</v>
      </c>
      <c r="F161" s="40" t="str">
        <f>_xll.ciqfunctions.udf.CIQ($C$2, "IQ_RESTATEMENT_IS",F$6,$F$2)</f>
        <v>RC</v>
      </c>
      <c r="G161" s="40" t="str">
        <f>_xll.ciqfunctions.udf.CIQ($C$2, "IQ_RESTATEMENT_IS",G$6,$F$2)</f>
        <v>RC</v>
      </c>
      <c r="H161" s="40" t="str">
        <f>_xll.ciqfunctions.udf.CIQ($C$2, "IQ_RESTATEMENT_IS",H$6,$F$2)</f>
        <v>RC</v>
      </c>
      <c r="I161" s="40" t="str">
        <f>_xll.ciqfunctions.udf.CIQ($C$2, "IQ_RESTATEMENT_IS",I$6,$F$2)</f>
        <v>RC</v>
      </c>
      <c r="J161" s="40" t="str">
        <f>_xll.ciqfunctions.udf.CIQ($C$2, "IQ_RESTATEMENT_IS",J$6,$F$2)</f>
        <v>NC</v>
      </c>
      <c r="K161" s="40" t="str">
        <f>_xll.ciqfunctions.udf.CIQ($C$2, "IQ_RESTATEMENT_IS",K$6,$F$2)</f>
        <v>O</v>
      </c>
      <c r="L161" s="40" t="str">
        <f>_xll.ciqfunctions.udf.CIQ($C$2, "IQ_RESTATEMENT_IS",L$6,$F$2)</f>
        <v>O</v>
      </c>
      <c r="M161" s="40" t="str">
        <f>_xll.ciqfunctions.udf.CIQ($C$2, "IQ_RESTATEMENT_IS",M$6,$F$2)</f>
        <v>O</v>
      </c>
      <c r="N161" s="40" t="str">
        <f>_xll.ciqfunctions.udf.CIQ($C$2, "IQ_RESTATEMENT_IS",N$6,$F$2)</f>
        <v>O</v>
      </c>
      <c r="O161" s="40"/>
      <c r="P161" s="40" t="str">
        <f>_xll.ciqfunctions.udf.CIQ($C$2, "IQ_RESTATEMENT_IS",P$6,$F$2)</f>
        <v>O</v>
      </c>
      <c r="Q161" s="238"/>
      <c r="R161" s="215"/>
      <c r="S161" s="215"/>
      <c r="T161" s="215"/>
      <c r="U161" s="215"/>
      <c r="V161" s="222"/>
      <c r="W161" s="222"/>
      <c r="X161" s="222"/>
      <c r="Y161" s="241"/>
      <c r="Z161" s="241"/>
      <c r="AA161" s="241"/>
      <c r="AB161" s="241"/>
      <c r="AC161" s="241"/>
      <c r="AD161" s="241"/>
      <c r="AE161" s="215"/>
      <c r="AF161" s="215"/>
      <c r="AG161" s="215"/>
      <c r="AH161" s="241"/>
      <c r="AI161" s="215"/>
      <c r="AJ161" s="215"/>
      <c r="AK161" s="215"/>
      <c r="AL161" s="215"/>
      <c r="AM161" s="215"/>
      <c r="AN161" s="215"/>
      <c r="AO161" s="215"/>
      <c r="AP161" s="215"/>
      <c r="AQ161" s="215"/>
      <c r="AR161" s="215"/>
      <c r="AS161" s="215"/>
      <c r="AT161" s="215"/>
      <c r="AU161" s="215"/>
      <c r="AV161" s="215"/>
      <c r="AW161" s="215"/>
      <c r="AX161" s="215"/>
      <c r="AY161" s="215"/>
      <c r="AZ161" s="215"/>
      <c r="BA161" s="215"/>
      <c r="BB161" s="215"/>
      <c r="BC161" s="215"/>
      <c r="BD161" s="215"/>
      <c r="BE161" s="215"/>
      <c r="BF161" s="215"/>
      <c r="BG161" s="215"/>
      <c r="BH161" s="215"/>
      <c r="BI161" s="215"/>
      <c r="BJ161" s="215"/>
      <c r="BK161" s="215"/>
      <c r="BL161" s="215"/>
      <c r="BM161" s="215"/>
      <c r="BN161" s="215"/>
      <c r="BO161" s="215"/>
      <c r="BP161" s="215"/>
      <c r="BQ161" s="215"/>
      <c r="BR161" s="215"/>
      <c r="BS161" s="215"/>
      <c r="BT161" s="215"/>
      <c r="BU161" s="215"/>
      <c r="BV161" s="215"/>
      <c r="BW161" s="215"/>
      <c r="BX161" s="215"/>
      <c r="BY161" s="215"/>
      <c r="BZ161" s="215"/>
    </row>
    <row r="162" spans="1:78" x14ac:dyDescent="0.2">
      <c r="A162" s="2" t="str">
        <f>'Language Index'!A161</f>
        <v>Calculation Type</v>
      </c>
      <c r="B162" s="38"/>
      <c r="C162" s="26"/>
      <c r="D162" s="40" t="str">
        <f>_xll.ciqfunctions.udf.CIQ($C$2, "IQ_CALC_TYPE_IS",D$6,$F$2)</f>
        <v>LTM</v>
      </c>
      <c r="E162" s="40" t="str">
        <f>_xll.ciqfunctions.udf.CIQ($C$2, "IQ_CALC_TYPE_IS",E$6,$F$2)</f>
        <v>LTM</v>
      </c>
      <c r="F162" s="40" t="str">
        <f>_xll.ciqfunctions.udf.CIQ($C$2, "IQ_CALC_TYPE_IS",F$6,$F$2)</f>
        <v>REP</v>
      </c>
      <c r="G162" s="40" t="str">
        <f>_xll.ciqfunctions.udf.CIQ($C$2, "IQ_CALC_TYPE_IS",G$6,$F$2)</f>
        <v>LTM</v>
      </c>
      <c r="H162" s="40" t="str">
        <f>_xll.ciqfunctions.udf.CIQ($C$2, "IQ_CALC_TYPE_IS",H$6,$F$2)</f>
        <v>LTM</v>
      </c>
      <c r="I162" s="40" t="str">
        <f>_xll.ciqfunctions.udf.CIQ($C$2, "IQ_CALC_TYPE_IS",I$6,$F$2)</f>
        <v>LTM</v>
      </c>
      <c r="J162" s="40" t="str">
        <f>_xll.ciqfunctions.udf.CIQ($C$2, "IQ_CALC_TYPE_IS",J$6,$F$2)</f>
        <v>REP</v>
      </c>
      <c r="K162" s="40" t="str">
        <f>_xll.ciqfunctions.udf.CIQ($C$2, "IQ_CALC_TYPE_IS",K$6,$F$2)</f>
        <v>LTM</v>
      </c>
      <c r="L162" s="40" t="str">
        <f>_xll.ciqfunctions.udf.CIQ($C$2, "IQ_CALC_TYPE_IS",L$6,$F$2)</f>
        <v>LTM</v>
      </c>
      <c r="M162" s="40" t="str">
        <f>_xll.ciqfunctions.udf.CIQ($C$2, "IQ_CALC_TYPE_IS",M$6,$F$2)</f>
        <v>LTM</v>
      </c>
      <c r="N162" s="40" t="str">
        <f>_xll.ciqfunctions.udf.CIQ($C$2, "IQ_CALC_TYPE_IS",N$6,$F$2)</f>
        <v>REP</v>
      </c>
      <c r="O162" s="40"/>
      <c r="P162" s="40" t="str">
        <f>_xll.ciqfunctions.udf.CIQ($C$2, "IQ_CALC_TYPE_IS",P$6,$F$2)</f>
        <v>REP</v>
      </c>
      <c r="Q162" s="238"/>
      <c r="R162" s="215"/>
      <c r="S162" s="215"/>
      <c r="T162" s="215"/>
      <c r="U162" s="215"/>
      <c r="V162" s="222"/>
      <c r="W162" s="222"/>
      <c r="X162" s="222"/>
      <c r="Y162" s="241"/>
      <c r="Z162" s="241"/>
      <c r="AA162" s="241"/>
      <c r="AB162" s="241"/>
      <c r="AC162" s="241"/>
      <c r="AD162" s="241"/>
      <c r="AE162" s="215"/>
      <c r="AF162" s="215"/>
      <c r="AG162" s="215"/>
      <c r="AH162" s="241"/>
      <c r="AI162" s="215"/>
      <c r="AJ162" s="215"/>
      <c r="AK162" s="215"/>
      <c r="AL162" s="215"/>
      <c r="AM162" s="215"/>
      <c r="AN162" s="215"/>
      <c r="AO162" s="215"/>
      <c r="AP162" s="215"/>
      <c r="AQ162" s="215"/>
      <c r="AR162" s="215"/>
      <c r="AS162" s="215"/>
      <c r="AT162" s="215"/>
      <c r="AU162" s="215"/>
      <c r="AV162" s="215"/>
      <c r="AW162" s="215"/>
      <c r="AX162" s="215"/>
      <c r="AY162" s="215"/>
      <c r="AZ162" s="215"/>
      <c r="BA162" s="215"/>
      <c r="BB162" s="215"/>
      <c r="BC162" s="215"/>
      <c r="BD162" s="215"/>
      <c r="BE162" s="215"/>
      <c r="BF162" s="215"/>
      <c r="BG162" s="215"/>
      <c r="BH162" s="215"/>
      <c r="BI162" s="215"/>
      <c r="BJ162" s="215"/>
      <c r="BK162" s="215"/>
      <c r="BL162" s="215"/>
      <c r="BM162" s="215"/>
      <c r="BN162" s="215"/>
      <c r="BO162" s="215"/>
      <c r="BP162" s="215"/>
      <c r="BQ162" s="215"/>
      <c r="BR162" s="215"/>
      <c r="BS162" s="215"/>
      <c r="BT162" s="215"/>
      <c r="BU162" s="215"/>
      <c r="BV162" s="215"/>
      <c r="BW162" s="215"/>
      <c r="BX162" s="215"/>
      <c r="BY162" s="215"/>
      <c r="BZ162" s="215"/>
    </row>
    <row r="163" spans="1:78" x14ac:dyDescent="0.2">
      <c r="A163" s="2" t="str">
        <f>'Language Index'!A162</f>
        <v>Financial Accounting Standard</v>
      </c>
      <c r="B163" s="38"/>
      <c r="C163" s="26"/>
      <c r="D163" s="40">
        <f>_xll.ciqfunctions.udf.CIQ($C$2, "IQ_GAAP_IS",D$6,$F$2)</f>
        <v>0</v>
      </c>
      <c r="E163" s="40">
        <f>_xll.ciqfunctions.udf.CIQ($C$2, "IQ_GAAP_IS",E$6,$F$2)</f>
        <v>0</v>
      </c>
      <c r="F163" s="40" t="str">
        <f>_xll.ciqfunctions.udf.CIQ($C$2, "IQ_GAAP_IS",F$6,$F$2)</f>
        <v>US GAAP</v>
      </c>
      <c r="G163" s="40">
        <f>_xll.ciqfunctions.udf.CIQ($C$2, "IQ_GAAP_IS",G$6,$F$2)</f>
        <v>0</v>
      </c>
      <c r="H163" s="40">
        <f>_xll.ciqfunctions.udf.CIQ($C$2, "IQ_GAAP_IS",H$6,$F$2)</f>
        <v>0</v>
      </c>
      <c r="I163" s="40">
        <f>_xll.ciqfunctions.udf.CIQ($C$2, "IQ_GAAP_IS",I$6,$F$2)</f>
        <v>0</v>
      </c>
      <c r="J163" s="40" t="str">
        <f>_xll.ciqfunctions.udf.CIQ($C$2, "IQ_GAAP_IS",J$6,$F$2)</f>
        <v>US GAAP</v>
      </c>
      <c r="K163" s="40">
        <f>_xll.ciqfunctions.udf.CIQ($C$2, "IQ_GAAP_IS",K$6,$F$2)</f>
        <v>0</v>
      </c>
      <c r="L163" s="40">
        <f>_xll.ciqfunctions.udf.CIQ($C$2, "IQ_GAAP_IS",L$6,$F$2)</f>
        <v>0</v>
      </c>
      <c r="M163" s="40">
        <f>_xll.ciqfunctions.udf.CIQ($C$2, "IQ_GAAP_IS",M$6,$F$2)</f>
        <v>0</v>
      </c>
      <c r="N163" s="40" t="str">
        <f>_xll.ciqfunctions.udf.CIQ($C$2, "IQ_GAAP_IS",N$6,$F$2)</f>
        <v>US GAAP</v>
      </c>
      <c r="O163" s="40"/>
      <c r="P163" s="40" t="str">
        <f>_xll.ciqfunctions.udf.CIQ($C$2, "IQ_GAAP_IS",P$6,$F$2)</f>
        <v>US GAAP</v>
      </c>
      <c r="Q163" s="215"/>
      <c r="R163" s="215"/>
      <c r="S163" s="215"/>
      <c r="T163" s="215"/>
      <c r="U163" s="215"/>
      <c r="V163" s="222"/>
      <c r="W163" s="222"/>
      <c r="X163" s="222"/>
      <c r="Y163" s="241"/>
      <c r="Z163" s="241"/>
      <c r="AA163" s="241"/>
      <c r="AB163" s="241"/>
      <c r="AC163" s="241"/>
      <c r="AD163" s="241"/>
      <c r="AE163" s="215"/>
      <c r="AF163" s="215"/>
      <c r="AG163" s="215"/>
      <c r="AH163" s="241"/>
      <c r="AI163" s="215"/>
      <c r="AJ163" s="215"/>
      <c r="AK163" s="215"/>
      <c r="AL163" s="215"/>
      <c r="AM163" s="215"/>
      <c r="AN163" s="215"/>
      <c r="AO163" s="215"/>
      <c r="AP163" s="215"/>
      <c r="AQ163" s="215"/>
      <c r="AR163" s="215"/>
      <c r="AS163" s="215"/>
      <c r="AT163" s="215"/>
      <c r="AU163" s="215"/>
      <c r="AV163" s="215"/>
      <c r="AW163" s="215"/>
      <c r="AX163" s="215"/>
      <c r="AY163" s="215"/>
      <c r="AZ163" s="215"/>
      <c r="BA163" s="215"/>
      <c r="BB163" s="215"/>
      <c r="BC163" s="215"/>
      <c r="BD163" s="215"/>
      <c r="BE163" s="215"/>
      <c r="BF163" s="215"/>
      <c r="BG163" s="215"/>
      <c r="BH163" s="215"/>
      <c r="BI163" s="215"/>
      <c r="BJ163" s="215"/>
      <c r="BK163" s="215"/>
      <c r="BL163" s="215"/>
      <c r="BM163" s="215"/>
      <c r="BN163" s="215"/>
      <c r="BO163" s="215"/>
      <c r="BP163" s="215"/>
      <c r="BQ163" s="215"/>
      <c r="BR163" s="215"/>
      <c r="BS163" s="215"/>
      <c r="BT163" s="215"/>
      <c r="BU163" s="215"/>
      <c r="BV163" s="215"/>
      <c r="BW163" s="215"/>
      <c r="BX163" s="215"/>
      <c r="BY163" s="215"/>
      <c r="BZ163" s="215"/>
    </row>
    <row r="164" spans="1:78" x14ac:dyDescent="0.2">
      <c r="A164" s="37"/>
      <c r="B164" s="38"/>
      <c r="C164" s="38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18"/>
      <c r="P164" s="35"/>
      <c r="Q164" s="238"/>
      <c r="R164" s="215"/>
      <c r="S164" s="215"/>
      <c r="T164" s="215"/>
      <c r="U164" s="215"/>
      <c r="V164" s="222"/>
      <c r="W164" s="222"/>
      <c r="X164" s="222"/>
      <c r="Y164" s="241"/>
      <c r="Z164" s="241"/>
      <c r="AA164" s="241"/>
      <c r="AB164" s="241"/>
      <c r="AC164" s="241"/>
      <c r="AD164" s="241"/>
      <c r="AE164" s="215"/>
      <c r="AF164" s="215"/>
      <c r="AG164" s="215"/>
      <c r="AH164" s="241"/>
      <c r="AI164" s="215"/>
      <c r="AJ164" s="215"/>
      <c r="AK164" s="215"/>
      <c r="AL164" s="215"/>
      <c r="AM164" s="215"/>
      <c r="AN164" s="215"/>
      <c r="AO164" s="215"/>
      <c r="AP164" s="215"/>
      <c r="AQ164" s="215"/>
      <c r="AR164" s="215"/>
      <c r="AS164" s="215"/>
      <c r="AT164" s="215"/>
      <c r="AU164" s="215"/>
      <c r="AV164" s="215"/>
      <c r="AW164" s="215"/>
      <c r="AX164" s="215"/>
      <c r="AY164" s="215"/>
      <c r="AZ164" s="215"/>
      <c r="BA164" s="215"/>
      <c r="BB164" s="215"/>
      <c r="BC164" s="215"/>
      <c r="BD164" s="215"/>
      <c r="BE164" s="215"/>
      <c r="BF164" s="215"/>
      <c r="BG164" s="215"/>
      <c r="BH164" s="215"/>
      <c r="BI164" s="215"/>
      <c r="BJ164" s="215"/>
      <c r="BK164" s="215"/>
      <c r="BL164" s="215"/>
      <c r="BM164" s="215"/>
      <c r="BN164" s="215"/>
      <c r="BO164" s="215"/>
      <c r="BP164" s="215"/>
      <c r="BQ164" s="215"/>
      <c r="BR164" s="215"/>
      <c r="BS164" s="215"/>
      <c r="BT164" s="215"/>
      <c r="BU164" s="215"/>
      <c r="BV164" s="215"/>
      <c r="BW164" s="215"/>
      <c r="BX164" s="215"/>
      <c r="BY164" s="215"/>
      <c r="BZ164" s="215"/>
    </row>
    <row r="165" spans="1:78" x14ac:dyDescent="0.2">
      <c r="A165" s="16"/>
      <c r="B165" s="16"/>
      <c r="C165" s="16"/>
      <c r="D165" s="27" t="str">
        <f>'Language Index'!A163</f>
        <v>Supplemental Operating Expense Items</v>
      </c>
      <c r="E165" s="4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238"/>
      <c r="R165" s="215"/>
      <c r="S165" s="215"/>
      <c r="T165" s="215"/>
      <c r="U165" s="215"/>
      <c r="V165" s="222"/>
      <c r="W165" s="222"/>
      <c r="X165" s="222"/>
      <c r="Y165" s="241"/>
      <c r="Z165" s="241"/>
      <c r="AA165" s="241"/>
      <c r="AB165" s="241"/>
      <c r="AC165" s="241"/>
      <c r="AD165" s="241"/>
      <c r="AE165" s="215"/>
      <c r="AF165" s="215"/>
      <c r="AG165" s="215"/>
      <c r="AH165" s="241"/>
      <c r="AI165" s="215"/>
      <c r="AJ165" s="215"/>
      <c r="AK165" s="215"/>
      <c r="AL165" s="215"/>
      <c r="AM165" s="215"/>
      <c r="AN165" s="215"/>
      <c r="AO165" s="215"/>
      <c r="AP165" s="215"/>
      <c r="AQ165" s="215"/>
      <c r="AR165" s="215"/>
      <c r="AS165" s="215"/>
      <c r="AT165" s="215"/>
      <c r="AU165" s="215"/>
      <c r="AV165" s="215"/>
      <c r="AW165" s="215"/>
      <c r="AX165" s="215"/>
      <c r="AY165" s="215"/>
      <c r="AZ165" s="215"/>
      <c r="BA165" s="215"/>
      <c r="BB165" s="215"/>
      <c r="BC165" s="215"/>
      <c r="BD165" s="215"/>
      <c r="BE165" s="215"/>
      <c r="BF165" s="215"/>
      <c r="BG165" s="215"/>
      <c r="BH165" s="215"/>
      <c r="BI165" s="215"/>
      <c r="BJ165" s="215"/>
      <c r="BK165" s="215"/>
      <c r="BL165" s="215"/>
      <c r="BM165" s="215"/>
      <c r="BN165" s="215"/>
      <c r="BO165" s="215"/>
      <c r="BP165" s="215"/>
      <c r="BQ165" s="215"/>
      <c r="BR165" s="215"/>
      <c r="BS165" s="215"/>
      <c r="BT165" s="215"/>
      <c r="BU165" s="215"/>
      <c r="BV165" s="215"/>
      <c r="BW165" s="215"/>
      <c r="BX165" s="215"/>
      <c r="BY165" s="215"/>
      <c r="BZ165" s="215"/>
    </row>
    <row r="166" spans="1:78" x14ac:dyDescent="0.2">
      <c r="A166" s="2" t="str">
        <f>'Language Index'!A164</f>
        <v>Advertising Expense</v>
      </c>
      <c r="B166" s="17"/>
      <c r="C166" s="17"/>
      <c r="D166" s="18">
        <f>_xll.ciqfunctions.udf.CIQ($C$2,"IQ_ADVERTISING",D$6,$F$2,,,Ccy,Conv)</f>
        <v>0</v>
      </c>
      <c r="E166" s="18">
        <f>_xll.ciqfunctions.udf.CIQ($C$2,"IQ_ADVERTISING",E$6,$F$2,,,Ccy,Conv)</f>
        <v>0</v>
      </c>
      <c r="F166" s="18">
        <f>_xll.ciqfunctions.udf.CIQ($C$2,"IQ_ADVERTISING",F$6,$F$2,,,Ccy,Conv)</f>
        <v>1237</v>
      </c>
      <c r="G166" s="18">
        <f>_xll.ciqfunctions.udf.CIQ($C$2,"IQ_ADVERTISING",G$6,$F$2,,,Ccy,Conv)</f>
        <v>0</v>
      </c>
      <c r="H166" s="18">
        <f>_xll.ciqfunctions.udf.CIQ($C$2,"IQ_ADVERTISING",H$6,$F$2,,,Ccy,Conv)</f>
        <v>0</v>
      </c>
      <c r="I166" s="18">
        <f>_xll.ciqfunctions.udf.CIQ($C$2,"IQ_ADVERTISING",I$6,$F$2,,,Ccy,Conv)</f>
        <v>0</v>
      </c>
      <c r="J166" s="18">
        <f>_xll.ciqfunctions.udf.CIQ($C$2,"IQ_ADVERTISING",J$6,$F$2,,,Ccy,Conv)</f>
        <v>1173</v>
      </c>
      <c r="K166" s="18">
        <f>_xll.ciqfunctions.udf.CIQ($C$2,"IQ_ADVERTISING",K$6,$F$2,,,Ccy,Conv)</f>
        <v>0</v>
      </c>
      <c r="L166" s="18">
        <f>_xll.ciqfunctions.udf.CIQ($C$2,"IQ_ADVERTISING",L$6,$F$2,,,Ccy,Conv)</f>
        <v>0</v>
      </c>
      <c r="M166" s="18">
        <f>_xll.ciqfunctions.udf.CIQ($C$2,"IQ_ADVERTISING",M$6,$F$2,,,Ccy,Conv)</f>
        <v>0</v>
      </c>
      <c r="N166" s="18">
        <f>_xll.ciqfunctions.udf.CIQ($C$2,"IQ_ADVERTISING",N$6,$F$2,,,Ccy,Conv)</f>
        <v>1129</v>
      </c>
      <c r="O166" s="18"/>
      <c r="P166" s="18">
        <f>_xll.ciqfunctions.udf.CIQ($C$2,"IQ_ADVERTISING",P$6,$F$2,,,Ccy,Conv)</f>
        <v>1129</v>
      </c>
      <c r="Q166" s="238"/>
      <c r="R166" s="215"/>
      <c r="S166" s="215"/>
      <c r="T166" s="215"/>
      <c r="U166" s="215"/>
      <c r="V166" s="222"/>
      <c r="W166" s="222"/>
      <c r="X166" s="222"/>
      <c r="Y166" s="241"/>
      <c r="Z166" s="241"/>
      <c r="AA166" s="241"/>
      <c r="AB166" s="241"/>
      <c r="AC166" s="241"/>
      <c r="AD166" s="241"/>
      <c r="AE166" s="215"/>
      <c r="AF166" s="215"/>
      <c r="AG166" s="215"/>
      <c r="AH166" s="241"/>
      <c r="AI166" s="215"/>
      <c r="AJ166" s="215"/>
      <c r="AK166" s="215"/>
      <c r="AL166" s="215"/>
      <c r="AM166" s="215"/>
      <c r="AN166" s="215"/>
      <c r="AO166" s="215"/>
      <c r="AP166" s="215"/>
      <c r="AQ166" s="215"/>
      <c r="AR166" s="215"/>
      <c r="AS166" s="215"/>
      <c r="AT166" s="215"/>
      <c r="AU166" s="215"/>
      <c r="AV166" s="215"/>
      <c r="AW166" s="215"/>
      <c r="AX166" s="215"/>
      <c r="AY166" s="215"/>
      <c r="AZ166" s="215"/>
      <c r="BA166" s="215"/>
      <c r="BB166" s="215"/>
      <c r="BC166" s="215"/>
      <c r="BD166" s="215"/>
      <c r="BE166" s="215"/>
      <c r="BF166" s="215"/>
      <c r="BG166" s="215"/>
      <c r="BH166" s="215"/>
      <c r="BI166" s="215"/>
      <c r="BJ166" s="215"/>
      <c r="BK166" s="215"/>
      <c r="BL166" s="215"/>
      <c r="BM166" s="215"/>
      <c r="BN166" s="215"/>
      <c r="BO166" s="215"/>
      <c r="BP166" s="215"/>
      <c r="BQ166" s="215"/>
      <c r="BR166" s="215"/>
      <c r="BS166" s="215"/>
      <c r="BT166" s="215"/>
      <c r="BU166" s="215"/>
      <c r="BV166" s="215"/>
      <c r="BW166" s="215"/>
      <c r="BX166" s="215"/>
      <c r="BY166" s="215"/>
      <c r="BZ166" s="215"/>
    </row>
    <row r="167" spans="1:78" x14ac:dyDescent="0.2">
      <c r="A167" s="2" t="str">
        <f>'Language Index'!A165</f>
        <v>Marketing Expense</v>
      </c>
      <c r="B167" s="17"/>
      <c r="C167" s="17"/>
      <c r="D167" s="18">
        <f>_xll.ciqfunctions.udf.CIQ($C$2,"IQ_MARKETING",D$6,$F$2,,,Ccy,Conv)</f>
        <v>0</v>
      </c>
      <c r="E167" s="18">
        <f>_xll.ciqfunctions.udf.CIQ($C$2,"IQ_MARKETING",E$6,$F$2,,,Ccy,Conv)</f>
        <v>0</v>
      </c>
      <c r="F167" s="18">
        <f>_xll.ciqfunctions.udf.CIQ($C$2,"IQ_MARKETING",F$6,$F$2,,,Ccy,Conv)</f>
        <v>0</v>
      </c>
      <c r="G167" s="18">
        <f>_xll.ciqfunctions.udf.CIQ($C$2,"IQ_MARKETING",G$6,$F$2,,,Ccy,Conv)</f>
        <v>0</v>
      </c>
      <c r="H167" s="18">
        <f>_xll.ciqfunctions.udf.CIQ($C$2,"IQ_MARKETING",H$6,$F$2,,,Ccy,Conv)</f>
        <v>0</v>
      </c>
      <c r="I167" s="18">
        <f>_xll.ciqfunctions.udf.CIQ($C$2,"IQ_MARKETING",I$6,$F$2,,,Ccy,Conv)</f>
        <v>0</v>
      </c>
      <c r="J167" s="18">
        <f>_xll.ciqfunctions.udf.CIQ($C$2,"IQ_MARKETING",J$6,$F$2,,,Ccy,Conv)</f>
        <v>0</v>
      </c>
      <c r="K167" s="18">
        <f>_xll.ciqfunctions.udf.CIQ($C$2,"IQ_MARKETING",K$6,$F$2,,,Ccy,Conv)</f>
        <v>0</v>
      </c>
      <c r="L167" s="18">
        <f>_xll.ciqfunctions.udf.CIQ($C$2,"IQ_MARKETING",L$6,$F$2,,,Ccy,Conv)</f>
        <v>0</v>
      </c>
      <c r="M167" s="18">
        <f>_xll.ciqfunctions.udf.CIQ($C$2,"IQ_MARKETING",M$6,$F$2,,,Ccy,Conv)</f>
        <v>0</v>
      </c>
      <c r="N167" s="18">
        <f>_xll.ciqfunctions.udf.CIQ($C$2,"IQ_MARKETING",N$6,$F$2,,,Ccy,Conv)</f>
        <v>0</v>
      </c>
      <c r="O167" s="18"/>
      <c r="P167" s="18">
        <f>_xll.ciqfunctions.udf.CIQ($C$2,"IQ_MARKETING",P$6,$F$2,,,Ccy,Conv)</f>
        <v>0</v>
      </c>
      <c r="Q167" s="238"/>
      <c r="R167" s="215"/>
      <c r="S167" s="215"/>
      <c r="T167" s="215"/>
      <c r="U167" s="215"/>
      <c r="V167" s="222"/>
      <c r="W167" s="222"/>
      <c r="X167" s="222"/>
      <c r="Y167" s="241"/>
      <c r="Z167" s="241"/>
      <c r="AA167" s="241"/>
      <c r="AB167" s="241"/>
      <c r="AC167" s="241"/>
      <c r="AD167" s="241"/>
      <c r="AE167" s="215"/>
      <c r="AF167" s="215"/>
      <c r="AG167" s="215"/>
      <c r="AH167" s="241"/>
      <c r="AI167" s="215"/>
      <c r="AJ167" s="215"/>
      <c r="AK167" s="215"/>
      <c r="AL167" s="215"/>
      <c r="AM167" s="215"/>
      <c r="AN167" s="215"/>
      <c r="AO167" s="215"/>
      <c r="AP167" s="215"/>
      <c r="AQ167" s="215"/>
      <c r="AR167" s="215"/>
      <c r="AS167" s="215"/>
      <c r="AT167" s="215"/>
      <c r="AU167" s="215"/>
      <c r="AV167" s="215"/>
      <c r="AW167" s="215"/>
      <c r="AX167" s="215"/>
      <c r="AY167" s="215"/>
      <c r="AZ167" s="215"/>
      <c r="BA167" s="215"/>
      <c r="BB167" s="215"/>
      <c r="BC167" s="215"/>
      <c r="BD167" s="215"/>
      <c r="BE167" s="215"/>
      <c r="BF167" s="215"/>
      <c r="BG167" s="215"/>
      <c r="BH167" s="215"/>
      <c r="BI167" s="215"/>
      <c r="BJ167" s="215"/>
      <c r="BK167" s="215"/>
      <c r="BL167" s="215"/>
      <c r="BM167" s="215"/>
      <c r="BN167" s="215"/>
      <c r="BO167" s="215"/>
      <c r="BP167" s="215"/>
      <c r="BQ167" s="215"/>
      <c r="BR167" s="215"/>
      <c r="BS167" s="215"/>
      <c r="BT167" s="215"/>
      <c r="BU167" s="215"/>
      <c r="BV167" s="215"/>
      <c r="BW167" s="215"/>
      <c r="BX167" s="215"/>
      <c r="BY167" s="215"/>
      <c r="BZ167" s="215"/>
    </row>
    <row r="168" spans="1:78" x14ac:dyDescent="0.2">
      <c r="A168" s="2" t="str">
        <f>'Language Index'!A166</f>
        <v>Selling And Marketing Expense</v>
      </c>
      <c r="B168" s="17"/>
      <c r="C168" s="17"/>
      <c r="D168" s="18">
        <f>_xll.ciqfunctions.udf.CIQ($C$2,"IQ_SALES_MARKETING",D$6,$F$2,,,Ccy,Conv)</f>
        <v>1285</v>
      </c>
      <c r="E168" s="18">
        <f>_xll.ciqfunctions.udf.CIQ($C$2,"IQ_SALES_MARKETING",E$6,$F$2,,,Ccy,Conv)</f>
        <v>1291</v>
      </c>
      <c r="F168" s="18">
        <f>_xll.ciqfunctions.udf.CIQ($C$2,"IQ_SALES_MARKETING",F$6,$F$2,,,Ccy,Conv)</f>
        <v>1237</v>
      </c>
      <c r="G168" s="18">
        <f>_xll.ciqfunctions.udf.CIQ($C$2,"IQ_SALES_MARKETING",G$6,$F$2,,,Ccy,Conv)</f>
        <v>1202</v>
      </c>
      <c r="H168" s="18">
        <f>_xll.ciqfunctions.udf.CIQ($C$2,"IQ_SALES_MARKETING",H$6,$F$2,,,Ccy,Conv)</f>
        <v>1183</v>
      </c>
      <c r="I168" s="18">
        <f>_xll.ciqfunctions.udf.CIQ($C$2,"IQ_SALES_MARKETING",I$6,$F$2,,,Ccy,Conv)</f>
        <v>1160</v>
      </c>
      <c r="J168" s="18">
        <f>_xll.ciqfunctions.udf.CIQ($C$2,"IQ_SALES_MARKETING",J$6,$F$2,,,Ccy,Conv)</f>
        <v>1173</v>
      </c>
      <c r="K168" s="18">
        <f>_xll.ciqfunctions.udf.CIQ($C$2,"IQ_SALES_MARKETING",K$6,$F$2,,,Ccy,Conv)</f>
        <v>1132</v>
      </c>
      <c r="L168" s="18">
        <f>_xll.ciqfunctions.udf.CIQ($C$2,"IQ_SALES_MARKETING",L$6,$F$2,,,Ccy,Conv)</f>
        <v>1128</v>
      </c>
      <c r="M168" s="18">
        <f>_xll.ciqfunctions.udf.CIQ($C$2,"IQ_SALES_MARKETING",M$6,$F$2,,,Ccy,Conv)</f>
        <v>1119</v>
      </c>
      <c r="N168" s="18">
        <f>_xll.ciqfunctions.udf.CIQ($C$2,"IQ_SALES_MARKETING",N$6,$F$2,,,Ccy,Conv)</f>
        <v>1129</v>
      </c>
      <c r="O168" s="18"/>
      <c r="P168" s="18">
        <f>_xll.ciqfunctions.udf.CIQ($C$2,"IQ_SALES_MARKETING",P$6,$F$2,,,Ccy,Conv)</f>
        <v>1129</v>
      </c>
      <c r="Q168" s="238"/>
      <c r="R168" s="215"/>
      <c r="S168" s="215"/>
      <c r="T168" s="215"/>
      <c r="U168" s="215"/>
      <c r="V168" s="222"/>
      <c r="W168" s="222"/>
      <c r="X168" s="222"/>
      <c r="Y168" s="241"/>
      <c r="Z168" s="241"/>
      <c r="AA168" s="241"/>
      <c r="AB168" s="241"/>
      <c r="AC168" s="241"/>
      <c r="AD168" s="241"/>
      <c r="AE168" s="215"/>
      <c r="AF168" s="215"/>
      <c r="AG168" s="215"/>
      <c r="AH168" s="241"/>
      <c r="AI168" s="215"/>
      <c r="AJ168" s="215"/>
      <c r="AK168" s="215"/>
      <c r="AL168" s="215"/>
      <c r="AM168" s="215"/>
      <c r="AN168" s="215"/>
      <c r="AO168" s="215"/>
      <c r="AP168" s="215"/>
      <c r="AQ168" s="215"/>
      <c r="AR168" s="215"/>
      <c r="AS168" s="215"/>
      <c r="AT168" s="215"/>
      <c r="AU168" s="215"/>
      <c r="AV168" s="215"/>
      <c r="AW168" s="215"/>
      <c r="AX168" s="215"/>
      <c r="AY168" s="215"/>
      <c r="AZ168" s="215"/>
      <c r="BA168" s="215"/>
      <c r="BB168" s="215"/>
      <c r="BC168" s="215"/>
      <c r="BD168" s="215"/>
      <c r="BE168" s="215"/>
      <c r="BF168" s="215"/>
      <c r="BG168" s="215"/>
      <c r="BH168" s="215"/>
      <c r="BI168" s="215"/>
      <c r="BJ168" s="215"/>
      <c r="BK168" s="215"/>
      <c r="BL168" s="215"/>
      <c r="BM168" s="215"/>
      <c r="BN168" s="215"/>
      <c r="BO168" s="215"/>
      <c r="BP168" s="215"/>
      <c r="BQ168" s="215"/>
      <c r="BR168" s="215"/>
      <c r="BS168" s="215"/>
      <c r="BT168" s="215"/>
      <c r="BU168" s="215"/>
      <c r="BV168" s="215"/>
      <c r="BW168" s="215"/>
      <c r="BX168" s="215"/>
      <c r="BY168" s="215"/>
      <c r="BZ168" s="215"/>
    </row>
    <row r="169" spans="1:78" x14ac:dyDescent="0.2">
      <c r="A169" s="2" t="str">
        <f>'Language Index'!A167</f>
        <v>General and Administrative Expense</v>
      </c>
      <c r="B169" s="39"/>
      <c r="C169" s="39"/>
      <c r="D169" s="18">
        <f>_xll.ciqfunctions.udf.CIQ($C$2,"IQ_GA_EXP",D$6,$F$2,,,Ccy,Conv)</f>
        <v>0</v>
      </c>
      <c r="E169" s="18">
        <f>_xll.ciqfunctions.udf.CIQ($C$2,"IQ_GA_EXP",E$6,$F$2,,,Ccy,Conv)</f>
        <v>0</v>
      </c>
      <c r="F169" s="18">
        <f>_xll.ciqfunctions.udf.CIQ($C$2,"IQ_GA_EXP",F$6,$F$2,,,Ccy,Conv)</f>
        <v>0</v>
      </c>
      <c r="G169" s="18">
        <f>_xll.ciqfunctions.udf.CIQ($C$2,"IQ_GA_EXP",G$6,$F$2,,,Ccy,Conv)</f>
        <v>0</v>
      </c>
      <c r="H169" s="18">
        <f>_xll.ciqfunctions.udf.CIQ($C$2,"IQ_GA_EXP",H$6,$F$2,,,Ccy,Conv)</f>
        <v>0</v>
      </c>
      <c r="I169" s="18">
        <f>_xll.ciqfunctions.udf.CIQ($C$2,"IQ_GA_EXP",I$6,$F$2,,,Ccy,Conv)</f>
        <v>0</v>
      </c>
      <c r="J169" s="18">
        <f>_xll.ciqfunctions.udf.CIQ($C$2,"IQ_GA_EXP",J$6,$F$2,,,Ccy,Conv)</f>
        <v>0</v>
      </c>
      <c r="K169" s="18">
        <f>_xll.ciqfunctions.udf.CIQ($C$2,"IQ_GA_EXP",K$6,$F$2,,,Ccy,Conv)</f>
        <v>0</v>
      </c>
      <c r="L169" s="18">
        <f>_xll.ciqfunctions.udf.CIQ($C$2,"IQ_GA_EXP",L$6,$F$2,,,Ccy,Conv)</f>
        <v>0</v>
      </c>
      <c r="M169" s="18">
        <f>_xll.ciqfunctions.udf.CIQ($C$2,"IQ_GA_EXP",M$6,$F$2,,,Ccy,Conv)</f>
        <v>0</v>
      </c>
      <c r="N169" s="18">
        <f>_xll.ciqfunctions.udf.CIQ($C$2,"IQ_GA_EXP",N$6,$F$2,,,Ccy,Conv)</f>
        <v>0</v>
      </c>
      <c r="O169" s="18"/>
      <c r="P169" s="18">
        <f>_xll.ciqfunctions.udf.CIQ($C$2,"IQ_GA_EXP",P$6,$F$2,,,Ccy,Conv)</f>
        <v>0</v>
      </c>
      <c r="Q169" s="238"/>
      <c r="R169" s="215"/>
      <c r="S169" s="215"/>
      <c r="T169" s="215"/>
      <c r="U169" s="215"/>
      <c r="V169" s="222"/>
      <c r="W169" s="222"/>
      <c r="X169" s="222"/>
      <c r="Y169" s="241"/>
      <c r="Z169" s="241"/>
      <c r="AA169" s="241"/>
      <c r="AB169" s="241"/>
      <c r="AC169" s="241"/>
      <c r="AD169" s="241"/>
      <c r="AE169" s="215"/>
      <c r="AF169" s="215"/>
      <c r="AG169" s="215"/>
      <c r="AH169" s="241"/>
      <c r="AI169" s="215"/>
      <c r="AJ169" s="215"/>
      <c r="AK169" s="215"/>
      <c r="AL169" s="215"/>
      <c r="AM169" s="215"/>
      <c r="AN169" s="215"/>
      <c r="AO169" s="215"/>
      <c r="AP169" s="215"/>
      <c r="AQ169" s="215"/>
      <c r="AR169" s="215"/>
      <c r="AS169" s="215"/>
      <c r="AT169" s="215"/>
      <c r="AU169" s="215"/>
      <c r="AV169" s="215"/>
      <c r="AW169" s="215"/>
      <c r="AX169" s="215"/>
      <c r="AY169" s="215"/>
      <c r="AZ169" s="215"/>
      <c r="BA169" s="215"/>
      <c r="BB169" s="215"/>
      <c r="BC169" s="215"/>
      <c r="BD169" s="215"/>
      <c r="BE169" s="215"/>
      <c r="BF169" s="215"/>
      <c r="BG169" s="215"/>
      <c r="BH169" s="215"/>
      <c r="BI169" s="215"/>
      <c r="BJ169" s="215"/>
      <c r="BK169" s="215"/>
      <c r="BL169" s="215"/>
      <c r="BM169" s="215"/>
      <c r="BN169" s="215"/>
      <c r="BO169" s="215"/>
      <c r="BP169" s="215"/>
      <c r="BQ169" s="215"/>
      <c r="BR169" s="215"/>
      <c r="BS169" s="215"/>
      <c r="BT169" s="215"/>
      <c r="BU169" s="215"/>
      <c r="BV169" s="215"/>
      <c r="BW169" s="215"/>
      <c r="BX169" s="215"/>
      <c r="BY169" s="215"/>
      <c r="BZ169" s="215"/>
    </row>
    <row r="170" spans="1:78" x14ac:dyDescent="0.2">
      <c r="A170" s="2" t="str">
        <f>'Language Index'!A168</f>
        <v>R&amp;D Expense (Foot Note)</v>
      </c>
      <c r="B170" s="39"/>
      <c r="C170" s="39"/>
      <c r="D170" s="18">
        <f>_xll.ciqfunctions.udf.CIQ($C$2, "IQ_RD_EXP_FN", D$6,$F$2,,,Ccy,Conv)</f>
        <v>6557</v>
      </c>
      <c r="E170" s="18">
        <f>_xll.ciqfunctions.udf.CIQ($C$2, "IQ_RD_EXP_FN", E$6,$F$2,,,Ccy,Conv)</f>
        <v>6631</v>
      </c>
      <c r="F170" s="18">
        <f>_xll.ciqfunctions.udf.CIQ($C$2, "IQ_RD_EXP_FN", F$6,$F$2,,,Ccy,Conv)</f>
        <v>6775</v>
      </c>
      <c r="G170" s="18">
        <f>_xll.ciqfunctions.udf.CIQ($C$2, "IQ_RD_EXP_FN", G$6,$F$2,,,Ccy,Conv)</f>
        <v>6916</v>
      </c>
      <c r="H170" s="18">
        <f>_xll.ciqfunctions.udf.CIQ($C$2, "IQ_RD_EXP_FN", H$6,$F$2,,,Ccy,Conv)</f>
        <v>7069</v>
      </c>
      <c r="I170" s="18">
        <f>_xll.ciqfunctions.udf.CIQ($C$2, "IQ_RD_EXP_FN", I$6,$F$2,,,Ccy,Conv)</f>
        <v>7260</v>
      </c>
      <c r="J170" s="18">
        <f>_xll.ciqfunctions.udf.CIQ($C$2, "IQ_RD_EXP_FN", J$6,$F$2,,,Ccy,Conv)</f>
        <v>7479</v>
      </c>
      <c r="K170" s="18">
        <f>_xll.ciqfunctions.udf.CIQ($C$2, "IQ_RD_EXP_FN", K$6,$F$2,,,Ccy,Conv)</f>
        <v>7633</v>
      </c>
      <c r="L170" s="18">
        <f>_xll.ciqfunctions.udf.CIQ($C$2, "IQ_RD_EXP_FN", L$6,$F$2,,,Ccy,Conv)</f>
        <v>7889</v>
      </c>
      <c r="M170" s="18">
        <f>_xll.ciqfunctions.udf.CIQ($C$2, "IQ_RD_EXP_FN", M$6,$F$2,,,Ccy,Conv)</f>
        <v>8096</v>
      </c>
      <c r="N170" s="18">
        <f>_xll.ciqfunctions.udf.CIQ($C$2, "IQ_RD_EXP_FN", N$6,$F$2,,,Ccy,Conv)</f>
        <v>8312</v>
      </c>
      <c r="O170" s="18"/>
      <c r="P170" s="18">
        <f>_xll.ciqfunctions.udf.CIQ($C$2, "IQ_RD_EXP_FN", P$6,$F$2,,,Ccy,Conv)</f>
        <v>8312</v>
      </c>
      <c r="Q170" s="238"/>
      <c r="R170" s="215"/>
      <c r="S170" s="215"/>
      <c r="T170" s="215"/>
      <c r="U170" s="215"/>
      <c r="V170" s="222"/>
      <c r="W170" s="222"/>
      <c r="X170" s="222"/>
      <c r="Y170" s="241"/>
      <c r="Z170" s="241"/>
      <c r="AA170" s="241"/>
      <c r="AB170" s="241"/>
      <c r="AC170" s="241"/>
      <c r="AD170" s="241"/>
      <c r="AE170" s="215"/>
      <c r="AF170" s="215"/>
      <c r="AG170" s="215"/>
      <c r="AH170" s="241"/>
      <c r="AI170" s="215"/>
      <c r="AJ170" s="215"/>
      <c r="AK170" s="215"/>
      <c r="AL170" s="215"/>
      <c r="AM170" s="215"/>
      <c r="AN170" s="215"/>
      <c r="AO170" s="215"/>
      <c r="AP170" s="215"/>
      <c r="AQ170" s="215"/>
      <c r="AR170" s="215"/>
      <c r="AS170" s="215"/>
      <c r="AT170" s="215"/>
      <c r="AU170" s="215"/>
      <c r="AV170" s="215"/>
      <c r="AW170" s="215"/>
      <c r="AX170" s="215"/>
      <c r="AY170" s="215"/>
      <c r="AZ170" s="215"/>
      <c r="BA170" s="215"/>
      <c r="BB170" s="215"/>
      <c r="BC170" s="215"/>
      <c r="BD170" s="215"/>
      <c r="BE170" s="215"/>
      <c r="BF170" s="215"/>
      <c r="BG170" s="215"/>
      <c r="BH170" s="215"/>
      <c r="BI170" s="215"/>
      <c r="BJ170" s="215"/>
      <c r="BK170" s="215"/>
      <c r="BL170" s="215"/>
      <c r="BM170" s="215"/>
      <c r="BN170" s="215"/>
      <c r="BO170" s="215"/>
      <c r="BP170" s="215"/>
      <c r="BQ170" s="215"/>
      <c r="BR170" s="215"/>
      <c r="BS170" s="215"/>
      <c r="BT170" s="215"/>
      <c r="BU170" s="215"/>
      <c r="BV170" s="215"/>
      <c r="BW170" s="215"/>
      <c r="BX170" s="215"/>
      <c r="BY170" s="215"/>
      <c r="BZ170" s="215"/>
    </row>
    <row r="171" spans="1:78" x14ac:dyDescent="0.2">
      <c r="A171" s="2" t="str">
        <f>'Language Index'!A169</f>
        <v>Net Rental Expense, Total</v>
      </c>
      <c r="B171" s="39"/>
      <c r="C171" s="39"/>
      <c r="D171" s="18">
        <f>_xll.ciqfunctions.udf.CIQ($C$2, "IQ_NET_RENTAL_EXP_FN", D$6,$F$2,,,Ccy,Conv)</f>
        <v>0</v>
      </c>
      <c r="E171" s="18">
        <f>_xll.ciqfunctions.udf.CIQ($C$2, "IQ_NET_RENTAL_EXP_FN", E$6,$F$2,,,Ccy,Conv)</f>
        <v>0</v>
      </c>
      <c r="F171" s="18">
        <f>_xll.ciqfunctions.udf.CIQ($C$2, "IQ_NET_RENTAL_EXP_FN", F$6,$F$2,,,Ccy,Conv)</f>
        <v>1292</v>
      </c>
      <c r="G171" s="18">
        <f>_xll.ciqfunctions.udf.CIQ($C$2, "IQ_NET_RENTAL_EXP_FN", G$6,$F$2,,,Ccy,Conv)</f>
        <v>0</v>
      </c>
      <c r="H171" s="18">
        <f>_xll.ciqfunctions.udf.CIQ($C$2, "IQ_NET_RENTAL_EXP_FN", H$6,$F$2,,,Ccy,Conv)</f>
        <v>0</v>
      </c>
      <c r="I171" s="18">
        <f>_xll.ciqfunctions.udf.CIQ($C$2, "IQ_NET_RENTAL_EXP_FN", I$6,$F$2,,,Ccy,Conv)</f>
        <v>0</v>
      </c>
      <c r="J171" s="18">
        <f>_xll.ciqfunctions.udf.CIQ($C$2, "IQ_NET_RENTAL_EXP_FN", J$6,$F$2,,,Ccy,Conv)</f>
        <v>1309</v>
      </c>
      <c r="K171" s="18">
        <f>_xll.ciqfunctions.udf.CIQ($C$2, "IQ_NET_RENTAL_EXP_FN", K$6,$F$2,,,Ccy,Conv)</f>
        <v>0</v>
      </c>
      <c r="L171" s="18">
        <f>_xll.ciqfunctions.udf.CIQ($C$2, "IQ_NET_RENTAL_EXP_FN", L$6,$F$2,,,Ccy,Conv)</f>
        <v>0</v>
      </c>
      <c r="M171" s="18">
        <f>_xll.ciqfunctions.udf.CIQ($C$2, "IQ_NET_RENTAL_EXP_FN", M$6,$F$2,,,Ccy,Conv)</f>
        <v>0</v>
      </c>
      <c r="N171" s="18">
        <f>_xll.ciqfunctions.udf.CIQ($C$2, "IQ_NET_RENTAL_EXP_FN", N$6,$F$2,,,Ccy,Conv)</f>
        <v>1308</v>
      </c>
      <c r="O171" s="18"/>
      <c r="P171" s="18">
        <f>_xll.ciqfunctions.udf.CIQ($C$2, "IQ_NET_RENTAL_EXP_FN", P$6,$F$2,,,Ccy,Conv)</f>
        <v>1308</v>
      </c>
      <c r="Q171" s="238"/>
      <c r="R171" s="215"/>
      <c r="S171" s="215"/>
      <c r="T171" s="215"/>
      <c r="U171" s="215"/>
      <c r="V171" s="222"/>
      <c r="W171" s="222"/>
      <c r="X171" s="222"/>
      <c r="Y171" s="241"/>
      <c r="Z171" s="241"/>
      <c r="AA171" s="241"/>
      <c r="AB171" s="241"/>
      <c r="AC171" s="241"/>
      <c r="AD171" s="241"/>
      <c r="AE171" s="215"/>
      <c r="AF171" s="215"/>
      <c r="AG171" s="215"/>
      <c r="AH171" s="241"/>
      <c r="AI171" s="215"/>
      <c r="AJ171" s="215"/>
      <c r="AK171" s="215"/>
      <c r="AL171" s="215"/>
      <c r="AM171" s="215"/>
      <c r="AN171" s="215"/>
      <c r="AO171" s="215"/>
      <c r="AP171" s="215"/>
      <c r="AQ171" s="215"/>
      <c r="AR171" s="215"/>
      <c r="AS171" s="215"/>
      <c r="AT171" s="215"/>
      <c r="AU171" s="215"/>
      <c r="AV171" s="215"/>
      <c r="AW171" s="215"/>
      <c r="AX171" s="215"/>
      <c r="AY171" s="215"/>
      <c r="AZ171" s="215"/>
      <c r="BA171" s="215"/>
      <c r="BB171" s="215"/>
      <c r="BC171" s="215"/>
      <c r="BD171" s="215"/>
      <c r="BE171" s="215"/>
      <c r="BF171" s="215"/>
      <c r="BG171" s="215"/>
      <c r="BH171" s="215"/>
      <c r="BI171" s="215"/>
      <c r="BJ171" s="215"/>
      <c r="BK171" s="215"/>
      <c r="BL171" s="215"/>
      <c r="BM171" s="215"/>
      <c r="BN171" s="215"/>
      <c r="BO171" s="215"/>
      <c r="BP171" s="215"/>
      <c r="BQ171" s="215"/>
      <c r="BR171" s="215"/>
      <c r="BS171" s="215"/>
      <c r="BT171" s="215"/>
      <c r="BU171" s="215"/>
      <c r="BV171" s="215"/>
      <c r="BW171" s="215"/>
      <c r="BX171" s="215"/>
      <c r="BY171" s="215"/>
      <c r="BZ171" s="215"/>
    </row>
    <row r="172" spans="1:78" x14ac:dyDescent="0.2">
      <c r="A172" s="2" t="str">
        <f>'Language Index'!A170</f>
        <v>Net Rental Expense</v>
      </c>
      <c r="B172" s="39"/>
      <c r="C172" s="39"/>
      <c r="D172" s="18">
        <f>_xll.ciqfunctions.udf.CIQ($C$2, "IQ_NET_RENTAL_EXP", D$6,$F$2,,,Ccy,Conv)</f>
        <v>0</v>
      </c>
      <c r="E172" s="18">
        <f>_xll.ciqfunctions.udf.CIQ($C$2, "IQ_NET_RENTAL_EXP", E$6,$F$2,,,Ccy,Conv)</f>
        <v>0</v>
      </c>
      <c r="F172" s="18">
        <f>_xll.ciqfunctions.udf.CIQ($C$2, "IQ_NET_RENTAL_EXP", F$6,$F$2,,,Ccy,Conv)</f>
        <v>0</v>
      </c>
      <c r="G172" s="18">
        <f>_xll.ciqfunctions.udf.CIQ($C$2, "IQ_NET_RENTAL_EXP", G$6,$F$2,,,Ccy,Conv)</f>
        <v>0</v>
      </c>
      <c r="H172" s="18">
        <f>_xll.ciqfunctions.udf.CIQ($C$2, "IQ_NET_RENTAL_EXP", H$6,$F$2,,,Ccy,Conv)</f>
        <v>0</v>
      </c>
      <c r="I172" s="18">
        <f>_xll.ciqfunctions.udf.CIQ($C$2, "IQ_NET_RENTAL_EXP", I$6,$F$2,,,Ccy,Conv)</f>
        <v>0</v>
      </c>
      <c r="J172" s="18">
        <f>_xll.ciqfunctions.udf.CIQ($C$2, "IQ_NET_RENTAL_EXP", J$6,$F$2,,,Ccy,Conv)</f>
        <v>0</v>
      </c>
      <c r="K172" s="18">
        <f>_xll.ciqfunctions.udf.CIQ($C$2, "IQ_NET_RENTAL_EXP", K$6,$F$2,,,Ccy,Conv)</f>
        <v>0</v>
      </c>
      <c r="L172" s="18">
        <f>_xll.ciqfunctions.udf.CIQ($C$2, "IQ_NET_RENTAL_EXP", L$6,$F$2,,,Ccy,Conv)</f>
        <v>0</v>
      </c>
      <c r="M172" s="18">
        <f>_xll.ciqfunctions.udf.CIQ($C$2, "IQ_NET_RENTAL_EXP", M$6,$F$2,,,Ccy,Conv)</f>
        <v>0</v>
      </c>
      <c r="N172" s="18">
        <f>_xll.ciqfunctions.udf.CIQ($C$2, "IQ_NET_RENTAL_EXP", N$6,$F$2,,,Ccy,Conv)</f>
        <v>0</v>
      </c>
      <c r="O172" s="18"/>
      <c r="P172" s="18">
        <f>_xll.ciqfunctions.udf.CIQ($C$2, "IQ_NET_RENTAL_EXP", P$6,$F$2,,,Ccy,Conv)</f>
        <v>0</v>
      </c>
      <c r="Q172" s="238"/>
      <c r="R172" s="215"/>
      <c r="S172" s="215"/>
      <c r="T172" s="215"/>
      <c r="U172" s="215"/>
      <c r="V172" s="222"/>
      <c r="W172" s="222"/>
      <c r="X172" s="222"/>
      <c r="Y172" s="241"/>
      <c r="Z172" s="241"/>
      <c r="AA172" s="241"/>
      <c r="AB172" s="241"/>
      <c r="AC172" s="241"/>
      <c r="AD172" s="241"/>
      <c r="AE172" s="215"/>
      <c r="AF172" s="215"/>
      <c r="AG172" s="215"/>
      <c r="AH172" s="241"/>
      <c r="AI172" s="215"/>
      <c r="AJ172" s="215"/>
      <c r="AK172" s="215"/>
      <c r="AL172" s="215"/>
      <c r="AM172" s="215"/>
      <c r="AN172" s="215"/>
      <c r="AO172" s="215"/>
      <c r="AP172" s="215"/>
      <c r="AQ172" s="215"/>
      <c r="AR172" s="215"/>
      <c r="AS172" s="215"/>
      <c r="AT172" s="215"/>
      <c r="AU172" s="215"/>
      <c r="AV172" s="215"/>
      <c r="AW172" s="215"/>
      <c r="AX172" s="215"/>
      <c r="AY172" s="215"/>
      <c r="AZ172" s="215"/>
      <c r="BA172" s="215"/>
      <c r="BB172" s="215"/>
      <c r="BC172" s="215"/>
      <c r="BD172" s="215"/>
      <c r="BE172" s="215"/>
      <c r="BF172" s="215"/>
      <c r="BG172" s="215"/>
      <c r="BH172" s="215"/>
      <c r="BI172" s="215"/>
      <c r="BJ172" s="215"/>
      <c r="BK172" s="215"/>
      <c r="BL172" s="215"/>
      <c r="BM172" s="215"/>
      <c r="BN172" s="215"/>
      <c r="BO172" s="215"/>
      <c r="BP172" s="215"/>
      <c r="BQ172" s="215"/>
      <c r="BR172" s="215"/>
      <c r="BS172" s="215"/>
      <c r="BT172" s="215"/>
      <c r="BU172" s="215"/>
      <c r="BV172" s="215"/>
      <c r="BW172" s="215"/>
      <c r="BX172" s="215"/>
      <c r="BY172" s="215"/>
      <c r="BZ172" s="215"/>
    </row>
    <row r="173" spans="1:78" x14ac:dyDescent="0.2">
      <c r="A173" s="2" t="str">
        <f>'Language Index'!A171</f>
        <v>Net Rental Expense (Supple)</v>
      </c>
      <c r="B173" s="39"/>
      <c r="C173" s="39"/>
      <c r="D173" s="18">
        <f>_xll.ciqfunctions.udf.CIQ($C$2, "IQ_NET_RENTAL_EXP_SUPPLE", D$6,$F$2,,,Ccy,Conv)</f>
        <v>0</v>
      </c>
      <c r="E173" s="18">
        <f>_xll.ciqfunctions.udf.CIQ($C$2, "IQ_NET_RENTAL_EXP_SUPPLE", E$6,$F$2,,,Ccy,Conv)</f>
        <v>0</v>
      </c>
      <c r="F173" s="18">
        <f>_xll.ciqfunctions.udf.CIQ($C$2, "IQ_NET_RENTAL_EXP_SUPPLE", F$6,$F$2,,,Ccy,Conv)</f>
        <v>1292</v>
      </c>
      <c r="G173" s="18">
        <f>_xll.ciqfunctions.udf.CIQ($C$2, "IQ_NET_RENTAL_EXP_SUPPLE", G$6,$F$2,,,Ccy,Conv)</f>
        <v>0</v>
      </c>
      <c r="H173" s="18">
        <f>_xll.ciqfunctions.udf.CIQ($C$2, "IQ_NET_RENTAL_EXP_SUPPLE", H$6,$F$2,,,Ccy,Conv)</f>
        <v>0</v>
      </c>
      <c r="I173" s="18">
        <f>_xll.ciqfunctions.udf.CIQ($C$2, "IQ_NET_RENTAL_EXP_SUPPLE", I$6,$F$2,,,Ccy,Conv)</f>
        <v>0</v>
      </c>
      <c r="J173" s="18">
        <f>_xll.ciqfunctions.udf.CIQ($C$2, "IQ_NET_RENTAL_EXP_SUPPLE", J$6,$F$2,,,Ccy,Conv)</f>
        <v>1309</v>
      </c>
      <c r="K173" s="18">
        <f>_xll.ciqfunctions.udf.CIQ($C$2, "IQ_NET_RENTAL_EXP_SUPPLE", K$6,$F$2,,,Ccy,Conv)</f>
        <v>0</v>
      </c>
      <c r="L173" s="18">
        <f>_xll.ciqfunctions.udf.CIQ($C$2, "IQ_NET_RENTAL_EXP_SUPPLE", L$6,$F$2,,,Ccy,Conv)</f>
        <v>0</v>
      </c>
      <c r="M173" s="18">
        <f>_xll.ciqfunctions.udf.CIQ($C$2, "IQ_NET_RENTAL_EXP_SUPPLE", M$6,$F$2,,,Ccy,Conv)</f>
        <v>0</v>
      </c>
      <c r="N173" s="18">
        <f>_xll.ciqfunctions.udf.CIQ($C$2, "IQ_NET_RENTAL_EXP_SUPPLE", N$6,$F$2,,,Ccy,Conv)</f>
        <v>1308</v>
      </c>
      <c r="O173" s="18"/>
      <c r="P173" s="18">
        <f>_xll.ciqfunctions.udf.CIQ($C$2, "IQ_NET_RENTAL_EXP_SUPPLE", P$6,$F$2,,,Ccy,Conv)</f>
        <v>1308</v>
      </c>
      <c r="Q173" s="238"/>
      <c r="R173" s="215"/>
      <c r="S173" s="215"/>
      <c r="T173" s="215"/>
      <c r="U173" s="215"/>
      <c r="V173" s="222"/>
      <c r="W173" s="222"/>
      <c r="X173" s="222"/>
      <c r="Y173" s="241"/>
      <c r="Z173" s="241"/>
      <c r="AA173" s="241"/>
      <c r="AB173" s="241"/>
      <c r="AC173" s="241"/>
      <c r="AD173" s="241"/>
      <c r="AE173" s="215"/>
      <c r="AF173" s="215"/>
      <c r="AG173" s="215"/>
      <c r="AH173" s="241"/>
      <c r="AI173" s="215"/>
      <c r="AJ173" s="215"/>
      <c r="AK173" s="215"/>
      <c r="AL173" s="215"/>
      <c r="AM173" s="215"/>
      <c r="AN173" s="215"/>
      <c r="AO173" s="215"/>
      <c r="AP173" s="215"/>
      <c r="AQ173" s="215"/>
      <c r="AR173" s="215"/>
      <c r="AS173" s="215"/>
      <c r="AT173" s="215"/>
      <c r="AU173" s="215"/>
      <c r="AV173" s="215"/>
      <c r="AW173" s="215"/>
      <c r="AX173" s="215"/>
      <c r="AY173" s="215"/>
      <c r="AZ173" s="215"/>
      <c r="BA173" s="215"/>
      <c r="BB173" s="215"/>
      <c r="BC173" s="215"/>
      <c r="BD173" s="215"/>
      <c r="BE173" s="215"/>
      <c r="BF173" s="215"/>
      <c r="BG173" s="215"/>
      <c r="BH173" s="215"/>
      <c r="BI173" s="215"/>
      <c r="BJ173" s="215"/>
      <c r="BK173" s="215"/>
      <c r="BL173" s="215"/>
      <c r="BM173" s="215"/>
      <c r="BN173" s="215"/>
      <c r="BO173" s="215"/>
      <c r="BP173" s="215"/>
      <c r="BQ173" s="215"/>
      <c r="BR173" s="215"/>
      <c r="BS173" s="215"/>
      <c r="BT173" s="215"/>
      <c r="BU173" s="215"/>
      <c r="BV173" s="215"/>
      <c r="BW173" s="215"/>
      <c r="BX173" s="215"/>
      <c r="BY173" s="215"/>
      <c r="BZ173" s="215"/>
    </row>
    <row r="174" spans="1:78" x14ac:dyDescent="0.2">
      <c r="A174" s="2" t="str">
        <f>'Language Index'!A172</f>
        <v>Contingent Rental Expense</v>
      </c>
      <c r="B174" s="39"/>
      <c r="C174" s="39"/>
      <c r="D174" s="18">
        <f>_xll.ciqfunctions.udf.CIQ($C$2, "IQ_CONTINGENT_RENTAL", D$6,$F$2,,,Ccy,Conv)</f>
        <v>0</v>
      </c>
      <c r="E174" s="18">
        <f>_xll.ciqfunctions.udf.CIQ($C$2, "IQ_CONTINGENT_RENTAL", E$6,$F$2,,,Ccy,Conv)</f>
        <v>0</v>
      </c>
      <c r="F174" s="18">
        <f>_xll.ciqfunctions.udf.CIQ($C$2, "IQ_CONTINGENT_RENTAL", F$6,$F$2,,,Ccy,Conv)</f>
        <v>331</v>
      </c>
      <c r="G174" s="18">
        <f>_xll.ciqfunctions.udf.CIQ($C$2, "IQ_CONTINGENT_RENTAL", G$6,$F$2,,,Ccy,Conv)</f>
        <v>0</v>
      </c>
      <c r="H174" s="18">
        <f>_xll.ciqfunctions.udf.CIQ($C$2, "IQ_CONTINGENT_RENTAL", H$6,$F$2,,,Ccy,Conv)</f>
        <v>0</v>
      </c>
      <c r="I174" s="18">
        <f>_xll.ciqfunctions.udf.CIQ($C$2, "IQ_CONTINGENT_RENTAL", I$6,$F$2,,,Ccy,Conv)</f>
        <v>0</v>
      </c>
      <c r="J174" s="18">
        <f>_xll.ciqfunctions.udf.CIQ($C$2, "IQ_CONTINGENT_RENTAL", J$6,$F$2,,,Ccy,Conv)</f>
        <v>321</v>
      </c>
      <c r="K174" s="18">
        <f>_xll.ciqfunctions.udf.CIQ($C$2, "IQ_CONTINGENT_RENTAL", K$6,$F$2,,,Ccy,Conv)</f>
        <v>0</v>
      </c>
      <c r="L174" s="18">
        <f>_xll.ciqfunctions.udf.CIQ($C$2, "IQ_CONTINGENT_RENTAL", L$6,$F$2,,,Ccy,Conv)</f>
        <v>0</v>
      </c>
      <c r="M174" s="18">
        <f>_xll.ciqfunctions.udf.CIQ($C$2, "IQ_CONTINGENT_RENTAL", M$6,$F$2,,,Ccy,Conv)</f>
        <v>0</v>
      </c>
      <c r="N174" s="18">
        <f>_xll.ciqfunctions.udf.CIQ($C$2, "IQ_CONTINGENT_RENTAL", N$6,$F$2,,,Ccy,Conv)</f>
        <v>300</v>
      </c>
      <c r="O174" s="18"/>
      <c r="P174" s="18">
        <f>_xll.ciqfunctions.udf.CIQ($C$2, "IQ_CONTINGENT_RENTAL", P$6,$F$2,,,Ccy,Conv)</f>
        <v>300</v>
      </c>
      <c r="Q174" s="238"/>
      <c r="R174" s="215"/>
      <c r="S174" s="215"/>
      <c r="T174" s="215"/>
      <c r="U174" s="215"/>
      <c r="V174" s="222"/>
      <c r="W174" s="222"/>
      <c r="X174" s="222"/>
      <c r="Y174" s="241"/>
      <c r="Z174" s="241"/>
      <c r="AA174" s="241"/>
      <c r="AB174" s="241"/>
      <c r="AC174" s="241"/>
      <c r="AD174" s="241"/>
      <c r="AE174" s="215"/>
      <c r="AF174" s="215"/>
      <c r="AG174" s="215"/>
      <c r="AH174" s="241"/>
      <c r="AI174" s="215"/>
      <c r="AJ174" s="215"/>
      <c r="AK174" s="215"/>
      <c r="AL174" s="215"/>
      <c r="AM174" s="215"/>
      <c r="AN174" s="215"/>
      <c r="AO174" s="215"/>
      <c r="AP174" s="215"/>
      <c r="AQ174" s="215"/>
      <c r="AR174" s="215"/>
      <c r="AS174" s="215"/>
      <c r="AT174" s="215"/>
      <c r="AU174" s="215"/>
      <c r="AV174" s="215"/>
      <c r="AW174" s="215"/>
      <c r="AX174" s="215"/>
      <c r="AY174" s="215"/>
      <c r="AZ174" s="215"/>
      <c r="BA174" s="215"/>
      <c r="BB174" s="215"/>
      <c r="BC174" s="215"/>
      <c r="BD174" s="215"/>
      <c r="BE174" s="215"/>
      <c r="BF174" s="215"/>
      <c r="BG174" s="215"/>
      <c r="BH174" s="215"/>
      <c r="BI174" s="215"/>
      <c r="BJ174" s="215"/>
      <c r="BK174" s="215"/>
      <c r="BL174" s="215"/>
      <c r="BM174" s="215"/>
      <c r="BN174" s="215"/>
      <c r="BO174" s="215"/>
      <c r="BP174" s="215"/>
      <c r="BQ174" s="215"/>
      <c r="BR174" s="215"/>
      <c r="BS174" s="215"/>
      <c r="BT174" s="215"/>
      <c r="BU174" s="215"/>
      <c r="BV174" s="215"/>
      <c r="BW174" s="215"/>
      <c r="BX174" s="215"/>
      <c r="BY174" s="215"/>
      <c r="BZ174" s="215"/>
    </row>
    <row r="175" spans="1:78" x14ac:dyDescent="0.2">
      <c r="A175" s="2" t="str">
        <f>'Language Index'!A173</f>
        <v>Minimum Rental Expense</v>
      </c>
      <c r="B175" s="39"/>
      <c r="C175" s="39"/>
      <c r="D175" s="18">
        <f>_xll.ciqfunctions.udf.CIQ($C$2, "IQ_MINIMUM_RENTAL", D$6,$F$2,,,Ccy,Conv)</f>
        <v>0</v>
      </c>
      <c r="E175" s="18">
        <f>_xll.ciqfunctions.udf.CIQ($C$2, "IQ_MINIMUM_RENTAL", E$6,$F$2,,,Ccy,Conv)</f>
        <v>0</v>
      </c>
      <c r="F175" s="18">
        <f>_xll.ciqfunctions.udf.CIQ($C$2, "IQ_MINIMUM_RENTAL", F$6,$F$2,,,Ccy,Conv)</f>
        <v>0</v>
      </c>
      <c r="G175" s="18">
        <f>_xll.ciqfunctions.udf.CIQ($C$2, "IQ_MINIMUM_RENTAL", G$6,$F$2,,,Ccy,Conv)</f>
        <v>0</v>
      </c>
      <c r="H175" s="18">
        <f>_xll.ciqfunctions.udf.CIQ($C$2, "IQ_MINIMUM_RENTAL", H$6,$F$2,,,Ccy,Conv)</f>
        <v>0</v>
      </c>
      <c r="I175" s="18">
        <f>_xll.ciqfunctions.udf.CIQ($C$2, "IQ_MINIMUM_RENTAL", I$6,$F$2,,,Ccy,Conv)</f>
        <v>0</v>
      </c>
      <c r="J175" s="18">
        <f>_xll.ciqfunctions.udf.CIQ($C$2, "IQ_MINIMUM_RENTAL", J$6,$F$2,,,Ccy,Conv)</f>
        <v>0</v>
      </c>
      <c r="K175" s="18">
        <f>_xll.ciqfunctions.udf.CIQ($C$2, "IQ_MINIMUM_RENTAL", K$6,$F$2,,,Ccy,Conv)</f>
        <v>0</v>
      </c>
      <c r="L175" s="18">
        <f>_xll.ciqfunctions.udf.CIQ($C$2, "IQ_MINIMUM_RENTAL", L$6,$F$2,,,Ccy,Conv)</f>
        <v>0</v>
      </c>
      <c r="M175" s="18">
        <f>_xll.ciqfunctions.udf.CIQ($C$2, "IQ_MINIMUM_RENTAL", M$6,$F$2,,,Ccy,Conv)</f>
        <v>0</v>
      </c>
      <c r="N175" s="18">
        <f>_xll.ciqfunctions.udf.CIQ($C$2, "IQ_MINIMUM_RENTAL", N$6,$F$2,,,Ccy,Conv)</f>
        <v>0</v>
      </c>
      <c r="O175" s="18"/>
      <c r="P175" s="18">
        <f>_xll.ciqfunctions.udf.CIQ($C$2, "IQ_MINIMUM_RENTAL", P$6,$F$2,,,Ccy,Conv)</f>
        <v>0</v>
      </c>
      <c r="Q175" s="238"/>
      <c r="R175" s="215"/>
      <c r="S175" s="215"/>
      <c r="T175" s="215"/>
      <c r="U175" s="215"/>
      <c r="V175" s="222"/>
      <c r="W175" s="222"/>
      <c r="X175" s="222"/>
      <c r="Y175" s="241"/>
      <c r="Z175" s="241"/>
      <c r="AA175" s="241"/>
      <c r="AB175" s="241"/>
      <c r="AC175" s="241"/>
      <c r="AD175" s="241"/>
      <c r="AE175" s="215"/>
      <c r="AF175" s="215"/>
      <c r="AG175" s="215"/>
      <c r="AH175" s="241"/>
      <c r="AI175" s="215"/>
      <c r="AJ175" s="215"/>
      <c r="AK175" s="215"/>
      <c r="AL175" s="215"/>
      <c r="AM175" s="215"/>
      <c r="AN175" s="215"/>
      <c r="AO175" s="215"/>
      <c r="AP175" s="215"/>
      <c r="AQ175" s="215"/>
      <c r="AR175" s="215"/>
      <c r="AS175" s="215"/>
      <c r="AT175" s="215"/>
      <c r="AU175" s="215"/>
      <c r="AV175" s="215"/>
      <c r="AW175" s="215"/>
      <c r="AX175" s="215"/>
      <c r="AY175" s="215"/>
      <c r="AZ175" s="215"/>
      <c r="BA175" s="215"/>
      <c r="BB175" s="215"/>
      <c r="BC175" s="215"/>
      <c r="BD175" s="215"/>
      <c r="BE175" s="215"/>
      <c r="BF175" s="215"/>
      <c r="BG175" s="215"/>
      <c r="BH175" s="215"/>
      <c r="BI175" s="215"/>
      <c r="BJ175" s="215"/>
      <c r="BK175" s="215"/>
      <c r="BL175" s="215"/>
      <c r="BM175" s="215"/>
      <c r="BN175" s="215"/>
      <c r="BO175" s="215"/>
      <c r="BP175" s="215"/>
      <c r="BQ175" s="215"/>
      <c r="BR175" s="215"/>
      <c r="BS175" s="215"/>
      <c r="BT175" s="215"/>
      <c r="BU175" s="215"/>
      <c r="BV175" s="215"/>
      <c r="BW175" s="215"/>
      <c r="BX175" s="215"/>
      <c r="BY175" s="215"/>
      <c r="BZ175" s="215"/>
    </row>
    <row r="176" spans="1:78" x14ac:dyDescent="0.2">
      <c r="A176" s="2" t="str">
        <f>'Language Index'!A174</f>
        <v>Other Rental Expense</v>
      </c>
      <c r="B176" s="39"/>
      <c r="C176" s="39"/>
      <c r="D176" s="18">
        <f>_xll.ciqfunctions.udf.CIQ($C$2, "IQ_OTHER_RENTAL", D$6,$F$2,,,Ccy,Conv)</f>
        <v>0</v>
      </c>
      <c r="E176" s="18">
        <f>_xll.ciqfunctions.udf.CIQ($C$2, "IQ_OTHER_RENTAL", E$6,$F$2,,,Ccy,Conv)</f>
        <v>0</v>
      </c>
      <c r="F176" s="18">
        <f>_xll.ciqfunctions.udf.CIQ($C$2, "IQ_OTHER_RENTAL", F$6,$F$2,,,Ccy,Conv)</f>
        <v>0</v>
      </c>
      <c r="G176" s="18">
        <f>_xll.ciqfunctions.udf.CIQ($C$2, "IQ_OTHER_RENTAL", G$6,$F$2,,,Ccy,Conv)</f>
        <v>0</v>
      </c>
      <c r="H176" s="18">
        <f>_xll.ciqfunctions.udf.CIQ($C$2, "IQ_OTHER_RENTAL", H$6,$F$2,,,Ccy,Conv)</f>
        <v>0</v>
      </c>
      <c r="I176" s="18">
        <f>_xll.ciqfunctions.udf.CIQ($C$2, "IQ_OTHER_RENTAL", I$6,$F$2,,,Ccy,Conv)</f>
        <v>0</v>
      </c>
      <c r="J176" s="18">
        <f>_xll.ciqfunctions.udf.CIQ($C$2, "IQ_OTHER_RENTAL", J$6,$F$2,,,Ccy,Conv)</f>
        <v>0</v>
      </c>
      <c r="K176" s="18">
        <f>_xll.ciqfunctions.udf.CIQ($C$2, "IQ_OTHER_RENTAL", K$6,$F$2,,,Ccy,Conv)</f>
        <v>0</v>
      </c>
      <c r="L176" s="18">
        <f>_xll.ciqfunctions.udf.CIQ($C$2, "IQ_OTHER_RENTAL", L$6,$F$2,,,Ccy,Conv)</f>
        <v>0</v>
      </c>
      <c r="M176" s="18">
        <f>_xll.ciqfunctions.udf.CIQ($C$2, "IQ_OTHER_RENTAL", M$6,$F$2,,,Ccy,Conv)</f>
        <v>0</v>
      </c>
      <c r="N176" s="18">
        <f>_xll.ciqfunctions.udf.CIQ($C$2, "IQ_OTHER_RENTAL", N$6,$F$2,,,Ccy,Conv)</f>
        <v>0</v>
      </c>
      <c r="O176" s="18"/>
      <c r="P176" s="18">
        <f>_xll.ciqfunctions.udf.CIQ($C$2, "IQ_OTHER_RENTAL", P$6,$F$2,,,Ccy,Conv)</f>
        <v>0</v>
      </c>
      <c r="Q176" s="238"/>
      <c r="R176" s="215"/>
      <c r="S176" s="215"/>
      <c r="T176" s="215"/>
      <c r="U176" s="215"/>
      <c r="V176" s="222"/>
      <c r="W176" s="222"/>
      <c r="X176" s="222"/>
      <c r="Y176" s="241"/>
      <c r="Z176" s="241"/>
      <c r="AA176" s="241"/>
      <c r="AB176" s="241"/>
      <c r="AC176" s="241"/>
      <c r="AD176" s="241"/>
      <c r="AE176" s="215"/>
      <c r="AF176" s="215"/>
      <c r="AG176" s="215"/>
      <c r="AH176" s="241"/>
      <c r="AI176" s="215"/>
      <c r="AJ176" s="215"/>
      <c r="AK176" s="215"/>
      <c r="AL176" s="215"/>
      <c r="AM176" s="215"/>
      <c r="AN176" s="215"/>
      <c r="AO176" s="215"/>
      <c r="AP176" s="215"/>
      <c r="AQ176" s="215"/>
      <c r="AR176" s="215"/>
      <c r="AS176" s="215"/>
      <c r="AT176" s="215"/>
      <c r="AU176" s="215"/>
      <c r="AV176" s="215"/>
      <c r="AW176" s="215"/>
      <c r="AX176" s="215"/>
      <c r="AY176" s="215"/>
      <c r="AZ176" s="215"/>
      <c r="BA176" s="215"/>
      <c r="BB176" s="215"/>
      <c r="BC176" s="215"/>
      <c r="BD176" s="215"/>
      <c r="BE176" s="215"/>
      <c r="BF176" s="215"/>
      <c r="BG176" s="215"/>
      <c r="BH176" s="215"/>
      <c r="BI176" s="215"/>
      <c r="BJ176" s="215"/>
      <c r="BK176" s="215"/>
      <c r="BL176" s="215"/>
      <c r="BM176" s="215"/>
      <c r="BN176" s="215"/>
      <c r="BO176" s="215"/>
      <c r="BP176" s="215"/>
      <c r="BQ176" s="215"/>
      <c r="BR176" s="215"/>
      <c r="BS176" s="215"/>
      <c r="BT176" s="215"/>
      <c r="BU176" s="215"/>
      <c r="BV176" s="215"/>
      <c r="BW176" s="215"/>
      <c r="BX176" s="215"/>
      <c r="BY176" s="215"/>
      <c r="BZ176" s="215"/>
    </row>
    <row r="177" spans="1:78" x14ac:dyDescent="0.2">
      <c r="A177" s="2" t="str">
        <f>'Language Index'!A175</f>
        <v>Aircraft Rental Expense</v>
      </c>
      <c r="B177" s="39"/>
      <c r="C177" s="39"/>
      <c r="D177" s="18">
        <f>_xll.ciqfunctions.udf.CIQ($C$2, "IQ_AIRCRAFT_RENT", D$6,$F$2,,,Ccy,Conv)</f>
        <v>0</v>
      </c>
      <c r="E177" s="18">
        <f>_xll.ciqfunctions.udf.CIQ($C$2, "IQ_AIRCRAFT_RENT", E$6,$F$2,,,Ccy,Conv)</f>
        <v>0</v>
      </c>
      <c r="F177" s="18">
        <f>_xll.ciqfunctions.udf.CIQ($C$2, "IQ_AIRCRAFT_RENT", F$6,$F$2,,,Ccy,Conv)</f>
        <v>0</v>
      </c>
      <c r="G177" s="18">
        <f>_xll.ciqfunctions.udf.CIQ($C$2, "IQ_AIRCRAFT_RENT", G$6,$F$2,,,Ccy,Conv)</f>
        <v>0</v>
      </c>
      <c r="H177" s="18">
        <f>_xll.ciqfunctions.udf.CIQ($C$2, "IQ_AIRCRAFT_RENT", H$6,$F$2,,,Ccy,Conv)</f>
        <v>0</v>
      </c>
      <c r="I177" s="18">
        <f>_xll.ciqfunctions.udf.CIQ($C$2, "IQ_AIRCRAFT_RENT", I$6,$F$2,,,Ccy,Conv)</f>
        <v>0</v>
      </c>
      <c r="J177" s="18">
        <f>_xll.ciqfunctions.udf.CIQ($C$2, "IQ_AIRCRAFT_RENT", J$6,$F$2,,,Ccy,Conv)</f>
        <v>0</v>
      </c>
      <c r="K177" s="18">
        <f>_xll.ciqfunctions.udf.CIQ($C$2, "IQ_AIRCRAFT_RENT", K$6,$F$2,,,Ccy,Conv)</f>
        <v>0</v>
      </c>
      <c r="L177" s="18">
        <f>_xll.ciqfunctions.udf.CIQ($C$2, "IQ_AIRCRAFT_RENT", L$6,$F$2,,,Ccy,Conv)</f>
        <v>0</v>
      </c>
      <c r="M177" s="18">
        <f>_xll.ciqfunctions.udf.CIQ($C$2, "IQ_AIRCRAFT_RENT", M$6,$F$2,,,Ccy,Conv)</f>
        <v>0</v>
      </c>
      <c r="N177" s="18">
        <f>_xll.ciqfunctions.udf.CIQ($C$2, "IQ_AIRCRAFT_RENT", N$6,$F$2,,,Ccy,Conv)</f>
        <v>0</v>
      </c>
      <c r="O177" s="18"/>
      <c r="P177" s="18">
        <f>_xll.ciqfunctions.udf.CIQ($C$2, "IQ_AIRCRAFT_RENT", P$6,$F$2,,,Ccy,Conv)</f>
        <v>0</v>
      </c>
      <c r="Q177" s="238"/>
      <c r="R177" s="215"/>
      <c r="S177" s="215"/>
      <c r="T177" s="215"/>
      <c r="U177" s="215"/>
      <c r="V177" s="222"/>
      <c r="W177" s="222"/>
      <c r="X177" s="222"/>
      <c r="Y177" s="241"/>
      <c r="Z177" s="241"/>
      <c r="AA177" s="241"/>
      <c r="AB177" s="241"/>
      <c r="AC177" s="241"/>
      <c r="AD177" s="241"/>
      <c r="AE177" s="215"/>
      <c r="AF177" s="215"/>
      <c r="AG177" s="215"/>
      <c r="AH177" s="241"/>
      <c r="AI177" s="215"/>
      <c r="AJ177" s="215"/>
      <c r="AK177" s="215"/>
      <c r="AL177" s="215"/>
      <c r="AM177" s="215"/>
      <c r="AN177" s="215"/>
      <c r="AO177" s="215"/>
      <c r="AP177" s="215"/>
      <c r="AQ177" s="215"/>
      <c r="AR177" s="215"/>
      <c r="AS177" s="215"/>
      <c r="AT177" s="215"/>
      <c r="AU177" s="215"/>
      <c r="AV177" s="215"/>
      <c r="AW177" s="215"/>
      <c r="AX177" s="215"/>
      <c r="AY177" s="215"/>
      <c r="AZ177" s="215"/>
      <c r="BA177" s="215"/>
      <c r="BB177" s="215"/>
      <c r="BC177" s="215"/>
      <c r="BD177" s="215"/>
      <c r="BE177" s="215"/>
      <c r="BF177" s="215"/>
      <c r="BG177" s="215"/>
      <c r="BH177" s="215"/>
      <c r="BI177" s="215"/>
      <c r="BJ177" s="215"/>
      <c r="BK177" s="215"/>
      <c r="BL177" s="215"/>
      <c r="BM177" s="215"/>
      <c r="BN177" s="215"/>
      <c r="BO177" s="215"/>
      <c r="BP177" s="215"/>
      <c r="BQ177" s="215"/>
      <c r="BR177" s="215"/>
      <c r="BS177" s="215"/>
      <c r="BT177" s="215"/>
      <c r="BU177" s="215"/>
      <c r="BV177" s="215"/>
      <c r="BW177" s="215"/>
      <c r="BX177" s="215"/>
      <c r="BY177" s="215"/>
      <c r="BZ177" s="215"/>
    </row>
    <row r="178" spans="1:78" x14ac:dyDescent="0.2">
      <c r="A178" s="2" t="str">
        <f>'Language Index'!A176</f>
        <v>Depreciation of Rental Assets</v>
      </c>
      <c r="B178" s="39"/>
      <c r="C178" s="39"/>
      <c r="D178" s="18">
        <f>_xll.ciqfunctions.udf.CIQ($C$2, "IQ_DEPRECIATION_RENTAL_ASSETS", D$6,$F$2,,,Ccy,Conv)</f>
        <v>0</v>
      </c>
      <c r="E178" s="18">
        <f>_xll.ciqfunctions.udf.CIQ($C$2, "IQ_DEPRECIATION_RENTAL_ASSETS", E$6,$F$2,,,Ccy,Conv)</f>
        <v>0</v>
      </c>
      <c r="F178" s="18">
        <f>_xll.ciqfunctions.udf.CIQ($C$2, "IQ_DEPRECIATION_RENTAL_ASSETS", F$6,$F$2,,,Ccy,Conv)</f>
        <v>0</v>
      </c>
      <c r="G178" s="18">
        <f>_xll.ciqfunctions.udf.CIQ($C$2, "IQ_DEPRECIATION_RENTAL_ASSETS", G$6,$F$2,,,Ccy,Conv)</f>
        <v>0</v>
      </c>
      <c r="H178" s="18">
        <f>_xll.ciqfunctions.udf.CIQ($C$2, "IQ_DEPRECIATION_RENTAL_ASSETS", H$6,$F$2,,,Ccy,Conv)</f>
        <v>0</v>
      </c>
      <c r="I178" s="18">
        <f>_xll.ciqfunctions.udf.CIQ($C$2, "IQ_DEPRECIATION_RENTAL_ASSETS", I$6,$F$2,,,Ccy,Conv)</f>
        <v>0</v>
      </c>
      <c r="J178" s="18">
        <f>_xll.ciqfunctions.udf.CIQ($C$2, "IQ_DEPRECIATION_RENTAL_ASSETS", J$6,$F$2,,,Ccy,Conv)</f>
        <v>0</v>
      </c>
      <c r="K178" s="18">
        <f>_xll.ciqfunctions.udf.CIQ($C$2, "IQ_DEPRECIATION_RENTAL_ASSETS", K$6,$F$2,,,Ccy,Conv)</f>
        <v>0</v>
      </c>
      <c r="L178" s="18">
        <f>_xll.ciqfunctions.udf.CIQ($C$2, "IQ_DEPRECIATION_RENTAL_ASSETS", L$6,$F$2,,,Ccy,Conv)</f>
        <v>0</v>
      </c>
      <c r="M178" s="18">
        <f>_xll.ciqfunctions.udf.CIQ($C$2, "IQ_DEPRECIATION_RENTAL_ASSETS", M$6,$F$2,,,Ccy,Conv)</f>
        <v>0</v>
      </c>
      <c r="N178" s="18">
        <f>_xll.ciqfunctions.udf.CIQ($C$2, "IQ_DEPRECIATION_RENTAL_ASSETS", N$6,$F$2,,,Ccy,Conv)</f>
        <v>0</v>
      </c>
      <c r="O178" s="18"/>
      <c r="P178" s="18">
        <f>_xll.ciqfunctions.udf.CIQ($C$2, "IQ_DEPRECIATION_RENTAL_ASSETS", P$6,$F$2,,,Ccy,Conv)</f>
        <v>0</v>
      </c>
      <c r="Q178" s="238"/>
      <c r="R178" s="215"/>
      <c r="S178" s="215"/>
      <c r="T178" s="215"/>
      <c r="U178" s="215"/>
      <c r="V178" s="222"/>
      <c r="W178" s="222"/>
      <c r="X178" s="222"/>
      <c r="Y178" s="241"/>
      <c r="Z178" s="241"/>
      <c r="AA178" s="241"/>
      <c r="AB178" s="241"/>
      <c r="AC178" s="241"/>
      <c r="AD178" s="241"/>
      <c r="AE178" s="215"/>
      <c r="AF178" s="215"/>
      <c r="AG178" s="215"/>
      <c r="AH178" s="241"/>
      <c r="AI178" s="215"/>
      <c r="AJ178" s="215"/>
      <c r="AK178" s="215"/>
      <c r="AL178" s="215"/>
      <c r="AM178" s="215"/>
      <c r="AN178" s="215"/>
      <c r="AO178" s="215"/>
      <c r="AP178" s="215"/>
      <c r="AQ178" s="215"/>
      <c r="AR178" s="215"/>
      <c r="AS178" s="215"/>
      <c r="AT178" s="215"/>
      <c r="AU178" s="215"/>
      <c r="AV178" s="215"/>
      <c r="AW178" s="215"/>
      <c r="AX178" s="215"/>
      <c r="AY178" s="215"/>
      <c r="AZ178" s="215"/>
      <c r="BA178" s="215"/>
      <c r="BB178" s="215"/>
      <c r="BC178" s="215"/>
      <c r="BD178" s="215"/>
      <c r="BE178" s="215"/>
      <c r="BF178" s="215"/>
      <c r="BG178" s="215"/>
      <c r="BH178" s="215"/>
      <c r="BI178" s="215"/>
      <c r="BJ178" s="215"/>
      <c r="BK178" s="215"/>
      <c r="BL178" s="215"/>
      <c r="BM178" s="215"/>
      <c r="BN178" s="215"/>
      <c r="BO178" s="215"/>
      <c r="BP178" s="215"/>
      <c r="BQ178" s="215"/>
      <c r="BR178" s="215"/>
      <c r="BS178" s="215"/>
      <c r="BT178" s="215"/>
      <c r="BU178" s="215"/>
      <c r="BV178" s="215"/>
      <c r="BW178" s="215"/>
      <c r="BX178" s="215"/>
      <c r="BY178" s="215"/>
      <c r="BZ178" s="215"/>
    </row>
    <row r="179" spans="1:78" x14ac:dyDescent="0.2">
      <c r="A179" s="2" t="str">
        <f>'Language Index'!A177</f>
        <v>Exploration/Drilling Exp.</v>
      </c>
      <c r="B179" s="39"/>
      <c r="C179" s="39"/>
      <c r="D179" s="18">
        <f>_xll.ciqfunctions.udf.CIQ($C$2, "IQ_EXPLORE_DRILL_EXP_TOTAL", D$6,$F$2,,,Ccy,Conv)</f>
        <v>0</v>
      </c>
      <c r="E179" s="18">
        <f>_xll.ciqfunctions.udf.CIQ($C$2, "IQ_EXPLORE_DRILL_EXP_TOTAL", E$6,$F$2,,,Ccy,Conv)</f>
        <v>0</v>
      </c>
      <c r="F179" s="18">
        <f>_xll.ciqfunctions.udf.CIQ($C$2, "IQ_EXPLORE_DRILL_EXP_TOTAL", F$6,$F$2,,,Ccy,Conv)</f>
        <v>0</v>
      </c>
      <c r="G179" s="18">
        <f>_xll.ciqfunctions.udf.CIQ($C$2, "IQ_EXPLORE_DRILL_EXP_TOTAL", G$6,$F$2,,,Ccy,Conv)</f>
        <v>0</v>
      </c>
      <c r="H179" s="18">
        <f>_xll.ciqfunctions.udf.CIQ($C$2, "IQ_EXPLORE_DRILL_EXP_TOTAL", H$6,$F$2,,,Ccy,Conv)</f>
        <v>0</v>
      </c>
      <c r="I179" s="18">
        <f>_xll.ciqfunctions.udf.CIQ($C$2, "IQ_EXPLORE_DRILL_EXP_TOTAL", I$6,$F$2,,,Ccy,Conv)</f>
        <v>0</v>
      </c>
      <c r="J179" s="18">
        <f>_xll.ciqfunctions.udf.CIQ($C$2, "IQ_EXPLORE_DRILL_EXP_TOTAL", J$6,$F$2,,,Ccy,Conv)</f>
        <v>0</v>
      </c>
      <c r="K179" s="18">
        <f>_xll.ciqfunctions.udf.CIQ($C$2, "IQ_EXPLORE_DRILL_EXP_TOTAL", K$6,$F$2,,,Ccy,Conv)</f>
        <v>0</v>
      </c>
      <c r="L179" s="18">
        <f>_xll.ciqfunctions.udf.CIQ($C$2, "IQ_EXPLORE_DRILL_EXP_TOTAL", L$6,$F$2,,,Ccy,Conv)</f>
        <v>0</v>
      </c>
      <c r="M179" s="18">
        <f>_xll.ciqfunctions.udf.CIQ($C$2, "IQ_EXPLORE_DRILL_EXP_TOTAL", M$6,$F$2,,,Ccy,Conv)</f>
        <v>0</v>
      </c>
      <c r="N179" s="18">
        <f>_xll.ciqfunctions.udf.CIQ($C$2, "IQ_EXPLORE_DRILL_EXP_TOTAL", N$6,$F$2,,,Ccy,Conv)</f>
        <v>0</v>
      </c>
      <c r="O179" s="18"/>
      <c r="P179" s="18">
        <f>_xll.ciqfunctions.udf.CIQ($C$2, "IQ_EXPLORE_DRILL_EXP_TOTAL", P$6,$F$2,,,Ccy,Conv)</f>
        <v>0</v>
      </c>
      <c r="Q179" s="238"/>
      <c r="R179" s="215"/>
      <c r="S179" s="215"/>
      <c r="T179" s="215"/>
      <c r="U179" s="215"/>
      <c r="V179" s="222"/>
      <c r="W179" s="222"/>
      <c r="X179" s="222"/>
      <c r="Y179" s="241"/>
      <c r="Z179" s="241"/>
      <c r="AA179" s="241"/>
      <c r="AB179" s="241"/>
      <c r="AC179" s="241"/>
      <c r="AD179" s="241"/>
      <c r="AE179" s="215"/>
      <c r="AF179" s="215"/>
      <c r="AG179" s="215"/>
      <c r="AH179" s="241"/>
      <c r="AI179" s="215"/>
      <c r="AJ179" s="215"/>
      <c r="AK179" s="215"/>
      <c r="AL179" s="215"/>
      <c r="AM179" s="215"/>
      <c r="AN179" s="215"/>
      <c r="AO179" s="215"/>
      <c r="AP179" s="215"/>
      <c r="AQ179" s="215"/>
      <c r="AR179" s="215"/>
      <c r="AS179" s="215"/>
      <c r="AT179" s="215"/>
      <c r="AU179" s="215"/>
      <c r="AV179" s="215"/>
      <c r="AW179" s="215"/>
      <c r="AX179" s="215"/>
      <c r="AY179" s="215"/>
      <c r="AZ179" s="215"/>
      <c r="BA179" s="215"/>
      <c r="BB179" s="215"/>
      <c r="BC179" s="215"/>
      <c r="BD179" s="215"/>
      <c r="BE179" s="215"/>
      <c r="BF179" s="215"/>
      <c r="BG179" s="215"/>
      <c r="BH179" s="215"/>
      <c r="BI179" s="215"/>
      <c r="BJ179" s="215"/>
      <c r="BK179" s="215"/>
      <c r="BL179" s="215"/>
      <c r="BM179" s="215"/>
      <c r="BN179" s="215"/>
      <c r="BO179" s="215"/>
      <c r="BP179" s="215"/>
      <c r="BQ179" s="215"/>
      <c r="BR179" s="215"/>
      <c r="BS179" s="215"/>
      <c r="BT179" s="215"/>
      <c r="BU179" s="215"/>
      <c r="BV179" s="215"/>
      <c r="BW179" s="215"/>
      <c r="BX179" s="215"/>
      <c r="BY179" s="215"/>
      <c r="BZ179" s="215"/>
    </row>
    <row r="180" spans="1:78" x14ac:dyDescent="0.2">
      <c r="A180" s="2" t="str">
        <f>'Language Index'!A178</f>
        <v>Maintenance &amp; Repair Expenses</v>
      </c>
      <c r="B180" s="39"/>
      <c r="C180" s="39"/>
      <c r="D180" s="18">
        <f>_xll.ciqfunctions.udf.CIQ($C$2, "IQ_MAINT_REPAIR", D$6,$F$2,,,Ccy,Conv)</f>
        <v>0</v>
      </c>
      <c r="E180" s="18">
        <f>_xll.ciqfunctions.udf.CIQ($C$2, "IQ_MAINT_REPAIR", E$6,$F$2,,,Ccy,Conv)</f>
        <v>0</v>
      </c>
      <c r="F180" s="18">
        <f>_xll.ciqfunctions.udf.CIQ($C$2, "IQ_MAINT_REPAIR", F$6,$F$2,,,Ccy,Conv)</f>
        <v>0</v>
      </c>
      <c r="G180" s="18">
        <f>_xll.ciqfunctions.udf.CIQ($C$2, "IQ_MAINT_REPAIR", G$6,$F$2,,,Ccy,Conv)</f>
        <v>0</v>
      </c>
      <c r="H180" s="18">
        <f>_xll.ciqfunctions.udf.CIQ($C$2, "IQ_MAINT_REPAIR", H$6,$F$2,,,Ccy,Conv)</f>
        <v>0</v>
      </c>
      <c r="I180" s="18">
        <f>_xll.ciqfunctions.udf.CIQ($C$2, "IQ_MAINT_REPAIR", I$6,$F$2,,,Ccy,Conv)</f>
        <v>0</v>
      </c>
      <c r="J180" s="18">
        <f>_xll.ciqfunctions.udf.CIQ($C$2, "IQ_MAINT_REPAIR", J$6,$F$2,,,Ccy,Conv)</f>
        <v>0</v>
      </c>
      <c r="K180" s="18">
        <f>_xll.ciqfunctions.udf.CIQ($C$2, "IQ_MAINT_REPAIR", K$6,$F$2,,,Ccy,Conv)</f>
        <v>0</v>
      </c>
      <c r="L180" s="18">
        <f>_xll.ciqfunctions.udf.CIQ($C$2, "IQ_MAINT_REPAIR", L$6,$F$2,,,Ccy,Conv)</f>
        <v>0</v>
      </c>
      <c r="M180" s="18">
        <f>_xll.ciqfunctions.udf.CIQ($C$2, "IQ_MAINT_REPAIR", M$6,$F$2,,,Ccy,Conv)</f>
        <v>0</v>
      </c>
      <c r="N180" s="18">
        <f>_xll.ciqfunctions.udf.CIQ($C$2, "IQ_MAINT_REPAIR", N$6,$F$2,,,Ccy,Conv)</f>
        <v>0</v>
      </c>
      <c r="O180" s="18"/>
      <c r="P180" s="18">
        <f>_xll.ciqfunctions.udf.CIQ($C$2, "IQ_MAINT_REPAIR", P$6,$F$2,,,Ccy,Conv)</f>
        <v>0</v>
      </c>
      <c r="Q180" s="238"/>
      <c r="R180" s="215"/>
      <c r="S180" s="215"/>
      <c r="T180" s="215"/>
      <c r="U180" s="215"/>
      <c r="V180" s="222"/>
      <c r="W180" s="222"/>
      <c r="X180" s="222"/>
      <c r="Y180" s="241"/>
      <c r="Z180" s="241"/>
      <c r="AA180" s="241"/>
      <c r="AB180" s="241"/>
      <c r="AC180" s="241"/>
      <c r="AD180" s="241"/>
      <c r="AE180" s="215"/>
      <c r="AF180" s="215"/>
      <c r="AG180" s="215"/>
      <c r="AH180" s="241"/>
      <c r="AI180" s="215"/>
      <c r="AJ180" s="215"/>
      <c r="AK180" s="215"/>
      <c r="AL180" s="215"/>
      <c r="AM180" s="215"/>
      <c r="AN180" s="215"/>
      <c r="AO180" s="215"/>
      <c r="AP180" s="215"/>
      <c r="AQ180" s="215"/>
      <c r="AR180" s="215"/>
      <c r="AS180" s="215"/>
      <c r="AT180" s="215"/>
      <c r="AU180" s="215"/>
      <c r="AV180" s="215"/>
      <c r="AW180" s="215"/>
      <c r="AX180" s="215"/>
      <c r="AY180" s="215"/>
      <c r="AZ180" s="215"/>
      <c r="BA180" s="215"/>
      <c r="BB180" s="215"/>
      <c r="BC180" s="215"/>
      <c r="BD180" s="215"/>
      <c r="BE180" s="215"/>
      <c r="BF180" s="215"/>
      <c r="BG180" s="215"/>
      <c r="BH180" s="215"/>
      <c r="BI180" s="215"/>
      <c r="BJ180" s="215"/>
      <c r="BK180" s="215"/>
      <c r="BL180" s="215"/>
      <c r="BM180" s="215"/>
      <c r="BN180" s="215"/>
      <c r="BO180" s="215"/>
      <c r="BP180" s="215"/>
      <c r="BQ180" s="215"/>
      <c r="BR180" s="215"/>
      <c r="BS180" s="215"/>
      <c r="BT180" s="215"/>
      <c r="BU180" s="215"/>
      <c r="BV180" s="215"/>
      <c r="BW180" s="215"/>
      <c r="BX180" s="215"/>
      <c r="BY180" s="215"/>
      <c r="BZ180" s="215"/>
    </row>
    <row r="181" spans="1:78" x14ac:dyDescent="0.2">
      <c r="A181" s="2" t="str">
        <f>'Language Index'!A179</f>
        <v>Imputed Oper. Lease Interest Exp</v>
      </c>
      <c r="B181" s="39"/>
      <c r="C181" s="39"/>
      <c r="D181" s="18">
        <f>_xll.ciqfunctions.udf.CIQ($C$2, "IQ_IMPUT_OPER_LEASE_INT_EXP", D$6,$F$2,,,Ccy,Conv)</f>
        <v>0</v>
      </c>
      <c r="E181" s="18">
        <f>_xll.ciqfunctions.udf.CIQ($C$2, "IQ_IMPUT_OPER_LEASE_INT_EXP", E$6,$F$2,,,Ccy,Conv)</f>
        <v>0</v>
      </c>
      <c r="F181" s="18">
        <f>_xll.ciqfunctions.udf.CIQ($C$2, "IQ_IMPUT_OPER_LEASE_INT_EXP", F$6,$F$2,,,Ccy,Conv)</f>
        <v>293.15996999999999</v>
      </c>
      <c r="G181" s="18">
        <f>_xll.ciqfunctions.udf.CIQ($C$2, "IQ_IMPUT_OPER_LEASE_INT_EXP", G$6,$F$2,,,Ccy,Conv)</f>
        <v>0</v>
      </c>
      <c r="H181" s="18">
        <f>_xll.ciqfunctions.udf.CIQ($C$2, "IQ_IMPUT_OPER_LEASE_INT_EXP", H$6,$F$2,,,Ccy,Conv)</f>
        <v>0</v>
      </c>
      <c r="I181" s="18">
        <f>_xll.ciqfunctions.udf.CIQ($C$2, "IQ_IMPUT_OPER_LEASE_INT_EXP", I$6,$F$2,,,Ccy,Conv)</f>
        <v>0</v>
      </c>
      <c r="J181" s="18">
        <f>_xll.ciqfunctions.udf.CIQ($C$2, "IQ_IMPUT_OPER_LEASE_INT_EXP", J$6,$F$2,,,Ccy,Conv)</f>
        <v>305.13314000000003</v>
      </c>
      <c r="K181" s="18">
        <f>_xll.ciqfunctions.udf.CIQ($C$2, "IQ_IMPUT_OPER_LEASE_INT_EXP", K$6,$F$2,,,Ccy,Conv)</f>
        <v>0</v>
      </c>
      <c r="L181" s="18">
        <f>_xll.ciqfunctions.udf.CIQ($C$2, "IQ_IMPUT_OPER_LEASE_INT_EXP", L$6,$F$2,,,Ccy,Conv)</f>
        <v>0</v>
      </c>
      <c r="M181" s="18">
        <f>_xll.ciqfunctions.udf.CIQ($C$2, "IQ_IMPUT_OPER_LEASE_INT_EXP", M$6,$F$2,,,Ccy,Conv)</f>
        <v>0</v>
      </c>
      <c r="N181" s="18">
        <f>_xll.ciqfunctions.udf.CIQ($C$2, "IQ_IMPUT_OPER_LEASE_INT_EXP", N$6,$F$2,,,Ccy,Conv)</f>
        <v>329.89852999999999</v>
      </c>
      <c r="O181" s="18"/>
      <c r="P181" s="18">
        <f>_xll.ciqfunctions.udf.CIQ($C$2, "IQ_IMPUT_OPER_LEASE_INT_EXP", P$6,$F$2,,,Ccy,Conv)</f>
        <v>329.89852999999999</v>
      </c>
      <c r="Q181" s="238"/>
      <c r="R181" s="215"/>
      <c r="S181" s="215"/>
      <c r="T181" s="215"/>
      <c r="U181" s="215"/>
      <c r="V181" s="222"/>
      <c r="W181" s="222"/>
      <c r="X181" s="222"/>
      <c r="Y181" s="241"/>
      <c r="Z181" s="241"/>
      <c r="AA181" s="241"/>
      <c r="AB181" s="241"/>
      <c r="AC181" s="241"/>
      <c r="AD181" s="241"/>
      <c r="AE181" s="215"/>
      <c r="AF181" s="215"/>
      <c r="AG181" s="215"/>
      <c r="AH181" s="241"/>
      <c r="AI181" s="215"/>
      <c r="AJ181" s="215"/>
      <c r="AK181" s="215"/>
      <c r="AL181" s="215"/>
      <c r="AM181" s="215"/>
      <c r="AN181" s="215"/>
      <c r="AO181" s="215"/>
      <c r="AP181" s="215"/>
      <c r="AQ181" s="215"/>
      <c r="AR181" s="215"/>
      <c r="AS181" s="215"/>
      <c r="AT181" s="215"/>
      <c r="AU181" s="215"/>
      <c r="AV181" s="215"/>
      <c r="AW181" s="215"/>
      <c r="AX181" s="215"/>
      <c r="AY181" s="215"/>
      <c r="AZ181" s="215"/>
      <c r="BA181" s="215"/>
      <c r="BB181" s="215"/>
      <c r="BC181" s="215"/>
      <c r="BD181" s="215"/>
      <c r="BE181" s="215"/>
      <c r="BF181" s="215"/>
      <c r="BG181" s="215"/>
      <c r="BH181" s="215"/>
      <c r="BI181" s="215"/>
      <c r="BJ181" s="215"/>
      <c r="BK181" s="215"/>
      <c r="BL181" s="215"/>
      <c r="BM181" s="215"/>
      <c r="BN181" s="215"/>
      <c r="BO181" s="215"/>
      <c r="BP181" s="215"/>
      <c r="BQ181" s="215"/>
      <c r="BR181" s="215"/>
      <c r="BS181" s="215"/>
      <c r="BT181" s="215"/>
      <c r="BU181" s="215"/>
      <c r="BV181" s="215"/>
      <c r="BW181" s="215"/>
      <c r="BX181" s="215"/>
      <c r="BY181" s="215"/>
      <c r="BZ181" s="215"/>
    </row>
    <row r="182" spans="1:78" x14ac:dyDescent="0.2">
      <c r="A182" s="2" t="str">
        <f>'Language Index'!A180</f>
        <v>Imputed Oper. Lease Depreciation</v>
      </c>
      <c r="B182" s="39"/>
      <c r="C182" s="39"/>
      <c r="D182" s="18">
        <f>_xll.ciqfunctions.udf.CIQ($C$2, "IQ_IMPUT_OPER_LEASE_DEPR", D$6,$F$2,,,Ccy,Conv)</f>
        <v>0</v>
      </c>
      <c r="E182" s="18">
        <f>_xll.ciqfunctions.udf.CIQ($C$2, "IQ_IMPUT_OPER_LEASE_DEPR", E$6,$F$2,,,Ccy,Conv)</f>
        <v>0</v>
      </c>
      <c r="F182" s="18">
        <f>_xll.ciqfunctions.udf.CIQ($C$2, "IQ_IMPUT_OPER_LEASE_DEPR", F$6,$F$2,,,Ccy,Conv)</f>
        <v>998.84002999999996</v>
      </c>
      <c r="G182" s="18">
        <f>_xll.ciqfunctions.udf.CIQ($C$2, "IQ_IMPUT_OPER_LEASE_DEPR", G$6,$F$2,,,Ccy,Conv)</f>
        <v>0</v>
      </c>
      <c r="H182" s="18">
        <f>_xll.ciqfunctions.udf.CIQ($C$2, "IQ_IMPUT_OPER_LEASE_DEPR", H$6,$F$2,,,Ccy,Conv)</f>
        <v>0</v>
      </c>
      <c r="I182" s="18">
        <f>_xll.ciqfunctions.udf.CIQ($C$2, "IQ_IMPUT_OPER_LEASE_DEPR", I$6,$F$2,,,Ccy,Conv)</f>
        <v>0</v>
      </c>
      <c r="J182" s="18">
        <f>_xll.ciqfunctions.udf.CIQ($C$2, "IQ_IMPUT_OPER_LEASE_DEPR", J$6,$F$2,,,Ccy,Conv)</f>
        <v>1003.86686</v>
      </c>
      <c r="K182" s="18">
        <f>_xll.ciqfunctions.udf.CIQ($C$2, "IQ_IMPUT_OPER_LEASE_DEPR", K$6,$F$2,,,Ccy,Conv)</f>
        <v>0</v>
      </c>
      <c r="L182" s="18">
        <f>_xll.ciqfunctions.udf.CIQ($C$2, "IQ_IMPUT_OPER_LEASE_DEPR", L$6,$F$2,,,Ccy,Conv)</f>
        <v>0</v>
      </c>
      <c r="M182" s="18">
        <f>_xll.ciqfunctions.udf.CIQ($C$2, "IQ_IMPUT_OPER_LEASE_DEPR", M$6,$F$2,,,Ccy,Conv)</f>
        <v>0</v>
      </c>
      <c r="N182" s="18">
        <f>_xll.ciqfunctions.udf.CIQ($C$2, "IQ_IMPUT_OPER_LEASE_DEPR", N$6,$F$2,,,Ccy,Conv)</f>
        <v>978.10146999999995</v>
      </c>
      <c r="O182" s="18"/>
      <c r="P182" s="18">
        <f>_xll.ciqfunctions.udf.CIQ($C$2, "IQ_IMPUT_OPER_LEASE_DEPR", P$6,$F$2,,,Ccy,Conv)</f>
        <v>978.10146999999995</v>
      </c>
      <c r="Q182" s="238"/>
      <c r="R182" s="215"/>
      <c r="S182" s="215"/>
      <c r="T182" s="215"/>
      <c r="U182" s="215"/>
      <c r="V182" s="240"/>
      <c r="W182" s="240"/>
      <c r="X182" s="240"/>
      <c r="Y182" s="239"/>
      <c r="Z182" s="232"/>
      <c r="AA182" s="232"/>
      <c r="AB182" s="232"/>
      <c r="AC182" s="232"/>
      <c r="AD182" s="232"/>
      <c r="AE182" s="215"/>
      <c r="AF182" s="215"/>
      <c r="AG182" s="215"/>
      <c r="AH182" s="232"/>
      <c r="AI182" s="215"/>
      <c r="AJ182" s="215"/>
      <c r="AK182" s="215"/>
      <c r="AL182" s="215"/>
      <c r="AM182" s="215"/>
      <c r="AN182" s="215"/>
      <c r="AO182" s="215"/>
      <c r="AP182" s="215"/>
      <c r="AQ182" s="215"/>
      <c r="AR182" s="215"/>
      <c r="AS182" s="215"/>
      <c r="AT182" s="215"/>
      <c r="AU182" s="215"/>
      <c r="AV182" s="215"/>
      <c r="AW182" s="215"/>
      <c r="AX182" s="215"/>
      <c r="AY182" s="215"/>
      <c r="AZ182" s="215"/>
      <c r="BA182" s="215"/>
      <c r="BB182" s="215"/>
      <c r="BC182" s="215"/>
      <c r="BD182" s="215"/>
      <c r="BE182" s="215"/>
      <c r="BF182" s="215"/>
      <c r="BG182" s="215"/>
      <c r="BH182" s="215"/>
      <c r="BI182" s="215"/>
      <c r="BJ182" s="215"/>
      <c r="BK182" s="215"/>
      <c r="BL182" s="215"/>
      <c r="BM182" s="215"/>
      <c r="BN182" s="215"/>
      <c r="BO182" s="215"/>
      <c r="BP182" s="215"/>
      <c r="BQ182" s="215"/>
      <c r="BR182" s="215"/>
      <c r="BS182" s="215"/>
      <c r="BT182" s="215"/>
      <c r="BU182" s="215"/>
      <c r="BV182" s="215"/>
      <c r="BW182" s="215"/>
      <c r="BX182" s="215"/>
      <c r="BY182" s="215"/>
      <c r="BZ182" s="215"/>
    </row>
    <row r="183" spans="1:78" x14ac:dyDescent="0.2">
      <c r="A183" s="2" t="str">
        <f>'Language Index'!A181</f>
        <v>Salaries and Other Employee Benefits</v>
      </c>
      <c r="B183" s="39"/>
      <c r="C183" s="39"/>
      <c r="D183" s="18">
        <f>_xll.ciqfunctions.udf.CIQ($C$2, "IQ_SALARIES_OTHER_BENEFITS", D$6,$F$2,,,Ccy,Conv)</f>
        <v>0</v>
      </c>
      <c r="E183" s="18">
        <f>_xll.ciqfunctions.udf.CIQ($C$2, "IQ_SALARIES_OTHER_BENEFITS", E$6,$F$2,,,Ccy,Conv)</f>
        <v>0</v>
      </c>
      <c r="F183" s="18">
        <f>_xll.ciqfunctions.udf.CIQ($C$2, "IQ_SALARIES_OTHER_BENEFITS", F$6,$F$2,,,Ccy,Conv)</f>
        <v>0</v>
      </c>
      <c r="G183" s="18">
        <f>_xll.ciqfunctions.udf.CIQ($C$2, "IQ_SALARIES_OTHER_BENEFITS", G$6,$F$2,,,Ccy,Conv)</f>
        <v>0</v>
      </c>
      <c r="H183" s="18">
        <f>_xll.ciqfunctions.udf.CIQ($C$2, "IQ_SALARIES_OTHER_BENEFITS", H$6,$F$2,,,Ccy,Conv)</f>
        <v>0</v>
      </c>
      <c r="I183" s="18">
        <f>_xll.ciqfunctions.udf.CIQ($C$2, "IQ_SALARIES_OTHER_BENEFITS", I$6,$F$2,,,Ccy,Conv)</f>
        <v>0</v>
      </c>
      <c r="J183" s="18">
        <f>_xll.ciqfunctions.udf.CIQ($C$2, "IQ_SALARIES_OTHER_BENEFITS", J$6,$F$2,,,Ccy,Conv)</f>
        <v>0</v>
      </c>
      <c r="K183" s="18">
        <f>_xll.ciqfunctions.udf.CIQ($C$2, "IQ_SALARIES_OTHER_BENEFITS", K$6,$F$2,,,Ccy,Conv)</f>
        <v>0</v>
      </c>
      <c r="L183" s="18">
        <f>_xll.ciqfunctions.udf.CIQ($C$2, "IQ_SALARIES_OTHER_BENEFITS", L$6,$F$2,,,Ccy,Conv)</f>
        <v>0</v>
      </c>
      <c r="M183" s="18">
        <f>_xll.ciqfunctions.udf.CIQ($C$2, "IQ_SALARIES_OTHER_BENEFITS", M$6,$F$2,,,Ccy,Conv)</f>
        <v>0</v>
      </c>
      <c r="N183" s="18">
        <f>_xll.ciqfunctions.udf.CIQ($C$2, "IQ_SALARIES_OTHER_BENEFITS", N$6,$F$2,,,Ccy,Conv)</f>
        <v>0</v>
      </c>
      <c r="O183" s="18"/>
      <c r="P183" s="18">
        <f>_xll.ciqfunctions.udf.CIQ($C$2, "IQ_SALARIES_OTHER_BENEFITS", P$6,$F$2,,,Ccy,Conv)</f>
        <v>0</v>
      </c>
      <c r="Q183" s="238"/>
      <c r="R183" s="215"/>
      <c r="S183" s="215"/>
      <c r="T183" s="215"/>
      <c r="U183" s="215"/>
      <c r="V183" s="240"/>
      <c r="W183" s="240"/>
      <c r="X183" s="240"/>
      <c r="Y183" s="239"/>
      <c r="Z183" s="232"/>
      <c r="AA183" s="232"/>
      <c r="AB183" s="232"/>
      <c r="AC183" s="232"/>
      <c r="AD183" s="232"/>
      <c r="AE183" s="215"/>
      <c r="AF183" s="215"/>
      <c r="AG183" s="215"/>
      <c r="AH183" s="232"/>
      <c r="AI183" s="215"/>
      <c r="AJ183" s="215"/>
      <c r="AK183" s="215"/>
      <c r="AL183" s="215"/>
      <c r="AM183" s="215"/>
      <c r="AN183" s="215"/>
      <c r="AO183" s="215"/>
      <c r="AP183" s="215"/>
      <c r="AQ183" s="215"/>
      <c r="AR183" s="215"/>
      <c r="AS183" s="215"/>
      <c r="AT183" s="215"/>
      <c r="AU183" s="215"/>
      <c r="AV183" s="215"/>
      <c r="AW183" s="215"/>
      <c r="AX183" s="215"/>
      <c r="AY183" s="215"/>
      <c r="AZ183" s="215"/>
      <c r="BA183" s="215"/>
      <c r="BB183" s="215"/>
      <c r="BC183" s="215"/>
      <c r="BD183" s="215"/>
      <c r="BE183" s="215"/>
      <c r="BF183" s="215"/>
      <c r="BG183" s="215"/>
      <c r="BH183" s="215"/>
      <c r="BI183" s="215"/>
      <c r="BJ183" s="215"/>
      <c r="BK183" s="215"/>
      <c r="BL183" s="215"/>
      <c r="BM183" s="215"/>
      <c r="BN183" s="215"/>
      <c r="BO183" s="215"/>
      <c r="BP183" s="215"/>
      <c r="BQ183" s="215"/>
      <c r="BR183" s="215"/>
      <c r="BS183" s="215"/>
      <c r="BT183" s="215"/>
      <c r="BU183" s="215"/>
      <c r="BV183" s="215"/>
      <c r="BW183" s="215"/>
      <c r="BX183" s="215"/>
      <c r="BY183" s="215"/>
      <c r="BZ183" s="215"/>
    </row>
    <row r="184" spans="1:78" x14ac:dyDescent="0.2">
      <c r="A184" s="2" t="str">
        <f>'Language Index'!A182</f>
        <v>Restructuring Charges (Supple)</v>
      </c>
      <c r="B184" s="38"/>
      <c r="C184" s="38"/>
      <c r="D184" s="18">
        <f>_xll.ciqfunctions.udf.CIQ($C$2,"IQ_RESTRUCTURE_SUPPLE", D$6,$F$2,,,Ccy,Conv)</f>
        <v>0</v>
      </c>
      <c r="E184" s="18">
        <f>_xll.ciqfunctions.udf.CIQ($C$2,"IQ_RESTRUCTURE_SUPPLE", E$6,$F$2,,,Ccy,Conv)</f>
        <v>0</v>
      </c>
      <c r="F184" s="18">
        <f>_xll.ciqfunctions.udf.CIQ($C$2,"IQ_RESTRUCTURE_SUPPLE", F$6,$F$2,,,Ccy,Conv)</f>
        <v>0</v>
      </c>
      <c r="G184" s="18">
        <f>_xll.ciqfunctions.udf.CIQ($C$2,"IQ_RESTRUCTURE_SUPPLE", G$6,$F$2,,,Ccy,Conv)</f>
        <v>0</v>
      </c>
      <c r="H184" s="18">
        <f>_xll.ciqfunctions.udf.CIQ($C$2,"IQ_RESTRUCTURE_SUPPLE", H$6,$F$2,,,Ccy,Conv)</f>
        <v>0</v>
      </c>
      <c r="I184" s="18">
        <f>_xll.ciqfunctions.udf.CIQ($C$2,"IQ_RESTRUCTURE_SUPPLE", I$6,$F$2,,,Ccy,Conv)</f>
        <v>0</v>
      </c>
      <c r="J184" s="18">
        <f>_xll.ciqfunctions.udf.CIQ($C$2,"IQ_RESTRUCTURE_SUPPLE", J$6,$F$2,,,Ccy,Conv)</f>
        <v>0</v>
      </c>
      <c r="K184" s="18">
        <f>_xll.ciqfunctions.udf.CIQ($C$2,"IQ_RESTRUCTURE_SUPPLE", K$6,$F$2,,,Ccy,Conv)</f>
        <v>0</v>
      </c>
      <c r="L184" s="18">
        <f>_xll.ciqfunctions.udf.CIQ($C$2,"IQ_RESTRUCTURE_SUPPLE", L$6,$F$2,,,Ccy,Conv)</f>
        <v>0</v>
      </c>
      <c r="M184" s="18">
        <f>_xll.ciqfunctions.udf.CIQ($C$2,"IQ_RESTRUCTURE_SUPPLE", M$6,$F$2,,,Ccy,Conv)</f>
        <v>0</v>
      </c>
      <c r="N184" s="18">
        <f>_xll.ciqfunctions.udf.CIQ($C$2,"IQ_RESTRUCTURE_SUPPLE", N$6,$F$2,,,Ccy,Conv)</f>
        <v>0</v>
      </c>
      <c r="O184" s="18"/>
      <c r="P184" s="18">
        <f>_xll.ciqfunctions.udf.CIQ($C$2,"IQ_RESTRUCTURE_SUPPLE", P$6,$F$2,,,Ccy,Conv)</f>
        <v>0</v>
      </c>
      <c r="Q184" s="238"/>
      <c r="R184" s="215"/>
      <c r="S184" s="215"/>
      <c r="T184" s="215"/>
      <c r="U184" s="215"/>
      <c r="V184" s="240"/>
      <c r="W184" s="240"/>
      <c r="X184" s="240"/>
      <c r="Y184" s="239"/>
      <c r="Z184" s="232"/>
      <c r="AA184" s="232"/>
      <c r="AB184" s="232"/>
      <c r="AC184" s="232"/>
      <c r="AD184" s="232"/>
      <c r="AE184" s="215"/>
      <c r="AF184" s="215"/>
      <c r="AG184" s="215"/>
      <c r="AH184" s="232"/>
      <c r="AI184" s="215"/>
      <c r="AJ184" s="215"/>
      <c r="AK184" s="215"/>
      <c r="AL184" s="215"/>
      <c r="AM184" s="215"/>
      <c r="AN184" s="215"/>
      <c r="AO184" s="215"/>
      <c r="AP184" s="215"/>
      <c r="AQ184" s="215"/>
      <c r="AR184" s="215"/>
      <c r="AS184" s="215"/>
      <c r="AT184" s="215"/>
      <c r="AU184" s="215"/>
      <c r="AV184" s="215"/>
      <c r="AW184" s="215"/>
      <c r="AX184" s="215"/>
      <c r="AY184" s="215"/>
      <c r="AZ184" s="215"/>
      <c r="BA184" s="215"/>
      <c r="BB184" s="215"/>
      <c r="BC184" s="215"/>
      <c r="BD184" s="215"/>
      <c r="BE184" s="215"/>
      <c r="BF184" s="215"/>
      <c r="BG184" s="215"/>
      <c r="BH184" s="215"/>
      <c r="BI184" s="215"/>
      <c r="BJ184" s="215"/>
      <c r="BK184" s="215"/>
      <c r="BL184" s="215"/>
      <c r="BM184" s="215"/>
      <c r="BN184" s="215"/>
      <c r="BO184" s="215"/>
      <c r="BP184" s="215"/>
      <c r="BQ184" s="215"/>
      <c r="BR184" s="215"/>
      <c r="BS184" s="215"/>
      <c r="BT184" s="215"/>
      <c r="BU184" s="215"/>
      <c r="BV184" s="215"/>
      <c r="BW184" s="215"/>
      <c r="BX184" s="215"/>
      <c r="BY184" s="215"/>
      <c r="BZ184" s="215"/>
    </row>
    <row r="185" spans="1:78" x14ac:dyDescent="0.2">
      <c r="A185" s="2" t="str">
        <f>'Language Index'!A183</f>
        <v>Merger &amp; Related Restruct. Charges (Supple)</v>
      </c>
      <c r="B185" s="38"/>
      <c r="C185" s="38"/>
      <c r="D185" s="18">
        <f>_xll.ciqfunctions.udf.CIQ($C$2,"IQ_MERGER_SUPPLE", D$6,$F$2,,,Ccy,Conv)</f>
        <v>0</v>
      </c>
      <c r="E185" s="18">
        <f>_xll.ciqfunctions.udf.CIQ($C$2,"IQ_MERGER_SUPPLE", E$6,$F$2,,,Ccy,Conv)</f>
        <v>0</v>
      </c>
      <c r="F185" s="18">
        <f>_xll.ciqfunctions.udf.CIQ($C$2,"IQ_MERGER_SUPPLE", F$6,$F$2,,,Ccy,Conv)</f>
        <v>0</v>
      </c>
      <c r="G185" s="18">
        <f>_xll.ciqfunctions.udf.CIQ($C$2,"IQ_MERGER_SUPPLE", G$6,$F$2,,,Ccy,Conv)</f>
        <v>0</v>
      </c>
      <c r="H185" s="18">
        <f>_xll.ciqfunctions.udf.CIQ($C$2,"IQ_MERGER_SUPPLE", H$6,$F$2,,,Ccy,Conv)</f>
        <v>0</v>
      </c>
      <c r="I185" s="18">
        <f>_xll.ciqfunctions.udf.CIQ($C$2,"IQ_MERGER_SUPPLE", I$6,$F$2,,,Ccy,Conv)</f>
        <v>0</v>
      </c>
      <c r="J185" s="18">
        <f>_xll.ciqfunctions.udf.CIQ($C$2,"IQ_MERGER_SUPPLE", J$6,$F$2,,,Ccy,Conv)</f>
        <v>0</v>
      </c>
      <c r="K185" s="18">
        <f>_xll.ciqfunctions.udf.CIQ($C$2,"IQ_MERGER_SUPPLE", K$6,$F$2,,,Ccy,Conv)</f>
        <v>-1</v>
      </c>
      <c r="L185" s="18">
        <f>_xll.ciqfunctions.udf.CIQ($C$2,"IQ_MERGER_SUPPLE", L$6,$F$2,,,Ccy,Conv)</f>
        <v>0</v>
      </c>
      <c r="M185" s="18">
        <f>_xll.ciqfunctions.udf.CIQ($C$2,"IQ_MERGER_SUPPLE", M$6,$F$2,,,Ccy,Conv)</f>
        <v>0</v>
      </c>
      <c r="N185" s="18">
        <f>_xll.ciqfunctions.udf.CIQ($C$2,"IQ_MERGER_SUPPLE", N$6,$F$2,,,Ccy,Conv)</f>
        <v>0</v>
      </c>
      <c r="O185" s="18"/>
      <c r="P185" s="18">
        <f>_xll.ciqfunctions.udf.CIQ($C$2,"IQ_MERGER_SUPPLE", P$6,$F$2,,,Ccy,Conv)</f>
        <v>0</v>
      </c>
      <c r="Q185" s="238"/>
      <c r="R185" s="215"/>
      <c r="S185" s="215"/>
      <c r="T185" s="215"/>
      <c r="U185" s="215"/>
      <c r="V185" s="240"/>
      <c r="W185" s="240"/>
      <c r="X185" s="240"/>
      <c r="Y185" s="239"/>
      <c r="Z185" s="232"/>
      <c r="AA185" s="232"/>
      <c r="AB185" s="232"/>
      <c r="AC185" s="232"/>
      <c r="AD185" s="232"/>
      <c r="AE185" s="215"/>
      <c r="AF185" s="215"/>
      <c r="AG185" s="215"/>
      <c r="AH185" s="232"/>
      <c r="AI185" s="215"/>
      <c r="AJ185" s="215"/>
      <c r="AK185" s="215"/>
      <c r="AL185" s="215"/>
      <c r="AM185" s="215"/>
      <c r="AN185" s="215"/>
      <c r="AO185" s="215"/>
      <c r="AP185" s="215"/>
      <c r="AQ185" s="215"/>
      <c r="AR185" s="215"/>
      <c r="AS185" s="215"/>
      <c r="AT185" s="215"/>
      <c r="AU185" s="215"/>
      <c r="AV185" s="215"/>
      <c r="AW185" s="215"/>
      <c r="AX185" s="215"/>
      <c r="AY185" s="215"/>
      <c r="AZ185" s="215"/>
      <c r="BA185" s="215"/>
      <c r="BB185" s="215"/>
      <c r="BC185" s="215"/>
      <c r="BD185" s="215"/>
      <c r="BE185" s="215"/>
      <c r="BF185" s="215"/>
      <c r="BG185" s="215"/>
      <c r="BH185" s="215"/>
      <c r="BI185" s="215"/>
      <c r="BJ185" s="215"/>
      <c r="BK185" s="215"/>
      <c r="BL185" s="215"/>
      <c r="BM185" s="215"/>
      <c r="BN185" s="215"/>
      <c r="BO185" s="215"/>
      <c r="BP185" s="215"/>
      <c r="BQ185" s="215"/>
      <c r="BR185" s="215"/>
      <c r="BS185" s="215"/>
      <c r="BT185" s="215"/>
      <c r="BU185" s="215"/>
      <c r="BV185" s="215"/>
      <c r="BW185" s="215"/>
      <c r="BX185" s="215"/>
      <c r="BY185" s="215"/>
      <c r="BZ185" s="215"/>
    </row>
    <row r="186" spans="1:78" x14ac:dyDescent="0.2">
      <c r="A186" s="2" t="str">
        <f>'Language Index'!A184</f>
        <v>Impairment of Goodwill (Supple)</v>
      </c>
      <c r="B186" s="38"/>
      <c r="C186" s="38"/>
      <c r="D186" s="18">
        <f>_xll.ciqfunctions.udf.CIQ($C$2,"IQ_IMPAIRMENT_GW_SUPPLE", D$6,$F$2,,,Ccy,Conv)</f>
        <v>0</v>
      </c>
      <c r="E186" s="18">
        <f>_xll.ciqfunctions.udf.CIQ($C$2,"IQ_IMPAIRMENT_GW_SUPPLE", E$6,$F$2,,,Ccy,Conv)</f>
        <v>0</v>
      </c>
      <c r="F186" s="18">
        <f>_xll.ciqfunctions.udf.CIQ($C$2,"IQ_IMPAIRMENT_GW_SUPPLE", F$6,$F$2,,,Ccy,Conv)</f>
        <v>0</v>
      </c>
      <c r="G186" s="18">
        <f>_xll.ciqfunctions.udf.CIQ($C$2,"IQ_IMPAIRMENT_GW_SUPPLE", G$6,$F$2,,,Ccy,Conv)</f>
        <v>0</v>
      </c>
      <c r="H186" s="18">
        <f>_xll.ciqfunctions.udf.CIQ($C$2,"IQ_IMPAIRMENT_GW_SUPPLE", H$6,$F$2,,,Ccy,Conv)</f>
        <v>0</v>
      </c>
      <c r="I186" s="18">
        <f>_xll.ciqfunctions.udf.CIQ($C$2,"IQ_IMPAIRMENT_GW_SUPPLE", I$6,$F$2,,,Ccy,Conv)</f>
        <v>0</v>
      </c>
      <c r="J186" s="18">
        <f>_xll.ciqfunctions.udf.CIQ($C$2,"IQ_IMPAIRMENT_GW_SUPPLE", J$6,$F$2,,,Ccy,Conv)</f>
        <v>0</v>
      </c>
      <c r="K186" s="18">
        <f>_xll.ciqfunctions.udf.CIQ($C$2,"IQ_IMPAIRMENT_GW_SUPPLE", K$6,$F$2,,,Ccy,Conv)</f>
        <v>0</v>
      </c>
      <c r="L186" s="18">
        <f>_xll.ciqfunctions.udf.CIQ($C$2,"IQ_IMPAIRMENT_GW_SUPPLE", L$6,$F$2,,,Ccy,Conv)</f>
        <v>0</v>
      </c>
      <c r="M186" s="18">
        <f>_xll.ciqfunctions.udf.CIQ($C$2,"IQ_IMPAIRMENT_GW_SUPPLE", M$6,$F$2,,,Ccy,Conv)</f>
        <v>0</v>
      </c>
      <c r="N186" s="18">
        <f>_xll.ciqfunctions.udf.CIQ($C$2,"IQ_IMPAIRMENT_GW_SUPPLE", N$6,$F$2,,,Ccy,Conv)</f>
        <v>0</v>
      </c>
      <c r="O186" s="18"/>
      <c r="P186" s="18">
        <f>_xll.ciqfunctions.udf.CIQ($C$2,"IQ_IMPAIRMENT_GW_SUPPLE", P$6,$F$2,,,Ccy,Conv)</f>
        <v>0</v>
      </c>
      <c r="Q186" s="238"/>
      <c r="R186" s="215"/>
      <c r="S186" s="215"/>
      <c r="T186" s="215"/>
      <c r="U186" s="215"/>
      <c r="V186" s="240"/>
      <c r="W186" s="240"/>
      <c r="X186" s="240"/>
      <c r="Y186" s="239"/>
      <c r="Z186" s="232"/>
      <c r="AA186" s="232"/>
      <c r="AB186" s="232"/>
      <c r="AC186" s="232"/>
      <c r="AD186" s="232"/>
      <c r="AE186" s="215"/>
      <c r="AF186" s="215"/>
      <c r="AG186" s="215"/>
      <c r="AH186" s="232"/>
      <c r="AI186" s="215"/>
      <c r="AJ186" s="215"/>
      <c r="AK186" s="215"/>
      <c r="AL186" s="215"/>
      <c r="AM186" s="215"/>
      <c r="AN186" s="215"/>
      <c r="AO186" s="215"/>
      <c r="AP186" s="215"/>
      <c r="AQ186" s="215"/>
      <c r="AR186" s="215"/>
      <c r="AS186" s="215"/>
      <c r="AT186" s="215"/>
      <c r="AU186" s="215"/>
      <c r="AV186" s="215"/>
      <c r="AW186" s="215"/>
      <c r="AX186" s="215"/>
      <c r="AY186" s="215"/>
      <c r="AZ186" s="215"/>
      <c r="BA186" s="215"/>
      <c r="BB186" s="215"/>
      <c r="BC186" s="215"/>
      <c r="BD186" s="215"/>
      <c r="BE186" s="215"/>
      <c r="BF186" s="215"/>
      <c r="BG186" s="215"/>
      <c r="BH186" s="215"/>
      <c r="BI186" s="215"/>
      <c r="BJ186" s="215"/>
      <c r="BK186" s="215"/>
      <c r="BL186" s="215"/>
      <c r="BM186" s="215"/>
      <c r="BN186" s="215"/>
      <c r="BO186" s="215"/>
      <c r="BP186" s="215"/>
      <c r="BQ186" s="215"/>
      <c r="BR186" s="215"/>
      <c r="BS186" s="215"/>
      <c r="BT186" s="215"/>
      <c r="BU186" s="215"/>
      <c r="BV186" s="215"/>
      <c r="BW186" s="215"/>
      <c r="BX186" s="215"/>
      <c r="BY186" s="215"/>
      <c r="BZ186" s="215"/>
    </row>
    <row r="187" spans="1:78" x14ac:dyDescent="0.2">
      <c r="A187" s="2" t="str">
        <f>'Language Index'!A185</f>
        <v>Asset Writedown, Total (Supple)</v>
      </c>
      <c r="B187" s="38"/>
      <c r="C187" s="38"/>
      <c r="D187" s="18">
        <f>_xll.ciqfunctions.udf.CIQ($C$2,"IQ_ASSET_WRITEDOWN_SUPPLE", D$6,$F$2,,,Ccy,Conv)</f>
        <v>0</v>
      </c>
      <c r="E187" s="18">
        <f>_xll.ciqfunctions.udf.CIQ($C$2,"IQ_ASSET_WRITEDOWN_SUPPLE", E$6,$F$2,,,Ccy,Conv)</f>
        <v>0</v>
      </c>
      <c r="F187" s="18">
        <f>_xll.ciqfunctions.udf.CIQ($C$2,"IQ_ASSET_WRITEDOWN_SUPPLE", F$6,$F$2,,,Ccy,Conv)</f>
        <v>0</v>
      </c>
      <c r="G187" s="18">
        <f>_xll.ciqfunctions.udf.CIQ($C$2,"IQ_ASSET_WRITEDOWN_SUPPLE", G$6,$F$2,,,Ccy,Conv)</f>
        <v>0</v>
      </c>
      <c r="H187" s="18">
        <f>_xll.ciqfunctions.udf.CIQ($C$2,"IQ_ASSET_WRITEDOWN_SUPPLE", H$6,$F$2,,,Ccy,Conv)</f>
        <v>0</v>
      </c>
      <c r="I187" s="18">
        <f>_xll.ciqfunctions.udf.CIQ($C$2,"IQ_ASSET_WRITEDOWN_SUPPLE", I$6,$F$2,,,Ccy,Conv)</f>
        <v>0</v>
      </c>
      <c r="J187" s="18">
        <f>_xll.ciqfunctions.udf.CIQ($C$2,"IQ_ASSET_WRITEDOWN_SUPPLE", J$6,$F$2,,,Ccy,Conv)</f>
        <v>0</v>
      </c>
      <c r="K187" s="18">
        <f>_xll.ciqfunctions.udf.CIQ($C$2,"IQ_ASSET_WRITEDOWN_SUPPLE", K$6,$F$2,,,Ccy,Conv)</f>
        <v>0</v>
      </c>
      <c r="L187" s="18">
        <f>_xll.ciqfunctions.udf.CIQ($C$2,"IQ_ASSET_WRITEDOWN_SUPPLE", L$6,$F$2,,,Ccy,Conv)</f>
        <v>0</v>
      </c>
      <c r="M187" s="18">
        <f>_xll.ciqfunctions.udf.CIQ($C$2,"IQ_ASSET_WRITEDOWN_SUPPLE", M$6,$F$2,,,Ccy,Conv)</f>
        <v>0</v>
      </c>
      <c r="N187" s="18">
        <f>_xll.ciqfunctions.udf.CIQ($C$2,"IQ_ASSET_WRITEDOWN_SUPPLE", N$6,$F$2,,,Ccy,Conv)</f>
        <v>0</v>
      </c>
      <c r="O187" s="18"/>
      <c r="P187" s="18">
        <f>_xll.ciqfunctions.udf.CIQ($C$2,"IQ_ASSET_WRITEDOWN_SUPPLE", P$6,$F$2,,,Ccy,Conv)</f>
        <v>0</v>
      </c>
      <c r="Q187" s="238"/>
      <c r="R187" s="215"/>
      <c r="S187" s="215"/>
      <c r="T187" s="215"/>
      <c r="U187" s="215"/>
      <c r="V187" s="240"/>
      <c r="W187" s="240"/>
      <c r="X187" s="240"/>
      <c r="Y187" s="239"/>
      <c r="Z187" s="232"/>
      <c r="AA187" s="232"/>
      <c r="AB187" s="232"/>
      <c r="AC187" s="232"/>
      <c r="AD187" s="232"/>
      <c r="AE187" s="215"/>
      <c r="AF187" s="215"/>
      <c r="AG187" s="215"/>
      <c r="AH187" s="232"/>
      <c r="AI187" s="215"/>
      <c r="AJ187" s="215"/>
      <c r="AK187" s="215"/>
      <c r="AL187" s="215"/>
      <c r="AM187" s="215"/>
      <c r="AN187" s="215"/>
      <c r="AO187" s="215"/>
      <c r="AP187" s="215"/>
      <c r="AQ187" s="215"/>
      <c r="AR187" s="215"/>
      <c r="AS187" s="215"/>
      <c r="AT187" s="215"/>
      <c r="AU187" s="215"/>
      <c r="AV187" s="215"/>
      <c r="AW187" s="215"/>
      <c r="AX187" s="215"/>
      <c r="AY187" s="215"/>
      <c r="AZ187" s="215"/>
      <c r="BA187" s="215"/>
      <c r="BB187" s="215"/>
      <c r="BC187" s="215"/>
      <c r="BD187" s="215"/>
      <c r="BE187" s="215"/>
      <c r="BF187" s="215"/>
      <c r="BG187" s="215"/>
      <c r="BH187" s="215"/>
      <c r="BI187" s="215"/>
      <c r="BJ187" s="215"/>
      <c r="BK187" s="215"/>
      <c r="BL187" s="215"/>
      <c r="BM187" s="215"/>
      <c r="BN187" s="215"/>
      <c r="BO187" s="215"/>
      <c r="BP187" s="215"/>
      <c r="BQ187" s="215"/>
      <c r="BR187" s="215"/>
      <c r="BS187" s="215"/>
      <c r="BT187" s="215"/>
      <c r="BU187" s="215"/>
      <c r="BV187" s="215"/>
      <c r="BW187" s="215"/>
      <c r="BX187" s="215"/>
      <c r="BY187" s="215"/>
      <c r="BZ187" s="215"/>
    </row>
    <row r="188" spans="1:78" x14ac:dyDescent="0.2">
      <c r="A188" s="2" t="str">
        <f>'Language Index'!A186</f>
        <v>In Process R &amp; D Exp. (Supple)</v>
      </c>
      <c r="B188" s="38"/>
      <c r="C188" s="38"/>
      <c r="D188" s="18">
        <f>_xll.ciqfunctions.udf.CIQ($C$2,"IQ_IPRD_SUPPLE", D$6,$F$2,,,Ccy,Conv)</f>
        <v>0</v>
      </c>
      <c r="E188" s="18">
        <f>_xll.ciqfunctions.udf.CIQ($C$2,"IQ_IPRD_SUPPLE", E$6,$F$2,,,Ccy,Conv)</f>
        <v>0</v>
      </c>
      <c r="F188" s="18">
        <f>_xll.ciqfunctions.udf.CIQ($C$2,"IQ_IPRD_SUPPLE", F$6,$F$2,,,Ccy,Conv)</f>
        <v>0</v>
      </c>
      <c r="G188" s="18">
        <f>_xll.ciqfunctions.udf.CIQ($C$2,"IQ_IPRD_SUPPLE", G$6,$F$2,,,Ccy,Conv)</f>
        <v>0</v>
      </c>
      <c r="H188" s="18">
        <f>_xll.ciqfunctions.udf.CIQ($C$2,"IQ_IPRD_SUPPLE", H$6,$F$2,,,Ccy,Conv)</f>
        <v>0</v>
      </c>
      <c r="I188" s="18">
        <f>_xll.ciqfunctions.udf.CIQ($C$2,"IQ_IPRD_SUPPLE", I$6,$F$2,,,Ccy,Conv)</f>
        <v>0</v>
      </c>
      <c r="J188" s="18">
        <f>_xll.ciqfunctions.udf.CIQ($C$2,"IQ_IPRD_SUPPLE", J$6,$F$2,,,Ccy,Conv)</f>
        <v>0</v>
      </c>
      <c r="K188" s="18">
        <f>_xll.ciqfunctions.udf.CIQ($C$2,"IQ_IPRD_SUPPLE", K$6,$F$2,,,Ccy,Conv)</f>
        <v>0</v>
      </c>
      <c r="L188" s="18">
        <f>_xll.ciqfunctions.udf.CIQ($C$2,"IQ_IPRD_SUPPLE", L$6,$F$2,,,Ccy,Conv)</f>
        <v>0</v>
      </c>
      <c r="M188" s="18">
        <f>_xll.ciqfunctions.udf.CIQ($C$2,"IQ_IPRD_SUPPLE", M$6,$F$2,,,Ccy,Conv)</f>
        <v>0</v>
      </c>
      <c r="N188" s="18">
        <f>_xll.ciqfunctions.udf.CIQ($C$2,"IQ_IPRD_SUPPLE", N$6,$F$2,,,Ccy,Conv)</f>
        <v>0</v>
      </c>
      <c r="O188" s="18"/>
      <c r="P188" s="18">
        <f>_xll.ciqfunctions.udf.CIQ($C$2,"IQ_IPRD_SUPPLE", P$6,$F$2,,,Ccy,Conv)</f>
        <v>0</v>
      </c>
      <c r="Q188" s="238"/>
      <c r="R188" s="215"/>
      <c r="S188" s="215"/>
      <c r="T188" s="215"/>
      <c r="U188" s="215"/>
      <c r="V188" s="240"/>
      <c r="W188" s="240"/>
      <c r="X188" s="240"/>
      <c r="Y188" s="239"/>
      <c r="Z188" s="232"/>
      <c r="AA188" s="232"/>
      <c r="AB188" s="232"/>
      <c r="AC188" s="232"/>
      <c r="AD188" s="232"/>
      <c r="AE188" s="215"/>
      <c r="AF188" s="215"/>
      <c r="AG188" s="215"/>
      <c r="AH188" s="232"/>
      <c r="AI188" s="215"/>
      <c r="AJ188" s="215"/>
      <c r="AK188" s="215"/>
      <c r="AL188" s="215"/>
      <c r="AM188" s="215"/>
      <c r="AN188" s="215"/>
      <c r="AO188" s="215"/>
      <c r="AP188" s="215"/>
      <c r="AQ188" s="215"/>
      <c r="AR188" s="215"/>
      <c r="AS188" s="215"/>
      <c r="AT188" s="215"/>
      <c r="AU188" s="215"/>
      <c r="AV188" s="215"/>
      <c r="AW188" s="215"/>
      <c r="AX188" s="215"/>
      <c r="AY188" s="215"/>
      <c r="AZ188" s="215"/>
      <c r="BA188" s="215"/>
      <c r="BB188" s="215"/>
      <c r="BC188" s="215"/>
      <c r="BD188" s="215"/>
      <c r="BE188" s="215"/>
      <c r="BF188" s="215"/>
      <c r="BG188" s="215"/>
      <c r="BH188" s="215"/>
      <c r="BI188" s="215"/>
      <c r="BJ188" s="215"/>
      <c r="BK188" s="215"/>
      <c r="BL188" s="215"/>
      <c r="BM188" s="215"/>
      <c r="BN188" s="215"/>
      <c r="BO188" s="215"/>
      <c r="BP188" s="215"/>
      <c r="BQ188" s="215"/>
      <c r="BR188" s="215"/>
      <c r="BS188" s="215"/>
      <c r="BT188" s="215"/>
      <c r="BU188" s="215"/>
      <c r="BV188" s="215"/>
      <c r="BW188" s="215"/>
      <c r="BX188" s="215"/>
      <c r="BY188" s="215"/>
      <c r="BZ188" s="215"/>
    </row>
    <row r="189" spans="1:78" x14ac:dyDescent="0.2">
      <c r="A189" s="2" t="str">
        <f>'Language Index'!A187</f>
        <v>Gain on Bargain Acquisition</v>
      </c>
      <c r="B189" s="38"/>
      <c r="C189" s="38"/>
      <c r="D189" s="18">
        <f>_xll.ciqfunctions.udf.CIQ($C$2,"IQ_GAIN_BARGAIN_ACQ", D$6,$F$2,,,Ccy,Conv)</f>
        <v>0</v>
      </c>
      <c r="E189" s="18">
        <f>_xll.ciqfunctions.udf.CIQ($C$2,"IQ_GAIN_BARGAIN_ACQ", E$6,$F$2,,,Ccy,Conv)</f>
        <v>0</v>
      </c>
      <c r="F189" s="18">
        <f>_xll.ciqfunctions.udf.CIQ($C$2,"IQ_GAIN_BARGAIN_ACQ", F$6,$F$2,,,Ccy,Conv)</f>
        <v>0</v>
      </c>
      <c r="G189" s="18">
        <f>_xll.ciqfunctions.udf.CIQ($C$2,"IQ_GAIN_BARGAIN_ACQ", G$6,$F$2,,,Ccy,Conv)</f>
        <v>0</v>
      </c>
      <c r="H189" s="18">
        <f>_xll.ciqfunctions.udf.CIQ($C$2,"IQ_GAIN_BARGAIN_ACQ", H$6,$F$2,,,Ccy,Conv)</f>
        <v>0</v>
      </c>
      <c r="I189" s="18">
        <f>_xll.ciqfunctions.udf.CIQ($C$2,"IQ_GAIN_BARGAIN_ACQ", I$6,$F$2,,,Ccy,Conv)</f>
        <v>0</v>
      </c>
      <c r="J189" s="18">
        <f>_xll.ciqfunctions.udf.CIQ($C$2,"IQ_GAIN_BARGAIN_ACQ", J$6,$F$2,,,Ccy,Conv)</f>
        <v>0</v>
      </c>
      <c r="K189" s="18">
        <f>_xll.ciqfunctions.udf.CIQ($C$2,"IQ_GAIN_BARGAIN_ACQ", K$6,$F$2,,,Ccy,Conv)</f>
        <v>0</v>
      </c>
      <c r="L189" s="18">
        <f>_xll.ciqfunctions.udf.CIQ($C$2,"IQ_GAIN_BARGAIN_ACQ", L$6,$F$2,,,Ccy,Conv)</f>
        <v>0</v>
      </c>
      <c r="M189" s="18">
        <f>_xll.ciqfunctions.udf.CIQ($C$2,"IQ_GAIN_BARGAIN_ACQ", M$6,$F$2,,,Ccy,Conv)</f>
        <v>0</v>
      </c>
      <c r="N189" s="18">
        <f>_xll.ciqfunctions.udf.CIQ($C$2,"IQ_GAIN_BARGAIN_ACQ", N$6,$F$2,,,Ccy,Conv)</f>
        <v>0</v>
      </c>
      <c r="O189" s="18"/>
      <c r="P189" s="18">
        <f>_xll.ciqfunctions.udf.CIQ($C$2,"IQ_GAIN_BARGAIN_ACQ", P$6,$F$2,,,Ccy,Conv)</f>
        <v>0</v>
      </c>
      <c r="Q189" s="238"/>
      <c r="R189" s="215"/>
      <c r="S189" s="215"/>
      <c r="T189" s="215"/>
      <c r="U189" s="215"/>
      <c r="V189" s="240"/>
      <c r="W189" s="240"/>
      <c r="X189" s="240"/>
      <c r="Y189" s="239"/>
      <c r="Z189" s="232"/>
      <c r="AA189" s="232"/>
      <c r="AB189" s="232"/>
      <c r="AC189" s="232"/>
      <c r="AD189" s="232"/>
      <c r="AE189" s="215"/>
      <c r="AF189" s="215"/>
      <c r="AG189" s="215"/>
      <c r="AH189" s="232"/>
      <c r="AI189" s="215"/>
      <c r="AJ189" s="215"/>
      <c r="AK189" s="215"/>
      <c r="AL189" s="215"/>
      <c r="AM189" s="215"/>
      <c r="AN189" s="215"/>
      <c r="AO189" s="215"/>
      <c r="AP189" s="215"/>
      <c r="AQ189" s="215"/>
      <c r="AR189" s="215"/>
      <c r="AS189" s="215"/>
      <c r="AT189" s="215"/>
      <c r="AU189" s="215"/>
      <c r="AV189" s="215"/>
      <c r="AW189" s="215"/>
      <c r="AX189" s="215"/>
      <c r="AY189" s="215"/>
      <c r="AZ189" s="215"/>
      <c r="BA189" s="215"/>
      <c r="BB189" s="215"/>
      <c r="BC189" s="215"/>
      <c r="BD189" s="215"/>
      <c r="BE189" s="215"/>
      <c r="BF189" s="215"/>
      <c r="BG189" s="215"/>
      <c r="BH189" s="215"/>
      <c r="BI189" s="215"/>
      <c r="BJ189" s="215"/>
      <c r="BK189" s="215"/>
      <c r="BL189" s="215"/>
      <c r="BM189" s="215"/>
      <c r="BN189" s="215"/>
      <c r="BO189" s="215"/>
      <c r="BP189" s="215"/>
      <c r="BQ189" s="215"/>
      <c r="BR189" s="215"/>
      <c r="BS189" s="215"/>
      <c r="BT189" s="215"/>
      <c r="BU189" s="215"/>
      <c r="BV189" s="215"/>
      <c r="BW189" s="215"/>
      <c r="BX189" s="215"/>
      <c r="BY189" s="215"/>
      <c r="BZ189" s="215"/>
    </row>
    <row r="190" spans="1:78" x14ac:dyDescent="0.2">
      <c r="A190" s="2" t="str">
        <f>'Language Index'!A188</f>
        <v>Gain on Bargain Acquisition  - Supple</v>
      </c>
      <c r="B190" s="38"/>
      <c r="C190" s="38"/>
      <c r="D190" s="18">
        <f>_xll.ciqfunctions.udf.CIQ($C$2,"IQ_GAIN_BARGAIN_ACQ_SUPPLE", D$6,$F$2,,,Ccy,Conv)</f>
        <v>0</v>
      </c>
      <c r="E190" s="18">
        <f>_xll.ciqfunctions.udf.CIQ($C$2,"IQ_GAIN_BARGAIN_ACQ_SUPPLE", E$6,$F$2,,,Ccy,Conv)</f>
        <v>0</v>
      </c>
      <c r="F190" s="18">
        <f>_xll.ciqfunctions.udf.CIQ($C$2,"IQ_GAIN_BARGAIN_ACQ_SUPPLE", F$6,$F$2,,,Ccy,Conv)</f>
        <v>0</v>
      </c>
      <c r="G190" s="18">
        <f>_xll.ciqfunctions.udf.CIQ($C$2,"IQ_GAIN_BARGAIN_ACQ_SUPPLE", G$6,$F$2,,,Ccy,Conv)</f>
        <v>0</v>
      </c>
      <c r="H190" s="18">
        <f>_xll.ciqfunctions.udf.CIQ($C$2,"IQ_GAIN_BARGAIN_ACQ_SUPPLE", H$6,$F$2,,,Ccy,Conv)</f>
        <v>0</v>
      </c>
      <c r="I190" s="18">
        <f>_xll.ciqfunctions.udf.CIQ($C$2,"IQ_GAIN_BARGAIN_ACQ_SUPPLE", I$6,$F$2,,,Ccy,Conv)</f>
        <v>0</v>
      </c>
      <c r="J190" s="18">
        <f>_xll.ciqfunctions.udf.CIQ($C$2,"IQ_GAIN_BARGAIN_ACQ_SUPPLE", J$6,$F$2,,,Ccy,Conv)</f>
        <v>0</v>
      </c>
      <c r="K190" s="18">
        <f>_xll.ciqfunctions.udf.CIQ($C$2,"IQ_GAIN_BARGAIN_ACQ_SUPPLE", K$6,$F$2,,,Ccy,Conv)</f>
        <v>0</v>
      </c>
      <c r="L190" s="18">
        <f>_xll.ciqfunctions.udf.CIQ($C$2,"IQ_GAIN_BARGAIN_ACQ_SUPPLE", L$6,$F$2,,,Ccy,Conv)</f>
        <v>0</v>
      </c>
      <c r="M190" s="18">
        <f>_xll.ciqfunctions.udf.CIQ($C$2,"IQ_GAIN_BARGAIN_ACQ_SUPPLE", M$6,$F$2,,,Ccy,Conv)</f>
        <v>0</v>
      </c>
      <c r="N190" s="18">
        <f>_xll.ciqfunctions.udf.CIQ($C$2,"IQ_GAIN_BARGAIN_ACQ_SUPPLE", N$6,$F$2,,,Ccy,Conv)</f>
        <v>0</v>
      </c>
      <c r="O190" s="18"/>
      <c r="P190" s="18">
        <f>_xll.ciqfunctions.udf.CIQ($C$2,"IQ_GAIN_BARGAIN_ACQ_SUPPLE", P$6,$F$2,,,Ccy,Conv)</f>
        <v>0</v>
      </c>
      <c r="Q190" s="238"/>
      <c r="R190" s="215"/>
      <c r="S190" s="215"/>
      <c r="T190" s="215"/>
      <c r="U190" s="215"/>
      <c r="V190" s="240"/>
      <c r="W190" s="240"/>
      <c r="X190" s="240"/>
      <c r="Y190" s="239"/>
      <c r="Z190" s="232"/>
      <c r="AA190" s="232"/>
      <c r="AB190" s="232"/>
      <c r="AC190" s="232"/>
      <c r="AD190" s="232"/>
      <c r="AE190" s="215"/>
      <c r="AF190" s="215"/>
      <c r="AG190" s="215"/>
      <c r="AH190" s="232"/>
      <c r="AI190" s="215"/>
      <c r="AJ190" s="215"/>
      <c r="AK190" s="215"/>
      <c r="AL190" s="215"/>
      <c r="AM190" s="215"/>
      <c r="AN190" s="215"/>
      <c r="AO190" s="215"/>
      <c r="AP190" s="215"/>
      <c r="AQ190" s="215"/>
      <c r="AR190" s="215"/>
      <c r="AS190" s="215"/>
      <c r="AT190" s="215"/>
      <c r="AU190" s="215"/>
      <c r="AV190" s="215"/>
      <c r="AW190" s="215"/>
      <c r="AX190" s="215"/>
      <c r="AY190" s="215"/>
      <c r="AZ190" s="215"/>
      <c r="BA190" s="215"/>
      <c r="BB190" s="215"/>
      <c r="BC190" s="215"/>
      <c r="BD190" s="215"/>
      <c r="BE190" s="215"/>
      <c r="BF190" s="215"/>
      <c r="BG190" s="215"/>
      <c r="BH190" s="215"/>
      <c r="BI190" s="215"/>
      <c r="BJ190" s="215"/>
      <c r="BK190" s="215"/>
      <c r="BL190" s="215"/>
      <c r="BM190" s="215"/>
      <c r="BN190" s="215"/>
      <c r="BO190" s="215"/>
      <c r="BP190" s="215"/>
      <c r="BQ190" s="215"/>
      <c r="BR190" s="215"/>
      <c r="BS190" s="215"/>
      <c r="BT190" s="215"/>
      <c r="BU190" s="215"/>
      <c r="BV190" s="215"/>
      <c r="BW190" s="215"/>
      <c r="BX190" s="215"/>
      <c r="BY190" s="215"/>
      <c r="BZ190" s="215"/>
    </row>
    <row r="191" spans="1:78" x14ac:dyDescent="0.2">
      <c r="A191" s="2" t="str">
        <f>'Language Index'!A189</f>
        <v>Insurance Settlements (Supple)</v>
      </c>
      <c r="B191" s="38"/>
      <c r="C191" s="38"/>
      <c r="D191" s="18">
        <f>_xll.ciqfunctions.udf.CIQ($C$2,"IQ_INS_SETTLE_SUPPLE", D$6,$F$2,,,Ccy,Conv)</f>
        <v>0</v>
      </c>
      <c r="E191" s="18">
        <f>_xll.ciqfunctions.udf.CIQ($C$2,"IQ_INS_SETTLE_SUPPLE", E$6,$F$2,,,Ccy,Conv)</f>
        <v>0</v>
      </c>
      <c r="F191" s="18">
        <f>_xll.ciqfunctions.udf.CIQ($C$2,"IQ_INS_SETTLE_SUPPLE", F$6,$F$2,,,Ccy,Conv)</f>
        <v>0</v>
      </c>
      <c r="G191" s="18">
        <f>_xll.ciqfunctions.udf.CIQ($C$2,"IQ_INS_SETTLE_SUPPLE", G$6,$F$2,,,Ccy,Conv)</f>
        <v>0</v>
      </c>
      <c r="H191" s="18">
        <f>_xll.ciqfunctions.udf.CIQ($C$2,"IQ_INS_SETTLE_SUPPLE", H$6,$F$2,,,Ccy,Conv)</f>
        <v>0</v>
      </c>
      <c r="I191" s="18">
        <f>_xll.ciqfunctions.udf.CIQ($C$2,"IQ_INS_SETTLE_SUPPLE", I$6,$F$2,,,Ccy,Conv)</f>
        <v>0</v>
      </c>
      <c r="J191" s="18">
        <f>_xll.ciqfunctions.udf.CIQ($C$2,"IQ_INS_SETTLE_SUPPLE", J$6,$F$2,,,Ccy,Conv)</f>
        <v>0</v>
      </c>
      <c r="K191" s="18">
        <f>_xll.ciqfunctions.udf.CIQ($C$2,"IQ_INS_SETTLE_SUPPLE", K$6,$F$2,,,Ccy,Conv)</f>
        <v>0</v>
      </c>
      <c r="L191" s="18">
        <f>_xll.ciqfunctions.udf.CIQ($C$2,"IQ_INS_SETTLE_SUPPLE", L$6,$F$2,,,Ccy,Conv)</f>
        <v>0</v>
      </c>
      <c r="M191" s="18">
        <f>_xll.ciqfunctions.udf.CIQ($C$2,"IQ_INS_SETTLE_SUPPLE", M$6,$F$2,,,Ccy,Conv)</f>
        <v>0</v>
      </c>
      <c r="N191" s="18">
        <f>_xll.ciqfunctions.udf.CIQ($C$2,"IQ_INS_SETTLE_SUPPLE", N$6,$F$2,,,Ccy,Conv)</f>
        <v>0</v>
      </c>
      <c r="O191" s="18"/>
      <c r="P191" s="18">
        <f>_xll.ciqfunctions.udf.CIQ($C$2,"IQ_INS_SETTLE_SUPPLE", P$6,$F$2,,,Ccy,Conv)</f>
        <v>0</v>
      </c>
      <c r="Q191" s="238"/>
      <c r="R191" s="215"/>
      <c r="S191" s="215"/>
      <c r="T191" s="215"/>
      <c r="U191" s="215"/>
      <c r="V191" s="222"/>
      <c r="W191" s="222"/>
      <c r="X191" s="222"/>
      <c r="Y191" s="215"/>
      <c r="Z191" s="215"/>
      <c r="AA191" s="215"/>
      <c r="AB191" s="215"/>
      <c r="AC191" s="215"/>
      <c r="AD191" s="215"/>
      <c r="AE191" s="215"/>
      <c r="AF191" s="215"/>
      <c r="AG191" s="215"/>
      <c r="AH191" s="215"/>
      <c r="AI191" s="215"/>
      <c r="AJ191" s="215"/>
      <c r="AK191" s="215"/>
      <c r="AL191" s="215"/>
      <c r="AM191" s="215"/>
      <c r="AN191" s="215"/>
      <c r="AO191" s="215"/>
      <c r="AP191" s="215"/>
      <c r="AQ191" s="215"/>
      <c r="AR191" s="215"/>
      <c r="AS191" s="215"/>
      <c r="AT191" s="215"/>
      <c r="AU191" s="215"/>
      <c r="AV191" s="215"/>
      <c r="AW191" s="215"/>
      <c r="AX191" s="215"/>
      <c r="AY191" s="215"/>
      <c r="AZ191" s="215"/>
      <c r="BA191" s="215"/>
      <c r="BB191" s="215"/>
      <c r="BC191" s="215"/>
      <c r="BD191" s="215"/>
      <c r="BE191" s="215"/>
      <c r="BF191" s="215"/>
      <c r="BG191" s="215"/>
      <c r="BH191" s="215"/>
      <c r="BI191" s="215"/>
      <c r="BJ191" s="215"/>
      <c r="BK191" s="215"/>
      <c r="BL191" s="215"/>
      <c r="BM191" s="215"/>
      <c r="BN191" s="215"/>
      <c r="BO191" s="215"/>
      <c r="BP191" s="215"/>
      <c r="BQ191" s="215"/>
      <c r="BR191" s="215"/>
      <c r="BS191" s="215"/>
      <c r="BT191" s="215"/>
      <c r="BU191" s="215"/>
      <c r="BV191" s="215"/>
      <c r="BW191" s="215"/>
      <c r="BX191" s="215"/>
      <c r="BY191" s="215"/>
      <c r="BZ191" s="215"/>
    </row>
    <row r="192" spans="1:78" x14ac:dyDescent="0.2">
      <c r="A192" s="2" t="str">
        <f>'Language Index'!A190</f>
        <v>Legal Settlements (Supple)</v>
      </c>
      <c r="B192" s="38"/>
      <c r="C192" s="38"/>
      <c r="D192" s="18">
        <f>_xll.ciqfunctions.udf.CIQ($C$2,"IQ_LEGAL_SETTLE_SUPPLE", D$6,$F$2,,,Ccy,Conv)</f>
        <v>0</v>
      </c>
      <c r="E192" s="18">
        <f>_xll.ciqfunctions.udf.CIQ($C$2,"IQ_LEGAL_SETTLE_SUPPLE", E$6,$F$2,,,Ccy,Conv)</f>
        <v>0</v>
      </c>
      <c r="F192" s="18">
        <f>_xll.ciqfunctions.udf.CIQ($C$2,"IQ_LEGAL_SETTLE_SUPPLE", F$6,$F$2,,,Ccy,Conv)</f>
        <v>0</v>
      </c>
      <c r="G192" s="18">
        <f>_xll.ciqfunctions.udf.CIQ($C$2,"IQ_LEGAL_SETTLE_SUPPLE", G$6,$F$2,,,Ccy,Conv)</f>
        <v>0</v>
      </c>
      <c r="H192" s="18">
        <f>_xll.ciqfunctions.udf.CIQ($C$2,"IQ_LEGAL_SETTLE_SUPPLE", H$6,$F$2,,,Ccy,Conv)</f>
        <v>0</v>
      </c>
      <c r="I192" s="18">
        <f>_xll.ciqfunctions.udf.CIQ($C$2,"IQ_LEGAL_SETTLE_SUPPLE", I$6,$F$2,,,Ccy,Conv)</f>
        <v>0</v>
      </c>
      <c r="J192" s="18">
        <f>_xll.ciqfunctions.udf.CIQ($C$2,"IQ_LEGAL_SETTLE_SUPPLE", J$6,$F$2,,,Ccy,Conv)</f>
        <v>0</v>
      </c>
      <c r="K192" s="18">
        <f>_xll.ciqfunctions.udf.CIQ($C$2,"IQ_LEGAL_SETTLE_SUPPLE", K$6,$F$2,,,Ccy,Conv)</f>
        <v>0</v>
      </c>
      <c r="L192" s="18">
        <f>_xll.ciqfunctions.udf.CIQ($C$2,"IQ_LEGAL_SETTLE_SUPPLE", L$6,$F$2,,,Ccy,Conv)</f>
        <v>0</v>
      </c>
      <c r="M192" s="18">
        <f>_xll.ciqfunctions.udf.CIQ($C$2,"IQ_LEGAL_SETTLE_SUPPLE", M$6,$F$2,,,Ccy,Conv)</f>
        <v>0</v>
      </c>
      <c r="N192" s="18">
        <f>_xll.ciqfunctions.udf.CIQ($C$2,"IQ_LEGAL_SETTLE_SUPPLE", N$6,$F$2,,,Ccy,Conv)</f>
        <v>0</v>
      </c>
      <c r="O192" s="18"/>
      <c r="P192" s="18">
        <f>_xll.ciqfunctions.udf.CIQ($C$2,"IQ_LEGAL_SETTLE_SUPPLE", P$6,$F$2,,,Ccy,Conv)</f>
        <v>0</v>
      </c>
      <c r="Q192" s="238"/>
      <c r="R192" s="215"/>
      <c r="S192" s="215"/>
      <c r="T192" s="215"/>
      <c r="U192" s="215"/>
      <c r="V192" s="222"/>
      <c r="W192" s="222"/>
      <c r="X192" s="222"/>
      <c r="Y192" s="215"/>
      <c r="Z192" s="215"/>
      <c r="AA192" s="215"/>
      <c r="AB192" s="215"/>
      <c r="AC192" s="215"/>
      <c r="AD192" s="215"/>
      <c r="AE192" s="215"/>
      <c r="AF192" s="215"/>
      <c r="AG192" s="215"/>
      <c r="AH192" s="215"/>
      <c r="AI192" s="215"/>
      <c r="AJ192" s="215"/>
      <c r="AK192" s="215"/>
      <c r="AL192" s="215"/>
      <c r="AM192" s="215"/>
      <c r="AN192" s="215"/>
      <c r="AO192" s="215"/>
      <c r="AP192" s="215"/>
      <c r="AQ192" s="215"/>
      <c r="AR192" s="215"/>
      <c r="AS192" s="215"/>
      <c r="AT192" s="215"/>
      <c r="AU192" s="215"/>
      <c r="AV192" s="215"/>
      <c r="AW192" s="215"/>
      <c r="AX192" s="215"/>
      <c r="AY192" s="215"/>
      <c r="AZ192" s="215"/>
      <c r="BA192" s="215"/>
      <c r="BB192" s="215"/>
      <c r="BC192" s="215"/>
      <c r="BD192" s="215"/>
      <c r="BE192" s="215"/>
      <c r="BF192" s="215"/>
      <c r="BG192" s="215"/>
      <c r="BH192" s="215"/>
      <c r="BI192" s="215"/>
      <c r="BJ192" s="215"/>
      <c r="BK192" s="215"/>
      <c r="BL192" s="215"/>
      <c r="BM192" s="215"/>
      <c r="BN192" s="215"/>
      <c r="BO192" s="215"/>
      <c r="BP192" s="215"/>
      <c r="BQ192" s="215"/>
      <c r="BR192" s="215"/>
      <c r="BS192" s="215"/>
      <c r="BT192" s="215"/>
      <c r="BU192" s="215"/>
      <c r="BV192" s="215"/>
      <c r="BW192" s="215"/>
      <c r="BX192" s="215"/>
      <c r="BY192" s="215"/>
      <c r="BZ192" s="215"/>
    </row>
    <row r="193" spans="1:78" x14ac:dyDescent="0.2">
      <c r="A193" s="2" t="str">
        <f>'Language Index'!A191</f>
        <v>Other Unusual Items (Supple)</v>
      </c>
      <c r="B193" s="38"/>
      <c r="C193" s="38"/>
      <c r="D193" s="18">
        <f>_xll.ciqfunctions.udf.CIQ($C$2,"IQ_OTHER_UNUSUAL_SUPPLE", D$6,$F$2,,,Ccy,Conv)</f>
        <v>0</v>
      </c>
      <c r="E193" s="18">
        <f>_xll.ciqfunctions.udf.CIQ($C$2,"IQ_OTHER_UNUSUAL_SUPPLE", E$6,$F$2,,,Ccy,Conv)</f>
        <v>0</v>
      </c>
      <c r="F193" s="18">
        <f>_xll.ciqfunctions.udf.CIQ($C$2,"IQ_OTHER_UNUSUAL_SUPPLE", F$6,$F$2,,,Ccy,Conv)</f>
        <v>0</v>
      </c>
      <c r="G193" s="18">
        <f>_xll.ciqfunctions.udf.CIQ($C$2,"IQ_OTHER_UNUSUAL_SUPPLE", G$6,$F$2,,,Ccy,Conv)</f>
        <v>0</v>
      </c>
      <c r="H193" s="18">
        <f>_xll.ciqfunctions.udf.CIQ($C$2,"IQ_OTHER_UNUSUAL_SUPPLE", H$6,$F$2,,,Ccy,Conv)</f>
        <v>0</v>
      </c>
      <c r="I193" s="18">
        <f>_xll.ciqfunctions.udf.CIQ($C$2,"IQ_OTHER_UNUSUAL_SUPPLE", I$6,$F$2,,,Ccy,Conv)</f>
        <v>0</v>
      </c>
      <c r="J193" s="18">
        <f>_xll.ciqfunctions.udf.CIQ($C$2,"IQ_OTHER_UNUSUAL_SUPPLE", J$6,$F$2,,,Ccy,Conv)</f>
        <v>0</v>
      </c>
      <c r="K193" s="18">
        <f>_xll.ciqfunctions.udf.CIQ($C$2,"IQ_OTHER_UNUSUAL_SUPPLE", K$6,$F$2,,,Ccy,Conv)</f>
        <v>0</v>
      </c>
      <c r="L193" s="18">
        <f>_xll.ciqfunctions.udf.CIQ($C$2,"IQ_OTHER_UNUSUAL_SUPPLE", L$6,$F$2,,,Ccy,Conv)</f>
        <v>0</v>
      </c>
      <c r="M193" s="18">
        <f>_xll.ciqfunctions.udf.CIQ($C$2,"IQ_OTHER_UNUSUAL_SUPPLE", M$6,$F$2,,,Ccy,Conv)</f>
        <v>0</v>
      </c>
      <c r="N193" s="18">
        <f>_xll.ciqfunctions.udf.CIQ($C$2,"IQ_OTHER_UNUSUAL_SUPPLE", N$6,$F$2,,,Ccy,Conv)</f>
        <v>0</v>
      </c>
      <c r="O193" s="18"/>
      <c r="P193" s="18">
        <f>_xll.ciqfunctions.udf.CIQ($C$2,"IQ_OTHER_UNUSUAL_SUPPLE", P$6,$F$2,,,Ccy,Conv)</f>
        <v>0</v>
      </c>
      <c r="Q193" s="238"/>
      <c r="R193" s="215"/>
      <c r="S193" s="215"/>
      <c r="T193" s="215"/>
      <c r="U193" s="215"/>
      <c r="V193" s="222"/>
      <c r="W193" s="222"/>
      <c r="X193" s="222"/>
      <c r="Y193" s="215"/>
      <c r="Z193" s="215"/>
      <c r="AA193" s="215"/>
      <c r="AB193" s="215"/>
      <c r="AC193" s="215"/>
      <c r="AD193" s="215"/>
      <c r="AE193" s="215"/>
      <c r="AF193" s="215"/>
      <c r="AG193" s="215"/>
      <c r="AH193" s="215"/>
      <c r="AI193" s="215"/>
      <c r="AJ193" s="215"/>
      <c r="AK193" s="215"/>
      <c r="AL193" s="215"/>
      <c r="AM193" s="215"/>
      <c r="AN193" s="215"/>
      <c r="AO193" s="215"/>
      <c r="AP193" s="215"/>
      <c r="AQ193" s="215"/>
      <c r="AR193" s="215"/>
      <c r="AS193" s="215"/>
      <c r="AT193" s="215"/>
      <c r="AU193" s="215"/>
      <c r="AV193" s="215"/>
      <c r="AW193" s="215"/>
      <c r="AX193" s="215"/>
      <c r="AY193" s="215"/>
      <c r="AZ193" s="215"/>
      <c r="BA193" s="215"/>
      <c r="BB193" s="215"/>
      <c r="BC193" s="215"/>
      <c r="BD193" s="215"/>
      <c r="BE193" s="215"/>
      <c r="BF193" s="215"/>
      <c r="BG193" s="215"/>
      <c r="BH193" s="215"/>
      <c r="BI193" s="215"/>
      <c r="BJ193" s="215"/>
      <c r="BK193" s="215"/>
      <c r="BL193" s="215"/>
      <c r="BM193" s="215"/>
      <c r="BN193" s="215"/>
      <c r="BO193" s="215"/>
      <c r="BP193" s="215"/>
      <c r="BQ193" s="215"/>
      <c r="BR193" s="215"/>
      <c r="BS193" s="215"/>
      <c r="BT193" s="215"/>
      <c r="BU193" s="215"/>
      <c r="BV193" s="215"/>
      <c r="BW193" s="215"/>
      <c r="BX193" s="215"/>
      <c r="BY193" s="215"/>
      <c r="BZ193" s="215"/>
    </row>
    <row r="194" spans="1:78" x14ac:dyDescent="0.2">
      <c r="A194" s="2" t="str">
        <f>'Language Index'!A192</f>
        <v>Unusual Items, Total (Supple)</v>
      </c>
      <c r="B194" s="38"/>
      <c r="C194" s="38"/>
      <c r="D194" s="18">
        <f>_xll.ciqfunctions.udf.CIQ($C$2,"IQ_TOTAL_UNUSUAL_SUPPLE", D$6,$F$2,,,Ccy,Conv)</f>
        <v>0</v>
      </c>
      <c r="E194" s="18">
        <f>_xll.ciqfunctions.udf.CIQ($C$2,"IQ_TOTAL_UNUSUAL_SUPPLE", E$6,$F$2,,,Ccy,Conv)</f>
        <v>0</v>
      </c>
      <c r="F194" s="18">
        <f>_xll.ciqfunctions.udf.CIQ($C$2,"IQ_TOTAL_UNUSUAL_SUPPLE", F$6,$F$2,,,Ccy,Conv)</f>
        <v>0</v>
      </c>
      <c r="G194" s="18">
        <f>_xll.ciqfunctions.udf.CIQ($C$2,"IQ_TOTAL_UNUSUAL_SUPPLE", G$6,$F$2,,,Ccy,Conv)</f>
        <v>0</v>
      </c>
      <c r="H194" s="18">
        <f>_xll.ciqfunctions.udf.CIQ($C$2,"IQ_TOTAL_UNUSUAL_SUPPLE", H$6,$F$2,,,Ccy,Conv)</f>
        <v>0</v>
      </c>
      <c r="I194" s="18">
        <f>_xll.ciqfunctions.udf.CIQ($C$2,"IQ_TOTAL_UNUSUAL_SUPPLE", I$6,$F$2,,,Ccy,Conv)</f>
        <v>0</v>
      </c>
      <c r="J194" s="18">
        <f>_xll.ciqfunctions.udf.CIQ($C$2,"IQ_TOTAL_UNUSUAL_SUPPLE", J$6,$F$2,,,Ccy,Conv)</f>
        <v>0</v>
      </c>
      <c r="K194" s="18">
        <f>_xll.ciqfunctions.udf.CIQ($C$2,"IQ_TOTAL_UNUSUAL_SUPPLE", K$6,$F$2,,,Ccy,Conv)</f>
        <v>-1</v>
      </c>
      <c r="L194" s="18">
        <f>_xll.ciqfunctions.udf.CIQ($C$2,"IQ_TOTAL_UNUSUAL_SUPPLE", L$6,$F$2,,,Ccy,Conv)</f>
        <v>0</v>
      </c>
      <c r="M194" s="18">
        <f>_xll.ciqfunctions.udf.CIQ($C$2,"IQ_TOTAL_UNUSUAL_SUPPLE", M$6,$F$2,,,Ccy,Conv)</f>
        <v>0</v>
      </c>
      <c r="N194" s="18">
        <f>_xll.ciqfunctions.udf.CIQ($C$2,"IQ_TOTAL_UNUSUAL_SUPPLE", N$6,$F$2,,,Ccy,Conv)</f>
        <v>0</v>
      </c>
      <c r="O194" s="18"/>
      <c r="P194" s="18">
        <f>_xll.ciqfunctions.udf.CIQ($C$2,"IQ_TOTAL_UNUSUAL_SUPPLE", P$6,$F$2,,,Ccy,Conv)</f>
        <v>0</v>
      </c>
      <c r="Q194" s="238"/>
      <c r="R194" s="215"/>
      <c r="S194" s="215"/>
      <c r="T194" s="215"/>
      <c r="U194" s="215"/>
      <c r="V194" s="222"/>
      <c r="W194" s="222"/>
      <c r="X194" s="222"/>
      <c r="Y194" s="215"/>
      <c r="Z194" s="215"/>
      <c r="AA194" s="215"/>
      <c r="AB194" s="215"/>
      <c r="AC194" s="215"/>
      <c r="AD194" s="215"/>
      <c r="AE194" s="215"/>
      <c r="AF194" s="215"/>
      <c r="AG194" s="215"/>
      <c r="AH194" s="215"/>
      <c r="AI194" s="215"/>
      <c r="AJ194" s="215"/>
      <c r="AK194" s="215"/>
      <c r="AL194" s="215"/>
      <c r="AM194" s="215"/>
      <c r="AN194" s="215"/>
      <c r="AO194" s="215"/>
      <c r="AP194" s="215"/>
      <c r="AQ194" s="215"/>
      <c r="AR194" s="215"/>
      <c r="AS194" s="215"/>
      <c r="AT194" s="215"/>
      <c r="AU194" s="215"/>
      <c r="AV194" s="215"/>
      <c r="AW194" s="215"/>
      <c r="AX194" s="215"/>
      <c r="AY194" s="215"/>
      <c r="AZ194" s="215"/>
      <c r="BA194" s="215"/>
      <c r="BB194" s="215"/>
      <c r="BC194" s="215"/>
      <c r="BD194" s="215"/>
      <c r="BE194" s="215"/>
      <c r="BF194" s="215"/>
      <c r="BG194" s="215"/>
      <c r="BH194" s="215"/>
      <c r="BI194" s="215"/>
      <c r="BJ194" s="215"/>
      <c r="BK194" s="215"/>
      <c r="BL194" s="215"/>
      <c r="BM194" s="215"/>
      <c r="BN194" s="215"/>
      <c r="BO194" s="215"/>
      <c r="BP194" s="215"/>
      <c r="BQ194" s="215"/>
      <c r="BR194" s="215"/>
      <c r="BS194" s="215"/>
      <c r="BT194" s="215"/>
      <c r="BU194" s="215"/>
      <c r="BV194" s="215"/>
      <c r="BW194" s="215"/>
      <c r="BX194" s="215"/>
      <c r="BY194" s="215"/>
      <c r="BZ194" s="215"/>
    </row>
    <row r="195" spans="1:78" x14ac:dyDescent="0.2">
      <c r="A195" s="2" t="str">
        <f>'Language Index'!A193</f>
        <v>Amortization of Negative Goodwill</v>
      </c>
      <c r="B195" s="38"/>
      <c r="C195" s="38"/>
      <c r="D195" s="18">
        <f>_xll.ciqfunctions.udf.CIQ($C$2,"IQ_NEGATIVE_GW_AMORT", D$6,$F$2,,,Ccy,Conv)</f>
        <v>0</v>
      </c>
      <c r="E195" s="18">
        <f>_xll.ciqfunctions.udf.CIQ($C$2,"IQ_NEGATIVE_GW_AMORT", E$6,$F$2,,,Ccy,Conv)</f>
        <v>0</v>
      </c>
      <c r="F195" s="18">
        <f>_xll.ciqfunctions.udf.CIQ($C$2,"IQ_NEGATIVE_GW_AMORT", F$6,$F$2,,,Ccy,Conv)</f>
        <v>0</v>
      </c>
      <c r="G195" s="18">
        <f>_xll.ciqfunctions.udf.CIQ($C$2,"IQ_NEGATIVE_GW_AMORT", G$6,$F$2,,,Ccy,Conv)</f>
        <v>0</v>
      </c>
      <c r="H195" s="18">
        <f>_xll.ciqfunctions.udf.CIQ($C$2,"IQ_NEGATIVE_GW_AMORT", H$6,$F$2,,,Ccy,Conv)</f>
        <v>0</v>
      </c>
      <c r="I195" s="18">
        <f>_xll.ciqfunctions.udf.CIQ($C$2,"IQ_NEGATIVE_GW_AMORT", I$6,$F$2,,,Ccy,Conv)</f>
        <v>0</v>
      </c>
      <c r="J195" s="18">
        <f>_xll.ciqfunctions.udf.CIQ($C$2,"IQ_NEGATIVE_GW_AMORT", J$6,$F$2,,,Ccy,Conv)</f>
        <v>0</v>
      </c>
      <c r="K195" s="18">
        <f>_xll.ciqfunctions.udf.CIQ($C$2,"IQ_NEGATIVE_GW_AMORT", K$6,$F$2,,,Ccy,Conv)</f>
        <v>0</v>
      </c>
      <c r="L195" s="18">
        <f>_xll.ciqfunctions.udf.CIQ($C$2,"IQ_NEGATIVE_GW_AMORT", L$6,$F$2,,,Ccy,Conv)</f>
        <v>0</v>
      </c>
      <c r="M195" s="18">
        <f>_xll.ciqfunctions.udf.CIQ($C$2,"IQ_NEGATIVE_GW_AMORT", M$6,$F$2,,,Ccy,Conv)</f>
        <v>0</v>
      </c>
      <c r="N195" s="18">
        <f>_xll.ciqfunctions.udf.CIQ($C$2,"IQ_NEGATIVE_GW_AMORT", N$6,$F$2,,,Ccy,Conv)</f>
        <v>0</v>
      </c>
      <c r="O195" s="18"/>
      <c r="P195" s="18">
        <f>_xll.ciqfunctions.udf.CIQ($C$2,"IQ_NEGATIVE_GW_AMORT", P$6,$F$2,,,Ccy,Conv)</f>
        <v>0</v>
      </c>
      <c r="Q195" s="238"/>
      <c r="R195" s="215"/>
      <c r="S195" s="215"/>
      <c r="T195" s="215"/>
      <c r="U195" s="215"/>
      <c r="V195" s="222"/>
      <c r="W195" s="222"/>
      <c r="X195" s="222"/>
      <c r="Y195" s="241"/>
      <c r="Z195" s="241"/>
      <c r="AA195" s="241"/>
      <c r="AB195" s="241"/>
      <c r="AC195" s="241"/>
      <c r="AD195" s="241"/>
      <c r="AE195" s="215"/>
      <c r="AF195" s="215"/>
      <c r="AG195" s="215"/>
      <c r="AH195" s="241"/>
      <c r="AI195" s="215"/>
      <c r="AJ195" s="215"/>
      <c r="AK195" s="215"/>
      <c r="AL195" s="215"/>
      <c r="AM195" s="215"/>
      <c r="AN195" s="215"/>
      <c r="AO195" s="215"/>
      <c r="AP195" s="215"/>
      <c r="AQ195" s="215"/>
      <c r="AR195" s="215"/>
      <c r="AS195" s="215"/>
      <c r="AT195" s="215"/>
      <c r="AU195" s="215"/>
      <c r="AV195" s="215"/>
      <c r="AW195" s="215"/>
      <c r="AX195" s="215"/>
      <c r="AY195" s="215"/>
      <c r="AZ195" s="215"/>
      <c r="BA195" s="215"/>
      <c r="BB195" s="215"/>
      <c r="BC195" s="215"/>
      <c r="BD195" s="215"/>
      <c r="BE195" s="215"/>
      <c r="BF195" s="215"/>
      <c r="BG195" s="215"/>
      <c r="BH195" s="215"/>
      <c r="BI195" s="215"/>
      <c r="BJ195" s="215"/>
      <c r="BK195" s="215"/>
      <c r="BL195" s="215"/>
      <c r="BM195" s="215"/>
      <c r="BN195" s="215"/>
      <c r="BO195" s="215"/>
      <c r="BP195" s="215"/>
      <c r="BQ195" s="215"/>
      <c r="BR195" s="215"/>
      <c r="BS195" s="215"/>
      <c r="BT195" s="215"/>
      <c r="BU195" s="215"/>
      <c r="BV195" s="215"/>
      <c r="BW195" s="215"/>
      <c r="BX195" s="215"/>
      <c r="BY195" s="215"/>
      <c r="BZ195" s="215"/>
    </row>
    <row r="196" spans="1:78" x14ac:dyDescent="0.2">
      <c r="A196" s="2" t="str">
        <f>'Language Index'!A194</f>
        <v>Amortization of Negative Goodwill - After Tax</v>
      </c>
      <c r="B196" s="38"/>
      <c r="C196" s="38"/>
      <c r="D196" s="18">
        <f>_xll.ciqfunctions.udf.CIQ($C$2,"IQ_NEGATIVE_GW_AMORT_AT", D$6,$F$2,,,Ccy,Conv)</f>
        <v>0</v>
      </c>
      <c r="E196" s="18">
        <f>_xll.ciqfunctions.udf.CIQ($C$2,"IQ_NEGATIVE_GW_AMORT_AT", E$6,$F$2,,,Ccy,Conv)</f>
        <v>0</v>
      </c>
      <c r="F196" s="18">
        <f>_xll.ciqfunctions.udf.CIQ($C$2,"IQ_NEGATIVE_GW_AMORT_AT", F$6,$F$2,,,Ccy,Conv)</f>
        <v>0</v>
      </c>
      <c r="G196" s="18">
        <f>_xll.ciqfunctions.udf.CIQ($C$2,"IQ_NEGATIVE_GW_AMORT_AT", G$6,$F$2,,,Ccy,Conv)</f>
        <v>0</v>
      </c>
      <c r="H196" s="18">
        <f>_xll.ciqfunctions.udf.CIQ($C$2,"IQ_NEGATIVE_GW_AMORT_AT", H$6,$F$2,,,Ccy,Conv)</f>
        <v>0</v>
      </c>
      <c r="I196" s="18">
        <f>_xll.ciqfunctions.udf.CIQ($C$2,"IQ_NEGATIVE_GW_AMORT_AT", I$6,$F$2,,,Ccy,Conv)</f>
        <v>0</v>
      </c>
      <c r="J196" s="18">
        <f>_xll.ciqfunctions.udf.CIQ($C$2,"IQ_NEGATIVE_GW_AMORT_AT", J$6,$F$2,,,Ccy,Conv)</f>
        <v>0</v>
      </c>
      <c r="K196" s="18">
        <f>_xll.ciqfunctions.udf.CIQ($C$2,"IQ_NEGATIVE_GW_AMORT_AT", K$6,$F$2,,,Ccy,Conv)</f>
        <v>0</v>
      </c>
      <c r="L196" s="18">
        <f>_xll.ciqfunctions.udf.CIQ($C$2,"IQ_NEGATIVE_GW_AMORT_AT", L$6,$F$2,,,Ccy,Conv)</f>
        <v>0</v>
      </c>
      <c r="M196" s="18">
        <f>_xll.ciqfunctions.udf.CIQ($C$2,"IQ_NEGATIVE_GW_AMORT_AT", M$6,$F$2,,,Ccy,Conv)</f>
        <v>0</v>
      </c>
      <c r="N196" s="18">
        <f>_xll.ciqfunctions.udf.CIQ($C$2,"IQ_NEGATIVE_GW_AMORT_AT", N$6,$F$2,,,Ccy,Conv)</f>
        <v>0</v>
      </c>
      <c r="O196" s="18"/>
      <c r="P196" s="18">
        <f>_xll.ciqfunctions.udf.CIQ($C$2,"IQ_NEGATIVE_GW_AMORT_AT", P$6,$F$2,,,Ccy,Conv)</f>
        <v>0</v>
      </c>
      <c r="Q196" s="238"/>
      <c r="R196" s="215"/>
      <c r="S196" s="215"/>
      <c r="T196" s="215"/>
      <c r="U196" s="215"/>
      <c r="V196" s="222"/>
      <c r="W196" s="222"/>
      <c r="X196" s="222"/>
      <c r="Y196" s="241"/>
      <c r="Z196" s="241"/>
      <c r="AA196" s="241"/>
      <c r="AB196" s="241"/>
      <c r="AC196" s="241"/>
      <c r="AD196" s="241"/>
      <c r="AE196" s="215"/>
      <c r="AF196" s="215"/>
      <c r="AG196" s="215"/>
      <c r="AH196" s="241"/>
      <c r="AI196" s="215"/>
      <c r="AJ196" s="215"/>
      <c r="AK196" s="215"/>
      <c r="AL196" s="215"/>
      <c r="AM196" s="215"/>
      <c r="AN196" s="215"/>
      <c r="AO196" s="215"/>
      <c r="AP196" s="215"/>
      <c r="AQ196" s="215"/>
      <c r="AR196" s="215"/>
      <c r="AS196" s="215"/>
      <c r="AT196" s="215"/>
      <c r="AU196" s="215"/>
      <c r="AV196" s="215"/>
      <c r="AW196" s="215"/>
      <c r="AX196" s="215"/>
      <c r="AY196" s="215"/>
      <c r="AZ196" s="215"/>
      <c r="BA196" s="215"/>
      <c r="BB196" s="215"/>
      <c r="BC196" s="215"/>
      <c r="BD196" s="215"/>
      <c r="BE196" s="215"/>
      <c r="BF196" s="215"/>
      <c r="BG196" s="215"/>
      <c r="BH196" s="215"/>
      <c r="BI196" s="215"/>
      <c r="BJ196" s="215"/>
      <c r="BK196" s="215"/>
      <c r="BL196" s="215"/>
      <c r="BM196" s="215"/>
      <c r="BN196" s="215"/>
      <c r="BO196" s="215"/>
      <c r="BP196" s="215"/>
      <c r="BQ196" s="215"/>
      <c r="BR196" s="215"/>
      <c r="BS196" s="215"/>
      <c r="BT196" s="215"/>
      <c r="BU196" s="215"/>
      <c r="BV196" s="215"/>
      <c r="BW196" s="215"/>
      <c r="BX196" s="215"/>
      <c r="BY196" s="215"/>
      <c r="BZ196" s="215"/>
    </row>
    <row r="197" spans="1:78" x14ac:dyDescent="0.2">
      <c r="A197" s="2" t="str">
        <f>'Language Index'!A195</f>
        <v>Stock-Based Comp., COGS</v>
      </c>
      <c r="B197" s="39"/>
      <c r="C197" s="39"/>
      <c r="D197" s="18">
        <f>_xll.ciqfunctions.udf.CIQ($C$2, "IQ_STOCK_BASED_COGS", D$6,$F$2,,,Ccy,Conv)</f>
        <v>173</v>
      </c>
      <c r="E197" s="18">
        <f>_xll.ciqfunctions.udf.CIQ($C$2, "IQ_STOCK_BASED_COGS", E$6,$F$2,,,Ccy,Conv)</f>
        <v>181</v>
      </c>
      <c r="F197" s="18">
        <f>_xll.ciqfunctions.udf.CIQ($C$2, "IQ_STOCK_BASED_COGS", F$6,$F$2,,,Ccy,Conv)</f>
        <v>190</v>
      </c>
      <c r="G197" s="18">
        <f>_xll.ciqfunctions.udf.CIQ($C$2, "IQ_STOCK_BASED_COGS", G$6,$F$2,,,Ccy,Conv)</f>
        <v>200</v>
      </c>
      <c r="H197" s="18">
        <f>_xll.ciqfunctions.udf.CIQ($C$2, "IQ_STOCK_BASED_COGS", H$6,$F$2,,,Ccy,Conv)</f>
        <v>206</v>
      </c>
      <c r="I197" s="18">
        <f>_xll.ciqfunctions.udf.CIQ($C$2, "IQ_STOCK_BASED_COGS", I$6,$F$2,,,Ccy,Conv)</f>
        <v>214</v>
      </c>
      <c r="J197" s="18">
        <f>_xll.ciqfunctions.udf.CIQ($C$2, "IQ_STOCK_BASED_COGS", J$6,$F$2,,,Ccy,Conv)</f>
        <v>223</v>
      </c>
      <c r="K197" s="18">
        <f>_xll.ciqfunctions.udf.CIQ($C$2, "IQ_STOCK_BASED_COGS", K$6,$F$2,,,Ccy,Conv)</f>
        <v>232</v>
      </c>
      <c r="L197" s="18">
        <f>_xll.ciqfunctions.udf.CIQ($C$2, "IQ_STOCK_BASED_COGS", L$6,$F$2,,,Ccy,Conv)</f>
        <v>246</v>
      </c>
      <c r="M197" s="18">
        <f>_xll.ciqfunctions.udf.CIQ($C$2, "IQ_STOCK_BASED_COGS", M$6,$F$2,,,Ccy,Conv)</f>
        <v>257</v>
      </c>
      <c r="N197" s="18">
        <f>_xll.ciqfunctions.udf.CIQ($C$2, "IQ_STOCK_BASED_COGS", N$6,$F$2,,,Ccy,Conv)</f>
        <v>269</v>
      </c>
      <c r="O197" s="18"/>
      <c r="P197" s="18">
        <f>_xll.ciqfunctions.udf.CIQ($C$2, "IQ_STOCK_BASED_COGS", P$6,$F$2,,,Ccy,Conv)</f>
        <v>269</v>
      </c>
      <c r="Q197" s="238"/>
      <c r="R197" s="215"/>
      <c r="S197" s="215"/>
      <c r="T197" s="215"/>
      <c r="U197" s="215"/>
      <c r="V197" s="222"/>
      <c r="W197" s="222"/>
      <c r="X197" s="222"/>
      <c r="Y197" s="241"/>
      <c r="Z197" s="241"/>
      <c r="AA197" s="241"/>
      <c r="AB197" s="241"/>
      <c r="AC197" s="241"/>
      <c r="AD197" s="241"/>
      <c r="AE197" s="215"/>
      <c r="AF197" s="215"/>
      <c r="AG197" s="215"/>
      <c r="AH197" s="241"/>
      <c r="AI197" s="215"/>
      <c r="AJ197" s="215"/>
      <c r="AK197" s="215"/>
      <c r="AL197" s="215"/>
      <c r="AM197" s="215"/>
      <c r="AN197" s="215"/>
      <c r="AO197" s="215"/>
      <c r="AP197" s="215"/>
      <c r="AQ197" s="215"/>
      <c r="AR197" s="215"/>
      <c r="AS197" s="215"/>
      <c r="AT197" s="215"/>
      <c r="AU197" s="215"/>
      <c r="AV197" s="215"/>
      <c r="AW197" s="215"/>
      <c r="AX197" s="215"/>
      <c r="AY197" s="215"/>
      <c r="AZ197" s="215"/>
      <c r="BA197" s="215"/>
      <c r="BB197" s="215"/>
      <c r="BC197" s="215"/>
      <c r="BD197" s="215"/>
      <c r="BE197" s="215"/>
      <c r="BF197" s="215"/>
      <c r="BG197" s="215"/>
      <c r="BH197" s="215"/>
      <c r="BI197" s="215"/>
      <c r="BJ197" s="215"/>
      <c r="BK197" s="215"/>
      <c r="BL197" s="215"/>
      <c r="BM197" s="215"/>
      <c r="BN197" s="215"/>
      <c r="BO197" s="215"/>
      <c r="BP197" s="215"/>
      <c r="BQ197" s="215"/>
      <c r="BR197" s="215"/>
      <c r="BS197" s="215"/>
      <c r="BT197" s="215"/>
      <c r="BU197" s="215"/>
      <c r="BV197" s="215"/>
      <c r="BW197" s="215"/>
      <c r="BX197" s="215"/>
      <c r="BY197" s="215"/>
      <c r="BZ197" s="215"/>
    </row>
    <row r="198" spans="1:78" x14ac:dyDescent="0.2">
      <c r="A198" s="2" t="str">
        <f>'Language Index'!A196</f>
        <v>Stock-Based Comp., R&amp;D Exp</v>
      </c>
      <c r="B198" s="39"/>
      <c r="C198" s="39"/>
      <c r="D198" s="18">
        <f>_xll.ciqfunctions.udf.CIQ($C$2, "IQ_STOCK_BASED_RD", D$6,$F$2,,,Ccy,Conv)</f>
        <v>289</v>
      </c>
      <c r="E198" s="18">
        <f>_xll.ciqfunctions.udf.CIQ($C$2, "IQ_STOCK_BASED_RD", E$6,$F$2,,,Ccy,Conv)</f>
        <v>307</v>
      </c>
      <c r="F198" s="18">
        <f>_xll.ciqfunctions.udf.CIQ($C$2, "IQ_STOCK_BASED_RD", F$6,$F$2,,,Ccy,Conv)</f>
        <v>328</v>
      </c>
      <c r="G198" s="18">
        <f>_xll.ciqfunctions.udf.CIQ($C$2, "IQ_STOCK_BASED_RD", G$6,$F$2,,,Ccy,Conv)</f>
        <v>347</v>
      </c>
      <c r="H198" s="18">
        <f>_xll.ciqfunctions.udf.CIQ($C$2, "IQ_STOCK_BASED_RD", H$6,$F$2,,,Ccy,Conv)</f>
        <v>365</v>
      </c>
      <c r="I198" s="18">
        <f>_xll.ciqfunctions.udf.CIQ($C$2, "IQ_STOCK_BASED_RD", I$6,$F$2,,,Ccy,Conv)</f>
        <v>381</v>
      </c>
      <c r="J198" s="18">
        <f>_xll.ciqfunctions.udf.CIQ($C$2, "IQ_STOCK_BASED_RD", J$6,$F$2,,,Ccy,Conv)</f>
        <v>398</v>
      </c>
      <c r="K198" s="18">
        <f>_xll.ciqfunctions.udf.CIQ($C$2, "IQ_STOCK_BASED_RD", K$6,$F$2,,,Ccy,Conv)</f>
        <v>424</v>
      </c>
      <c r="L198" s="18">
        <f>_xll.ciqfunctions.udf.CIQ($C$2, "IQ_STOCK_BASED_RD", L$6,$F$2,,,Ccy,Conv)</f>
        <v>464</v>
      </c>
      <c r="M198" s="18">
        <f>_xll.ciqfunctions.udf.CIQ($C$2, "IQ_STOCK_BASED_RD", M$6,$F$2,,,Ccy,Conv)</f>
        <v>501</v>
      </c>
      <c r="N198" s="18">
        <f>_xll.ciqfunctions.udf.CIQ($C$2, "IQ_STOCK_BASED_RD", N$6,$F$2,,,Ccy,Conv)</f>
        <v>542</v>
      </c>
      <c r="O198" s="18"/>
      <c r="P198" s="18">
        <f>_xll.ciqfunctions.udf.CIQ($C$2, "IQ_STOCK_BASED_RD", P$6,$F$2,,,Ccy,Conv)</f>
        <v>542</v>
      </c>
      <c r="Q198" s="238"/>
      <c r="R198" s="215"/>
      <c r="S198" s="215"/>
      <c r="T198" s="215"/>
      <c r="U198" s="215"/>
      <c r="V198" s="222"/>
      <c r="W198" s="222"/>
      <c r="X198" s="222"/>
      <c r="Y198" s="241"/>
      <c r="Z198" s="241"/>
      <c r="AA198" s="241"/>
      <c r="AB198" s="241"/>
      <c r="AC198" s="241"/>
      <c r="AD198" s="241"/>
      <c r="AE198" s="215"/>
      <c r="AF198" s="215"/>
      <c r="AG198" s="215"/>
      <c r="AH198" s="241"/>
      <c r="AI198" s="215"/>
      <c r="AJ198" s="215"/>
      <c r="AK198" s="215"/>
      <c r="AL198" s="215"/>
      <c r="AM198" s="215"/>
      <c r="AN198" s="215"/>
      <c r="AO198" s="215"/>
      <c r="AP198" s="215"/>
      <c r="AQ198" s="215"/>
      <c r="AR198" s="215"/>
      <c r="AS198" s="215"/>
      <c r="AT198" s="215"/>
      <c r="AU198" s="215"/>
      <c r="AV198" s="215"/>
      <c r="AW198" s="215"/>
      <c r="AX198" s="215"/>
      <c r="AY198" s="215"/>
      <c r="AZ198" s="215"/>
      <c r="BA198" s="215"/>
      <c r="BB198" s="215"/>
      <c r="BC198" s="215"/>
      <c r="BD198" s="215"/>
      <c r="BE198" s="215"/>
      <c r="BF198" s="215"/>
      <c r="BG198" s="215"/>
      <c r="BH198" s="215"/>
      <c r="BI198" s="215"/>
      <c r="BJ198" s="215"/>
      <c r="BK198" s="215"/>
      <c r="BL198" s="215"/>
      <c r="BM198" s="215"/>
      <c r="BN198" s="215"/>
      <c r="BO198" s="215"/>
      <c r="BP198" s="215"/>
      <c r="BQ198" s="215"/>
      <c r="BR198" s="215"/>
      <c r="BS198" s="215"/>
      <c r="BT198" s="215"/>
      <c r="BU198" s="215"/>
      <c r="BV198" s="215"/>
      <c r="BW198" s="215"/>
      <c r="BX198" s="215"/>
      <c r="BY198" s="215"/>
      <c r="BZ198" s="215"/>
    </row>
    <row r="199" spans="1:78" x14ac:dyDescent="0.2">
      <c r="A199" s="2" t="str">
        <f>'Language Index'!A197</f>
        <v>Stock-Based Comp., S&amp;M Exp</v>
      </c>
      <c r="B199" s="39"/>
      <c r="C199" s="39"/>
      <c r="D199" s="18">
        <f>_xll.ciqfunctions.udf.CIQ($C$2, "IQ_STOCK_BASED_SM", D$6,$F$2,,,Ccy,Conv)</f>
        <v>0</v>
      </c>
      <c r="E199" s="18">
        <f>_xll.ciqfunctions.udf.CIQ($C$2, "IQ_STOCK_BASED_SM", E$6,$F$2,,,Ccy,Conv)</f>
        <v>0</v>
      </c>
      <c r="F199" s="18">
        <f>_xll.ciqfunctions.udf.CIQ($C$2, "IQ_STOCK_BASED_SM", F$6,$F$2,,,Ccy,Conv)</f>
        <v>0</v>
      </c>
      <c r="G199" s="18">
        <f>_xll.ciqfunctions.udf.CIQ($C$2, "IQ_STOCK_BASED_SM", G$6,$F$2,,,Ccy,Conv)</f>
        <v>0</v>
      </c>
      <c r="H199" s="18">
        <f>_xll.ciqfunctions.udf.CIQ($C$2, "IQ_STOCK_BASED_SM", H$6,$F$2,,,Ccy,Conv)</f>
        <v>0</v>
      </c>
      <c r="I199" s="18">
        <f>_xll.ciqfunctions.udf.CIQ($C$2, "IQ_STOCK_BASED_SM", I$6,$F$2,,,Ccy,Conv)</f>
        <v>0</v>
      </c>
      <c r="J199" s="18">
        <f>_xll.ciqfunctions.udf.CIQ($C$2, "IQ_STOCK_BASED_SM", J$6,$F$2,,,Ccy,Conv)</f>
        <v>0</v>
      </c>
      <c r="K199" s="18">
        <f>_xll.ciqfunctions.udf.CIQ($C$2, "IQ_STOCK_BASED_SM", K$6,$F$2,,,Ccy,Conv)</f>
        <v>0</v>
      </c>
      <c r="L199" s="18">
        <f>_xll.ciqfunctions.udf.CIQ($C$2, "IQ_STOCK_BASED_SM", L$6,$F$2,,,Ccy,Conv)</f>
        <v>0</v>
      </c>
      <c r="M199" s="18">
        <f>_xll.ciqfunctions.udf.CIQ($C$2, "IQ_STOCK_BASED_SM", M$6,$F$2,,,Ccy,Conv)</f>
        <v>0</v>
      </c>
      <c r="N199" s="18">
        <f>_xll.ciqfunctions.udf.CIQ($C$2, "IQ_STOCK_BASED_SM", N$6,$F$2,,,Ccy,Conv)</f>
        <v>0</v>
      </c>
      <c r="O199" s="18"/>
      <c r="P199" s="18">
        <f>_xll.ciqfunctions.udf.CIQ($C$2, "IQ_STOCK_BASED_SM", P$6,$F$2,,,Ccy,Conv)</f>
        <v>0</v>
      </c>
      <c r="Q199" s="238"/>
      <c r="R199" s="215"/>
      <c r="S199" s="215"/>
      <c r="T199" s="215"/>
      <c r="U199" s="215"/>
      <c r="V199" s="222"/>
      <c r="W199" s="222"/>
      <c r="X199" s="222"/>
      <c r="Y199" s="241"/>
      <c r="Z199" s="241"/>
      <c r="AA199" s="241"/>
      <c r="AB199" s="241"/>
      <c r="AC199" s="241"/>
      <c r="AD199" s="241"/>
      <c r="AE199" s="215"/>
      <c r="AF199" s="215"/>
      <c r="AG199" s="215"/>
      <c r="AH199" s="241"/>
      <c r="AI199" s="215"/>
      <c r="AJ199" s="215"/>
      <c r="AK199" s="215"/>
      <c r="AL199" s="215"/>
      <c r="AM199" s="215"/>
      <c r="AN199" s="215"/>
      <c r="AO199" s="215"/>
      <c r="AP199" s="215"/>
      <c r="AQ199" s="215"/>
      <c r="AR199" s="215"/>
      <c r="AS199" s="215"/>
      <c r="AT199" s="215"/>
      <c r="AU199" s="215"/>
      <c r="AV199" s="215"/>
      <c r="AW199" s="215"/>
      <c r="AX199" s="215"/>
      <c r="AY199" s="215"/>
      <c r="AZ199" s="215"/>
      <c r="BA199" s="215"/>
      <c r="BB199" s="215"/>
      <c r="BC199" s="215"/>
      <c r="BD199" s="215"/>
      <c r="BE199" s="215"/>
      <c r="BF199" s="215"/>
      <c r="BG199" s="215"/>
      <c r="BH199" s="215"/>
      <c r="BI199" s="215"/>
      <c r="BJ199" s="215"/>
      <c r="BK199" s="215"/>
      <c r="BL199" s="215"/>
      <c r="BM199" s="215"/>
      <c r="BN199" s="215"/>
      <c r="BO199" s="215"/>
      <c r="BP199" s="215"/>
      <c r="BQ199" s="215"/>
      <c r="BR199" s="215"/>
      <c r="BS199" s="215"/>
      <c r="BT199" s="215"/>
      <c r="BU199" s="215"/>
      <c r="BV199" s="215"/>
      <c r="BW199" s="215"/>
      <c r="BX199" s="215"/>
      <c r="BY199" s="215"/>
      <c r="BZ199" s="215"/>
    </row>
    <row r="200" spans="1:78" x14ac:dyDescent="0.2">
      <c r="A200" s="2" t="str">
        <f>'Language Index'!A198</f>
        <v>Stock-Based Comp., G&amp;A Exp</v>
      </c>
      <c r="B200" s="39"/>
      <c r="C200" s="39"/>
      <c r="D200" s="18">
        <f>_xll.ciqfunctions.udf.CIQ($C$2, "IQ_STOCK_BASED_GA", D$6,$F$2,,,Ccy,Conv)</f>
        <v>0</v>
      </c>
      <c r="E200" s="18">
        <f>_xll.ciqfunctions.udf.CIQ($C$2, "IQ_STOCK_BASED_GA", E$6,$F$2,,,Ccy,Conv)</f>
        <v>0</v>
      </c>
      <c r="F200" s="18">
        <f>_xll.ciqfunctions.udf.CIQ($C$2, "IQ_STOCK_BASED_GA", F$6,$F$2,,,Ccy,Conv)</f>
        <v>0</v>
      </c>
      <c r="G200" s="18">
        <f>_xll.ciqfunctions.udf.CIQ($C$2, "IQ_STOCK_BASED_GA", G$6,$F$2,,,Ccy,Conv)</f>
        <v>0</v>
      </c>
      <c r="H200" s="18">
        <f>_xll.ciqfunctions.udf.CIQ($C$2, "IQ_STOCK_BASED_GA", H$6,$F$2,,,Ccy,Conv)</f>
        <v>0</v>
      </c>
      <c r="I200" s="18">
        <f>_xll.ciqfunctions.udf.CIQ($C$2, "IQ_STOCK_BASED_GA", I$6,$F$2,,,Ccy,Conv)</f>
        <v>0</v>
      </c>
      <c r="J200" s="18">
        <f>_xll.ciqfunctions.udf.CIQ($C$2, "IQ_STOCK_BASED_GA", J$6,$F$2,,,Ccy,Conv)</f>
        <v>0</v>
      </c>
      <c r="K200" s="18">
        <f>_xll.ciqfunctions.udf.CIQ($C$2, "IQ_STOCK_BASED_GA", K$6,$F$2,,,Ccy,Conv)</f>
        <v>0</v>
      </c>
      <c r="L200" s="18">
        <f>_xll.ciqfunctions.udf.CIQ($C$2, "IQ_STOCK_BASED_GA", L$6,$F$2,,,Ccy,Conv)</f>
        <v>0</v>
      </c>
      <c r="M200" s="18">
        <f>_xll.ciqfunctions.udf.CIQ($C$2, "IQ_STOCK_BASED_GA", M$6,$F$2,,,Ccy,Conv)</f>
        <v>0</v>
      </c>
      <c r="N200" s="18">
        <f>_xll.ciqfunctions.udf.CIQ($C$2, "IQ_STOCK_BASED_GA", N$6,$F$2,,,Ccy,Conv)</f>
        <v>0</v>
      </c>
      <c r="O200" s="18"/>
      <c r="P200" s="18">
        <f>_xll.ciqfunctions.udf.CIQ($C$2, "IQ_STOCK_BASED_GA", P$6,$F$2,,,Ccy,Conv)</f>
        <v>0</v>
      </c>
      <c r="Q200" s="238"/>
      <c r="R200" s="215"/>
      <c r="S200" s="215"/>
      <c r="T200" s="215"/>
      <c r="U200" s="215"/>
      <c r="V200" s="222"/>
      <c r="W200" s="222"/>
      <c r="X200" s="222"/>
      <c r="Y200" s="241"/>
      <c r="Z200" s="241"/>
      <c r="AA200" s="241"/>
      <c r="AB200" s="241"/>
      <c r="AC200" s="241"/>
      <c r="AD200" s="241"/>
      <c r="AE200" s="215"/>
      <c r="AF200" s="215"/>
      <c r="AG200" s="215"/>
      <c r="AH200" s="241"/>
      <c r="AI200" s="215"/>
      <c r="AJ200" s="215"/>
      <c r="AK200" s="215"/>
      <c r="AL200" s="215"/>
      <c r="AM200" s="215"/>
      <c r="AN200" s="215"/>
      <c r="AO200" s="215"/>
      <c r="AP200" s="215"/>
      <c r="AQ200" s="215"/>
      <c r="AR200" s="215"/>
      <c r="AS200" s="215"/>
      <c r="AT200" s="215"/>
      <c r="AU200" s="215"/>
      <c r="AV200" s="215"/>
      <c r="AW200" s="215"/>
      <c r="AX200" s="215"/>
      <c r="AY200" s="215"/>
      <c r="AZ200" s="215"/>
      <c r="BA200" s="215"/>
      <c r="BB200" s="215"/>
      <c r="BC200" s="215"/>
      <c r="BD200" s="215"/>
      <c r="BE200" s="215"/>
      <c r="BF200" s="215"/>
      <c r="BG200" s="215"/>
      <c r="BH200" s="215"/>
      <c r="BI200" s="215"/>
      <c r="BJ200" s="215"/>
      <c r="BK200" s="215"/>
      <c r="BL200" s="215"/>
      <c r="BM200" s="215"/>
      <c r="BN200" s="215"/>
      <c r="BO200" s="215"/>
      <c r="BP200" s="215"/>
      <c r="BQ200" s="215"/>
      <c r="BR200" s="215"/>
      <c r="BS200" s="215"/>
      <c r="BT200" s="215"/>
      <c r="BU200" s="215"/>
      <c r="BV200" s="215"/>
      <c r="BW200" s="215"/>
      <c r="BX200" s="215"/>
      <c r="BY200" s="215"/>
      <c r="BZ200" s="215"/>
    </row>
    <row r="201" spans="1:78" x14ac:dyDescent="0.2">
      <c r="A201" s="2" t="str">
        <f>'Language Index'!A199</f>
        <v>Stock-Based Comp., SG&amp;A Exp</v>
      </c>
      <c r="B201" s="39"/>
      <c r="C201" s="39"/>
      <c r="D201" s="18">
        <f>_xll.ciqfunctions.udf.CIQ($C$2, "IQ_STOCK_BASED_SGA", D$6,$F$2,,,Ccy,Conv)</f>
        <v>594</v>
      </c>
      <c r="E201" s="18">
        <f>_xll.ciqfunctions.udf.CIQ($C$2, "IQ_STOCK_BASED_SGA", E$6,$F$2,,,Ccy,Conv)</f>
        <v>604</v>
      </c>
      <c r="F201" s="18">
        <f>_xll.ciqfunctions.udf.CIQ($C$2, "IQ_STOCK_BASED_SGA", F$6,$F$2,,,Ccy,Conv)</f>
        <v>616</v>
      </c>
      <c r="G201" s="18">
        <f>_xll.ciqfunctions.udf.CIQ($C$2, "IQ_STOCK_BASED_SGA", G$6,$F$2,,,Ccy,Conv)</f>
        <v>638</v>
      </c>
      <c r="H201" s="18">
        <f>_xll.ciqfunctions.udf.CIQ($C$2, "IQ_STOCK_BASED_SGA", H$6,$F$2,,,Ccy,Conv)</f>
        <v>643</v>
      </c>
      <c r="I201" s="18">
        <f>_xll.ciqfunctions.udf.CIQ($C$2, "IQ_STOCK_BASED_SGA", I$6,$F$2,,,Ccy,Conv)</f>
        <v>662</v>
      </c>
      <c r="J201" s="18">
        <f>_xll.ciqfunctions.udf.CIQ($C$2, "IQ_STOCK_BASED_SGA", J$6,$F$2,,,Ccy,Conv)</f>
        <v>690</v>
      </c>
      <c r="K201" s="18">
        <f>_xll.ciqfunctions.udf.CIQ($C$2, "IQ_STOCK_BASED_SGA", K$6,$F$2,,,Ccy,Conv)</f>
        <v>736</v>
      </c>
      <c r="L201" s="18">
        <f>_xll.ciqfunctions.udf.CIQ($C$2, "IQ_STOCK_BASED_SGA", L$6,$F$2,,,Ccy,Conv)</f>
        <v>825</v>
      </c>
      <c r="M201" s="18">
        <f>_xll.ciqfunctions.udf.CIQ($C$2, "IQ_STOCK_BASED_SGA", M$6,$F$2,,,Ccy,Conv)</f>
        <v>873</v>
      </c>
      <c r="N201" s="18">
        <f>_xll.ciqfunctions.udf.CIQ($C$2, "IQ_STOCK_BASED_SGA", N$6,$F$2,,,Ccy,Conv)</f>
        <v>904</v>
      </c>
      <c r="O201" s="18"/>
      <c r="P201" s="18">
        <f>_xll.ciqfunctions.udf.CIQ($C$2, "IQ_STOCK_BASED_SGA", P$6,$F$2,,,Ccy,Conv)</f>
        <v>904</v>
      </c>
      <c r="Q201" s="238"/>
      <c r="R201" s="215"/>
      <c r="S201" s="215"/>
      <c r="T201" s="215"/>
      <c r="U201" s="215"/>
      <c r="V201" s="222"/>
      <c r="W201" s="222"/>
      <c r="X201" s="222"/>
      <c r="Y201" s="241"/>
      <c r="Z201" s="241"/>
      <c r="AA201" s="241"/>
      <c r="AB201" s="241"/>
      <c r="AC201" s="241"/>
      <c r="AD201" s="241"/>
      <c r="AE201" s="215"/>
      <c r="AF201" s="215"/>
      <c r="AG201" s="215"/>
      <c r="AH201" s="241"/>
      <c r="AI201" s="215"/>
      <c r="AJ201" s="215"/>
      <c r="AK201" s="215"/>
      <c r="AL201" s="215"/>
      <c r="AM201" s="215"/>
      <c r="AN201" s="215"/>
      <c r="AO201" s="215"/>
      <c r="AP201" s="215"/>
      <c r="AQ201" s="215"/>
      <c r="AR201" s="215"/>
      <c r="AS201" s="215"/>
      <c r="AT201" s="215"/>
      <c r="AU201" s="215"/>
      <c r="AV201" s="215"/>
      <c r="AW201" s="215"/>
      <c r="AX201" s="215"/>
      <c r="AY201" s="215"/>
      <c r="AZ201" s="215"/>
      <c r="BA201" s="215"/>
      <c r="BB201" s="215"/>
      <c r="BC201" s="215"/>
      <c r="BD201" s="215"/>
      <c r="BE201" s="215"/>
      <c r="BF201" s="215"/>
      <c r="BG201" s="215"/>
      <c r="BH201" s="215"/>
      <c r="BI201" s="215"/>
      <c r="BJ201" s="215"/>
      <c r="BK201" s="215"/>
      <c r="BL201" s="215"/>
      <c r="BM201" s="215"/>
      <c r="BN201" s="215"/>
      <c r="BO201" s="215"/>
      <c r="BP201" s="215"/>
      <c r="BQ201" s="215"/>
      <c r="BR201" s="215"/>
      <c r="BS201" s="215"/>
      <c r="BT201" s="215"/>
      <c r="BU201" s="215"/>
      <c r="BV201" s="215"/>
      <c r="BW201" s="215"/>
      <c r="BX201" s="215"/>
      <c r="BY201" s="215"/>
      <c r="BZ201" s="215"/>
    </row>
    <row r="202" spans="1:78" x14ac:dyDescent="0.2">
      <c r="A202" s="2" t="str">
        <f>'Language Index'!A200</f>
        <v>Stock-Based Comp., Exploration/Drilling Exp.</v>
      </c>
      <c r="B202" s="39"/>
      <c r="C202" s="39"/>
      <c r="D202" s="18">
        <f>_xll.ciqfunctions.udf.CIQ($C$2, "IQ_STOCK_BASED_EXPLORE_DRILL", D$6,$F$2,,,Ccy,Conv)</f>
        <v>0</v>
      </c>
      <c r="E202" s="18">
        <f>_xll.ciqfunctions.udf.CIQ($C$2, "IQ_STOCK_BASED_EXPLORE_DRILL", E$6,$F$2,,,Ccy,Conv)</f>
        <v>0</v>
      </c>
      <c r="F202" s="18">
        <f>_xll.ciqfunctions.udf.CIQ($C$2, "IQ_STOCK_BASED_EXPLORE_DRILL", F$6,$F$2,,,Ccy,Conv)</f>
        <v>0</v>
      </c>
      <c r="G202" s="18">
        <f>_xll.ciqfunctions.udf.CIQ($C$2, "IQ_STOCK_BASED_EXPLORE_DRILL", G$6,$F$2,,,Ccy,Conv)</f>
        <v>0</v>
      </c>
      <c r="H202" s="18">
        <f>_xll.ciqfunctions.udf.CIQ($C$2, "IQ_STOCK_BASED_EXPLORE_DRILL", H$6,$F$2,,,Ccy,Conv)</f>
        <v>0</v>
      </c>
      <c r="I202" s="18">
        <f>_xll.ciqfunctions.udf.CIQ($C$2, "IQ_STOCK_BASED_EXPLORE_DRILL", I$6,$F$2,,,Ccy,Conv)</f>
        <v>0</v>
      </c>
      <c r="J202" s="18">
        <f>_xll.ciqfunctions.udf.CIQ($C$2, "IQ_STOCK_BASED_EXPLORE_DRILL", J$6,$F$2,,,Ccy,Conv)</f>
        <v>0</v>
      </c>
      <c r="K202" s="18">
        <f>_xll.ciqfunctions.udf.CIQ($C$2, "IQ_STOCK_BASED_EXPLORE_DRILL", K$6,$F$2,,,Ccy,Conv)</f>
        <v>0</v>
      </c>
      <c r="L202" s="18">
        <f>_xll.ciqfunctions.udf.CIQ($C$2, "IQ_STOCK_BASED_EXPLORE_DRILL", L$6,$F$2,,,Ccy,Conv)</f>
        <v>0</v>
      </c>
      <c r="M202" s="18">
        <f>_xll.ciqfunctions.udf.CIQ($C$2, "IQ_STOCK_BASED_EXPLORE_DRILL", M$6,$F$2,,,Ccy,Conv)</f>
        <v>0</v>
      </c>
      <c r="N202" s="18">
        <f>_xll.ciqfunctions.udf.CIQ($C$2, "IQ_STOCK_BASED_EXPLORE_DRILL", N$6,$F$2,,,Ccy,Conv)</f>
        <v>0</v>
      </c>
      <c r="O202" s="18"/>
      <c r="P202" s="18">
        <f>_xll.ciqfunctions.udf.CIQ($C$2, "IQ_STOCK_BASED_EXPLORE_DRILL", P$6,$F$2,,,Ccy,Conv)</f>
        <v>0</v>
      </c>
      <c r="Q202" s="238"/>
      <c r="R202" s="215"/>
      <c r="S202" s="215"/>
      <c r="T202" s="215"/>
      <c r="U202" s="215"/>
      <c r="V202" s="222"/>
      <c r="W202" s="222"/>
      <c r="X202" s="222"/>
      <c r="Y202" s="241"/>
      <c r="Z202" s="241"/>
      <c r="AA202" s="241"/>
      <c r="AB202" s="241"/>
      <c r="AC202" s="241"/>
      <c r="AD202" s="241"/>
      <c r="AE202" s="215"/>
      <c r="AF202" s="215"/>
      <c r="AG202" s="215"/>
      <c r="AH202" s="241"/>
      <c r="AI202" s="215"/>
      <c r="AJ202" s="215"/>
      <c r="AK202" s="215"/>
      <c r="AL202" s="215"/>
      <c r="AM202" s="215"/>
      <c r="AN202" s="215"/>
      <c r="AO202" s="215"/>
      <c r="AP202" s="215"/>
      <c r="AQ202" s="215"/>
      <c r="AR202" s="215"/>
      <c r="AS202" s="215"/>
      <c r="AT202" s="215"/>
      <c r="AU202" s="215"/>
      <c r="AV202" s="215"/>
      <c r="AW202" s="215"/>
      <c r="AX202" s="215"/>
      <c r="AY202" s="215"/>
      <c r="AZ202" s="215"/>
      <c r="BA202" s="215"/>
      <c r="BB202" s="215"/>
      <c r="BC202" s="215"/>
      <c r="BD202" s="215"/>
      <c r="BE202" s="215"/>
      <c r="BF202" s="215"/>
      <c r="BG202" s="215"/>
      <c r="BH202" s="215"/>
      <c r="BI202" s="215"/>
      <c r="BJ202" s="215"/>
      <c r="BK202" s="215"/>
      <c r="BL202" s="215"/>
      <c r="BM202" s="215"/>
      <c r="BN202" s="215"/>
      <c r="BO202" s="215"/>
      <c r="BP202" s="215"/>
      <c r="BQ202" s="215"/>
      <c r="BR202" s="215"/>
      <c r="BS202" s="215"/>
      <c r="BT202" s="215"/>
      <c r="BU202" s="215"/>
      <c r="BV202" s="215"/>
      <c r="BW202" s="215"/>
      <c r="BX202" s="215"/>
      <c r="BY202" s="215"/>
      <c r="BZ202" s="215"/>
    </row>
    <row r="203" spans="1:78" x14ac:dyDescent="0.2">
      <c r="A203" s="2" t="str">
        <f>'Language Index'!A201</f>
        <v>Stock-Based Comp., Unallocated</v>
      </c>
      <c r="B203" s="39"/>
      <c r="C203" s="39"/>
      <c r="D203" s="18">
        <f>_xll.ciqfunctions.udf.CIQ($C$2, "IQ_STOCK_BASED_OTHER", D$6,$F$2,,,Ccy,Conv)</f>
        <v>0</v>
      </c>
      <c r="E203" s="18">
        <f>_xll.ciqfunctions.udf.CIQ($C$2, "IQ_STOCK_BASED_OTHER", E$6,$F$2,,,Ccy,Conv)</f>
        <v>0</v>
      </c>
      <c r="F203" s="18">
        <f>_xll.ciqfunctions.udf.CIQ($C$2, "IQ_STOCK_BASED_OTHER", F$6,$F$2,,,Ccy,Conv)</f>
        <v>0</v>
      </c>
      <c r="G203" s="18">
        <f>_xll.ciqfunctions.udf.CIQ($C$2, "IQ_STOCK_BASED_OTHER", G$6,$F$2,,,Ccy,Conv)</f>
        <v>0</v>
      </c>
      <c r="H203" s="18">
        <f>_xll.ciqfunctions.udf.CIQ($C$2, "IQ_STOCK_BASED_OTHER", H$6,$F$2,,,Ccy,Conv)</f>
        <v>0</v>
      </c>
      <c r="I203" s="18">
        <f>_xll.ciqfunctions.udf.CIQ($C$2, "IQ_STOCK_BASED_OTHER", I$6,$F$2,,,Ccy,Conv)</f>
        <v>0</v>
      </c>
      <c r="J203" s="18">
        <f>_xll.ciqfunctions.udf.CIQ($C$2, "IQ_STOCK_BASED_OTHER", J$6,$F$2,,,Ccy,Conv)</f>
        <v>0</v>
      </c>
      <c r="K203" s="18">
        <f>_xll.ciqfunctions.udf.CIQ($C$2, "IQ_STOCK_BASED_OTHER", K$6,$F$2,,,Ccy,Conv)</f>
        <v>0</v>
      </c>
      <c r="L203" s="18">
        <f>_xll.ciqfunctions.udf.CIQ($C$2, "IQ_STOCK_BASED_OTHER", L$6,$F$2,,,Ccy,Conv)</f>
        <v>-1</v>
      </c>
      <c r="M203" s="18">
        <f>_xll.ciqfunctions.udf.CIQ($C$2, "IQ_STOCK_BASED_OTHER", M$6,$F$2,,,Ccy,Conv)</f>
        <v>0</v>
      </c>
      <c r="N203" s="18">
        <f>_xll.ciqfunctions.udf.CIQ($C$2, "IQ_STOCK_BASED_OTHER", N$6,$F$2,,,Ccy,Conv)</f>
        <v>0</v>
      </c>
      <c r="O203" s="18"/>
      <c r="P203" s="18">
        <f>_xll.ciqfunctions.udf.CIQ($C$2, "IQ_STOCK_BASED_OTHER", P$6,$F$2,,,Ccy,Conv)</f>
        <v>0</v>
      </c>
      <c r="Q203" s="238"/>
      <c r="R203" s="215"/>
      <c r="S203" s="215"/>
      <c r="T203" s="215"/>
      <c r="U203" s="215"/>
      <c r="V203" s="222"/>
      <c r="W203" s="222"/>
      <c r="X203" s="222"/>
      <c r="Y203" s="241"/>
      <c r="Z203" s="241"/>
      <c r="AA203" s="241"/>
      <c r="AB203" s="241"/>
      <c r="AC203" s="241"/>
      <c r="AD203" s="241"/>
      <c r="AE203" s="215"/>
      <c r="AF203" s="215"/>
      <c r="AG203" s="215"/>
      <c r="AH203" s="241"/>
      <c r="AI203" s="215"/>
      <c r="AJ203" s="215"/>
      <c r="AK203" s="215"/>
      <c r="AL203" s="215"/>
      <c r="AM203" s="215"/>
      <c r="AN203" s="215"/>
      <c r="AO203" s="215"/>
      <c r="AP203" s="215"/>
      <c r="AQ203" s="215"/>
      <c r="AR203" s="215"/>
      <c r="AS203" s="215"/>
      <c r="AT203" s="215"/>
      <c r="AU203" s="215"/>
      <c r="AV203" s="215"/>
      <c r="AW203" s="215"/>
      <c r="AX203" s="215"/>
      <c r="AY203" s="215"/>
      <c r="AZ203" s="215"/>
      <c r="BA203" s="215"/>
      <c r="BB203" s="215"/>
      <c r="BC203" s="215"/>
      <c r="BD203" s="215"/>
      <c r="BE203" s="215"/>
      <c r="BF203" s="215"/>
      <c r="BG203" s="215"/>
      <c r="BH203" s="215"/>
      <c r="BI203" s="215"/>
      <c r="BJ203" s="215"/>
      <c r="BK203" s="215"/>
      <c r="BL203" s="215"/>
      <c r="BM203" s="215"/>
      <c r="BN203" s="215"/>
      <c r="BO203" s="215"/>
      <c r="BP203" s="215"/>
      <c r="BQ203" s="215"/>
      <c r="BR203" s="215"/>
      <c r="BS203" s="215"/>
      <c r="BT203" s="215"/>
      <c r="BU203" s="215"/>
      <c r="BV203" s="215"/>
      <c r="BW203" s="215"/>
      <c r="BX203" s="215"/>
      <c r="BY203" s="215"/>
      <c r="BZ203" s="215"/>
    </row>
    <row r="204" spans="1:78" x14ac:dyDescent="0.2">
      <c r="A204" s="2" t="str">
        <f>'Language Index'!A202</f>
        <v>Stock-Based Comp., After-Tax</v>
      </c>
      <c r="B204" s="39"/>
      <c r="C204" s="39"/>
      <c r="D204" s="18">
        <f>_xll.ciqfunctions.udf.CIQ($C$2, "IQ_STOCK_BASED_AT", D$6,$F$2,,,Ccy,Conv)</f>
        <v>0</v>
      </c>
      <c r="E204" s="18">
        <f>_xll.ciqfunctions.udf.CIQ($C$2, "IQ_STOCK_BASED_AT", E$6,$F$2,,,Ccy,Conv)</f>
        <v>0</v>
      </c>
      <c r="F204" s="18">
        <f>_xll.ciqfunctions.udf.CIQ($C$2, "IQ_STOCK_BASED_AT", F$6,$F$2,,,Ccy,Conv)</f>
        <v>0</v>
      </c>
      <c r="G204" s="18">
        <f>_xll.ciqfunctions.udf.CIQ($C$2, "IQ_STOCK_BASED_AT", G$6,$F$2,,,Ccy,Conv)</f>
        <v>0</v>
      </c>
      <c r="H204" s="18">
        <f>_xll.ciqfunctions.udf.CIQ($C$2, "IQ_STOCK_BASED_AT", H$6,$F$2,,,Ccy,Conv)</f>
        <v>0</v>
      </c>
      <c r="I204" s="18">
        <f>_xll.ciqfunctions.udf.CIQ($C$2, "IQ_STOCK_BASED_AT", I$6,$F$2,,,Ccy,Conv)</f>
        <v>0</v>
      </c>
      <c r="J204" s="18">
        <f>_xll.ciqfunctions.udf.CIQ($C$2, "IQ_STOCK_BASED_AT", J$6,$F$2,,,Ccy,Conv)</f>
        <v>0</v>
      </c>
      <c r="K204" s="18">
        <f>_xll.ciqfunctions.udf.CIQ($C$2, "IQ_STOCK_BASED_AT", K$6,$F$2,,,Ccy,Conv)</f>
        <v>0</v>
      </c>
      <c r="L204" s="18">
        <f>_xll.ciqfunctions.udf.CIQ($C$2, "IQ_STOCK_BASED_AT", L$6,$F$2,,,Ccy,Conv)</f>
        <v>0</v>
      </c>
      <c r="M204" s="18">
        <f>_xll.ciqfunctions.udf.CIQ($C$2, "IQ_STOCK_BASED_AT", M$6,$F$2,,,Ccy,Conv)</f>
        <v>0</v>
      </c>
      <c r="N204" s="18">
        <f>_xll.ciqfunctions.udf.CIQ($C$2, "IQ_STOCK_BASED_AT", N$6,$F$2,,,Ccy,Conv)</f>
        <v>0</v>
      </c>
      <c r="O204" s="18"/>
      <c r="P204" s="18">
        <f>_xll.ciqfunctions.udf.CIQ($C$2, "IQ_STOCK_BASED_AT", P$6,$F$2,,,Ccy,Conv)</f>
        <v>0</v>
      </c>
      <c r="Q204" s="238"/>
      <c r="R204" s="215"/>
      <c r="S204" s="215"/>
      <c r="T204" s="215"/>
      <c r="U204" s="215"/>
      <c r="V204" s="222"/>
      <c r="W204" s="222"/>
      <c r="X204" s="222"/>
      <c r="Y204" s="241"/>
      <c r="Z204" s="241"/>
      <c r="AA204" s="241"/>
      <c r="AB204" s="241"/>
      <c r="AC204" s="241"/>
      <c r="AD204" s="241"/>
      <c r="AE204" s="215"/>
      <c r="AF204" s="215"/>
      <c r="AG204" s="215"/>
      <c r="AH204" s="241"/>
      <c r="AI204" s="215"/>
      <c r="AJ204" s="215"/>
      <c r="AK204" s="215"/>
      <c r="AL204" s="215"/>
      <c r="AM204" s="215"/>
      <c r="AN204" s="215"/>
      <c r="AO204" s="215"/>
      <c r="AP204" s="215"/>
      <c r="AQ204" s="215"/>
      <c r="AR204" s="215"/>
      <c r="AS204" s="215"/>
      <c r="AT204" s="215"/>
      <c r="AU204" s="215"/>
      <c r="AV204" s="215"/>
      <c r="AW204" s="215"/>
      <c r="AX204" s="215"/>
      <c r="AY204" s="215"/>
      <c r="AZ204" s="215"/>
      <c r="BA204" s="215"/>
      <c r="BB204" s="215"/>
      <c r="BC204" s="215"/>
      <c r="BD204" s="215"/>
      <c r="BE204" s="215"/>
      <c r="BF204" s="215"/>
      <c r="BG204" s="215"/>
      <c r="BH204" s="215"/>
      <c r="BI204" s="215"/>
      <c r="BJ204" s="215"/>
      <c r="BK204" s="215"/>
      <c r="BL204" s="215"/>
      <c r="BM204" s="215"/>
      <c r="BN204" s="215"/>
      <c r="BO204" s="215"/>
      <c r="BP204" s="215"/>
      <c r="BQ204" s="215"/>
      <c r="BR204" s="215"/>
      <c r="BS204" s="215"/>
      <c r="BT204" s="215"/>
      <c r="BU204" s="215"/>
      <c r="BV204" s="215"/>
      <c r="BW204" s="215"/>
      <c r="BX204" s="215"/>
      <c r="BY204" s="215"/>
      <c r="BZ204" s="215"/>
    </row>
    <row r="205" spans="1:78" x14ac:dyDescent="0.2">
      <c r="A205" s="2" t="str">
        <f>'Language Index'!A203</f>
        <v>Stock-Based Comp., Total</v>
      </c>
      <c r="B205" s="39"/>
      <c r="C205" s="39"/>
      <c r="D205" s="18">
        <f>_xll.ciqfunctions.udf.CIQ($C$2, "IQ_STOCK_BASED_TOTAL", D$6,$F$2,,,Ccy,Conv)</f>
        <v>1056</v>
      </c>
      <c r="E205" s="18">
        <f>_xll.ciqfunctions.udf.CIQ($C$2, "IQ_STOCK_BASED_TOTAL", E$6,$F$2,,,Ccy,Conv)</f>
        <v>1092</v>
      </c>
      <c r="F205" s="18">
        <f>_xll.ciqfunctions.udf.CIQ($C$2, "IQ_STOCK_BASED_TOTAL", F$6,$F$2,,,Ccy,Conv)</f>
        <v>1134</v>
      </c>
      <c r="G205" s="18">
        <f>_xll.ciqfunctions.udf.CIQ($C$2, "IQ_STOCK_BASED_TOTAL", G$6,$F$2,,,Ccy,Conv)</f>
        <v>1185</v>
      </c>
      <c r="H205" s="18">
        <f>_xll.ciqfunctions.udf.CIQ($C$2, "IQ_STOCK_BASED_TOTAL", H$6,$F$2,,,Ccy,Conv)</f>
        <v>1214</v>
      </c>
      <c r="I205" s="18">
        <f>_xll.ciqfunctions.udf.CIQ($C$2, "IQ_STOCK_BASED_TOTAL", I$6,$F$2,,,Ccy,Conv)</f>
        <v>1257</v>
      </c>
      <c r="J205" s="18">
        <f>_xll.ciqfunctions.udf.CIQ($C$2, "IQ_STOCK_BASED_TOTAL", J$6,$F$2,,,Ccy,Conv)</f>
        <v>1311</v>
      </c>
      <c r="K205" s="18">
        <f>_xll.ciqfunctions.udf.CIQ($C$2, "IQ_STOCK_BASED_TOTAL", K$6,$F$2,,,Ccy,Conv)</f>
        <v>1392</v>
      </c>
      <c r="L205" s="18">
        <f>_xll.ciqfunctions.udf.CIQ($C$2, "IQ_STOCK_BASED_TOTAL", L$6,$F$2,,,Ccy,Conv)</f>
        <v>1534</v>
      </c>
      <c r="M205" s="18">
        <f>_xll.ciqfunctions.udf.CIQ($C$2, "IQ_STOCK_BASED_TOTAL", M$6,$F$2,,,Ccy,Conv)</f>
        <v>1631</v>
      </c>
      <c r="N205" s="18">
        <f>_xll.ciqfunctions.udf.CIQ($C$2, "IQ_STOCK_BASED_TOTAL", N$6,$F$2,,,Ccy,Conv)</f>
        <v>1715</v>
      </c>
      <c r="O205" s="18"/>
      <c r="P205" s="18">
        <f>_xll.ciqfunctions.udf.CIQ($C$2, "IQ_STOCK_BASED_TOTAL", P$6,$F$2,,,Ccy,Conv)</f>
        <v>1715</v>
      </c>
      <c r="Q205" s="238"/>
      <c r="R205" s="215"/>
      <c r="S205" s="215"/>
      <c r="T205" s="215"/>
      <c r="U205" s="215"/>
      <c r="V205" s="222"/>
      <c r="W205" s="222"/>
      <c r="X205" s="222"/>
      <c r="Y205" s="241"/>
      <c r="Z205" s="241"/>
      <c r="AA205" s="241"/>
      <c r="AB205" s="241"/>
      <c r="AC205" s="241"/>
      <c r="AD205" s="241"/>
      <c r="AE205" s="215"/>
      <c r="AF205" s="215"/>
      <c r="AG205" s="215"/>
      <c r="AH205" s="241"/>
      <c r="AI205" s="215"/>
      <c r="AJ205" s="215"/>
      <c r="AK205" s="215"/>
      <c r="AL205" s="215"/>
      <c r="AM205" s="215"/>
      <c r="AN205" s="215"/>
      <c r="AO205" s="215"/>
      <c r="AP205" s="215"/>
      <c r="AQ205" s="215"/>
      <c r="AR205" s="215"/>
      <c r="AS205" s="215"/>
      <c r="AT205" s="215"/>
      <c r="AU205" s="215"/>
      <c r="AV205" s="215"/>
      <c r="AW205" s="215"/>
      <c r="AX205" s="215"/>
      <c r="AY205" s="215"/>
      <c r="AZ205" s="215"/>
      <c r="BA205" s="215"/>
      <c r="BB205" s="215"/>
      <c r="BC205" s="215"/>
      <c r="BD205" s="215"/>
      <c r="BE205" s="215"/>
      <c r="BF205" s="215"/>
      <c r="BG205" s="215"/>
      <c r="BH205" s="215"/>
      <c r="BI205" s="215"/>
      <c r="BJ205" s="215"/>
      <c r="BK205" s="215"/>
      <c r="BL205" s="215"/>
      <c r="BM205" s="215"/>
      <c r="BN205" s="215"/>
      <c r="BO205" s="215"/>
      <c r="BP205" s="215"/>
      <c r="BQ205" s="215"/>
      <c r="BR205" s="215"/>
      <c r="BS205" s="215"/>
      <c r="BT205" s="215"/>
      <c r="BU205" s="215"/>
      <c r="BV205" s="215"/>
      <c r="BW205" s="215"/>
      <c r="BX205" s="215"/>
      <c r="BY205" s="215"/>
      <c r="BZ205" s="215"/>
    </row>
    <row r="206" spans="1:78" x14ac:dyDescent="0.2">
      <c r="A206" s="2" t="str">
        <f>'Language Index'!A204</f>
        <v>Restr. Stock Comp. Exp., Before Tax</v>
      </c>
      <c r="B206" s="17"/>
      <c r="C206" s="17"/>
      <c r="D206" s="18">
        <f>_xll.ciqfunctions.udf.CIQ($C$2,"IQ_RESTR_STOCK_COMP_PRETAX", D$6,$F$2,,,Ccy,Conv)</f>
        <v>0</v>
      </c>
      <c r="E206" s="18">
        <f>_xll.ciqfunctions.udf.CIQ($C$2,"IQ_RESTR_STOCK_COMP_PRETAX", E$6,$F$2,,,Ccy,Conv)</f>
        <v>0</v>
      </c>
      <c r="F206" s="18">
        <f>_xll.ciqfunctions.udf.CIQ($C$2,"IQ_RESTR_STOCK_COMP_PRETAX", F$6,$F$2,,,Ccy,Conv)</f>
        <v>0</v>
      </c>
      <c r="G206" s="18">
        <f>_xll.ciqfunctions.udf.CIQ($C$2,"IQ_RESTR_STOCK_COMP_PRETAX", G$6,$F$2,,,Ccy,Conv)</f>
        <v>0</v>
      </c>
      <c r="H206" s="18">
        <f>_xll.ciqfunctions.udf.CIQ($C$2,"IQ_RESTR_STOCK_COMP_PRETAX", H$6,$F$2,,,Ccy,Conv)</f>
        <v>0</v>
      </c>
      <c r="I206" s="18">
        <f>_xll.ciqfunctions.udf.CIQ($C$2,"IQ_RESTR_STOCK_COMP_PRETAX", I$6,$F$2,,,Ccy,Conv)</f>
        <v>0</v>
      </c>
      <c r="J206" s="18">
        <f>_xll.ciqfunctions.udf.CIQ($C$2,"IQ_RESTR_STOCK_COMP_PRETAX", J$6,$F$2,,,Ccy,Conv)</f>
        <v>0</v>
      </c>
      <c r="K206" s="18">
        <f>_xll.ciqfunctions.udf.CIQ($C$2,"IQ_RESTR_STOCK_COMP_PRETAX", K$6,$F$2,,,Ccy,Conv)</f>
        <v>0</v>
      </c>
      <c r="L206" s="18">
        <f>_xll.ciqfunctions.udf.CIQ($C$2,"IQ_RESTR_STOCK_COMP_PRETAX", L$6,$F$2,,,Ccy,Conv)</f>
        <v>0</v>
      </c>
      <c r="M206" s="18">
        <f>_xll.ciqfunctions.udf.CIQ($C$2,"IQ_RESTR_STOCK_COMP_PRETAX", M$6,$F$2,,,Ccy,Conv)</f>
        <v>0</v>
      </c>
      <c r="N206" s="18">
        <f>_xll.ciqfunctions.udf.CIQ($C$2,"IQ_RESTR_STOCK_COMP_PRETAX", N$6,$F$2,,,Ccy,Conv)</f>
        <v>0</v>
      </c>
      <c r="O206" s="18"/>
      <c r="P206" s="18">
        <f>_xll.ciqfunctions.udf.CIQ($C$2,"IQ_RESTR_STOCK_COMP_PRETAX", P$6,$F$2,,,Ccy,Conv)</f>
        <v>0</v>
      </c>
      <c r="Q206" s="238"/>
      <c r="R206" s="215"/>
      <c r="S206" s="215"/>
      <c r="T206" s="215"/>
      <c r="U206" s="215"/>
      <c r="V206" s="222"/>
      <c r="W206" s="222"/>
      <c r="X206" s="222"/>
      <c r="Y206" s="241"/>
      <c r="Z206" s="241"/>
      <c r="AA206" s="241"/>
      <c r="AB206" s="241"/>
      <c r="AC206" s="241"/>
      <c r="AD206" s="241"/>
      <c r="AE206" s="215"/>
      <c r="AF206" s="215"/>
      <c r="AG206" s="215"/>
      <c r="AH206" s="241"/>
      <c r="AI206" s="215"/>
      <c r="AJ206" s="215"/>
      <c r="AK206" s="215"/>
      <c r="AL206" s="215"/>
      <c r="AM206" s="215"/>
      <c r="AN206" s="215"/>
      <c r="AO206" s="215"/>
      <c r="AP206" s="215"/>
      <c r="AQ206" s="215"/>
      <c r="AR206" s="215"/>
      <c r="AS206" s="215"/>
      <c r="AT206" s="215"/>
      <c r="AU206" s="215"/>
      <c r="AV206" s="215"/>
      <c r="AW206" s="215"/>
      <c r="AX206" s="215"/>
      <c r="AY206" s="215"/>
      <c r="AZ206" s="215"/>
      <c r="BA206" s="215"/>
      <c r="BB206" s="215"/>
      <c r="BC206" s="215"/>
      <c r="BD206" s="215"/>
      <c r="BE206" s="215"/>
      <c r="BF206" s="215"/>
      <c r="BG206" s="215"/>
      <c r="BH206" s="215"/>
      <c r="BI206" s="215"/>
      <c r="BJ206" s="215"/>
      <c r="BK206" s="215"/>
      <c r="BL206" s="215"/>
      <c r="BM206" s="215"/>
      <c r="BN206" s="215"/>
      <c r="BO206" s="215"/>
      <c r="BP206" s="215"/>
      <c r="BQ206" s="215"/>
      <c r="BR206" s="215"/>
      <c r="BS206" s="215"/>
      <c r="BT206" s="215"/>
      <c r="BU206" s="215"/>
      <c r="BV206" s="215"/>
      <c r="BW206" s="215"/>
      <c r="BX206" s="215"/>
      <c r="BY206" s="215"/>
      <c r="BZ206" s="215"/>
    </row>
    <row r="207" spans="1:78" x14ac:dyDescent="0.2">
      <c r="A207" s="2" t="str">
        <f>'Language Index'!A205</f>
        <v>Restr. Stock Comp. Exp. Tax Effect</v>
      </c>
      <c r="B207" s="17"/>
      <c r="C207" s="17"/>
      <c r="D207" s="18">
        <f>_xll.ciqfunctions.udf.CIQ($C$2,"IQ_RESTR_STOCK_COMP_TAX", D$6,$F$2,,,Ccy,Conv)</f>
        <v>0</v>
      </c>
      <c r="E207" s="18">
        <f>_xll.ciqfunctions.udf.CIQ($C$2,"IQ_RESTR_STOCK_COMP_TAX", E$6,$F$2,,,Ccy,Conv)</f>
        <v>0</v>
      </c>
      <c r="F207" s="18">
        <f>_xll.ciqfunctions.udf.CIQ($C$2,"IQ_RESTR_STOCK_COMP_TAX", F$6,$F$2,,,Ccy,Conv)</f>
        <v>0</v>
      </c>
      <c r="G207" s="18">
        <f>_xll.ciqfunctions.udf.CIQ($C$2,"IQ_RESTR_STOCK_COMP_TAX", G$6,$F$2,,,Ccy,Conv)</f>
        <v>0</v>
      </c>
      <c r="H207" s="18">
        <f>_xll.ciqfunctions.udf.CIQ($C$2,"IQ_RESTR_STOCK_COMP_TAX", H$6,$F$2,,,Ccy,Conv)</f>
        <v>0</v>
      </c>
      <c r="I207" s="18">
        <f>_xll.ciqfunctions.udf.CIQ($C$2,"IQ_RESTR_STOCK_COMP_TAX", I$6,$F$2,,,Ccy,Conv)</f>
        <v>0</v>
      </c>
      <c r="J207" s="18">
        <f>_xll.ciqfunctions.udf.CIQ($C$2,"IQ_RESTR_STOCK_COMP_TAX", J$6,$F$2,,,Ccy,Conv)</f>
        <v>0</v>
      </c>
      <c r="K207" s="18">
        <f>_xll.ciqfunctions.udf.CIQ($C$2,"IQ_RESTR_STOCK_COMP_TAX", K$6,$F$2,,,Ccy,Conv)</f>
        <v>0</v>
      </c>
      <c r="L207" s="18">
        <f>_xll.ciqfunctions.udf.CIQ($C$2,"IQ_RESTR_STOCK_COMP_TAX", L$6,$F$2,,,Ccy,Conv)</f>
        <v>0</v>
      </c>
      <c r="M207" s="18">
        <f>_xll.ciqfunctions.udf.CIQ($C$2,"IQ_RESTR_STOCK_COMP_TAX", M$6,$F$2,,,Ccy,Conv)</f>
        <v>0</v>
      </c>
      <c r="N207" s="18">
        <f>_xll.ciqfunctions.udf.CIQ($C$2,"IQ_RESTR_STOCK_COMP_TAX", N$6,$F$2,,,Ccy,Conv)</f>
        <v>0</v>
      </c>
      <c r="O207" s="18"/>
      <c r="P207" s="18">
        <f>_xll.ciqfunctions.udf.CIQ($C$2,"IQ_RESTR_STOCK_COMP_TAX", P$6,$F$2,,,Ccy,Conv)</f>
        <v>0</v>
      </c>
      <c r="Q207" s="238"/>
      <c r="R207" s="215"/>
      <c r="S207" s="215"/>
      <c r="T207" s="215"/>
      <c r="U207" s="215"/>
      <c r="V207" s="222"/>
      <c r="W207" s="222"/>
      <c r="X207" s="222"/>
      <c r="Y207" s="215"/>
      <c r="Z207" s="215"/>
      <c r="AA207" s="215"/>
      <c r="AB207" s="215"/>
      <c r="AC207" s="215"/>
      <c r="AD207" s="215"/>
      <c r="AE207" s="215"/>
      <c r="AF207" s="215"/>
      <c r="AG207" s="215"/>
      <c r="AH207" s="215"/>
      <c r="AI207" s="215"/>
      <c r="AJ207" s="215"/>
      <c r="AK207" s="215"/>
      <c r="AL207" s="215"/>
      <c r="AM207" s="215"/>
      <c r="AN207" s="215"/>
      <c r="AO207" s="215"/>
      <c r="AP207" s="215"/>
      <c r="AQ207" s="215"/>
      <c r="AR207" s="215"/>
      <c r="AS207" s="215"/>
      <c r="AT207" s="215"/>
      <c r="AU207" s="215"/>
      <c r="AV207" s="215"/>
      <c r="AW207" s="215"/>
      <c r="AX207" s="215"/>
      <c r="AY207" s="215"/>
      <c r="AZ207" s="215"/>
      <c r="BA207" s="215"/>
      <c r="BB207" s="215"/>
      <c r="BC207" s="215"/>
      <c r="BD207" s="215"/>
      <c r="BE207" s="215"/>
      <c r="BF207" s="215"/>
      <c r="BG207" s="215"/>
      <c r="BH207" s="215"/>
      <c r="BI207" s="215"/>
      <c r="BJ207" s="215"/>
      <c r="BK207" s="215"/>
      <c r="BL207" s="215"/>
      <c r="BM207" s="215"/>
      <c r="BN207" s="215"/>
      <c r="BO207" s="215"/>
      <c r="BP207" s="215"/>
      <c r="BQ207" s="215"/>
      <c r="BR207" s="215"/>
      <c r="BS207" s="215"/>
      <c r="BT207" s="215"/>
      <c r="BU207" s="215"/>
      <c r="BV207" s="215"/>
      <c r="BW207" s="215"/>
      <c r="BX207" s="215"/>
      <c r="BY207" s="215"/>
      <c r="BZ207" s="215"/>
    </row>
    <row r="208" spans="1:78" x14ac:dyDescent="0.2">
      <c r="A208" s="2" t="str">
        <f>'Language Index'!A206</f>
        <v>Restr. Stock Comp. Exp., After Tax</v>
      </c>
      <c r="B208" s="17"/>
      <c r="C208" s="17"/>
      <c r="D208" s="18">
        <f>_xll.ciqfunctions.udf.CIQ($C$2,"IQ_RESTR_STOCK_COMP", D$6,$F$2,,,Ccy,Conv)</f>
        <v>0</v>
      </c>
      <c r="E208" s="18">
        <f>_xll.ciqfunctions.udf.CIQ($C$2,"IQ_RESTR_STOCK_COMP", E$6,$F$2,,,Ccy,Conv)</f>
        <v>0</v>
      </c>
      <c r="F208" s="18">
        <f>_xll.ciqfunctions.udf.CIQ($C$2,"IQ_RESTR_STOCK_COMP", F$6,$F$2,,,Ccy,Conv)</f>
        <v>0</v>
      </c>
      <c r="G208" s="18">
        <f>_xll.ciqfunctions.udf.CIQ($C$2,"IQ_RESTR_STOCK_COMP", G$6,$F$2,,,Ccy,Conv)</f>
        <v>0</v>
      </c>
      <c r="H208" s="18">
        <f>_xll.ciqfunctions.udf.CIQ($C$2,"IQ_RESTR_STOCK_COMP", H$6,$F$2,,,Ccy,Conv)</f>
        <v>0</v>
      </c>
      <c r="I208" s="18">
        <f>_xll.ciqfunctions.udf.CIQ($C$2,"IQ_RESTR_STOCK_COMP", I$6,$F$2,,,Ccy,Conv)</f>
        <v>0</v>
      </c>
      <c r="J208" s="18">
        <f>_xll.ciqfunctions.udf.CIQ($C$2,"IQ_RESTR_STOCK_COMP", J$6,$F$2,,,Ccy,Conv)</f>
        <v>0</v>
      </c>
      <c r="K208" s="18">
        <f>_xll.ciqfunctions.udf.CIQ($C$2,"IQ_RESTR_STOCK_COMP", K$6,$F$2,,,Ccy,Conv)</f>
        <v>0</v>
      </c>
      <c r="L208" s="18">
        <f>_xll.ciqfunctions.udf.CIQ($C$2,"IQ_RESTR_STOCK_COMP", L$6,$F$2,,,Ccy,Conv)</f>
        <v>0</v>
      </c>
      <c r="M208" s="18">
        <f>_xll.ciqfunctions.udf.CIQ($C$2,"IQ_RESTR_STOCK_COMP", M$6,$F$2,,,Ccy,Conv)</f>
        <v>0</v>
      </c>
      <c r="N208" s="18">
        <f>_xll.ciqfunctions.udf.CIQ($C$2,"IQ_RESTR_STOCK_COMP", N$6,$F$2,,,Ccy,Conv)</f>
        <v>0</v>
      </c>
      <c r="O208" s="18"/>
      <c r="P208" s="18">
        <f>_xll.ciqfunctions.udf.CIQ($C$2,"IQ_RESTR_STOCK_COMP", P$6,$F$2,,,Ccy,Conv)</f>
        <v>0</v>
      </c>
      <c r="Q208" s="238"/>
      <c r="R208" s="215"/>
      <c r="S208" s="215"/>
      <c r="T208" s="215"/>
      <c r="U208" s="215"/>
      <c r="V208" s="222"/>
      <c r="W208" s="222"/>
      <c r="X208" s="222"/>
      <c r="Y208" s="215"/>
      <c r="Z208" s="215"/>
      <c r="AA208" s="215"/>
      <c r="AB208" s="215"/>
      <c r="AC208" s="215"/>
      <c r="AD208" s="215"/>
      <c r="AE208" s="215"/>
      <c r="AF208" s="215"/>
      <c r="AG208" s="215"/>
      <c r="AH208" s="215"/>
      <c r="AI208" s="215"/>
      <c r="AJ208" s="215"/>
      <c r="AK208" s="215"/>
      <c r="AL208" s="215"/>
      <c r="AM208" s="215"/>
      <c r="AN208" s="215"/>
      <c r="AO208" s="215"/>
      <c r="AP208" s="215"/>
      <c r="AQ208" s="215"/>
      <c r="AR208" s="215"/>
      <c r="AS208" s="215"/>
      <c r="AT208" s="215"/>
      <c r="AU208" s="215"/>
      <c r="AV208" s="215"/>
      <c r="AW208" s="215"/>
      <c r="AX208" s="215"/>
      <c r="AY208" s="215"/>
      <c r="AZ208" s="215"/>
      <c r="BA208" s="215"/>
      <c r="BB208" s="215"/>
      <c r="BC208" s="215"/>
      <c r="BD208" s="215"/>
      <c r="BE208" s="215"/>
      <c r="BF208" s="215"/>
      <c r="BG208" s="215"/>
      <c r="BH208" s="215"/>
      <c r="BI208" s="215"/>
      <c r="BJ208" s="215"/>
      <c r="BK208" s="215"/>
      <c r="BL208" s="215"/>
      <c r="BM208" s="215"/>
      <c r="BN208" s="215"/>
      <c r="BO208" s="215"/>
      <c r="BP208" s="215"/>
      <c r="BQ208" s="215"/>
      <c r="BR208" s="215"/>
      <c r="BS208" s="215"/>
      <c r="BT208" s="215"/>
      <c r="BU208" s="215"/>
      <c r="BV208" s="215"/>
      <c r="BW208" s="215"/>
      <c r="BX208" s="215"/>
      <c r="BY208" s="215"/>
      <c r="BZ208" s="215"/>
    </row>
    <row r="209" spans="1:78" x14ac:dyDescent="0.2">
      <c r="A209" s="2" t="str">
        <f>'Language Index'!A207</f>
        <v>Stock Options Comp. Exp., Before Tax</v>
      </c>
      <c r="B209" s="17"/>
      <c r="C209" s="17"/>
      <c r="D209" s="18">
        <f>_xll.ciqfunctions.udf.CIQ($C$2,"IQ_STOCK_OPTIONS_COMP_PRETAX", D$6,$F$2,,,Ccy,Conv)</f>
        <v>0</v>
      </c>
      <c r="E209" s="18">
        <f>_xll.ciqfunctions.udf.CIQ($C$2,"IQ_STOCK_OPTIONS_COMP_PRETAX", E$6,$F$2,,,Ccy,Conv)</f>
        <v>0</v>
      </c>
      <c r="F209" s="18">
        <f>_xll.ciqfunctions.udf.CIQ($C$2,"IQ_STOCK_OPTIONS_COMP_PRETAX", F$6,$F$2,,,Ccy,Conv)</f>
        <v>0</v>
      </c>
      <c r="G209" s="18">
        <f>_xll.ciqfunctions.udf.CIQ($C$2,"IQ_STOCK_OPTIONS_COMP_PRETAX", G$6,$F$2,,,Ccy,Conv)</f>
        <v>0</v>
      </c>
      <c r="H209" s="18">
        <f>_xll.ciqfunctions.udf.CIQ($C$2,"IQ_STOCK_OPTIONS_COMP_PRETAX", H$6,$F$2,,,Ccy,Conv)</f>
        <v>0</v>
      </c>
      <c r="I209" s="18">
        <f>_xll.ciqfunctions.udf.CIQ($C$2,"IQ_STOCK_OPTIONS_COMP_PRETAX", I$6,$F$2,,,Ccy,Conv)</f>
        <v>0</v>
      </c>
      <c r="J209" s="18">
        <f>_xll.ciqfunctions.udf.CIQ($C$2,"IQ_STOCK_OPTIONS_COMP_PRETAX", J$6,$F$2,,,Ccy,Conv)</f>
        <v>0</v>
      </c>
      <c r="K209" s="18">
        <f>_xll.ciqfunctions.udf.CIQ($C$2,"IQ_STOCK_OPTIONS_COMP_PRETAX", K$6,$F$2,,,Ccy,Conv)</f>
        <v>0</v>
      </c>
      <c r="L209" s="18">
        <f>_xll.ciqfunctions.udf.CIQ($C$2,"IQ_STOCK_OPTIONS_COMP_PRETAX", L$6,$F$2,,,Ccy,Conv)</f>
        <v>0</v>
      </c>
      <c r="M209" s="18">
        <f>_xll.ciqfunctions.udf.CIQ($C$2,"IQ_STOCK_OPTIONS_COMP_PRETAX", M$6,$F$2,,,Ccy,Conv)</f>
        <v>0</v>
      </c>
      <c r="N209" s="18">
        <f>_xll.ciqfunctions.udf.CIQ($C$2,"IQ_STOCK_OPTIONS_COMP_PRETAX", N$6,$F$2,,,Ccy,Conv)</f>
        <v>0</v>
      </c>
      <c r="O209" s="18"/>
      <c r="P209" s="18">
        <f>_xll.ciqfunctions.udf.CIQ($C$2,"IQ_STOCK_OPTIONS_COMP_PRETAX", P$6,$F$2,,,Ccy,Conv)</f>
        <v>0</v>
      </c>
      <c r="Q209" s="238"/>
      <c r="R209" s="215"/>
      <c r="S209" s="215"/>
      <c r="T209" s="215"/>
      <c r="U209" s="215"/>
      <c r="V209" s="222"/>
      <c r="W209" s="222"/>
      <c r="X209" s="222"/>
      <c r="Y209" s="215"/>
      <c r="Z209" s="215"/>
      <c r="AA209" s="215"/>
      <c r="AB209" s="215"/>
      <c r="AC209" s="215"/>
      <c r="AD209" s="215"/>
      <c r="AE209" s="215"/>
      <c r="AF209" s="215"/>
      <c r="AG209" s="215"/>
      <c r="AH209" s="215"/>
      <c r="AI209" s="215"/>
      <c r="AJ209" s="215"/>
      <c r="AK209" s="215"/>
      <c r="AL209" s="215"/>
      <c r="AM209" s="215"/>
      <c r="AN209" s="215"/>
      <c r="AO209" s="215"/>
      <c r="AP209" s="215"/>
      <c r="AQ209" s="215"/>
      <c r="AR209" s="215"/>
      <c r="AS209" s="215"/>
      <c r="AT209" s="215"/>
      <c r="AU209" s="215"/>
      <c r="AV209" s="215"/>
      <c r="AW209" s="215"/>
      <c r="AX209" s="215"/>
      <c r="AY209" s="215"/>
      <c r="AZ209" s="215"/>
      <c r="BA209" s="215"/>
      <c r="BB209" s="215"/>
      <c r="BC209" s="215"/>
      <c r="BD209" s="215"/>
      <c r="BE209" s="215"/>
      <c r="BF209" s="215"/>
      <c r="BG209" s="215"/>
      <c r="BH209" s="215"/>
      <c r="BI209" s="215"/>
      <c r="BJ209" s="215"/>
      <c r="BK209" s="215"/>
      <c r="BL209" s="215"/>
      <c r="BM209" s="215"/>
      <c r="BN209" s="215"/>
      <c r="BO209" s="215"/>
      <c r="BP209" s="215"/>
      <c r="BQ209" s="215"/>
      <c r="BR209" s="215"/>
      <c r="BS209" s="215"/>
      <c r="BT209" s="215"/>
      <c r="BU209" s="215"/>
      <c r="BV209" s="215"/>
      <c r="BW209" s="215"/>
      <c r="BX209" s="215"/>
      <c r="BY209" s="215"/>
      <c r="BZ209" s="215"/>
    </row>
    <row r="210" spans="1:78" x14ac:dyDescent="0.2">
      <c r="A210" s="2" t="str">
        <f>'Language Index'!A208</f>
        <v>Stock Options Comp. Exp. Tax Effect</v>
      </c>
      <c r="B210" s="17"/>
      <c r="C210" s="17"/>
      <c r="D210" s="18">
        <f>_xll.ciqfunctions.udf.CIQ($C$2,"IQ_STOCK_OPTIONS_COMP_TAX", D$6,$F$2,,,Ccy,Conv)</f>
        <v>0</v>
      </c>
      <c r="E210" s="18">
        <f>_xll.ciqfunctions.udf.CIQ($C$2,"IQ_STOCK_OPTIONS_COMP_TAX", E$6,$F$2,,,Ccy,Conv)</f>
        <v>0</v>
      </c>
      <c r="F210" s="18">
        <f>_xll.ciqfunctions.udf.CIQ($C$2,"IQ_STOCK_OPTIONS_COMP_TAX", F$6,$F$2,,,Ccy,Conv)</f>
        <v>0</v>
      </c>
      <c r="G210" s="18">
        <f>_xll.ciqfunctions.udf.CIQ($C$2,"IQ_STOCK_OPTIONS_COMP_TAX", G$6,$F$2,,,Ccy,Conv)</f>
        <v>0</v>
      </c>
      <c r="H210" s="18">
        <f>_xll.ciqfunctions.udf.CIQ($C$2,"IQ_STOCK_OPTIONS_COMP_TAX", H$6,$F$2,,,Ccy,Conv)</f>
        <v>0</v>
      </c>
      <c r="I210" s="18">
        <f>_xll.ciqfunctions.udf.CIQ($C$2,"IQ_STOCK_OPTIONS_COMP_TAX", I$6,$F$2,,,Ccy,Conv)</f>
        <v>0</v>
      </c>
      <c r="J210" s="18">
        <f>_xll.ciqfunctions.udf.CIQ($C$2,"IQ_STOCK_OPTIONS_COMP_TAX", J$6,$F$2,,,Ccy,Conv)</f>
        <v>0</v>
      </c>
      <c r="K210" s="18">
        <f>_xll.ciqfunctions.udf.CIQ($C$2,"IQ_STOCK_OPTIONS_COMP_TAX", K$6,$F$2,,,Ccy,Conv)</f>
        <v>0</v>
      </c>
      <c r="L210" s="18">
        <f>_xll.ciqfunctions.udf.CIQ($C$2,"IQ_STOCK_OPTIONS_COMP_TAX", L$6,$F$2,,,Ccy,Conv)</f>
        <v>0</v>
      </c>
      <c r="M210" s="18">
        <f>_xll.ciqfunctions.udf.CIQ($C$2,"IQ_STOCK_OPTIONS_COMP_TAX", M$6,$F$2,,,Ccy,Conv)</f>
        <v>0</v>
      </c>
      <c r="N210" s="18">
        <f>_xll.ciqfunctions.udf.CIQ($C$2,"IQ_STOCK_OPTIONS_COMP_TAX", N$6,$F$2,,,Ccy,Conv)</f>
        <v>0</v>
      </c>
      <c r="O210" s="18"/>
      <c r="P210" s="18">
        <f>_xll.ciqfunctions.udf.CIQ($C$2,"IQ_STOCK_OPTIONS_COMP_TAX", P$6,$F$2,,,Ccy,Conv)</f>
        <v>0</v>
      </c>
      <c r="Q210" s="238"/>
      <c r="R210" s="215"/>
      <c r="S210" s="215"/>
      <c r="T210" s="215"/>
      <c r="U210" s="215"/>
      <c r="V210" s="222"/>
      <c r="W210" s="222"/>
      <c r="X210" s="222"/>
      <c r="Y210" s="215"/>
      <c r="Z210" s="215"/>
      <c r="AA210" s="215"/>
      <c r="AB210" s="215"/>
      <c r="AC210" s="215"/>
      <c r="AD210" s="215"/>
      <c r="AE210" s="215"/>
      <c r="AF210" s="215"/>
      <c r="AG210" s="215"/>
      <c r="AH210" s="215"/>
      <c r="AI210" s="215"/>
      <c r="AJ210" s="215"/>
      <c r="AK210" s="215"/>
      <c r="AL210" s="215"/>
      <c r="AM210" s="215"/>
      <c r="AN210" s="215"/>
      <c r="AO210" s="215"/>
      <c r="AP210" s="215"/>
      <c r="AQ210" s="215"/>
      <c r="AR210" s="215"/>
      <c r="AS210" s="215"/>
      <c r="AT210" s="215"/>
      <c r="AU210" s="215"/>
      <c r="AV210" s="215"/>
      <c r="AW210" s="215"/>
      <c r="AX210" s="215"/>
      <c r="AY210" s="215"/>
      <c r="AZ210" s="215"/>
      <c r="BA210" s="215"/>
      <c r="BB210" s="215"/>
      <c r="BC210" s="215"/>
      <c r="BD210" s="215"/>
      <c r="BE210" s="215"/>
      <c r="BF210" s="215"/>
      <c r="BG210" s="215"/>
      <c r="BH210" s="215"/>
      <c r="BI210" s="215"/>
      <c r="BJ210" s="215"/>
      <c r="BK210" s="215"/>
      <c r="BL210" s="215"/>
      <c r="BM210" s="215"/>
      <c r="BN210" s="215"/>
      <c r="BO210" s="215"/>
      <c r="BP210" s="215"/>
      <c r="BQ210" s="215"/>
      <c r="BR210" s="215"/>
      <c r="BS210" s="215"/>
      <c r="BT210" s="215"/>
      <c r="BU210" s="215"/>
      <c r="BV210" s="215"/>
      <c r="BW210" s="215"/>
      <c r="BX210" s="215"/>
      <c r="BY210" s="215"/>
      <c r="BZ210" s="215"/>
    </row>
    <row r="211" spans="1:78" x14ac:dyDescent="0.2">
      <c r="A211" s="2" t="str">
        <f>'Language Index'!A209</f>
        <v>Stock Options Comp. Exp., After Tax</v>
      </c>
      <c r="B211" s="17"/>
      <c r="C211" s="17"/>
      <c r="D211" s="18">
        <f>_xll.ciqfunctions.udf.CIQ($C$2,"IQ_STOCK_OPTIONS_COMP", D$6,$F$2,,,Ccy,Conv)</f>
        <v>0</v>
      </c>
      <c r="E211" s="18">
        <f>_xll.ciqfunctions.udf.CIQ($C$2,"IQ_STOCK_OPTIONS_COMP", E$6,$F$2,,,Ccy,Conv)</f>
        <v>0</v>
      </c>
      <c r="F211" s="18">
        <f>_xll.ciqfunctions.udf.CIQ($C$2,"IQ_STOCK_OPTIONS_COMP", F$6,$F$2,,,Ccy,Conv)</f>
        <v>0</v>
      </c>
      <c r="G211" s="18">
        <f>_xll.ciqfunctions.udf.CIQ($C$2,"IQ_STOCK_OPTIONS_COMP", G$6,$F$2,,,Ccy,Conv)</f>
        <v>0</v>
      </c>
      <c r="H211" s="18">
        <f>_xll.ciqfunctions.udf.CIQ($C$2,"IQ_STOCK_OPTIONS_COMP", H$6,$F$2,,,Ccy,Conv)</f>
        <v>0</v>
      </c>
      <c r="I211" s="18">
        <f>_xll.ciqfunctions.udf.CIQ($C$2,"IQ_STOCK_OPTIONS_COMP", I$6,$F$2,,,Ccy,Conv)</f>
        <v>0</v>
      </c>
      <c r="J211" s="18">
        <f>_xll.ciqfunctions.udf.CIQ($C$2,"IQ_STOCK_OPTIONS_COMP", J$6,$F$2,,,Ccy,Conv)</f>
        <v>0</v>
      </c>
      <c r="K211" s="18">
        <f>_xll.ciqfunctions.udf.CIQ($C$2,"IQ_STOCK_OPTIONS_COMP", K$6,$F$2,,,Ccy,Conv)</f>
        <v>0</v>
      </c>
      <c r="L211" s="18">
        <f>_xll.ciqfunctions.udf.CIQ($C$2,"IQ_STOCK_OPTIONS_COMP", L$6,$F$2,,,Ccy,Conv)</f>
        <v>0</v>
      </c>
      <c r="M211" s="18">
        <f>_xll.ciqfunctions.udf.CIQ($C$2,"IQ_STOCK_OPTIONS_COMP", M$6,$F$2,,,Ccy,Conv)</f>
        <v>0</v>
      </c>
      <c r="N211" s="18">
        <f>_xll.ciqfunctions.udf.CIQ($C$2,"IQ_STOCK_OPTIONS_COMP", N$6,$F$2,,,Ccy,Conv)</f>
        <v>0</v>
      </c>
      <c r="O211" s="18"/>
      <c r="P211" s="18">
        <f>_xll.ciqfunctions.udf.CIQ($C$2,"IQ_STOCK_OPTIONS_COMP", P$6,$F$2,,,Ccy,Conv)</f>
        <v>0</v>
      </c>
      <c r="Q211" s="238"/>
      <c r="R211" s="215"/>
      <c r="S211" s="215"/>
      <c r="T211" s="215"/>
      <c r="U211" s="215"/>
      <c r="V211" s="222"/>
      <c r="W211" s="222"/>
      <c r="X211" s="222"/>
      <c r="Y211" s="215"/>
      <c r="Z211" s="215"/>
      <c r="AA211" s="215"/>
      <c r="AB211" s="215"/>
      <c r="AC211" s="215"/>
      <c r="AD211" s="215"/>
      <c r="AE211" s="215"/>
      <c r="AF211" s="215"/>
      <c r="AG211" s="215"/>
      <c r="AH211" s="215"/>
      <c r="AI211" s="215"/>
      <c r="AJ211" s="215"/>
      <c r="AK211" s="215"/>
      <c r="AL211" s="215"/>
      <c r="AM211" s="215"/>
      <c r="AN211" s="215"/>
      <c r="AO211" s="215"/>
      <c r="AP211" s="215"/>
      <c r="AQ211" s="215"/>
      <c r="AR211" s="215"/>
      <c r="AS211" s="215"/>
      <c r="AT211" s="215"/>
      <c r="AU211" s="215"/>
      <c r="AV211" s="215"/>
      <c r="AW211" s="215"/>
      <c r="AX211" s="215"/>
      <c r="AY211" s="215"/>
      <c r="AZ211" s="215"/>
      <c r="BA211" s="215"/>
      <c r="BB211" s="215"/>
      <c r="BC211" s="215"/>
      <c r="BD211" s="215"/>
      <c r="BE211" s="215"/>
      <c r="BF211" s="215"/>
      <c r="BG211" s="215"/>
      <c r="BH211" s="215"/>
      <c r="BI211" s="215"/>
      <c r="BJ211" s="215"/>
      <c r="BK211" s="215"/>
      <c r="BL211" s="215"/>
      <c r="BM211" s="215"/>
      <c r="BN211" s="215"/>
      <c r="BO211" s="215"/>
      <c r="BP211" s="215"/>
      <c r="BQ211" s="215"/>
      <c r="BR211" s="215"/>
      <c r="BS211" s="215"/>
      <c r="BT211" s="215"/>
      <c r="BU211" s="215"/>
      <c r="BV211" s="215"/>
      <c r="BW211" s="215"/>
      <c r="BX211" s="215"/>
      <c r="BY211" s="215"/>
      <c r="BZ211" s="215"/>
    </row>
    <row r="212" spans="1:78" x14ac:dyDescent="0.2">
      <c r="A212" s="2" t="str">
        <f>'Language Index'!A210</f>
        <v>Stock Based Comp. Exp., Before Tax</v>
      </c>
      <c r="B212" s="17"/>
      <c r="C212" s="17"/>
      <c r="D212" s="18">
        <f>_xll.ciqfunctions.udf.CIQ($C$2,"IQ_STOCK_BASED_COMP_PRETAX", D$6,$F$2,,,Ccy,Conv)</f>
        <v>1056</v>
      </c>
      <c r="E212" s="18">
        <f>_xll.ciqfunctions.udf.CIQ($C$2,"IQ_STOCK_BASED_COMP_PRETAX", E$6,$F$2,,,Ccy,Conv)</f>
        <v>1092</v>
      </c>
      <c r="F212" s="18">
        <f>_xll.ciqfunctions.udf.CIQ($C$2,"IQ_STOCK_BASED_COMP_PRETAX", F$6,$F$2,,,Ccy,Conv)</f>
        <v>1134</v>
      </c>
      <c r="G212" s="18">
        <f>_xll.ciqfunctions.udf.CIQ($C$2,"IQ_STOCK_BASED_COMP_PRETAX", G$6,$F$2,,,Ccy,Conv)</f>
        <v>1185</v>
      </c>
      <c r="H212" s="18">
        <f>_xll.ciqfunctions.udf.CIQ($C$2,"IQ_STOCK_BASED_COMP_PRETAX", H$6,$F$2,,,Ccy,Conv)</f>
        <v>1214</v>
      </c>
      <c r="I212" s="18">
        <f>_xll.ciqfunctions.udf.CIQ($C$2,"IQ_STOCK_BASED_COMP_PRETAX", I$6,$F$2,,,Ccy,Conv)</f>
        <v>1257</v>
      </c>
      <c r="J212" s="18">
        <f>_xll.ciqfunctions.udf.CIQ($C$2,"IQ_STOCK_BASED_COMP_PRETAX", J$6,$F$2,,,Ccy,Conv)</f>
        <v>1311</v>
      </c>
      <c r="K212" s="18">
        <f>_xll.ciqfunctions.udf.CIQ($C$2,"IQ_STOCK_BASED_COMP_PRETAX", K$6,$F$2,,,Ccy,Conv)</f>
        <v>1392</v>
      </c>
      <c r="L212" s="18">
        <f>_xll.ciqfunctions.udf.CIQ($C$2,"IQ_STOCK_BASED_COMP_PRETAX", L$6,$F$2,,,Ccy,Conv)</f>
        <v>1534</v>
      </c>
      <c r="M212" s="18">
        <f>_xll.ciqfunctions.udf.CIQ($C$2,"IQ_STOCK_BASED_COMP_PRETAX", M$6,$F$2,,,Ccy,Conv)</f>
        <v>1631</v>
      </c>
      <c r="N212" s="18">
        <f>_xll.ciqfunctions.udf.CIQ($C$2,"IQ_STOCK_BASED_COMP_PRETAX", N$6,$F$2,,,Ccy,Conv)</f>
        <v>1715</v>
      </c>
      <c r="O212" s="18"/>
      <c r="P212" s="18">
        <f>_xll.ciqfunctions.udf.CIQ($C$2,"IQ_STOCK_BASED_COMP_PRETAX", P$6,$F$2,,,Ccy,Conv)</f>
        <v>1715</v>
      </c>
      <c r="Q212" s="238"/>
      <c r="R212" s="215"/>
      <c r="S212" s="215"/>
      <c r="T212" s="215"/>
      <c r="U212" s="215"/>
      <c r="V212" s="222"/>
      <c r="W212" s="222"/>
      <c r="X212" s="222"/>
      <c r="Y212" s="215"/>
      <c r="Z212" s="215"/>
      <c r="AA212" s="215"/>
      <c r="AB212" s="215"/>
      <c r="AC212" s="215"/>
      <c r="AD212" s="215"/>
      <c r="AE212" s="215"/>
      <c r="AF212" s="215"/>
      <c r="AG212" s="215"/>
      <c r="AH212" s="215"/>
      <c r="AI212" s="215"/>
      <c r="AJ212" s="215"/>
      <c r="AK212" s="215"/>
      <c r="AL212" s="215"/>
      <c r="AM212" s="215"/>
      <c r="AN212" s="215"/>
      <c r="AO212" s="215"/>
      <c r="AP212" s="215"/>
      <c r="AQ212" s="215"/>
      <c r="AR212" s="215"/>
      <c r="AS212" s="215"/>
      <c r="AT212" s="215"/>
      <c r="AU212" s="215"/>
      <c r="AV212" s="215"/>
      <c r="AW212" s="215"/>
      <c r="AX212" s="215"/>
      <c r="AY212" s="215"/>
      <c r="AZ212" s="215"/>
      <c r="BA212" s="215"/>
      <c r="BB212" s="215"/>
      <c r="BC212" s="215"/>
      <c r="BD212" s="215"/>
      <c r="BE212" s="215"/>
      <c r="BF212" s="215"/>
      <c r="BG212" s="215"/>
      <c r="BH212" s="215"/>
      <c r="BI212" s="215"/>
      <c r="BJ212" s="215"/>
      <c r="BK212" s="215"/>
      <c r="BL212" s="215"/>
      <c r="BM212" s="215"/>
      <c r="BN212" s="215"/>
      <c r="BO212" s="215"/>
      <c r="BP212" s="215"/>
      <c r="BQ212" s="215"/>
      <c r="BR212" s="215"/>
      <c r="BS212" s="215"/>
      <c r="BT212" s="215"/>
      <c r="BU212" s="215"/>
      <c r="BV212" s="215"/>
      <c r="BW212" s="215"/>
      <c r="BX212" s="215"/>
      <c r="BY212" s="215"/>
      <c r="BZ212" s="215"/>
    </row>
    <row r="213" spans="1:78" x14ac:dyDescent="0.2">
      <c r="A213" s="2" t="str">
        <f>'Language Index'!A211</f>
        <v>Stock Based Comp. Exp. Tax Effect</v>
      </c>
      <c r="B213" s="17"/>
      <c r="C213" s="17"/>
      <c r="D213" s="18">
        <f>_xll.ciqfunctions.udf.CIQ($C$2,"IQ_STOCK_BASED_COMP_TAX", D$6,$F$2,,,Ccy,Conv)</f>
        <v>-252</v>
      </c>
      <c r="E213" s="18">
        <f>_xll.ciqfunctions.udf.CIQ($C$2,"IQ_STOCK_BASED_COMP_TAX", E$6,$F$2,,,Ccy,Conv)</f>
        <v>-274</v>
      </c>
      <c r="F213" s="18">
        <f>_xll.ciqfunctions.udf.CIQ($C$2,"IQ_STOCK_BASED_COMP_TAX", F$6,$F$2,,,Ccy,Conv)</f>
        <v>-290</v>
      </c>
      <c r="G213" s="18">
        <f>_xll.ciqfunctions.udf.CIQ($C$2,"IQ_STOCK_BASED_COMP_TAX", G$6,$F$2,,,Ccy,Conv)</f>
        <v>-343</v>
      </c>
      <c r="H213" s="18">
        <f>_xll.ciqfunctions.udf.CIQ($C$2,"IQ_STOCK_BASED_COMP_TAX", H$6,$F$2,,,Ccy,Conv)</f>
        <v>-370</v>
      </c>
      <c r="I213" s="18">
        <f>_xll.ciqfunctions.udf.CIQ($C$2,"IQ_STOCK_BASED_COMP_TAX", I$6,$F$2,,,Ccy,Conv)</f>
        <v>-427</v>
      </c>
      <c r="J213" s="18">
        <f>_xll.ciqfunctions.udf.CIQ($C$2,"IQ_STOCK_BASED_COMP_TAX", J$6,$F$2,,,Ccy,Conv)</f>
        <v>-469</v>
      </c>
      <c r="K213" s="18">
        <f>_xll.ciqfunctions.udf.CIQ($C$2,"IQ_STOCK_BASED_COMP_TAX", K$6,$F$2,,,Ccy,Conv)</f>
        <v>-543</v>
      </c>
      <c r="L213" s="18">
        <f>_xll.ciqfunctions.udf.CIQ($C$2,"IQ_STOCK_BASED_COMP_TAX", L$6,$F$2,,,Ccy,Conv)</f>
        <v>-597</v>
      </c>
      <c r="M213" s="18">
        <f>_xll.ciqfunctions.udf.CIQ($C$2,"IQ_STOCK_BASED_COMP_TAX", M$6,$F$2,,,Ccy,Conv)</f>
        <v>-694</v>
      </c>
      <c r="N213" s="18">
        <f>_xll.ciqfunctions.udf.CIQ($C$2,"IQ_STOCK_BASED_COMP_TAX", N$6,$F$2,,,Ccy,Conv)</f>
        <v>-740</v>
      </c>
      <c r="O213" s="18"/>
      <c r="P213" s="18">
        <f>_xll.ciqfunctions.udf.CIQ($C$2,"IQ_STOCK_BASED_COMP_TAX", P$6,$F$2,,,Ccy,Conv)</f>
        <v>-740</v>
      </c>
      <c r="Q213" s="215"/>
      <c r="R213" s="215"/>
      <c r="S213" s="215"/>
      <c r="T213" s="215"/>
      <c r="U213" s="215"/>
      <c r="V213" s="222"/>
      <c r="W213" s="222"/>
      <c r="X213" s="222"/>
      <c r="Y213" s="215"/>
      <c r="Z213" s="215"/>
      <c r="AA213" s="215"/>
      <c r="AB213" s="215"/>
      <c r="AC213" s="215"/>
      <c r="AD213" s="215"/>
      <c r="AE213" s="215"/>
      <c r="AF213" s="215"/>
      <c r="AG213" s="215"/>
      <c r="AH213" s="215"/>
      <c r="AI213" s="215"/>
      <c r="AJ213" s="215"/>
      <c r="AK213" s="215"/>
      <c r="AL213" s="215"/>
      <c r="AM213" s="215"/>
      <c r="AN213" s="215"/>
      <c r="AO213" s="215"/>
      <c r="AP213" s="215"/>
      <c r="AQ213" s="215"/>
      <c r="AR213" s="215"/>
      <c r="AS213" s="215"/>
      <c r="AT213" s="215"/>
      <c r="AU213" s="215"/>
      <c r="AV213" s="215"/>
      <c r="AW213" s="215"/>
      <c r="AX213" s="215"/>
      <c r="AY213" s="215"/>
      <c r="AZ213" s="215"/>
      <c r="BA213" s="215"/>
      <c r="BB213" s="215"/>
      <c r="BC213" s="215"/>
      <c r="BD213" s="215"/>
      <c r="BE213" s="215"/>
      <c r="BF213" s="215"/>
      <c r="BG213" s="215"/>
      <c r="BH213" s="215"/>
      <c r="BI213" s="215"/>
      <c r="BJ213" s="215"/>
      <c r="BK213" s="215"/>
      <c r="BL213" s="215"/>
      <c r="BM213" s="215"/>
      <c r="BN213" s="215"/>
      <c r="BO213" s="215"/>
      <c r="BP213" s="215"/>
      <c r="BQ213" s="215"/>
      <c r="BR213" s="215"/>
      <c r="BS213" s="215"/>
      <c r="BT213" s="215"/>
      <c r="BU213" s="215"/>
      <c r="BV213" s="215"/>
      <c r="BW213" s="215"/>
      <c r="BX213" s="215"/>
      <c r="BY213" s="215"/>
      <c r="BZ213" s="215"/>
    </row>
    <row r="214" spans="1:78" x14ac:dyDescent="0.2">
      <c r="A214" s="2" t="str">
        <f>'Language Index'!A212</f>
        <v>Stock Based Comp. Exp., After Tax</v>
      </c>
      <c r="B214" s="17"/>
      <c r="C214" s="17"/>
      <c r="D214" s="18">
        <f>_xll.ciqfunctions.udf.CIQ($C$2,"IQ_STOCK_BASED_COMP", D$6,$F$2,,,Ccy,Conv)</f>
        <v>804</v>
      </c>
      <c r="E214" s="18">
        <f>_xll.ciqfunctions.udf.CIQ($C$2,"IQ_STOCK_BASED_COMP", E$6,$F$2,,,Ccy,Conv)</f>
        <v>817</v>
      </c>
      <c r="F214" s="18">
        <f>_xll.ciqfunctions.udf.CIQ($C$2,"IQ_STOCK_BASED_COMP", F$6,$F$2,,,Ccy,Conv)</f>
        <v>843</v>
      </c>
      <c r="G214" s="18">
        <f>_xll.ciqfunctions.udf.CIQ($C$2,"IQ_STOCK_BASED_COMP", G$6,$F$2,,,Ccy,Conv)</f>
        <v>842</v>
      </c>
      <c r="H214" s="18">
        <f>_xll.ciqfunctions.udf.CIQ($C$2,"IQ_STOCK_BASED_COMP", H$6,$F$2,,,Ccy,Conv)</f>
        <v>843</v>
      </c>
      <c r="I214" s="18">
        <f>_xll.ciqfunctions.udf.CIQ($C$2,"IQ_STOCK_BASED_COMP", I$6,$F$2,,,Ccy,Conv)</f>
        <v>829</v>
      </c>
      <c r="J214" s="18">
        <f>_xll.ciqfunctions.udf.CIQ($C$2,"IQ_STOCK_BASED_COMP", J$6,$F$2,,,Ccy,Conv)</f>
        <v>842</v>
      </c>
      <c r="K214" s="18">
        <f>_xll.ciqfunctions.udf.CIQ($C$2,"IQ_STOCK_BASED_COMP", K$6,$F$2,,,Ccy,Conv)</f>
        <v>849</v>
      </c>
      <c r="L214" s="18">
        <f>_xll.ciqfunctions.udf.CIQ($C$2,"IQ_STOCK_BASED_COMP", L$6,$F$2,,,Ccy,Conv)</f>
        <v>920</v>
      </c>
      <c r="M214" s="18">
        <f>_xll.ciqfunctions.udf.CIQ($C$2,"IQ_STOCK_BASED_COMP", M$6,$F$2,,,Ccy,Conv)</f>
        <v>936</v>
      </c>
      <c r="N214" s="18">
        <f>_xll.ciqfunctions.udf.CIQ($C$2,"IQ_STOCK_BASED_COMP", N$6,$F$2,,,Ccy,Conv)</f>
        <v>975</v>
      </c>
      <c r="O214" s="18"/>
      <c r="P214" s="18">
        <f>_xll.ciqfunctions.udf.CIQ($C$2,"IQ_STOCK_BASED_COMP", P$6,$F$2,,,Ccy,Conv)</f>
        <v>975</v>
      </c>
      <c r="Q214" s="215"/>
      <c r="R214" s="215"/>
      <c r="S214" s="215"/>
      <c r="T214" s="215"/>
      <c r="U214" s="215"/>
      <c r="V214" s="222"/>
      <c r="W214" s="222"/>
      <c r="X214" s="222"/>
      <c r="Y214" s="215"/>
      <c r="Z214" s="215"/>
      <c r="AA214" s="215"/>
      <c r="AB214" s="215"/>
      <c r="AC214" s="215"/>
      <c r="AD214" s="215"/>
      <c r="AE214" s="215"/>
      <c r="AF214" s="215"/>
      <c r="AG214" s="215"/>
      <c r="AH214" s="215"/>
      <c r="AI214" s="215"/>
      <c r="AJ214" s="215"/>
      <c r="AK214" s="215"/>
      <c r="AL214" s="215"/>
      <c r="AM214" s="215"/>
      <c r="AN214" s="215"/>
      <c r="AO214" s="215"/>
      <c r="AP214" s="215"/>
      <c r="AQ214" s="215"/>
      <c r="AR214" s="215"/>
      <c r="AS214" s="215"/>
      <c r="AT214" s="215"/>
      <c r="AU214" s="215"/>
      <c r="AV214" s="215"/>
      <c r="AW214" s="215"/>
      <c r="AX214" s="215"/>
      <c r="AY214" s="215"/>
      <c r="AZ214" s="215"/>
      <c r="BA214" s="215"/>
      <c r="BB214" s="215"/>
      <c r="BC214" s="215"/>
      <c r="BD214" s="215"/>
      <c r="BE214" s="215"/>
      <c r="BF214" s="215"/>
      <c r="BG214" s="215"/>
      <c r="BH214" s="215"/>
      <c r="BI214" s="215"/>
      <c r="BJ214" s="215"/>
      <c r="BK214" s="215"/>
      <c r="BL214" s="215"/>
      <c r="BM214" s="215"/>
      <c r="BN214" s="215"/>
      <c r="BO214" s="215"/>
      <c r="BP214" s="215"/>
      <c r="BQ214" s="215"/>
      <c r="BR214" s="215"/>
      <c r="BS214" s="215"/>
      <c r="BT214" s="215"/>
      <c r="BU214" s="215"/>
      <c r="BV214" s="215"/>
      <c r="BW214" s="215"/>
      <c r="BX214" s="215"/>
      <c r="BY214" s="215"/>
      <c r="BZ214" s="215"/>
    </row>
    <row r="215" spans="1:78" x14ac:dyDescent="0.2">
      <c r="A215" s="17"/>
      <c r="B215" s="17"/>
      <c r="C215" s="17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215"/>
      <c r="R215" s="215"/>
      <c r="S215" s="215"/>
      <c r="T215" s="215"/>
      <c r="U215" s="215"/>
      <c r="V215" s="222"/>
      <c r="W215" s="222"/>
      <c r="X215" s="222"/>
      <c r="Y215" s="215"/>
      <c r="Z215" s="215"/>
      <c r="AA215" s="215"/>
      <c r="AB215" s="215"/>
      <c r="AC215" s="215"/>
      <c r="AD215" s="215"/>
      <c r="AE215" s="215"/>
      <c r="AF215" s="215"/>
      <c r="AG215" s="215"/>
      <c r="AH215" s="215"/>
      <c r="AI215" s="215"/>
      <c r="AJ215" s="215"/>
      <c r="AK215" s="215"/>
      <c r="AL215" s="215"/>
      <c r="AM215" s="215"/>
      <c r="AN215" s="215"/>
      <c r="AO215" s="215"/>
      <c r="AP215" s="215"/>
      <c r="AQ215" s="215"/>
      <c r="AR215" s="215"/>
      <c r="AS215" s="215"/>
      <c r="AT215" s="215"/>
      <c r="AU215" s="215"/>
      <c r="AV215" s="215"/>
      <c r="AW215" s="215"/>
      <c r="AX215" s="215"/>
      <c r="AY215" s="215"/>
      <c r="AZ215" s="215"/>
      <c r="BA215" s="215"/>
      <c r="BB215" s="215"/>
      <c r="BC215" s="215"/>
      <c r="BD215" s="215"/>
      <c r="BE215" s="215"/>
      <c r="BF215" s="215"/>
      <c r="BG215" s="215"/>
      <c r="BH215" s="215"/>
      <c r="BI215" s="215"/>
      <c r="BJ215" s="215"/>
      <c r="BK215" s="215"/>
      <c r="BL215" s="215"/>
      <c r="BM215" s="215"/>
      <c r="BN215" s="215"/>
      <c r="BO215" s="215"/>
      <c r="BP215" s="215"/>
      <c r="BQ215" s="215"/>
      <c r="BR215" s="215"/>
      <c r="BS215" s="215"/>
      <c r="BT215" s="215"/>
      <c r="BU215" s="215"/>
      <c r="BV215" s="215"/>
      <c r="BW215" s="215"/>
      <c r="BX215" s="215"/>
      <c r="BY215" s="215"/>
      <c r="BZ215" s="215"/>
    </row>
    <row r="216" spans="1:78" x14ac:dyDescent="0.2">
      <c r="A216" s="17"/>
      <c r="B216" s="17"/>
      <c r="C216" s="17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215"/>
      <c r="R216" s="215"/>
      <c r="S216" s="215"/>
      <c r="T216" s="215"/>
      <c r="U216" s="215"/>
      <c r="V216" s="222"/>
      <c r="W216" s="222"/>
      <c r="X216" s="222"/>
      <c r="Y216" s="215"/>
      <c r="Z216" s="215"/>
      <c r="AA216" s="215"/>
      <c r="AB216" s="215"/>
      <c r="AC216" s="215"/>
      <c r="AD216" s="215"/>
      <c r="AE216" s="215"/>
      <c r="AF216" s="215"/>
      <c r="AG216" s="215"/>
      <c r="AH216" s="215"/>
      <c r="AI216" s="215"/>
      <c r="AJ216" s="215"/>
      <c r="AK216" s="215"/>
      <c r="AL216" s="215"/>
      <c r="AM216" s="215"/>
      <c r="AN216" s="215"/>
      <c r="AO216" s="215"/>
      <c r="AP216" s="215"/>
      <c r="AQ216" s="215"/>
      <c r="AR216" s="215"/>
      <c r="AS216" s="215"/>
      <c r="AT216" s="215"/>
      <c r="AU216" s="215"/>
      <c r="AV216" s="215"/>
      <c r="AW216" s="215"/>
      <c r="AX216" s="215"/>
      <c r="AY216" s="215"/>
      <c r="AZ216" s="215"/>
      <c r="BA216" s="215"/>
      <c r="BB216" s="215"/>
      <c r="BC216" s="215"/>
      <c r="BD216" s="215"/>
      <c r="BE216" s="215"/>
      <c r="BF216" s="215"/>
      <c r="BG216" s="215"/>
      <c r="BH216" s="215"/>
      <c r="BI216" s="215"/>
      <c r="BJ216" s="215"/>
      <c r="BK216" s="215"/>
      <c r="BL216" s="215"/>
      <c r="BM216" s="215"/>
      <c r="BN216" s="215"/>
      <c r="BO216" s="215"/>
      <c r="BP216" s="215"/>
      <c r="BQ216" s="215"/>
      <c r="BR216" s="215"/>
      <c r="BS216" s="215"/>
      <c r="BT216" s="215"/>
      <c r="BU216" s="215"/>
      <c r="BV216" s="215"/>
      <c r="BW216" s="215"/>
      <c r="BX216" s="215"/>
      <c r="BY216" s="215"/>
      <c r="BZ216" s="215"/>
    </row>
    <row r="217" spans="1:78" x14ac:dyDescent="0.2">
      <c r="A217" s="9" t="str">
        <f>UPPER('Language Index'!A29)&amp;" - "&amp;IF($F$3='Language Index'!$A$159,_xll.ciqfunctions.udf.CIQ($C$2,"IQ_FILING_CURRENCY",,$F$2 ),IF($F$3='Language Index'!$A$867,_xll.ciqfunctions.udf.CIQ($C$2,"IQ_TRADING_CURRENCY",$F$2 ),Ccy))&amp;" "&amp;UPPER('Language Index'!A32)</f>
        <v>CASH FLOW STATEMENT - USD IN MILLIONS</v>
      </c>
      <c r="B217" s="1"/>
      <c r="C217" s="1"/>
      <c r="D217" s="14" t="str">
        <f>$T$2&amp; " "&amp;'Language Index'!A31&amp;","</f>
        <v>Last Twelve Months Ended,</v>
      </c>
      <c r="E217" s="14"/>
      <c r="F217" s="15"/>
      <c r="G217" s="15"/>
      <c r="H217" s="15"/>
      <c r="I217" s="15"/>
      <c r="J217" s="15"/>
      <c r="K217" s="15"/>
      <c r="L217" s="15"/>
      <c r="M217" s="15"/>
      <c r="N217" s="15"/>
      <c r="O217" s="4"/>
      <c r="P217" s="14" t="str">
        <f>'Language Index'!A14</f>
        <v>LTM</v>
      </c>
      <c r="Q217" s="215"/>
      <c r="R217" s="215"/>
      <c r="S217" s="215"/>
      <c r="T217" s="215"/>
      <c r="U217" s="215"/>
      <c r="V217" s="222"/>
      <c r="W217" s="222"/>
      <c r="X217" s="222"/>
      <c r="Y217" s="215"/>
      <c r="Z217" s="215"/>
      <c r="AA217" s="215"/>
      <c r="AB217" s="215"/>
      <c r="AC217" s="215"/>
      <c r="AD217" s="215"/>
      <c r="AE217" s="215"/>
      <c r="AF217" s="215"/>
      <c r="AG217" s="215"/>
      <c r="AH217" s="215"/>
      <c r="AI217" s="215"/>
      <c r="AJ217" s="215"/>
      <c r="AK217" s="215"/>
      <c r="AL217" s="215"/>
      <c r="AM217" s="215"/>
      <c r="AN217" s="215"/>
      <c r="AO217" s="215"/>
      <c r="AP217" s="215"/>
      <c r="AQ217" s="215"/>
      <c r="AR217" s="215"/>
      <c r="AS217" s="215"/>
      <c r="AT217" s="215"/>
      <c r="AU217" s="215"/>
      <c r="AV217" s="215"/>
      <c r="AW217" s="215"/>
      <c r="AX217" s="215"/>
      <c r="AY217" s="215"/>
      <c r="AZ217" s="215"/>
      <c r="BA217" s="215"/>
      <c r="BB217" s="215"/>
      <c r="BC217" s="215"/>
      <c r="BD217" s="215"/>
      <c r="BE217" s="215"/>
      <c r="BF217" s="215"/>
      <c r="BG217" s="215"/>
      <c r="BH217" s="215"/>
      <c r="BI217" s="215"/>
      <c r="BJ217" s="215"/>
      <c r="BK217" s="215"/>
      <c r="BL217" s="215"/>
      <c r="BM217" s="215"/>
      <c r="BN217" s="215"/>
      <c r="BO217" s="215"/>
      <c r="BP217" s="215"/>
      <c r="BQ217" s="215"/>
      <c r="BR217" s="215"/>
      <c r="BS217" s="215"/>
      <c r="BT217" s="215"/>
      <c r="BU217" s="215"/>
      <c r="BV217" s="215"/>
      <c r="BW217" s="215"/>
      <c r="BX217" s="215"/>
      <c r="BY217" s="215"/>
      <c r="BZ217" s="215"/>
    </row>
    <row r="218" spans="1:78" x14ac:dyDescent="0.2">
      <c r="A218" s="9" t="str">
        <f>'Language Index'!A265</f>
        <v>Period Date</v>
      </c>
      <c r="B218" s="2"/>
      <c r="C218" s="2"/>
      <c r="D218" s="64">
        <f>_xll.ciqfunctions.udf.CIQ($C$2, "IQ_PERIODDATE",D$6,$F$2)</f>
        <v>45107</v>
      </c>
      <c r="E218" s="64">
        <f>_xll.ciqfunctions.udf.CIQ($C$2, "IQ_PERIODDATE",E$6,$F$2)</f>
        <v>45199</v>
      </c>
      <c r="F218" s="64">
        <f>_xll.ciqfunctions.udf.CIQ($C$2, "IQ_PERIODDATE",F$6,$F$2)</f>
        <v>45291</v>
      </c>
      <c r="G218" s="64">
        <f>_xll.ciqfunctions.udf.CIQ($C$2, "IQ_PERIODDATE",G$6,$F$2)</f>
        <v>45382</v>
      </c>
      <c r="H218" s="64">
        <f>_xll.ciqfunctions.udf.CIQ($C$2, "IQ_PERIODDATE",H$6,$F$2)</f>
        <v>45473</v>
      </c>
      <c r="I218" s="64">
        <f>_xll.ciqfunctions.udf.CIQ($C$2, "IQ_PERIODDATE",I$6,$F$2)</f>
        <v>45565</v>
      </c>
      <c r="J218" s="64">
        <f>_xll.ciqfunctions.udf.CIQ($C$2, "IQ_PERIODDATE",J$6,$F$2)</f>
        <v>45657</v>
      </c>
      <c r="K218" s="64">
        <f>_xll.ciqfunctions.udf.CIQ($C$2, "IQ_PERIODDATE",K$6,$F$2)</f>
        <v>45747</v>
      </c>
      <c r="L218" s="64">
        <f>_xll.ciqfunctions.udf.CIQ($C$2, "IQ_PERIODDATE",L$6,$F$2)</f>
        <v>45838</v>
      </c>
      <c r="M218" s="64">
        <f>_xll.ciqfunctions.udf.CIQ($C$2, "IQ_PERIODDATE",M$6,$F$2)</f>
        <v>45930</v>
      </c>
      <c r="N218" s="64">
        <f>_xll.ciqfunctions.udf.CIQ($C$2, "IQ_PERIODDATE",N$6,$F$2)</f>
        <v>46022</v>
      </c>
      <c r="O218" s="65"/>
      <c r="P218" s="64">
        <f>_xll.ciqfunctions.udf.CIQ($C$2, "IQ_PERIODDATE",P$6,$F$2)</f>
        <v>46022</v>
      </c>
      <c r="Q218" s="215"/>
      <c r="R218" s="215"/>
      <c r="S218" s="215"/>
      <c r="T218" s="215"/>
      <c r="U218" s="215"/>
      <c r="V218" s="222"/>
      <c r="W218" s="222"/>
      <c r="X218" s="222"/>
      <c r="Y218" s="215"/>
      <c r="Z218" s="215"/>
      <c r="AA218" s="215"/>
      <c r="AB218" s="215"/>
      <c r="AC218" s="215"/>
      <c r="AD218" s="215"/>
      <c r="AE218" s="215"/>
      <c r="AF218" s="215"/>
      <c r="AG218" s="215"/>
      <c r="AH218" s="215"/>
      <c r="AI218" s="215"/>
      <c r="AJ218" s="215"/>
      <c r="AK218" s="215"/>
      <c r="AL218" s="215"/>
      <c r="AM218" s="215"/>
      <c r="AN218" s="215"/>
      <c r="AO218" s="215"/>
      <c r="AP218" s="215"/>
      <c r="AQ218" s="215"/>
      <c r="AR218" s="215"/>
      <c r="AS218" s="215"/>
      <c r="AT218" s="215"/>
      <c r="AU218" s="215"/>
      <c r="AV218" s="215"/>
      <c r="AW218" s="215"/>
      <c r="AX218" s="215"/>
      <c r="AY218" s="215"/>
      <c r="AZ218" s="215"/>
      <c r="BA218" s="215"/>
      <c r="BB218" s="215"/>
      <c r="BC218" s="215"/>
      <c r="BD218" s="215"/>
      <c r="BE218" s="215"/>
      <c r="BF218" s="215"/>
      <c r="BG218" s="215"/>
      <c r="BH218" s="215"/>
      <c r="BI218" s="215"/>
      <c r="BJ218" s="215"/>
      <c r="BK218" s="215"/>
      <c r="BL218" s="215"/>
      <c r="BM218" s="215"/>
      <c r="BN218" s="215"/>
      <c r="BO218" s="215"/>
      <c r="BP218" s="215"/>
      <c r="BQ218" s="215"/>
      <c r="BR218" s="215"/>
      <c r="BS218" s="215"/>
      <c r="BT218" s="215"/>
      <c r="BU218" s="215"/>
      <c r="BV218" s="215"/>
      <c r="BW218" s="215"/>
      <c r="BX218" s="215"/>
      <c r="BY218" s="215"/>
      <c r="BZ218" s="215"/>
    </row>
    <row r="219" spans="1:78" x14ac:dyDescent="0.2">
      <c r="A219" s="44"/>
      <c r="B219" s="44"/>
      <c r="C219" s="4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15"/>
      <c r="R219" s="215"/>
      <c r="S219" s="215"/>
      <c r="T219" s="215"/>
      <c r="U219" s="215"/>
      <c r="V219" s="222"/>
      <c r="W219" s="222"/>
      <c r="X219" s="222"/>
      <c r="Y219" s="215"/>
      <c r="Z219" s="215"/>
      <c r="AA219" s="215"/>
      <c r="AB219" s="215"/>
      <c r="AC219" s="215"/>
      <c r="AD219" s="215"/>
      <c r="AE219" s="215"/>
      <c r="AF219" s="215"/>
      <c r="AG219" s="215"/>
      <c r="AH219" s="215"/>
      <c r="AI219" s="215"/>
      <c r="AJ219" s="215"/>
      <c r="AK219" s="215"/>
      <c r="AL219" s="215"/>
      <c r="AM219" s="215"/>
      <c r="AN219" s="215"/>
      <c r="AO219" s="215"/>
      <c r="AP219" s="215"/>
      <c r="AQ219" s="215"/>
      <c r="AR219" s="215"/>
      <c r="AS219" s="215"/>
      <c r="AT219" s="215"/>
      <c r="AU219" s="215"/>
      <c r="AV219" s="215"/>
      <c r="AW219" s="215"/>
      <c r="AX219" s="215"/>
      <c r="AY219" s="215"/>
      <c r="AZ219" s="215"/>
      <c r="BA219" s="215"/>
      <c r="BB219" s="215"/>
      <c r="BC219" s="215"/>
      <c r="BD219" s="215"/>
      <c r="BE219" s="215"/>
      <c r="BF219" s="215"/>
      <c r="BG219" s="215"/>
      <c r="BH219" s="215"/>
      <c r="BI219" s="215"/>
      <c r="BJ219" s="215"/>
      <c r="BK219" s="215"/>
      <c r="BL219" s="215"/>
      <c r="BM219" s="215"/>
      <c r="BN219" s="215"/>
      <c r="BO219" s="215"/>
      <c r="BP219" s="215"/>
      <c r="BQ219" s="215"/>
      <c r="BR219" s="215"/>
      <c r="BS219" s="215"/>
      <c r="BT219" s="215"/>
      <c r="BU219" s="215"/>
      <c r="BV219" s="215"/>
      <c r="BW219" s="215"/>
      <c r="BX219" s="215"/>
      <c r="BY219" s="215"/>
      <c r="BZ219" s="215"/>
    </row>
    <row r="220" spans="1:78" x14ac:dyDescent="0.2">
      <c r="A220" s="9" t="str">
        <f>'Language Index'!A213</f>
        <v>Net Income</v>
      </c>
      <c r="B220" s="45"/>
      <c r="C220" s="45"/>
      <c r="D220" s="22">
        <f>_xll.ciqfunctions.udf.CIQ($C$2, "IQ_NI_CF",D$6,$F$2,,,Ccy,Conv)</f>
        <v>2025</v>
      </c>
      <c r="E220" s="22">
        <f>_xll.ciqfunctions.udf.CIQ($C$2, "IQ_NI_CF",E$6,$F$2,,,Ccy,Conv)</f>
        <v>6924</v>
      </c>
      <c r="F220" s="22">
        <f>_xll.ciqfunctions.udf.CIQ($C$2, "IQ_NI_CF",F$6,$F$2,,,Ccy,Conv)</f>
        <v>7502</v>
      </c>
      <c r="G220" s="22">
        <f>_xll.ciqfunctions.udf.CIQ($C$2, "IQ_NI_CF",G$6,$F$2,,,Ccy,Conv)</f>
        <v>8180</v>
      </c>
      <c r="H220" s="22">
        <f>_xll.ciqfunctions.udf.CIQ($C$2, "IQ_NI_CF",H$6,$F$2,,,Ccy,Conv)</f>
        <v>8430</v>
      </c>
      <c r="I220" s="22">
        <f>_xll.ciqfunctions.udf.CIQ($C$2, "IQ_NI_CF",I$6,$F$2,,,Ccy,Conv)</f>
        <v>6397</v>
      </c>
      <c r="J220" s="22">
        <f>_xll.ciqfunctions.udf.CIQ($C$2, "IQ_NI_CF",J$6,$F$2,,,Ccy,Conv)</f>
        <v>6023</v>
      </c>
      <c r="K220" s="22">
        <f>_xll.ciqfunctions.udf.CIQ($C$2, "IQ_NI_CF",K$6,$F$2,,,Ccy,Conv)</f>
        <v>5473</v>
      </c>
      <c r="L220" s="22">
        <f>_xll.ciqfunctions.udf.CIQ($C$2, "IQ_NI_CF",L$6,$F$2,,,Ccy,Conv)</f>
        <v>5833</v>
      </c>
      <c r="M220" s="22">
        <f>_xll.ciqfunctions.udf.CIQ($C$2, "IQ_NI_CF",M$6,$F$2,,,Ccy,Conv)</f>
        <v>7907</v>
      </c>
      <c r="N220" s="22">
        <f>_xll.ciqfunctions.udf.CIQ($C$2, "IQ_NI_CF",N$6,$F$2,,,Ccy,Conv)</f>
        <v>10593</v>
      </c>
      <c r="O220" s="22"/>
      <c r="P220" s="22">
        <f>_xll.ciqfunctions.udf.CIQ($C$2, "IQ_NI_CF",P$6,$F$2,,,Ccy,Conv)</f>
        <v>10593</v>
      </c>
      <c r="Q220" s="215"/>
      <c r="R220" s="215"/>
      <c r="S220" s="215"/>
      <c r="T220" s="215"/>
      <c r="U220" s="215"/>
      <c r="V220" s="222"/>
      <c r="W220" s="222"/>
      <c r="X220" s="222"/>
      <c r="Y220" s="215"/>
      <c r="Z220" s="215"/>
      <c r="AA220" s="215"/>
      <c r="AB220" s="215"/>
      <c r="AC220" s="215"/>
      <c r="AD220" s="215"/>
      <c r="AE220" s="215"/>
      <c r="AF220" s="215"/>
      <c r="AG220" s="215"/>
      <c r="AH220" s="215"/>
      <c r="AI220" s="215"/>
      <c r="AJ220" s="215"/>
      <c r="AK220" s="215"/>
      <c r="AL220" s="215"/>
      <c r="AM220" s="215"/>
      <c r="AN220" s="215"/>
      <c r="AO220" s="215"/>
      <c r="AP220" s="215"/>
      <c r="AQ220" s="215"/>
      <c r="AR220" s="215"/>
      <c r="AS220" s="215"/>
      <c r="AT220" s="215"/>
      <c r="AU220" s="215"/>
      <c r="AV220" s="215"/>
      <c r="AW220" s="215"/>
      <c r="AX220" s="215"/>
      <c r="AY220" s="215"/>
      <c r="AZ220" s="215"/>
      <c r="BA220" s="215"/>
      <c r="BB220" s="215"/>
      <c r="BC220" s="215"/>
      <c r="BD220" s="215"/>
      <c r="BE220" s="215"/>
      <c r="BF220" s="215"/>
      <c r="BG220" s="215"/>
      <c r="BH220" s="215"/>
      <c r="BI220" s="215"/>
      <c r="BJ220" s="215"/>
      <c r="BK220" s="215"/>
      <c r="BL220" s="215"/>
      <c r="BM220" s="215"/>
      <c r="BN220" s="215"/>
      <c r="BO220" s="215"/>
      <c r="BP220" s="215"/>
      <c r="BQ220" s="215"/>
      <c r="BR220" s="215"/>
      <c r="BS220" s="215"/>
      <c r="BT220" s="215"/>
      <c r="BU220" s="215"/>
      <c r="BV220" s="215"/>
      <c r="BW220" s="215"/>
      <c r="BX220" s="215"/>
      <c r="BY220" s="215"/>
      <c r="BZ220" s="215"/>
    </row>
    <row r="221" spans="1:78" x14ac:dyDescent="0.2">
      <c r="A221" s="2" t="str">
        <f>'Language Index'!A52</f>
        <v>Depreciation &amp; Amort.</v>
      </c>
      <c r="B221" s="17"/>
      <c r="C221" s="17"/>
      <c r="D221" s="18">
        <f>_xll.ciqfunctions.udf.CIQ($C$2, "IQ_DA_SUPPL_CF",D$6,$F$2,,,Ccy,Conv)</f>
        <v>2203</v>
      </c>
      <c r="E221" s="18">
        <f>_xll.ciqfunctions.udf.CIQ($C$2, "IQ_DA_SUPPL_CF",E$6,$F$2,,,Ccy,Conv)</f>
        <v>2138</v>
      </c>
      <c r="F221" s="18">
        <f>_xll.ciqfunctions.udf.CIQ($C$2, "IQ_DA_SUPPL_CF",F$6,$F$2,,,Ccy,Conv)</f>
        <v>2109</v>
      </c>
      <c r="G221" s="18">
        <f>_xll.ciqfunctions.udf.CIQ($C$2, "IQ_DA_SUPPL_CF",G$6,$F$2,,,Ccy,Conv)</f>
        <v>2115</v>
      </c>
      <c r="H221" s="18">
        <f>_xll.ciqfunctions.udf.CIQ($C$2, "IQ_DA_SUPPL_CF",H$6,$F$2,,,Ccy,Conv)</f>
        <v>2143</v>
      </c>
      <c r="I221" s="18">
        <f>_xll.ciqfunctions.udf.CIQ($C$2, "IQ_DA_SUPPL_CF",I$6,$F$2,,,Ccy,Conv)</f>
        <v>2185</v>
      </c>
      <c r="J221" s="18">
        <f>_xll.ciqfunctions.udf.CIQ($C$2, "IQ_DA_SUPPL_CF",J$6,$F$2,,,Ccy,Conv)</f>
        <v>2168</v>
      </c>
      <c r="K221" s="18">
        <f>_xll.ciqfunctions.udf.CIQ($C$2, "IQ_DA_SUPPL_CF",K$6,$F$2,,,Ccy,Conv)</f>
        <v>2171</v>
      </c>
      <c r="L221" s="18">
        <f>_xll.ciqfunctions.udf.CIQ($C$2, "IQ_DA_SUPPL_CF",L$6,$F$2,,,Ccy,Conv)</f>
        <v>2201</v>
      </c>
      <c r="M221" s="18">
        <f>_xll.ciqfunctions.udf.CIQ($C$2, "IQ_DA_SUPPL_CF",M$6,$F$2,,,Ccy,Conv)</f>
        <v>2222</v>
      </c>
      <c r="N221" s="18">
        <f>_xll.ciqfunctions.udf.CIQ($C$2, "IQ_DA_SUPPL_CF",N$6,$F$2,,,Ccy,Conv)</f>
        <v>2284</v>
      </c>
      <c r="O221" s="18"/>
      <c r="P221" s="18">
        <f>_xll.ciqfunctions.udf.CIQ($C$2, "IQ_DA_SUPPL_CF",P$6,$F$2,,,Ccy,Conv)</f>
        <v>2284</v>
      </c>
      <c r="Q221" s="215"/>
      <c r="R221" s="215"/>
      <c r="S221" s="215"/>
      <c r="T221" s="215"/>
      <c r="U221" s="215"/>
      <c r="V221" s="222"/>
      <c r="W221" s="222"/>
      <c r="X221" s="222"/>
      <c r="Y221" s="215"/>
      <c r="Z221" s="215"/>
      <c r="AA221" s="215"/>
      <c r="AB221" s="215"/>
      <c r="AC221" s="215"/>
      <c r="AD221" s="215"/>
      <c r="AE221" s="215"/>
      <c r="AF221" s="215"/>
      <c r="AG221" s="215"/>
      <c r="AH221" s="215"/>
      <c r="AI221" s="215"/>
      <c r="AJ221" s="215"/>
      <c r="AK221" s="215"/>
      <c r="AL221" s="215"/>
      <c r="AM221" s="215"/>
      <c r="AN221" s="215"/>
      <c r="AO221" s="215"/>
      <c r="AP221" s="215"/>
      <c r="AQ221" s="215"/>
      <c r="AR221" s="215"/>
      <c r="AS221" s="215"/>
      <c r="AT221" s="215"/>
      <c r="AU221" s="215"/>
      <c r="AV221" s="215"/>
      <c r="AW221" s="215"/>
      <c r="AX221" s="215"/>
      <c r="AY221" s="215"/>
      <c r="AZ221" s="215"/>
      <c r="BA221" s="215"/>
      <c r="BB221" s="215"/>
      <c r="BC221" s="215"/>
      <c r="BD221" s="215"/>
      <c r="BE221" s="215"/>
      <c r="BF221" s="215"/>
      <c r="BG221" s="215"/>
      <c r="BH221" s="215"/>
      <c r="BI221" s="215"/>
      <c r="BJ221" s="215"/>
      <c r="BK221" s="215"/>
      <c r="BL221" s="215"/>
      <c r="BM221" s="215"/>
      <c r="BN221" s="215"/>
      <c r="BO221" s="215"/>
      <c r="BP221" s="215"/>
      <c r="BQ221" s="215"/>
      <c r="BR221" s="215"/>
      <c r="BS221" s="215"/>
      <c r="BT221" s="215"/>
      <c r="BU221" s="215"/>
      <c r="BV221" s="215"/>
      <c r="BW221" s="215"/>
      <c r="BX221" s="215"/>
      <c r="BY221" s="215"/>
      <c r="BZ221" s="215"/>
    </row>
    <row r="222" spans="1:78" x14ac:dyDescent="0.2">
      <c r="A222" s="2" t="str">
        <f>'Language Index'!A53</f>
        <v>Amort. of Goodwill and Intangibles</v>
      </c>
      <c r="B222" s="17"/>
      <c r="C222" s="17"/>
      <c r="D222" s="18">
        <f>_xll.ciqfunctions.udf.CIQ($C$2, "IQ_GW_INTAN_AMORT_CF",D$6,$F$2,,,Ccy,Conv)</f>
        <v>1600</v>
      </c>
      <c r="E222" s="18">
        <f>_xll.ciqfunctions.udf.CIQ($C$2, "IQ_GW_INTAN_AMORT_CF",E$6,$F$2,,,Ccy,Conv)</f>
        <v>1113</v>
      </c>
      <c r="F222" s="18">
        <f>_xll.ciqfunctions.udf.CIQ($C$2, "IQ_GW_INTAN_AMORT_CF",F$6,$F$2,,,Ccy,Conv)</f>
        <v>1627</v>
      </c>
      <c r="G222" s="18">
        <f>_xll.ciqfunctions.udf.CIQ($C$2, "IQ_GW_INTAN_AMORT_CF",G$6,$F$2,,,Ccy,Conv)</f>
        <v>1508</v>
      </c>
      <c r="H222" s="18">
        <f>_xll.ciqfunctions.udf.CIQ($C$2, "IQ_GW_INTAN_AMORT_CF",H$6,$F$2,,,Ccy,Conv)</f>
        <v>1389</v>
      </c>
      <c r="I222" s="18">
        <f>_xll.ciqfunctions.udf.CIQ($C$2, "IQ_GW_INTAN_AMORT_CF",I$6,$F$2,,,Ccy,Conv)</f>
        <v>1781</v>
      </c>
      <c r="J222" s="18">
        <f>_xll.ciqfunctions.udf.CIQ($C$2, "IQ_GW_INTAN_AMORT_CF",J$6,$F$2,,,Ccy,Conv)</f>
        <v>1830</v>
      </c>
      <c r="K222" s="18">
        <f>_xll.ciqfunctions.udf.CIQ($C$2, "IQ_GW_INTAN_AMORT_CF",K$6,$F$2,,,Ccy,Conv)</f>
        <v>1897</v>
      </c>
      <c r="L222" s="18">
        <f>_xll.ciqfunctions.udf.CIQ($C$2, "IQ_GW_INTAN_AMORT_CF",L$6,$F$2,,,Ccy,Conv)</f>
        <v>2008</v>
      </c>
      <c r="M222" s="18">
        <f>_xll.ciqfunctions.udf.CIQ($C$2, "IQ_GW_INTAN_AMORT_CF",M$6,$F$2,,,Ccy,Conv)</f>
        <v>2087</v>
      </c>
      <c r="N222" s="18">
        <f>_xll.ciqfunctions.udf.CIQ($C$2, "IQ_GW_INTAN_AMORT_CF",N$6,$F$2,,,Ccy,Conv)</f>
        <v>2166</v>
      </c>
      <c r="O222" s="18"/>
      <c r="P222" s="18">
        <f>_xll.ciqfunctions.udf.CIQ($C$2, "IQ_GW_INTAN_AMORT_CF",P$6,$F$2,,,Ccy,Conv)</f>
        <v>2166</v>
      </c>
      <c r="Q222" s="215"/>
      <c r="R222" s="215"/>
      <c r="S222" s="215"/>
      <c r="T222" s="215"/>
      <c r="U222" s="215"/>
      <c r="V222" s="222"/>
      <c r="W222" s="222"/>
      <c r="X222" s="222"/>
      <c r="Y222" s="215"/>
      <c r="Z222" s="215"/>
      <c r="AA222" s="215"/>
      <c r="AB222" s="215"/>
      <c r="AC222" s="215"/>
      <c r="AD222" s="215"/>
      <c r="AE222" s="215"/>
      <c r="AF222" s="215"/>
      <c r="AG222" s="215"/>
      <c r="AH222" s="215"/>
      <c r="AI222" s="215"/>
      <c r="AJ222" s="215"/>
      <c r="AK222" s="215"/>
      <c r="AL222" s="215"/>
      <c r="AM222" s="215"/>
      <c r="AN222" s="215"/>
      <c r="AO222" s="215"/>
      <c r="AP222" s="215"/>
      <c r="AQ222" s="215"/>
      <c r="AR222" s="215"/>
      <c r="AS222" s="215"/>
      <c r="AT222" s="215"/>
      <c r="AU222" s="215"/>
      <c r="AV222" s="215"/>
      <c r="AW222" s="215"/>
      <c r="AX222" s="215"/>
      <c r="AY222" s="215"/>
      <c r="AZ222" s="215"/>
      <c r="BA222" s="215"/>
      <c r="BB222" s="215"/>
      <c r="BC222" s="215"/>
      <c r="BD222" s="215"/>
      <c r="BE222" s="215"/>
      <c r="BF222" s="215"/>
      <c r="BG222" s="215"/>
      <c r="BH222" s="215"/>
      <c r="BI222" s="215"/>
      <c r="BJ222" s="215"/>
      <c r="BK222" s="215"/>
      <c r="BL222" s="215"/>
      <c r="BM222" s="215"/>
      <c r="BN222" s="215"/>
      <c r="BO222" s="215"/>
      <c r="BP222" s="215"/>
      <c r="BQ222" s="215"/>
      <c r="BR222" s="215"/>
      <c r="BS222" s="215"/>
      <c r="BT222" s="215"/>
      <c r="BU222" s="215"/>
      <c r="BV222" s="215"/>
      <c r="BW222" s="215"/>
      <c r="BX222" s="215"/>
      <c r="BY222" s="215"/>
      <c r="BZ222" s="215"/>
    </row>
    <row r="223" spans="1:78" x14ac:dyDescent="0.2">
      <c r="A223" s="2" t="str">
        <f>'Language Index'!A54</f>
        <v>Impair. of Oil, Gas &amp; Mineral Prop.</v>
      </c>
      <c r="B223" s="17"/>
      <c r="C223" s="17"/>
      <c r="D223" s="18">
        <f>_xll.ciqfunctions.udf.CIQ($C$2, "IQ_OIL_IMPAIR",D$6,$F$2,,,Ccy,Conv)</f>
        <v>0</v>
      </c>
      <c r="E223" s="18">
        <f>_xll.ciqfunctions.udf.CIQ($C$2, "IQ_OIL_IMPAIR",E$6,$F$2,,,Ccy,Conv)</f>
        <v>0</v>
      </c>
      <c r="F223" s="18">
        <f>_xll.ciqfunctions.udf.CIQ($C$2, "IQ_OIL_IMPAIR",F$6,$F$2,,,Ccy,Conv)</f>
        <v>0</v>
      </c>
      <c r="G223" s="18">
        <f>_xll.ciqfunctions.udf.CIQ($C$2, "IQ_OIL_IMPAIR",G$6,$F$2,,,Ccy,Conv)</f>
        <v>0</v>
      </c>
      <c r="H223" s="18">
        <f>_xll.ciqfunctions.udf.CIQ($C$2, "IQ_OIL_IMPAIR",H$6,$F$2,,,Ccy,Conv)</f>
        <v>0</v>
      </c>
      <c r="I223" s="18">
        <f>_xll.ciqfunctions.udf.CIQ($C$2, "IQ_OIL_IMPAIR",I$6,$F$2,,,Ccy,Conv)</f>
        <v>0</v>
      </c>
      <c r="J223" s="18">
        <f>_xll.ciqfunctions.udf.CIQ($C$2, "IQ_OIL_IMPAIR",J$6,$F$2,,,Ccy,Conv)</f>
        <v>0</v>
      </c>
      <c r="K223" s="18">
        <f>_xll.ciqfunctions.udf.CIQ($C$2, "IQ_OIL_IMPAIR",K$6,$F$2,,,Ccy,Conv)</f>
        <v>0</v>
      </c>
      <c r="L223" s="18">
        <f>_xll.ciqfunctions.udf.CIQ($C$2, "IQ_OIL_IMPAIR",L$6,$F$2,,,Ccy,Conv)</f>
        <v>0</v>
      </c>
      <c r="M223" s="18">
        <f>_xll.ciqfunctions.udf.CIQ($C$2, "IQ_OIL_IMPAIR",M$6,$F$2,,,Ccy,Conv)</f>
        <v>0</v>
      </c>
      <c r="N223" s="18">
        <f>_xll.ciqfunctions.udf.CIQ($C$2, "IQ_OIL_IMPAIR",N$6,$F$2,,,Ccy,Conv)</f>
        <v>0</v>
      </c>
      <c r="O223" s="18"/>
      <c r="P223" s="18">
        <f>_xll.ciqfunctions.udf.CIQ($C$2, "IQ_OIL_IMPAIR",P$6,$F$2,,,Ccy,Conv)</f>
        <v>0</v>
      </c>
      <c r="Q223" s="215"/>
      <c r="R223" s="215"/>
      <c r="S223" s="215"/>
      <c r="T223" s="215"/>
      <c r="U223" s="215"/>
      <c r="V223" s="222"/>
      <c r="W223" s="222"/>
      <c r="X223" s="222"/>
      <c r="Y223" s="215"/>
      <c r="Z223" s="215"/>
      <c r="AA223" s="215"/>
      <c r="AB223" s="215"/>
      <c r="AC223" s="215"/>
      <c r="AD223" s="215"/>
      <c r="AE223" s="215"/>
      <c r="AF223" s="215"/>
      <c r="AG223" s="215"/>
      <c r="AH223" s="215"/>
      <c r="AI223" s="215"/>
      <c r="AJ223" s="215"/>
      <c r="AK223" s="215"/>
      <c r="AL223" s="215"/>
      <c r="AM223" s="215"/>
      <c r="AN223" s="215"/>
      <c r="AO223" s="215"/>
      <c r="AP223" s="215"/>
      <c r="AQ223" s="215"/>
      <c r="AR223" s="215"/>
      <c r="AS223" s="215"/>
      <c r="AT223" s="215"/>
      <c r="AU223" s="215"/>
      <c r="AV223" s="215"/>
      <c r="AW223" s="215"/>
      <c r="AX223" s="215"/>
      <c r="AY223" s="215"/>
      <c r="AZ223" s="215"/>
      <c r="BA223" s="215"/>
      <c r="BB223" s="215"/>
      <c r="BC223" s="215"/>
      <c r="BD223" s="215"/>
      <c r="BE223" s="215"/>
      <c r="BF223" s="215"/>
      <c r="BG223" s="215"/>
      <c r="BH223" s="215"/>
      <c r="BI223" s="215"/>
      <c r="BJ223" s="215"/>
      <c r="BK223" s="215"/>
      <c r="BL223" s="215"/>
      <c r="BM223" s="215"/>
      <c r="BN223" s="215"/>
      <c r="BO223" s="215"/>
      <c r="BP223" s="215"/>
      <c r="BQ223" s="215"/>
      <c r="BR223" s="215"/>
      <c r="BS223" s="215"/>
      <c r="BT223" s="215"/>
      <c r="BU223" s="215"/>
      <c r="BV223" s="215"/>
      <c r="BW223" s="215"/>
      <c r="BX223" s="215"/>
      <c r="BY223" s="215"/>
      <c r="BZ223" s="215"/>
    </row>
    <row r="224" spans="1:78" x14ac:dyDescent="0.2">
      <c r="A224" s="20" t="str">
        <f>'Language Index'!A214</f>
        <v>Depreciation &amp; Amort., Total</v>
      </c>
      <c r="B224" s="20"/>
      <c r="C224" s="20"/>
      <c r="D224" s="21">
        <f>_xll.ciqfunctions.udf.CIQ($C$2, "IQ_DA_CF",D$6,$F$2,,,Ccy,Conv)</f>
        <v>3803</v>
      </c>
      <c r="E224" s="21">
        <f>_xll.ciqfunctions.udf.CIQ($C$2, "IQ_DA_CF",E$6,$F$2,,,Ccy,Conv)</f>
        <v>3251</v>
      </c>
      <c r="F224" s="21">
        <f>_xll.ciqfunctions.udf.CIQ($C$2, "IQ_DA_CF",F$6,$F$2,,,Ccy,Conv)</f>
        <v>3736</v>
      </c>
      <c r="G224" s="21">
        <f>_xll.ciqfunctions.udf.CIQ($C$2, "IQ_DA_CF",G$6,$F$2,,,Ccy,Conv)</f>
        <v>3623</v>
      </c>
      <c r="H224" s="21">
        <f>_xll.ciqfunctions.udf.CIQ($C$2, "IQ_DA_CF",H$6,$F$2,,,Ccy,Conv)</f>
        <v>3532</v>
      </c>
      <c r="I224" s="21">
        <f>_xll.ciqfunctions.udf.CIQ($C$2, "IQ_DA_CF",I$6,$F$2,,,Ccy,Conv)</f>
        <v>3966</v>
      </c>
      <c r="J224" s="21">
        <f>_xll.ciqfunctions.udf.CIQ($C$2, "IQ_DA_CF",J$6,$F$2,,,Ccy,Conv)</f>
        <v>3998</v>
      </c>
      <c r="K224" s="21">
        <f>_xll.ciqfunctions.udf.CIQ($C$2, "IQ_DA_CF",K$6,$F$2,,,Ccy,Conv)</f>
        <v>4068</v>
      </c>
      <c r="L224" s="21">
        <f>_xll.ciqfunctions.udf.CIQ($C$2, "IQ_DA_CF",L$6,$F$2,,,Ccy,Conv)</f>
        <v>4209</v>
      </c>
      <c r="M224" s="21">
        <f>_xll.ciqfunctions.udf.CIQ($C$2, "IQ_DA_CF",M$6,$F$2,,,Ccy,Conv)</f>
        <v>4309</v>
      </c>
      <c r="N224" s="21">
        <f>_xll.ciqfunctions.udf.CIQ($C$2, "IQ_DA_CF",N$6,$F$2,,,Ccy,Conv)</f>
        <v>4450</v>
      </c>
      <c r="O224" s="22"/>
      <c r="P224" s="21">
        <f>_xll.ciqfunctions.udf.CIQ($C$2, "IQ_DA_CF",P$6,$F$2,,,Ccy,Conv)</f>
        <v>4450</v>
      </c>
      <c r="Q224" s="215"/>
      <c r="R224" s="215"/>
      <c r="S224" s="215"/>
      <c r="T224" s="215"/>
      <c r="U224" s="215"/>
      <c r="V224" s="222"/>
      <c r="W224" s="222"/>
      <c r="X224" s="222"/>
      <c r="Y224" s="215"/>
      <c r="Z224" s="215"/>
      <c r="AA224" s="215"/>
      <c r="AB224" s="215"/>
      <c r="AC224" s="215"/>
      <c r="AD224" s="215"/>
      <c r="AE224" s="215"/>
      <c r="AF224" s="215"/>
      <c r="AG224" s="215"/>
      <c r="AH224" s="215"/>
      <c r="AI224" s="215"/>
      <c r="AJ224" s="215"/>
      <c r="AK224" s="215"/>
      <c r="AL224" s="215"/>
      <c r="AM224" s="215"/>
      <c r="AN224" s="215"/>
      <c r="AO224" s="215"/>
      <c r="AP224" s="215"/>
      <c r="AQ224" s="215"/>
      <c r="AR224" s="215"/>
      <c r="AS224" s="215"/>
      <c r="AT224" s="215"/>
      <c r="AU224" s="215"/>
      <c r="AV224" s="215"/>
      <c r="AW224" s="215"/>
      <c r="AX224" s="215"/>
      <c r="AY224" s="215"/>
      <c r="AZ224" s="215"/>
      <c r="BA224" s="215"/>
      <c r="BB224" s="215"/>
      <c r="BC224" s="215"/>
      <c r="BD224" s="215"/>
      <c r="BE224" s="215"/>
      <c r="BF224" s="215"/>
      <c r="BG224" s="215"/>
      <c r="BH224" s="215"/>
      <c r="BI224" s="215"/>
      <c r="BJ224" s="215"/>
      <c r="BK224" s="215"/>
      <c r="BL224" s="215"/>
      <c r="BM224" s="215"/>
      <c r="BN224" s="215"/>
      <c r="BO224" s="215"/>
      <c r="BP224" s="215"/>
      <c r="BQ224" s="215"/>
      <c r="BR224" s="215"/>
      <c r="BS224" s="215"/>
      <c r="BT224" s="215"/>
      <c r="BU224" s="215"/>
      <c r="BV224" s="215"/>
      <c r="BW224" s="215"/>
      <c r="BX224" s="215"/>
      <c r="BY224" s="215"/>
      <c r="BZ224" s="215"/>
    </row>
    <row r="225" spans="1:78" x14ac:dyDescent="0.2">
      <c r="A225" s="16"/>
      <c r="B225" s="16"/>
      <c r="C225" s="16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215"/>
      <c r="R225" s="215"/>
      <c r="S225" s="215"/>
      <c r="T225" s="215"/>
      <c r="U225" s="215"/>
      <c r="V225" s="222"/>
      <c r="W225" s="222"/>
      <c r="X225" s="222"/>
      <c r="Y225" s="215"/>
      <c r="Z225" s="215"/>
      <c r="AA225" s="215"/>
      <c r="AB225" s="215"/>
      <c r="AC225" s="215"/>
      <c r="AD225" s="215"/>
      <c r="AE225" s="215"/>
      <c r="AF225" s="215"/>
      <c r="AG225" s="215"/>
      <c r="AH225" s="215"/>
      <c r="AI225" s="215"/>
      <c r="AJ225" s="215"/>
      <c r="AK225" s="215"/>
      <c r="AL225" s="215"/>
      <c r="AM225" s="215"/>
      <c r="AN225" s="215"/>
      <c r="AO225" s="215"/>
      <c r="AP225" s="215"/>
      <c r="AQ225" s="215"/>
      <c r="AR225" s="215"/>
      <c r="AS225" s="215"/>
      <c r="AT225" s="215"/>
      <c r="AU225" s="215"/>
      <c r="AV225" s="215"/>
      <c r="AW225" s="215"/>
      <c r="AX225" s="215"/>
      <c r="AY225" s="215"/>
      <c r="AZ225" s="215"/>
      <c r="BA225" s="215"/>
      <c r="BB225" s="215"/>
      <c r="BC225" s="215"/>
      <c r="BD225" s="215"/>
      <c r="BE225" s="215"/>
      <c r="BF225" s="215"/>
      <c r="BG225" s="215"/>
      <c r="BH225" s="215"/>
      <c r="BI225" s="215"/>
      <c r="BJ225" s="215"/>
      <c r="BK225" s="215"/>
      <c r="BL225" s="215"/>
      <c r="BM225" s="215"/>
      <c r="BN225" s="215"/>
      <c r="BO225" s="215"/>
      <c r="BP225" s="215"/>
      <c r="BQ225" s="215"/>
      <c r="BR225" s="215"/>
      <c r="BS225" s="215"/>
      <c r="BT225" s="215"/>
      <c r="BU225" s="215"/>
      <c r="BV225" s="215"/>
      <c r="BW225" s="215"/>
      <c r="BX225" s="215"/>
      <c r="BY225" s="215"/>
      <c r="BZ225" s="215"/>
    </row>
    <row r="226" spans="1:78" x14ac:dyDescent="0.2">
      <c r="A226" s="2" t="str">
        <f>'Language Index'!A215</f>
        <v>Other Amortization</v>
      </c>
      <c r="B226" s="16"/>
      <c r="C226" s="16"/>
      <c r="D226" s="18">
        <f>_xll.ciqfunctions.udf.CIQ($C$2, "IQ_OTHER_AMORT",D$6,$F$2,,,Ccy,Conv)</f>
        <v>648</v>
      </c>
      <c r="E226" s="18">
        <f>_xll.ciqfunctions.udf.CIQ($C$2, "IQ_OTHER_AMORT",E$6,$F$2,,,Ccy,Conv)</f>
        <v>1130</v>
      </c>
      <c r="F226" s="18">
        <f>_xll.ciqfunctions.udf.CIQ($C$2, "IQ_OTHER_AMORT",F$6,$F$2,,,Ccy,Conv)</f>
        <v>660</v>
      </c>
      <c r="G226" s="18">
        <f>_xll.ciqfunctions.udf.CIQ($C$2, "IQ_OTHER_AMORT",G$6,$F$2,,,Ccy,Conv)</f>
        <v>830</v>
      </c>
      <c r="H226" s="18">
        <f>_xll.ciqfunctions.udf.CIQ($C$2, "IQ_OTHER_AMORT",H$6,$F$2,,,Ccy,Conv)</f>
        <v>999</v>
      </c>
      <c r="I226" s="18">
        <f>_xll.ciqfunctions.udf.CIQ($C$2, "IQ_OTHER_AMORT",I$6,$F$2,,,Ccy,Conv)</f>
        <v>740</v>
      </c>
      <c r="J226" s="18">
        <f>_xll.ciqfunctions.udf.CIQ($C$2, "IQ_OTHER_AMORT",J$6,$F$2,,,Ccy,Conv)</f>
        <v>669</v>
      </c>
      <c r="K226" s="18">
        <f>_xll.ciqfunctions.udf.CIQ($C$2, "IQ_OTHER_AMORT",K$6,$F$2,,,Ccy,Conv)</f>
        <v>645</v>
      </c>
      <c r="L226" s="18">
        <f>_xll.ciqfunctions.udf.CIQ($C$2, "IQ_OTHER_AMORT",L$6,$F$2,,,Ccy,Conv)</f>
        <v>614</v>
      </c>
      <c r="M226" s="18">
        <f>_xll.ciqfunctions.udf.CIQ($C$2, "IQ_OTHER_AMORT",M$6,$F$2,,,Ccy,Conv)</f>
        <v>529</v>
      </c>
      <c r="N226" s="18">
        <f>_xll.ciqfunctions.udf.CIQ($C$2, "IQ_OTHER_AMORT",N$6,$F$2,,,Ccy,Conv)</f>
        <v>571</v>
      </c>
      <c r="O226" s="18"/>
      <c r="P226" s="18">
        <f>_xll.ciqfunctions.udf.CIQ($C$2, "IQ_OTHER_AMORT",P$6,$F$2,,,Ccy,Conv)</f>
        <v>571</v>
      </c>
      <c r="Q226" s="215"/>
      <c r="R226" s="215"/>
      <c r="S226" s="215"/>
      <c r="T226" s="215"/>
      <c r="U226" s="215"/>
      <c r="V226" s="222"/>
      <c r="W226" s="222"/>
      <c r="X226" s="222"/>
      <c r="Y226" s="215"/>
      <c r="Z226" s="215"/>
      <c r="AA226" s="215"/>
      <c r="AB226" s="215"/>
      <c r="AC226" s="215"/>
      <c r="AD226" s="215"/>
      <c r="AE226" s="215"/>
      <c r="AF226" s="215"/>
      <c r="AG226" s="215"/>
      <c r="AH226" s="215"/>
      <c r="AI226" s="215"/>
      <c r="AJ226" s="215"/>
      <c r="AK226" s="215"/>
      <c r="AL226" s="215"/>
      <c r="AM226" s="215"/>
      <c r="AN226" s="215"/>
      <c r="AO226" s="215"/>
      <c r="AP226" s="215"/>
      <c r="AQ226" s="215"/>
      <c r="AR226" s="215"/>
      <c r="AS226" s="215"/>
      <c r="AT226" s="215"/>
      <c r="AU226" s="215"/>
      <c r="AV226" s="215"/>
      <c r="AW226" s="215"/>
      <c r="AX226" s="215"/>
      <c r="AY226" s="215"/>
      <c r="AZ226" s="215"/>
      <c r="BA226" s="215"/>
      <c r="BB226" s="215"/>
      <c r="BC226" s="215"/>
      <c r="BD226" s="215"/>
      <c r="BE226" s="215"/>
      <c r="BF226" s="215"/>
      <c r="BG226" s="215"/>
      <c r="BH226" s="215"/>
      <c r="BI226" s="215"/>
      <c r="BJ226" s="215"/>
      <c r="BK226" s="215"/>
      <c r="BL226" s="215"/>
      <c r="BM226" s="215"/>
      <c r="BN226" s="215"/>
      <c r="BO226" s="215"/>
      <c r="BP226" s="215"/>
      <c r="BQ226" s="215"/>
      <c r="BR226" s="215"/>
      <c r="BS226" s="215"/>
      <c r="BT226" s="215"/>
      <c r="BU226" s="215"/>
      <c r="BV226" s="215"/>
      <c r="BW226" s="215"/>
      <c r="BX226" s="215"/>
      <c r="BY226" s="215"/>
      <c r="BZ226" s="215"/>
    </row>
    <row r="227" spans="1:78" x14ac:dyDescent="0.2">
      <c r="A227" s="2" t="str">
        <f>'Language Index'!A81</f>
        <v>Minority Int. in Earnings</v>
      </c>
      <c r="B227" s="17"/>
      <c r="C227" s="17"/>
      <c r="D227" s="18">
        <f>_xll.ciqfunctions.udf.CIQ($C$2, "IQ_MINORITY_INTEREST_CF",D$6,$F$2,,,Ccy,Conv)</f>
        <v>0</v>
      </c>
      <c r="E227" s="18">
        <f>_xll.ciqfunctions.udf.CIQ($C$2, "IQ_MINORITY_INTEREST_CF",E$6,$F$2,,,Ccy,Conv)</f>
        <v>0</v>
      </c>
      <c r="F227" s="18">
        <f>_xll.ciqfunctions.udf.CIQ($C$2, "IQ_MINORITY_INTEREST_CF",F$6,$F$2,,,Ccy,Conv)</f>
        <v>0</v>
      </c>
      <c r="G227" s="18">
        <f>_xll.ciqfunctions.udf.CIQ($C$2, "IQ_MINORITY_INTEREST_CF",G$6,$F$2,,,Ccy,Conv)</f>
        <v>0</v>
      </c>
      <c r="H227" s="18">
        <f>_xll.ciqfunctions.udf.CIQ($C$2, "IQ_MINORITY_INTEREST_CF",H$6,$F$2,,,Ccy,Conv)</f>
        <v>0</v>
      </c>
      <c r="I227" s="18">
        <f>_xll.ciqfunctions.udf.CIQ($C$2, "IQ_MINORITY_INTEREST_CF",I$6,$F$2,,,Ccy,Conv)</f>
        <v>0</v>
      </c>
      <c r="J227" s="18">
        <f>_xll.ciqfunctions.udf.CIQ($C$2, "IQ_MINORITY_INTEREST_CF",J$6,$F$2,,,Ccy,Conv)</f>
        <v>0</v>
      </c>
      <c r="K227" s="18">
        <f>_xll.ciqfunctions.udf.CIQ($C$2, "IQ_MINORITY_INTEREST_CF",K$6,$F$2,,,Ccy,Conv)</f>
        <v>0</v>
      </c>
      <c r="L227" s="18">
        <f>_xll.ciqfunctions.udf.CIQ($C$2, "IQ_MINORITY_INTEREST_CF",L$6,$F$2,,,Ccy,Conv)</f>
        <v>0</v>
      </c>
      <c r="M227" s="18">
        <f>_xll.ciqfunctions.udf.CIQ($C$2, "IQ_MINORITY_INTEREST_CF",M$6,$F$2,,,Ccy,Conv)</f>
        <v>0</v>
      </c>
      <c r="N227" s="18">
        <f>_xll.ciqfunctions.udf.CIQ($C$2, "IQ_MINORITY_INTEREST_CF",N$6,$F$2,,,Ccy,Conv)</f>
        <v>0</v>
      </c>
      <c r="O227" s="18"/>
      <c r="P227" s="18">
        <f>_xll.ciqfunctions.udf.CIQ($C$2, "IQ_MINORITY_INTEREST_CF",P$6,$F$2,,,Ccy,Conv)</f>
        <v>0</v>
      </c>
      <c r="Q227" s="215"/>
      <c r="R227" s="215"/>
      <c r="S227" s="215"/>
      <c r="T227" s="215"/>
      <c r="U227" s="215"/>
      <c r="V227" s="222"/>
      <c r="W227" s="222"/>
      <c r="X227" s="222"/>
      <c r="Y227" s="215"/>
      <c r="Z227" s="215"/>
      <c r="AA227" s="215"/>
      <c r="AB227" s="215"/>
      <c r="AC227" s="215"/>
      <c r="AD227" s="215"/>
      <c r="AE227" s="215"/>
      <c r="AF227" s="215"/>
      <c r="AG227" s="215"/>
      <c r="AH227" s="215"/>
      <c r="AI227" s="215"/>
      <c r="AJ227" s="215"/>
      <c r="AK227" s="215"/>
      <c r="AL227" s="215"/>
      <c r="AM227" s="215"/>
      <c r="AN227" s="215"/>
      <c r="AO227" s="215"/>
      <c r="AP227" s="215"/>
      <c r="AQ227" s="215"/>
      <c r="AR227" s="215"/>
      <c r="AS227" s="215"/>
      <c r="AT227" s="215"/>
      <c r="AU227" s="215"/>
      <c r="AV227" s="215"/>
      <c r="AW227" s="215"/>
      <c r="AX227" s="215"/>
      <c r="AY227" s="215"/>
      <c r="AZ227" s="215"/>
      <c r="BA227" s="215"/>
      <c r="BB227" s="215"/>
      <c r="BC227" s="215"/>
      <c r="BD227" s="215"/>
      <c r="BE227" s="215"/>
      <c r="BF227" s="215"/>
      <c r="BG227" s="215"/>
      <c r="BH227" s="215"/>
      <c r="BI227" s="215"/>
      <c r="BJ227" s="215"/>
      <c r="BK227" s="215"/>
      <c r="BL227" s="215"/>
      <c r="BM227" s="215"/>
      <c r="BN227" s="215"/>
      <c r="BO227" s="215"/>
      <c r="BP227" s="215"/>
      <c r="BQ227" s="215"/>
      <c r="BR227" s="215"/>
      <c r="BS227" s="215"/>
      <c r="BT227" s="215"/>
      <c r="BU227" s="215"/>
      <c r="BV227" s="215"/>
      <c r="BW227" s="215"/>
      <c r="BX227" s="215"/>
      <c r="BY227" s="215"/>
      <c r="BZ227" s="215"/>
    </row>
    <row r="228" spans="1:78" x14ac:dyDescent="0.2">
      <c r="A228" s="2" t="str">
        <f>'Language Index'!A216</f>
        <v>(Gain) Loss From Sale Of Asset</v>
      </c>
      <c r="B228" s="16"/>
      <c r="C228" s="16"/>
      <c r="D228" s="18">
        <f>_xll.ciqfunctions.udf.CIQ($C$2, "IQ_GAIN_ASSETS_CF",D$6,$F$2,,,Ccy,Conv)</f>
        <v>-282</v>
      </c>
      <c r="E228" s="18">
        <f>_xll.ciqfunctions.udf.CIQ($C$2, "IQ_GAIN_ASSETS_CF",E$6,$F$2,,,Ccy,Conv)</f>
        <v>-403</v>
      </c>
      <c r="F228" s="18">
        <f>_xll.ciqfunctions.udf.CIQ($C$2, "IQ_GAIN_ASSETS_CF",F$6,$F$2,,,Ccy,Conv)</f>
        <v>-170</v>
      </c>
      <c r="G228" s="18">
        <f>_xll.ciqfunctions.udf.CIQ($C$2, "IQ_GAIN_ASSETS_CF",G$6,$F$2,,,Ccy,Conv)</f>
        <v>-418</v>
      </c>
      <c r="H228" s="18">
        <f>_xll.ciqfunctions.udf.CIQ($C$2, "IQ_GAIN_ASSETS_CF",H$6,$F$2,,,Ccy,Conv)</f>
        <v>-431</v>
      </c>
      <c r="I228" s="18">
        <f>_xll.ciqfunctions.udf.CIQ($C$2, "IQ_GAIN_ASSETS_CF",I$6,$F$2,,,Ccy,Conv)</f>
        <v>-702</v>
      </c>
      <c r="J228" s="18">
        <f>_xll.ciqfunctions.udf.CIQ($C$2, "IQ_GAIN_ASSETS_CF",J$6,$F$2,,,Ccy,Conv)</f>
        <v>-652</v>
      </c>
      <c r="K228" s="18">
        <f>_xll.ciqfunctions.udf.CIQ($C$2, "IQ_GAIN_ASSETS_CF",K$6,$F$2,,,Ccy,Conv)</f>
        <v>-421</v>
      </c>
      <c r="L228" s="18">
        <f>_xll.ciqfunctions.udf.CIQ($C$2, "IQ_GAIN_ASSETS_CF",L$6,$F$2,,,Ccy,Conv)</f>
        <v>-412</v>
      </c>
      <c r="M228" s="18">
        <f>_xll.ciqfunctions.udf.CIQ($C$2, "IQ_GAIN_ASSETS_CF",M$6,$F$2,,,Ccy,Conv)</f>
        <v>-66</v>
      </c>
      <c r="N228" s="18">
        <f>_xll.ciqfunctions.udf.CIQ($C$2, "IQ_GAIN_ASSETS_CF",N$6,$F$2,,,Ccy,Conv)</f>
        <v>-39</v>
      </c>
      <c r="O228" s="18"/>
      <c r="P228" s="18">
        <f>_xll.ciqfunctions.udf.CIQ($C$2, "IQ_GAIN_ASSETS_CF",P$6,$F$2,,,Ccy,Conv)</f>
        <v>-39</v>
      </c>
      <c r="Q228" s="215"/>
      <c r="R228" s="215"/>
      <c r="S228" s="215"/>
      <c r="T228" s="215"/>
      <c r="U228" s="215"/>
      <c r="V228" s="222"/>
      <c r="W228" s="222"/>
      <c r="X228" s="222"/>
      <c r="Y228" s="215"/>
      <c r="Z228" s="215"/>
      <c r="AA228" s="215"/>
      <c r="AB228" s="215"/>
      <c r="AC228" s="215"/>
      <c r="AD228" s="215"/>
      <c r="AE228" s="215"/>
      <c r="AF228" s="215"/>
      <c r="AG228" s="215"/>
      <c r="AH228" s="215"/>
      <c r="AI228" s="215"/>
      <c r="AJ228" s="215"/>
      <c r="AK228" s="215"/>
      <c r="AL228" s="215"/>
      <c r="AM228" s="215"/>
      <c r="AN228" s="215"/>
      <c r="AO228" s="215"/>
      <c r="AP228" s="215"/>
      <c r="AQ228" s="215"/>
      <c r="AR228" s="215"/>
      <c r="AS228" s="215"/>
      <c r="AT228" s="215"/>
      <c r="AU228" s="215"/>
      <c r="AV228" s="215"/>
      <c r="AW228" s="215"/>
      <c r="AX228" s="215"/>
      <c r="AY228" s="215"/>
      <c r="AZ228" s="215"/>
      <c r="BA228" s="215"/>
      <c r="BB228" s="215"/>
      <c r="BC228" s="215"/>
      <c r="BD228" s="215"/>
      <c r="BE228" s="215"/>
      <c r="BF228" s="215"/>
      <c r="BG228" s="215"/>
      <c r="BH228" s="215"/>
      <c r="BI228" s="215"/>
      <c r="BJ228" s="215"/>
      <c r="BK228" s="215"/>
      <c r="BL228" s="215"/>
      <c r="BM228" s="215"/>
      <c r="BN228" s="215"/>
      <c r="BO228" s="215"/>
      <c r="BP228" s="215"/>
      <c r="BQ228" s="215"/>
      <c r="BR228" s="215"/>
      <c r="BS228" s="215"/>
      <c r="BT228" s="215"/>
      <c r="BU228" s="215"/>
      <c r="BV228" s="215"/>
      <c r="BW228" s="215"/>
      <c r="BX228" s="215"/>
      <c r="BY228" s="215"/>
      <c r="BZ228" s="215"/>
    </row>
    <row r="229" spans="1:78" x14ac:dyDescent="0.2">
      <c r="A229" s="2" t="str">
        <f>'Language Index'!A217</f>
        <v>(Gain) Loss On Sale Of Invest.</v>
      </c>
      <c r="B229" s="17"/>
      <c r="C229" s="17"/>
      <c r="D229" s="18">
        <f>_xll.ciqfunctions.udf.CIQ($C$2, "IQ_GAIN_INVEST_CF",D$6,$F$2,,,Ccy,Conv)</f>
        <v>0</v>
      </c>
      <c r="E229" s="18">
        <f>_xll.ciqfunctions.udf.CIQ($C$2, "IQ_GAIN_INVEST_CF",E$6,$F$2,,,Ccy,Conv)</f>
        <v>0</v>
      </c>
      <c r="F229" s="18">
        <f>_xll.ciqfunctions.udf.CIQ($C$2, "IQ_GAIN_INVEST_CF",F$6,$F$2,,,Ccy,Conv)</f>
        <v>0</v>
      </c>
      <c r="G229" s="18">
        <f>_xll.ciqfunctions.udf.CIQ($C$2, "IQ_GAIN_INVEST_CF",G$6,$F$2,,,Ccy,Conv)</f>
        <v>0</v>
      </c>
      <c r="H229" s="18">
        <f>_xll.ciqfunctions.udf.CIQ($C$2, "IQ_GAIN_INVEST_CF",H$6,$F$2,,,Ccy,Conv)</f>
        <v>0</v>
      </c>
      <c r="I229" s="18">
        <f>_xll.ciqfunctions.udf.CIQ($C$2, "IQ_GAIN_INVEST_CF",I$6,$F$2,,,Ccy,Conv)</f>
        <v>0</v>
      </c>
      <c r="J229" s="18">
        <f>_xll.ciqfunctions.udf.CIQ($C$2, "IQ_GAIN_INVEST_CF",J$6,$F$2,,,Ccy,Conv)</f>
        <v>0</v>
      </c>
      <c r="K229" s="18">
        <f>_xll.ciqfunctions.udf.CIQ($C$2, "IQ_GAIN_INVEST_CF",K$6,$F$2,,,Ccy,Conv)</f>
        <v>0</v>
      </c>
      <c r="L229" s="18">
        <f>_xll.ciqfunctions.udf.CIQ($C$2, "IQ_GAIN_INVEST_CF",L$6,$F$2,,,Ccy,Conv)</f>
        <v>0</v>
      </c>
      <c r="M229" s="18">
        <f>_xll.ciqfunctions.udf.CIQ($C$2, "IQ_GAIN_INVEST_CF",M$6,$F$2,,,Ccy,Conv)</f>
        <v>0</v>
      </c>
      <c r="N229" s="18">
        <f>_xll.ciqfunctions.udf.CIQ($C$2, "IQ_GAIN_INVEST_CF",N$6,$F$2,,,Ccy,Conv)</f>
        <v>0</v>
      </c>
      <c r="O229" s="18"/>
      <c r="P229" s="18">
        <f>_xll.ciqfunctions.udf.CIQ($C$2, "IQ_GAIN_INVEST_CF",P$6,$F$2,,,Ccy,Conv)</f>
        <v>0</v>
      </c>
      <c r="Q229" s="215"/>
      <c r="R229" s="215"/>
      <c r="S229" s="215"/>
      <c r="T229" s="215"/>
      <c r="U229" s="215"/>
      <c r="V229" s="222"/>
      <c r="W229" s="222"/>
      <c r="X229" s="222"/>
      <c r="Y229" s="215"/>
      <c r="Z229" s="215"/>
      <c r="AA229" s="215"/>
      <c r="AB229" s="215"/>
      <c r="AC229" s="215"/>
      <c r="AD229" s="215"/>
      <c r="AE229" s="215"/>
      <c r="AF229" s="215"/>
      <c r="AG229" s="215"/>
      <c r="AH229" s="215"/>
      <c r="AI229" s="215"/>
      <c r="AJ229" s="215"/>
      <c r="AK229" s="215"/>
      <c r="AL229" s="215"/>
      <c r="AM229" s="215"/>
      <c r="AN229" s="215"/>
      <c r="AO229" s="215"/>
      <c r="AP229" s="215"/>
      <c r="AQ229" s="215"/>
      <c r="AR229" s="215"/>
      <c r="AS229" s="215"/>
      <c r="AT229" s="215"/>
      <c r="AU229" s="215"/>
      <c r="AV229" s="215"/>
      <c r="AW229" s="215"/>
      <c r="AX229" s="215"/>
      <c r="AY229" s="215"/>
      <c r="AZ229" s="215"/>
      <c r="BA229" s="215"/>
      <c r="BB229" s="215"/>
      <c r="BC229" s="215"/>
      <c r="BD229" s="215"/>
      <c r="BE229" s="215"/>
      <c r="BF229" s="215"/>
      <c r="BG229" s="215"/>
      <c r="BH229" s="215"/>
      <c r="BI229" s="215"/>
      <c r="BJ229" s="215"/>
      <c r="BK229" s="215"/>
      <c r="BL229" s="215"/>
      <c r="BM229" s="215"/>
      <c r="BN229" s="215"/>
      <c r="BO229" s="215"/>
      <c r="BP229" s="215"/>
      <c r="BQ229" s="215"/>
      <c r="BR229" s="215"/>
      <c r="BS229" s="215"/>
      <c r="BT229" s="215"/>
      <c r="BU229" s="215"/>
      <c r="BV229" s="215"/>
      <c r="BW229" s="215"/>
      <c r="BX229" s="215"/>
      <c r="BY229" s="215"/>
      <c r="BZ229" s="215"/>
    </row>
    <row r="230" spans="1:78" x14ac:dyDescent="0.2">
      <c r="A230" s="2" t="str">
        <f>'Language Index'!A218</f>
        <v>Asset Writedown &amp; Restructuring Costs</v>
      </c>
      <c r="B230" s="17"/>
      <c r="C230" s="17"/>
      <c r="D230" s="18">
        <f>_xll.ciqfunctions.udf.CIQ($C$2, "IQ_ASSET_WRITEDOWN_CF",D$6,$F$2,,,Ccy,Conv)</f>
        <v>0</v>
      </c>
      <c r="E230" s="18">
        <f>_xll.ciqfunctions.udf.CIQ($C$2, "IQ_ASSET_WRITEDOWN_CF",E$6,$F$2,,,Ccy,Conv)</f>
        <v>0</v>
      </c>
      <c r="F230" s="18">
        <f>_xll.ciqfunctions.udf.CIQ($C$2, "IQ_ASSET_WRITEDOWN_CF",F$6,$F$2,,,Ccy,Conv)</f>
        <v>0</v>
      </c>
      <c r="G230" s="18">
        <f>_xll.ciqfunctions.udf.CIQ($C$2, "IQ_ASSET_WRITEDOWN_CF",G$6,$F$2,,,Ccy,Conv)</f>
        <v>0</v>
      </c>
      <c r="H230" s="18">
        <f>_xll.ciqfunctions.udf.CIQ($C$2, "IQ_ASSET_WRITEDOWN_CF",H$6,$F$2,,,Ccy,Conv)</f>
        <v>0</v>
      </c>
      <c r="I230" s="18">
        <f>_xll.ciqfunctions.udf.CIQ($C$2, "IQ_ASSET_WRITEDOWN_CF",I$6,$F$2,,,Ccy,Conv)</f>
        <v>0</v>
      </c>
      <c r="J230" s="18">
        <f>_xll.ciqfunctions.udf.CIQ($C$2, "IQ_ASSET_WRITEDOWN_CF",J$6,$F$2,,,Ccy,Conv)</f>
        <v>0</v>
      </c>
      <c r="K230" s="18">
        <f>_xll.ciqfunctions.udf.CIQ($C$2, "IQ_ASSET_WRITEDOWN_CF",K$6,$F$2,,,Ccy,Conv)</f>
        <v>0</v>
      </c>
      <c r="L230" s="18">
        <f>_xll.ciqfunctions.udf.CIQ($C$2, "IQ_ASSET_WRITEDOWN_CF",L$6,$F$2,,,Ccy,Conv)</f>
        <v>0</v>
      </c>
      <c r="M230" s="18">
        <f>_xll.ciqfunctions.udf.CIQ($C$2, "IQ_ASSET_WRITEDOWN_CF",M$6,$F$2,,,Ccy,Conv)</f>
        <v>0</v>
      </c>
      <c r="N230" s="18">
        <f>_xll.ciqfunctions.udf.CIQ($C$2, "IQ_ASSET_WRITEDOWN_CF",N$6,$F$2,,,Ccy,Conv)</f>
        <v>0</v>
      </c>
      <c r="O230" s="18"/>
      <c r="P230" s="18">
        <f>_xll.ciqfunctions.udf.CIQ($C$2, "IQ_ASSET_WRITEDOWN_CF",P$6,$F$2,,,Ccy,Conv)</f>
        <v>0</v>
      </c>
      <c r="Q230" s="215"/>
      <c r="R230" s="215"/>
      <c r="S230" s="215"/>
      <c r="T230" s="215"/>
      <c r="U230" s="215"/>
      <c r="V230" s="222"/>
      <c r="W230" s="222"/>
      <c r="X230" s="222"/>
      <c r="Y230" s="215"/>
      <c r="Z230" s="215"/>
      <c r="AA230" s="215"/>
      <c r="AB230" s="215"/>
      <c r="AC230" s="215"/>
      <c r="AD230" s="215"/>
      <c r="AE230" s="215"/>
      <c r="AF230" s="215"/>
      <c r="AG230" s="215"/>
      <c r="AH230" s="215"/>
      <c r="AI230" s="215"/>
      <c r="AJ230" s="215"/>
      <c r="AK230" s="215"/>
      <c r="AL230" s="215"/>
      <c r="AM230" s="215"/>
      <c r="AN230" s="215"/>
      <c r="AO230" s="215"/>
      <c r="AP230" s="215"/>
      <c r="AQ230" s="215"/>
      <c r="AR230" s="215"/>
      <c r="AS230" s="215"/>
      <c r="AT230" s="215"/>
      <c r="AU230" s="215"/>
      <c r="AV230" s="215"/>
      <c r="AW230" s="215"/>
      <c r="AX230" s="215"/>
      <c r="AY230" s="215"/>
      <c r="AZ230" s="215"/>
      <c r="BA230" s="215"/>
      <c r="BB230" s="215"/>
      <c r="BC230" s="215"/>
      <c r="BD230" s="215"/>
      <c r="BE230" s="215"/>
      <c r="BF230" s="215"/>
      <c r="BG230" s="215"/>
      <c r="BH230" s="215"/>
      <c r="BI230" s="215"/>
      <c r="BJ230" s="215"/>
      <c r="BK230" s="215"/>
      <c r="BL230" s="215"/>
      <c r="BM230" s="215"/>
      <c r="BN230" s="215"/>
      <c r="BO230" s="215"/>
      <c r="BP230" s="215"/>
      <c r="BQ230" s="215"/>
      <c r="BR230" s="215"/>
      <c r="BS230" s="215"/>
      <c r="BT230" s="215"/>
      <c r="BU230" s="215"/>
      <c r="BV230" s="215"/>
      <c r="BW230" s="215"/>
      <c r="BX230" s="215"/>
      <c r="BY230" s="215"/>
      <c r="BZ230" s="215"/>
    </row>
    <row r="231" spans="1:78" x14ac:dyDescent="0.2">
      <c r="A231" s="2" t="str">
        <f>'Language Index'!A219</f>
        <v>Net (Increase) Decrease in Loans Orig./Sold</v>
      </c>
      <c r="B231" s="17"/>
      <c r="C231" s="17"/>
      <c r="D231" s="18">
        <f>_xll.ciqfunctions.udf.CIQ($C$2, "IQ_LOANS_CF",D$6,$F$2,,,Ccy,Conv)</f>
        <v>0</v>
      </c>
      <c r="E231" s="18">
        <f>_xll.ciqfunctions.udf.CIQ($C$2, "IQ_LOANS_CF",E$6,$F$2,,,Ccy,Conv)</f>
        <v>0</v>
      </c>
      <c r="F231" s="18">
        <f>_xll.ciqfunctions.udf.CIQ($C$2, "IQ_LOANS_CF",F$6,$F$2,,,Ccy,Conv)</f>
        <v>0</v>
      </c>
      <c r="G231" s="18">
        <f>_xll.ciqfunctions.udf.CIQ($C$2, "IQ_LOANS_CF",G$6,$F$2,,,Ccy,Conv)</f>
        <v>0</v>
      </c>
      <c r="H231" s="18">
        <f>_xll.ciqfunctions.udf.CIQ($C$2, "IQ_LOANS_CF",H$6,$F$2,,,Ccy,Conv)</f>
        <v>0</v>
      </c>
      <c r="I231" s="18">
        <f>_xll.ciqfunctions.udf.CIQ($C$2, "IQ_LOANS_CF",I$6,$F$2,,,Ccy,Conv)</f>
        <v>0</v>
      </c>
      <c r="J231" s="18">
        <f>_xll.ciqfunctions.udf.CIQ($C$2, "IQ_LOANS_CF",J$6,$F$2,,,Ccy,Conv)</f>
        <v>0</v>
      </c>
      <c r="K231" s="18">
        <f>_xll.ciqfunctions.udf.CIQ($C$2, "IQ_LOANS_CF",K$6,$F$2,,,Ccy,Conv)</f>
        <v>0</v>
      </c>
      <c r="L231" s="18">
        <f>_xll.ciqfunctions.udf.CIQ($C$2, "IQ_LOANS_CF",L$6,$F$2,,,Ccy,Conv)</f>
        <v>0</v>
      </c>
      <c r="M231" s="18">
        <f>_xll.ciqfunctions.udf.CIQ($C$2, "IQ_LOANS_CF",M$6,$F$2,,,Ccy,Conv)</f>
        <v>0</v>
      </c>
      <c r="N231" s="18">
        <f>_xll.ciqfunctions.udf.CIQ($C$2, "IQ_LOANS_CF",N$6,$F$2,,,Ccy,Conv)</f>
        <v>0</v>
      </c>
      <c r="O231" s="18"/>
      <c r="P231" s="18">
        <f>_xll.ciqfunctions.udf.CIQ($C$2, "IQ_LOANS_CF",P$6,$F$2,,,Ccy,Conv)</f>
        <v>0</v>
      </c>
      <c r="Q231" s="215"/>
      <c r="R231" s="215"/>
      <c r="S231" s="215"/>
      <c r="T231" s="215"/>
      <c r="U231" s="215"/>
      <c r="V231" s="222"/>
      <c r="W231" s="222"/>
      <c r="X231" s="222"/>
      <c r="Y231" s="215"/>
      <c r="Z231" s="215"/>
      <c r="AA231" s="215"/>
      <c r="AB231" s="215"/>
      <c r="AC231" s="215"/>
      <c r="AD231" s="215"/>
      <c r="AE231" s="215"/>
      <c r="AF231" s="215"/>
      <c r="AG231" s="215"/>
      <c r="AH231" s="215"/>
      <c r="AI231" s="215"/>
      <c r="AJ231" s="215"/>
      <c r="AK231" s="215"/>
      <c r="AL231" s="215"/>
      <c r="AM231" s="215"/>
      <c r="AN231" s="215"/>
      <c r="AO231" s="215"/>
      <c r="AP231" s="215"/>
      <c r="AQ231" s="215"/>
      <c r="AR231" s="215"/>
      <c r="AS231" s="215"/>
      <c r="AT231" s="215"/>
      <c r="AU231" s="215"/>
      <c r="AV231" s="215"/>
      <c r="AW231" s="215"/>
      <c r="AX231" s="215"/>
      <c r="AY231" s="215"/>
      <c r="AZ231" s="215"/>
      <c r="BA231" s="215"/>
      <c r="BB231" s="215"/>
      <c r="BC231" s="215"/>
      <c r="BD231" s="215"/>
      <c r="BE231" s="215"/>
      <c r="BF231" s="215"/>
      <c r="BG231" s="215"/>
      <c r="BH231" s="215"/>
      <c r="BI231" s="215"/>
      <c r="BJ231" s="215"/>
      <c r="BK231" s="215"/>
      <c r="BL231" s="215"/>
      <c r="BM231" s="215"/>
      <c r="BN231" s="215"/>
      <c r="BO231" s="215"/>
      <c r="BP231" s="215"/>
      <c r="BQ231" s="215"/>
      <c r="BR231" s="215"/>
      <c r="BS231" s="215"/>
      <c r="BT231" s="215"/>
      <c r="BU231" s="215"/>
      <c r="BV231" s="215"/>
      <c r="BW231" s="215"/>
      <c r="BX231" s="215"/>
      <c r="BY231" s="215"/>
      <c r="BZ231" s="215"/>
    </row>
    <row r="232" spans="1:78" x14ac:dyDescent="0.2">
      <c r="A232" s="2" t="str">
        <f>'Language Index'!A220</f>
        <v>Provision for Credit Losses</v>
      </c>
      <c r="B232" s="17"/>
      <c r="C232" s="17"/>
      <c r="D232" s="18">
        <f>_xll.ciqfunctions.udf.CIQ($C$2, "IQ_CREDIT_LOSS_CF",D$6,$F$2,,,Ccy,Conv)</f>
        <v>0</v>
      </c>
      <c r="E232" s="18">
        <f>_xll.ciqfunctions.udf.CIQ($C$2, "IQ_CREDIT_LOSS_CF",E$6,$F$2,,,Ccy,Conv)</f>
        <v>0</v>
      </c>
      <c r="F232" s="18">
        <f>_xll.ciqfunctions.udf.CIQ($C$2, "IQ_CREDIT_LOSS_CF",F$6,$F$2,,,Ccy,Conv)</f>
        <v>0</v>
      </c>
      <c r="G232" s="18">
        <f>_xll.ciqfunctions.udf.CIQ($C$2, "IQ_CREDIT_LOSS_CF",G$6,$F$2,,,Ccy,Conv)</f>
        <v>0</v>
      </c>
      <c r="H232" s="18">
        <f>_xll.ciqfunctions.udf.CIQ($C$2, "IQ_CREDIT_LOSS_CF",H$6,$F$2,,,Ccy,Conv)</f>
        <v>0</v>
      </c>
      <c r="I232" s="18">
        <f>_xll.ciqfunctions.udf.CIQ($C$2, "IQ_CREDIT_LOSS_CF",I$6,$F$2,,,Ccy,Conv)</f>
        <v>0</v>
      </c>
      <c r="J232" s="18">
        <f>_xll.ciqfunctions.udf.CIQ($C$2, "IQ_CREDIT_LOSS_CF",J$6,$F$2,,,Ccy,Conv)</f>
        <v>0</v>
      </c>
      <c r="K232" s="18">
        <f>_xll.ciqfunctions.udf.CIQ($C$2, "IQ_CREDIT_LOSS_CF",K$6,$F$2,,,Ccy,Conv)</f>
        <v>0</v>
      </c>
      <c r="L232" s="18">
        <f>_xll.ciqfunctions.udf.CIQ($C$2, "IQ_CREDIT_LOSS_CF",L$6,$F$2,,,Ccy,Conv)</f>
        <v>0</v>
      </c>
      <c r="M232" s="18">
        <f>_xll.ciqfunctions.udf.CIQ($C$2, "IQ_CREDIT_LOSS_CF",M$6,$F$2,,,Ccy,Conv)</f>
        <v>0</v>
      </c>
      <c r="N232" s="18">
        <f>_xll.ciqfunctions.udf.CIQ($C$2, "IQ_CREDIT_LOSS_CF",N$6,$F$2,,,Ccy,Conv)</f>
        <v>0</v>
      </c>
      <c r="O232" s="18"/>
      <c r="P232" s="18">
        <f>_xll.ciqfunctions.udf.CIQ($C$2, "IQ_CREDIT_LOSS_CF",P$6,$F$2,,,Ccy,Conv)</f>
        <v>0</v>
      </c>
      <c r="Q232" s="215"/>
      <c r="R232" s="215"/>
      <c r="S232" s="215"/>
      <c r="T232" s="215"/>
      <c r="U232" s="215"/>
      <c r="V232" s="222"/>
      <c r="W232" s="222"/>
      <c r="X232" s="222"/>
      <c r="Y232" s="215"/>
      <c r="Z232" s="215"/>
      <c r="AA232" s="215"/>
      <c r="AB232" s="215"/>
      <c r="AC232" s="215"/>
      <c r="AD232" s="215"/>
      <c r="AE232" s="215"/>
      <c r="AF232" s="215"/>
      <c r="AG232" s="215"/>
      <c r="AH232" s="215"/>
      <c r="AI232" s="215"/>
      <c r="AJ232" s="215"/>
      <c r="AK232" s="215"/>
      <c r="AL232" s="215"/>
      <c r="AM232" s="215"/>
      <c r="AN232" s="215"/>
      <c r="AO232" s="215"/>
      <c r="AP232" s="215"/>
      <c r="AQ232" s="215"/>
      <c r="AR232" s="215"/>
      <c r="AS232" s="215"/>
      <c r="AT232" s="215"/>
      <c r="AU232" s="215"/>
      <c r="AV232" s="215"/>
      <c r="AW232" s="215"/>
      <c r="AX232" s="215"/>
      <c r="AY232" s="215"/>
      <c r="AZ232" s="215"/>
      <c r="BA232" s="215"/>
      <c r="BB232" s="215"/>
      <c r="BC232" s="215"/>
      <c r="BD232" s="215"/>
      <c r="BE232" s="215"/>
      <c r="BF232" s="215"/>
      <c r="BG232" s="215"/>
      <c r="BH232" s="215"/>
      <c r="BI232" s="215"/>
      <c r="BJ232" s="215"/>
      <c r="BK232" s="215"/>
      <c r="BL232" s="215"/>
      <c r="BM232" s="215"/>
      <c r="BN232" s="215"/>
      <c r="BO232" s="215"/>
      <c r="BP232" s="215"/>
      <c r="BQ232" s="215"/>
      <c r="BR232" s="215"/>
      <c r="BS232" s="215"/>
      <c r="BT232" s="215"/>
      <c r="BU232" s="215"/>
      <c r="BV232" s="215"/>
      <c r="BW232" s="215"/>
      <c r="BX232" s="215"/>
      <c r="BY232" s="215"/>
      <c r="BZ232" s="215"/>
    </row>
    <row r="233" spans="1:78" x14ac:dyDescent="0.2">
      <c r="A233" s="2" t="str">
        <f>'Language Index'!A221</f>
        <v>(Income) Loss on Equity Invest.</v>
      </c>
      <c r="B233" s="17"/>
      <c r="C233" s="17"/>
      <c r="D233" s="18">
        <f>_xll.ciqfunctions.udf.CIQ($C$2, "IQ_INC_EQUITY_CF",D$6,$F$2,,,Ccy,Conv)</f>
        <v>0</v>
      </c>
      <c r="E233" s="18">
        <f>_xll.ciqfunctions.udf.CIQ($C$2, "IQ_INC_EQUITY_CF",E$6,$F$2,,,Ccy,Conv)</f>
        <v>0</v>
      </c>
      <c r="F233" s="18">
        <f>_xll.ciqfunctions.udf.CIQ($C$2, "IQ_INC_EQUITY_CF",F$6,$F$2,,,Ccy,Conv)</f>
        <v>0</v>
      </c>
      <c r="G233" s="18">
        <f>_xll.ciqfunctions.udf.CIQ($C$2, "IQ_INC_EQUITY_CF",G$6,$F$2,,,Ccy,Conv)</f>
        <v>0</v>
      </c>
      <c r="H233" s="18">
        <f>_xll.ciqfunctions.udf.CIQ($C$2, "IQ_INC_EQUITY_CF",H$6,$F$2,,,Ccy,Conv)</f>
        <v>0</v>
      </c>
      <c r="I233" s="18">
        <f>_xll.ciqfunctions.udf.CIQ($C$2, "IQ_INC_EQUITY_CF",I$6,$F$2,,,Ccy,Conv)</f>
        <v>0</v>
      </c>
      <c r="J233" s="18">
        <f>_xll.ciqfunctions.udf.CIQ($C$2, "IQ_INC_EQUITY_CF",J$6,$F$2,,,Ccy,Conv)</f>
        <v>0</v>
      </c>
      <c r="K233" s="18">
        <f>_xll.ciqfunctions.udf.CIQ($C$2, "IQ_INC_EQUITY_CF",K$6,$F$2,,,Ccy,Conv)</f>
        <v>0</v>
      </c>
      <c r="L233" s="18">
        <f>_xll.ciqfunctions.udf.CIQ($C$2, "IQ_INC_EQUITY_CF",L$6,$F$2,,,Ccy,Conv)</f>
        <v>0</v>
      </c>
      <c r="M233" s="18">
        <f>_xll.ciqfunctions.udf.CIQ($C$2, "IQ_INC_EQUITY_CF",M$6,$F$2,,,Ccy,Conv)</f>
        <v>0</v>
      </c>
      <c r="N233" s="18">
        <f>_xll.ciqfunctions.udf.CIQ($C$2, "IQ_INC_EQUITY_CF",N$6,$F$2,,,Ccy,Conv)</f>
        <v>0</v>
      </c>
      <c r="O233" s="18"/>
      <c r="P233" s="18">
        <f>_xll.ciqfunctions.udf.CIQ($C$2, "IQ_INC_EQUITY_CF",P$6,$F$2,,,Ccy,Conv)</f>
        <v>0</v>
      </c>
      <c r="Q233" s="215"/>
      <c r="R233" s="215"/>
      <c r="S233" s="215"/>
      <c r="T233" s="215"/>
      <c r="U233" s="215"/>
      <c r="V233" s="222"/>
      <c r="W233" s="222"/>
      <c r="X233" s="222"/>
      <c r="Y233" s="215"/>
      <c r="Z233" s="215"/>
      <c r="AA233" s="215"/>
      <c r="AB233" s="215"/>
      <c r="AC233" s="215"/>
      <c r="AD233" s="215"/>
      <c r="AE233" s="215"/>
      <c r="AF233" s="215"/>
      <c r="AG233" s="215"/>
      <c r="AH233" s="215"/>
      <c r="AI233" s="215"/>
      <c r="AJ233" s="215"/>
      <c r="AK233" s="215"/>
      <c r="AL233" s="215"/>
      <c r="AM233" s="215"/>
      <c r="AN233" s="215"/>
      <c r="AO233" s="215"/>
      <c r="AP233" s="215"/>
      <c r="AQ233" s="215"/>
      <c r="AR233" s="215"/>
      <c r="AS233" s="215"/>
      <c r="AT233" s="215"/>
      <c r="AU233" s="215"/>
      <c r="AV233" s="215"/>
      <c r="AW233" s="215"/>
      <c r="AX233" s="215"/>
      <c r="AY233" s="215"/>
      <c r="AZ233" s="215"/>
      <c r="BA233" s="215"/>
      <c r="BB233" s="215"/>
      <c r="BC233" s="215"/>
      <c r="BD233" s="215"/>
      <c r="BE233" s="215"/>
      <c r="BF233" s="215"/>
      <c r="BG233" s="215"/>
      <c r="BH233" s="215"/>
      <c r="BI233" s="215"/>
      <c r="BJ233" s="215"/>
      <c r="BK233" s="215"/>
      <c r="BL233" s="215"/>
      <c r="BM233" s="215"/>
      <c r="BN233" s="215"/>
      <c r="BO233" s="215"/>
      <c r="BP233" s="215"/>
      <c r="BQ233" s="215"/>
      <c r="BR233" s="215"/>
      <c r="BS233" s="215"/>
      <c r="BT233" s="215"/>
      <c r="BU233" s="215"/>
      <c r="BV233" s="215"/>
      <c r="BW233" s="215"/>
      <c r="BX233" s="215"/>
      <c r="BY233" s="215"/>
      <c r="BZ233" s="215"/>
    </row>
    <row r="234" spans="1:78" x14ac:dyDescent="0.2">
      <c r="A234" s="2" t="str">
        <f>'Language Index'!A49</f>
        <v>Stock-Based Compensation</v>
      </c>
      <c r="B234" s="17"/>
      <c r="C234" s="17"/>
      <c r="D234" s="18">
        <f>_xll.ciqfunctions.udf.CIQ($C$2, "IQ_STOCK_BASED_CF",D$6,$F$2,,,Ccy,Conv)</f>
        <v>1055</v>
      </c>
      <c r="E234" s="18">
        <f>_xll.ciqfunctions.udf.CIQ($C$2, "IQ_STOCK_BASED_CF",E$6,$F$2,,,Ccy,Conv)</f>
        <v>1091</v>
      </c>
      <c r="F234" s="18">
        <f>_xll.ciqfunctions.udf.CIQ($C$2, "IQ_STOCK_BASED_CF",F$6,$F$2,,,Ccy,Conv)</f>
        <v>1133</v>
      </c>
      <c r="G234" s="18">
        <f>_xll.ciqfunctions.udf.CIQ($C$2, "IQ_STOCK_BASED_CF",G$6,$F$2,,,Ccy,Conv)</f>
        <v>1185</v>
      </c>
      <c r="H234" s="18">
        <f>_xll.ciqfunctions.udf.CIQ($C$2, "IQ_STOCK_BASED_CF",H$6,$F$2,,,Ccy,Conv)</f>
        <v>1213</v>
      </c>
      <c r="I234" s="18">
        <f>_xll.ciqfunctions.udf.CIQ($C$2, "IQ_STOCK_BASED_CF",I$6,$F$2,,,Ccy,Conv)</f>
        <v>1256</v>
      </c>
      <c r="J234" s="18">
        <f>_xll.ciqfunctions.udf.CIQ($C$2, "IQ_STOCK_BASED_CF",J$6,$F$2,,,Ccy,Conv)</f>
        <v>1311</v>
      </c>
      <c r="K234" s="18">
        <f>_xll.ciqfunctions.udf.CIQ($C$2, "IQ_STOCK_BASED_CF",K$6,$F$2,,,Ccy,Conv)</f>
        <v>1392</v>
      </c>
      <c r="L234" s="18">
        <f>_xll.ciqfunctions.udf.CIQ($C$2, "IQ_STOCK_BASED_CF",L$6,$F$2,,,Ccy,Conv)</f>
        <v>1517</v>
      </c>
      <c r="M234" s="18">
        <f>_xll.ciqfunctions.udf.CIQ($C$2, "IQ_STOCK_BASED_CF",M$6,$F$2,,,Ccy,Conv)</f>
        <v>1630</v>
      </c>
      <c r="N234" s="18">
        <f>_xll.ciqfunctions.udf.CIQ($C$2, "IQ_STOCK_BASED_CF",N$6,$F$2,,,Ccy,Conv)</f>
        <v>1715</v>
      </c>
      <c r="O234" s="18"/>
      <c r="P234" s="18">
        <f>_xll.ciqfunctions.udf.CIQ($C$2, "IQ_STOCK_BASED_CF",P$6,$F$2,,,Ccy,Conv)</f>
        <v>1715</v>
      </c>
      <c r="Q234" s="215"/>
      <c r="R234" s="215"/>
      <c r="S234" s="215"/>
      <c r="T234" s="215"/>
      <c r="U234" s="215"/>
      <c r="V234" s="222"/>
      <c r="W234" s="222"/>
      <c r="X234" s="222"/>
      <c r="Y234" s="215"/>
      <c r="Z234" s="215"/>
      <c r="AA234" s="215"/>
      <c r="AB234" s="215"/>
      <c r="AC234" s="215"/>
      <c r="AD234" s="215"/>
      <c r="AE234" s="215"/>
      <c r="AF234" s="215"/>
      <c r="AG234" s="215"/>
      <c r="AH234" s="215"/>
      <c r="AI234" s="215"/>
      <c r="AJ234" s="215"/>
      <c r="AK234" s="215"/>
      <c r="AL234" s="215"/>
      <c r="AM234" s="215"/>
      <c r="AN234" s="215"/>
      <c r="AO234" s="215"/>
      <c r="AP234" s="215"/>
      <c r="AQ234" s="215"/>
      <c r="AR234" s="215"/>
      <c r="AS234" s="215"/>
      <c r="AT234" s="215"/>
      <c r="AU234" s="215"/>
      <c r="AV234" s="215"/>
      <c r="AW234" s="215"/>
      <c r="AX234" s="215"/>
      <c r="AY234" s="215"/>
      <c r="AZ234" s="215"/>
      <c r="BA234" s="215"/>
      <c r="BB234" s="215"/>
      <c r="BC234" s="215"/>
      <c r="BD234" s="215"/>
      <c r="BE234" s="215"/>
      <c r="BF234" s="215"/>
      <c r="BG234" s="215"/>
      <c r="BH234" s="215"/>
      <c r="BI234" s="215"/>
      <c r="BJ234" s="215"/>
      <c r="BK234" s="215"/>
      <c r="BL234" s="215"/>
      <c r="BM234" s="215"/>
      <c r="BN234" s="215"/>
      <c r="BO234" s="215"/>
      <c r="BP234" s="215"/>
      <c r="BQ234" s="215"/>
      <c r="BR234" s="215"/>
      <c r="BS234" s="215"/>
      <c r="BT234" s="215"/>
      <c r="BU234" s="215"/>
      <c r="BV234" s="215"/>
      <c r="BW234" s="215"/>
      <c r="BX234" s="215"/>
      <c r="BY234" s="215"/>
      <c r="BZ234" s="215"/>
    </row>
    <row r="235" spans="1:78" x14ac:dyDescent="0.2">
      <c r="A235" s="2" t="str">
        <f>'Language Index'!A222</f>
        <v>Tax Benefit from Stock Options</v>
      </c>
      <c r="B235" s="17"/>
      <c r="C235" s="17"/>
      <c r="D235" s="18">
        <f>_xll.ciqfunctions.udf.CIQ($C$2, "IQ_TAX_BENEFIT_OPTIONS",D$6,$F$2,,,Ccy,Conv)</f>
        <v>0</v>
      </c>
      <c r="E235" s="18">
        <f>_xll.ciqfunctions.udf.CIQ($C$2, "IQ_TAX_BENEFIT_OPTIONS",E$6,$F$2,,,Ccy,Conv)</f>
        <v>0</v>
      </c>
      <c r="F235" s="18">
        <f>_xll.ciqfunctions.udf.CIQ($C$2, "IQ_TAX_BENEFIT_OPTIONS",F$6,$F$2,,,Ccy,Conv)</f>
        <v>0</v>
      </c>
      <c r="G235" s="18">
        <f>_xll.ciqfunctions.udf.CIQ($C$2, "IQ_TAX_BENEFIT_OPTIONS",G$6,$F$2,,,Ccy,Conv)</f>
        <v>0</v>
      </c>
      <c r="H235" s="18">
        <f>_xll.ciqfunctions.udf.CIQ($C$2, "IQ_TAX_BENEFIT_OPTIONS",H$6,$F$2,,,Ccy,Conv)</f>
        <v>0</v>
      </c>
      <c r="I235" s="18">
        <f>_xll.ciqfunctions.udf.CIQ($C$2, "IQ_TAX_BENEFIT_OPTIONS",I$6,$F$2,,,Ccy,Conv)</f>
        <v>0</v>
      </c>
      <c r="J235" s="18">
        <f>_xll.ciqfunctions.udf.CIQ($C$2, "IQ_TAX_BENEFIT_OPTIONS",J$6,$F$2,,,Ccy,Conv)</f>
        <v>0</v>
      </c>
      <c r="K235" s="18">
        <f>_xll.ciqfunctions.udf.CIQ($C$2, "IQ_TAX_BENEFIT_OPTIONS",K$6,$F$2,,,Ccy,Conv)</f>
        <v>0</v>
      </c>
      <c r="L235" s="18">
        <f>_xll.ciqfunctions.udf.CIQ($C$2, "IQ_TAX_BENEFIT_OPTIONS",L$6,$F$2,,,Ccy,Conv)</f>
        <v>0</v>
      </c>
      <c r="M235" s="18">
        <f>_xll.ciqfunctions.udf.CIQ($C$2, "IQ_TAX_BENEFIT_OPTIONS",M$6,$F$2,,,Ccy,Conv)</f>
        <v>0</v>
      </c>
      <c r="N235" s="18">
        <f>_xll.ciqfunctions.udf.CIQ($C$2, "IQ_TAX_BENEFIT_OPTIONS",N$6,$F$2,,,Ccy,Conv)</f>
        <v>0</v>
      </c>
      <c r="O235" s="18"/>
      <c r="P235" s="18">
        <f>_xll.ciqfunctions.udf.CIQ($C$2, "IQ_TAX_BENEFIT_OPTIONS",P$6,$F$2,,,Ccy,Conv)</f>
        <v>0</v>
      </c>
      <c r="Q235" s="215"/>
      <c r="R235" s="215"/>
      <c r="S235" s="215"/>
      <c r="T235" s="215"/>
      <c r="U235" s="215"/>
      <c r="V235" s="222"/>
      <c r="W235" s="222"/>
      <c r="X235" s="222"/>
      <c r="Y235" s="215"/>
      <c r="Z235" s="215"/>
      <c r="AA235" s="215"/>
      <c r="AB235" s="215"/>
      <c r="AC235" s="215"/>
      <c r="AD235" s="215"/>
      <c r="AE235" s="215"/>
      <c r="AF235" s="215"/>
      <c r="AG235" s="215"/>
      <c r="AH235" s="215"/>
      <c r="AI235" s="215"/>
      <c r="AJ235" s="215"/>
      <c r="AK235" s="215"/>
      <c r="AL235" s="215"/>
      <c r="AM235" s="215"/>
      <c r="AN235" s="215"/>
      <c r="AO235" s="215"/>
      <c r="AP235" s="215"/>
      <c r="AQ235" s="215"/>
      <c r="AR235" s="215"/>
      <c r="AS235" s="215"/>
      <c r="AT235" s="215"/>
      <c r="AU235" s="215"/>
      <c r="AV235" s="215"/>
      <c r="AW235" s="215"/>
      <c r="AX235" s="215"/>
      <c r="AY235" s="215"/>
      <c r="AZ235" s="215"/>
      <c r="BA235" s="215"/>
      <c r="BB235" s="215"/>
      <c r="BC235" s="215"/>
      <c r="BD235" s="215"/>
      <c r="BE235" s="215"/>
      <c r="BF235" s="215"/>
      <c r="BG235" s="215"/>
      <c r="BH235" s="215"/>
      <c r="BI235" s="215"/>
      <c r="BJ235" s="215"/>
      <c r="BK235" s="215"/>
      <c r="BL235" s="215"/>
      <c r="BM235" s="215"/>
      <c r="BN235" s="215"/>
      <c r="BO235" s="215"/>
      <c r="BP235" s="215"/>
      <c r="BQ235" s="215"/>
      <c r="BR235" s="215"/>
      <c r="BS235" s="215"/>
      <c r="BT235" s="215"/>
      <c r="BU235" s="215"/>
      <c r="BV235" s="215"/>
      <c r="BW235" s="215"/>
      <c r="BX235" s="215"/>
      <c r="BY235" s="215"/>
      <c r="BZ235" s="215"/>
    </row>
    <row r="236" spans="1:78" x14ac:dyDescent="0.2">
      <c r="A236" s="2" t="str">
        <f>'Language Index'!A223</f>
        <v>Provision &amp; Write-off of Bad debts</v>
      </c>
      <c r="B236" s="17"/>
      <c r="C236" s="17"/>
      <c r="D236" s="18">
        <f>_xll.ciqfunctions.udf.CIQ($C$2, "IQ_PROV_BAD_DEBTS_CF",D$6,$F$2,,,Ccy,Conv)</f>
        <v>0</v>
      </c>
      <c r="E236" s="18">
        <f>_xll.ciqfunctions.udf.CIQ($C$2, "IQ_PROV_BAD_DEBTS_CF",E$6,$F$2,,,Ccy,Conv)</f>
        <v>0</v>
      </c>
      <c r="F236" s="18">
        <f>_xll.ciqfunctions.udf.CIQ($C$2, "IQ_PROV_BAD_DEBTS_CF",F$6,$F$2,,,Ccy,Conv)</f>
        <v>0</v>
      </c>
      <c r="G236" s="18">
        <f>_xll.ciqfunctions.udf.CIQ($C$2, "IQ_PROV_BAD_DEBTS_CF",G$6,$F$2,,,Ccy,Conv)</f>
        <v>0</v>
      </c>
      <c r="H236" s="18">
        <f>_xll.ciqfunctions.udf.CIQ($C$2, "IQ_PROV_BAD_DEBTS_CF",H$6,$F$2,,,Ccy,Conv)</f>
        <v>0</v>
      </c>
      <c r="I236" s="18">
        <f>_xll.ciqfunctions.udf.CIQ($C$2, "IQ_PROV_BAD_DEBTS_CF",I$6,$F$2,,,Ccy,Conv)</f>
        <v>0</v>
      </c>
      <c r="J236" s="18">
        <f>_xll.ciqfunctions.udf.CIQ($C$2, "IQ_PROV_BAD_DEBTS_CF",J$6,$F$2,,,Ccy,Conv)</f>
        <v>0</v>
      </c>
      <c r="K236" s="18">
        <f>_xll.ciqfunctions.udf.CIQ($C$2, "IQ_PROV_BAD_DEBTS_CF",K$6,$F$2,,,Ccy,Conv)</f>
        <v>0</v>
      </c>
      <c r="L236" s="18">
        <f>_xll.ciqfunctions.udf.CIQ($C$2, "IQ_PROV_BAD_DEBTS_CF",L$6,$F$2,,,Ccy,Conv)</f>
        <v>0</v>
      </c>
      <c r="M236" s="18">
        <f>_xll.ciqfunctions.udf.CIQ($C$2, "IQ_PROV_BAD_DEBTS_CF",M$6,$F$2,,,Ccy,Conv)</f>
        <v>0</v>
      </c>
      <c r="N236" s="18">
        <f>_xll.ciqfunctions.udf.CIQ($C$2, "IQ_PROV_BAD_DEBTS_CF",N$6,$F$2,,,Ccy,Conv)</f>
        <v>0</v>
      </c>
      <c r="O236" s="18"/>
      <c r="P236" s="18">
        <f>_xll.ciqfunctions.udf.CIQ($C$2, "IQ_PROV_BAD_DEBTS_CF",P$6,$F$2,,,Ccy,Conv)</f>
        <v>0</v>
      </c>
      <c r="Q236" s="215"/>
      <c r="R236" s="215"/>
      <c r="S236" s="215"/>
      <c r="T236" s="215"/>
      <c r="U236" s="215"/>
      <c r="V236" s="222"/>
      <c r="W236" s="222"/>
      <c r="X236" s="222"/>
      <c r="Y236" s="215"/>
      <c r="Z236" s="215"/>
      <c r="AA236" s="215"/>
      <c r="AB236" s="215"/>
      <c r="AC236" s="215"/>
      <c r="AD236" s="215"/>
      <c r="AE236" s="215"/>
      <c r="AF236" s="215"/>
      <c r="AG236" s="215"/>
      <c r="AH236" s="215"/>
      <c r="AI236" s="215"/>
      <c r="AJ236" s="215"/>
      <c r="AK236" s="215"/>
      <c r="AL236" s="215"/>
      <c r="AM236" s="215"/>
      <c r="AN236" s="215"/>
      <c r="AO236" s="215"/>
      <c r="AP236" s="215"/>
      <c r="AQ236" s="215"/>
      <c r="AR236" s="215"/>
      <c r="AS236" s="215"/>
      <c r="AT236" s="215"/>
      <c r="AU236" s="215"/>
      <c r="AV236" s="215"/>
      <c r="AW236" s="215"/>
      <c r="AX236" s="215"/>
      <c r="AY236" s="215"/>
      <c r="AZ236" s="215"/>
      <c r="BA236" s="215"/>
      <c r="BB236" s="215"/>
      <c r="BC236" s="215"/>
      <c r="BD236" s="215"/>
      <c r="BE236" s="215"/>
      <c r="BF236" s="215"/>
      <c r="BG236" s="215"/>
      <c r="BH236" s="215"/>
      <c r="BI236" s="215"/>
      <c r="BJ236" s="215"/>
      <c r="BK236" s="215"/>
      <c r="BL236" s="215"/>
      <c r="BM236" s="215"/>
      <c r="BN236" s="215"/>
      <c r="BO236" s="215"/>
      <c r="BP236" s="215"/>
      <c r="BQ236" s="215"/>
      <c r="BR236" s="215"/>
      <c r="BS236" s="215"/>
      <c r="BT236" s="215"/>
      <c r="BU236" s="215"/>
      <c r="BV236" s="215"/>
      <c r="BW236" s="215"/>
      <c r="BX236" s="215"/>
      <c r="BY236" s="215"/>
      <c r="BZ236" s="215"/>
    </row>
    <row r="237" spans="1:78" x14ac:dyDescent="0.2">
      <c r="A237" s="2" t="str">
        <f>'Language Index'!A224</f>
        <v>Net Cash From Discontinued Ops.</v>
      </c>
      <c r="B237" s="17"/>
      <c r="C237" s="17"/>
      <c r="D237" s="18">
        <f>_xll.ciqfunctions.udf.CIQ($C$2, "IQ_DO_CF",D$6,$F$2,,,Ccy,Conv)</f>
        <v>0</v>
      </c>
      <c r="E237" s="18">
        <f>_xll.ciqfunctions.udf.CIQ($C$2, "IQ_DO_CF",E$6,$F$2,,,Ccy,Conv)</f>
        <v>0</v>
      </c>
      <c r="F237" s="18">
        <f>_xll.ciqfunctions.udf.CIQ($C$2, "IQ_DO_CF",F$6,$F$2,,,Ccy,Conv)</f>
        <v>0</v>
      </c>
      <c r="G237" s="18">
        <f>_xll.ciqfunctions.udf.CIQ($C$2, "IQ_DO_CF",G$6,$F$2,,,Ccy,Conv)</f>
        <v>0</v>
      </c>
      <c r="H237" s="18">
        <f>_xll.ciqfunctions.udf.CIQ($C$2, "IQ_DO_CF",H$6,$F$2,,,Ccy,Conv)</f>
        <v>0</v>
      </c>
      <c r="I237" s="18">
        <f>_xll.ciqfunctions.udf.CIQ($C$2, "IQ_DO_CF",I$6,$F$2,,,Ccy,Conv)</f>
        <v>0</v>
      </c>
      <c r="J237" s="18">
        <f>_xll.ciqfunctions.udf.CIQ($C$2, "IQ_DO_CF",J$6,$F$2,,,Ccy,Conv)</f>
        <v>0</v>
      </c>
      <c r="K237" s="18">
        <f>_xll.ciqfunctions.udf.CIQ($C$2, "IQ_DO_CF",K$6,$F$2,,,Ccy,Conv)</f>
        <v>0</v>
      </c>
      <c r="L237" s="18">
        <f>_xll.ciqfunctions.udf.CIQ($C$2, "IQ_DO_CF",L$6,$F$2,,,Ccy,Conv)</f>
        <v>0</v>
      </c>
      <c r="M237" s="18">
        <f>_xll.ciqfunctions.udf.CIQ($C$2, "IQ_DO_CF",M$6,$F$2,,,Ccy,Conv)</f>
        <v>0</v>
      </c>
      <c r="N237" s="18">
        <f>_xll.ciqfunctions.udf.CIQ($C$2, "IQ_DO_CF",N$6,$F$2,,,Ccy,Conv)</f>
        <v>0</v>
      </c>
      <c r="O237" s="18"/>
      <c r="P237" s="18">
        <f>_xll.ciqfunctions.udf.CIQ($C$2, "IQ_DO_CF",P$6,$F$2,,,Ccy,Conv)</f>
        <v>0</v>
      </c>
      <c r="Q237" s="215"/>
      <c r="R237" s="215"/>
      <c r="S237" s="215"/>
      <c r="T237" s="215"/>
      <c r="U237" s="215"/>
      <c r="V237" s="222"/>
      <c r="W237" s="222"/>
      <c r="X237" s="222"/>
      <c r="Y237" s="215"/>
      <c r="Z237" s="215"/>
      <c r="AA237" s="215"/>
      <c r="AB237" s="215"/>
      <c r="AC237" s="215"/>
      <c r="AD237" s="215"/>
      <c r="AE237" s="215"/>
      <c r="AF237" s="215"/>
      <c r="AG237" s="215"/>
      <c r="AH237" s="215"/>
      <c r="AI237" s="215"/>
      <c r="AJ237" s="215"/>
      <c r="AK237" s="215"/>
      <c r="AL237" s="215"/>
      <c r="AM237" s="215"/>
      <c r="AN237" s="215"/>
      <c r="AO237" s="215"/>
      <c r="AP237" s="215"/>
      <c r="AQ237" s="215"/>
      <c r="AR237" s="215"/>
      <c r="AS237" s="215"/>
      <c r="AT237" s="215"/>
      <c r="AU237" s="215"/>
      <c r="AV237" s="215"/>
      <c r="AW237" s="215"/>
      <c r="AX237" s="215"/>
      <c r="AY237" s="215"/>
      <c r="AZ237" s="215"/>
      <c r="BA237" s="215"/>
      <c r="BB237" s="215"/>
      <c r="BC237" s="215"/>
      <c r="BD237" s="215"/>
      <c r="BE237" s="215"/>
      <c r="BF237" s="215"/>
      <c r="BG237" s="215"/>
      <c r="BH237" s="215"/>
      <c r="BI237" s="215"/>
      <c r="BJ237" s="215"/>
      <c r="BK237" s="215"/>
      <c r="BL237" s="215"/>
      <c r="BM237" s="215"/>
      <c r="BN237" s="215"/>
      <c r="BO237" s="215"/>
      <c r="BP237" s="215"/>
      <c r="BQ237" s="215"/>
      <c r="BR237" s="215"/>
      <c r="BS237" s="215"/>
      <c r="BT237" s="215"/>
      <c r="BU237" s="215"/>
      <c r="BV237" s="215"/>
      <c r="BW237" s="215"/>
      <c r="BX237" s="215"/>
      <c r="BY237" s="215"/>
      <c r="BZ237" s="215"/>
    </row>
    <row r="238" spans="1:78" x14ac:dyDescent="0.2">
      <c r="A238" s="2" t="str">
        <f>'Language Index'!A225</f>
        <v>Other Operating Activities</v>
      </c>
      <c r="B238" s="17"/>
      <c r="C238" s="17"/>
      <c r="D238" s="18">
        <f>_xll.ciqfunctions.udf.CIQ($C$2, "IQ_OTHER_OPER_ACT",D$6,$F$2,,,Ccy,Conv)</f>
        <v>3167</v>
      </c>
      <c r="E238" s="18">
        <f>_xll.ciqfunctions.udf.CIQ($C$2, "IQ_OTHER_OPER_ACT",E$6,$F$2,,,Ccy,Conv)</f>
        <v>-2724</v>
      </c>
      <c r="F238" s="18">
        <f>_xll.ciqfunctions.udf.CIQ($C$2, "IQ_OTHER_OPER_ACT",F$6,$F$2,,,Ccy,Conv)</f>
        <v>-1114</v>
      </c>
      <c r="G238" s="18">
        <f>_xll.ciqfunctions.udf.CIQ($C$2, "IQ_OTHER_OPER_ACT",G$6,$F$2,,,Ccy,Conv)</f>
        <v>-1115</v>
      </c>
      <c r="H238" s="18">
        <f>_xll.ciqfunctions.udf.CIQ($C$2, "IQ_OTHER_OPER_ACT",H$6,$F$2,,,Ccy,Conv)</f>
        <v>-1112</v>
      </c>
      <c r="I238" s="18">
        <f>_xll.ciqfunctions.udf.CIQ($C$2, "IQ_OTHER_OPER_ACT",I$6,$F$2,,,Ccy,Conv)</f>
        <v>1611</v>
      </c>
      <c r="J238" s="18">
        <f>_xll.ciqfunctions.udf.CIQ($C$2, "IQ_OTHER_OPER_ACT",J$6,$F$2,,,Ccy,Conv)</f>
        <v>783</v>
      </c>
      <c r="K238" s="18">
        <f>_xll.ciqfunctions.udf.CIQ($C$2, "IQ_OTHER_OPER_ACT",K$6,$F$2,,,Ccy,Conv)</f>
        <v>783</v>
      </c>
      <c r="L238" s="18">
        <f>_xll.ciqfunctions.udf.CIQ($C$2, "IQ_OTHER_OPER_ACT",L$6,$F$2,,,Ccy,Conv)</f>
        <v>781</v>
      </c>
      <c r="M238" s="18">
        <f>_xll.ciqfunctions.udf.CIQ($C$2, "IQ_OTHER_OPER_ACT",M$6,$F$2,,,Ccy,Conv)</f>
        <v>-1942</v>
      </c>
      <c r="N238" s="18">
        <f>_xll.ciqfunctions.udf.CIQ($C$2, "IQ_OTHER_OPER_ACT",N$6,$F$2,,,Ccy,Conv)</f>
        <v>-958</v>
      </c>
      <c r="O238" s="18"/>
      <c r="P238" s="18">
        <f>_xll.ciqfunctions.udf.CIQ($C$2, "IQ_OTHER_OPER_ACT",P$6,$F$2,,,Ccy,Conv)</f>
        <v>-958</v>
      </c>
      <c r="Q238" s="215"/>
      <c r="R238" s="215"/>
      <c r="S238" s="215"/>
      <c r="T238" s="215"/>
      <c r="U238" s="215"/>
      <c r="V238" s="222"/>
      <c r="W238" s="222"/>
      <c r="X238" s="222"/>
      <c r="Y238" s="215"/>
      <c r="Z238" s="215"/>
      <c r="AA238" s="215"/>
      <c r="AB238" s="215"/>
      <c r="AC238" s="215"/>
      <c r="AD238" s="215"/>
      <c r="AE238" s="215"/>
      <c r="AF238" s="215"/>
      <c r="AG238" s="215"/>
      <c r="AH238" s="215"/>
      <c r="AI238" s="215"/>
      <c r="AJ238" s="215"/>
      <c r="AK238" s="215"/>
      <c r="AL238" s="215"/>
      <c r="AM238" s="215"/>
      <c r="AN238" s="215"/>
      <c r="AO238" s="215"/>
      <c r="AP238" s="215"/>
      <c r="AQ238" s="215"/>
      <c r="AR238" s="215"/>
      <c r="AS238" s="215"/>
      <c r="AT238" s="215"/>
      <c r="AU238" s="215"/>
      <c r="AV238" s="215"/>
      <c r="AW238" s="215"/>
      <c r="AX238" s="215"/>
      <c r="AY238" s="215"/>
      <c r="AZ238" s="215"/>
      <c r="BA238" s="215"/>
      <c r="BB238" s="215"/>
      <c r="BC238" s="215"/>
      <c r="BD238" s="215"/>
      <c r="BE238" s="215"/>
      <c r="BF238" s="215"/>
      <c r="BG238" s="215"/>
      <c r="BH238" s="215"/>
      <c r="BI238" s="215"/>
      <c r="BJ238" s="215"/>
      <c r="BK238" s="215"/>
      <c r="BL238" s="215"/>
      <c r="BM238" s="215"/>
      <c r="BN238" s="215"/>
      <c r="BO238" s="215"/>
      <c r="BP238" s="215"/>
      <c r="BQ238" s="215"/>
      <c r="BR238" s="215"/>
      <c r="BS238" s="215"/>
      <c r="BT238" s="215"/>
      <c r="BU238" s="215"/>
      <c r="BV238" s="215"/>
      <c r="BW238" s="215"/>
      <c r="BX238" s="215"/>
      <c r="BY238" s="215"/>
      <c r="BZ238" s="215"/>
    </row>
    <row r="239" spans="1:78" x14ac:dyDescent="0.2">
      <c r="A239" s="2" t="str">
        <f>'Language Index'!A226</f>
        <v>Change in Trad. Asset Securities</v>
      </c>
      <c r="B239" s="17"/>
      <c r="C239" s="17"/>
      <c r="D239" s="18">
        <f>_xll.ciqfunctions.udf.CIQ($C$2, "IQ_CHANGE_TRADING_ASSETS",D$6,$F$2,,,Ccy,Conv)</f>
        <v>0</v>
      </c>
      <c r="E239" s="18">
        <f>_xll.ciqfunctions.udf.CIQ($C$2, "IQ_CHANGE_TRADING_ASSETS",E$6,$F$2,,,Ccy,Conv)</f>
        <v>0</v>
      </c>
      <c r="F239" s="18">
        <f>_xll.ciqfunctions.udf.CIQ($C$2, "IQ_CHANGE_TRADING_ASSETS",F$6,$F$2,,,Ccy,Conv)</f>
        <v>0</v>
      </c>
      <c r="G239" s="18">
        <f>_xll.ciqfunctions.udf.CIQ($C$2, "IQ_CHANGE_TRADING_ASSETS",G$6,$F$2,,,Ccy,Conv)</f>
        <v>0</v>
      </c>
      <c r="H239" s="18">
        <f>_xll.ciqfunctions.udf.CIQ($C$2, "IQ_CHANGE_TRADING_ASSETS",H$6,$F$2,,,Ccy,Conv)</f>
        <v>0</v>
      </c>
      <c r="I239" s="18">
        <f>_xll.ciqfunctions.udf.CIQ($C$2, "IQ_CHANGE_TRADING_ASSETS",I$6,$F$2,,,Ccy,Conv)</f>
        <v>0</v>
      </c>
      <c r="J239" s="18">
        <f>_xll.ciqfunctions.udf.CIQ($C$2, "IQ_CHANGE_TRADING_ASSETS",J$6,$F$2,,,Ccy,Conv)</f>
        <v>0</v>
      </c>
      <c r="K239" s="18">
        <f>_xll.ciqfunctions.udf.CIQ($C$2, "IQ_CHANGE_TRADING_ASSETS",K$6,$F$2,,,Ccy,Conv)</f>
        <v>0</v>
      </c>
      <c r="L239" s="18">
        <f>_xll.ciqfunctions.udf.CIQ($C$2, "IQ_CHANGE_TRADING_ASSETS",L$6,$F$2,,,Ccy,Conv)</f>
        <v>0</v>
      </c>
      <c r="M239" s="18">
        <f>_xll.ciqfunctions.udf.CIQ($C$2, "IQ_CHANGE_TRADING_ASSETS",M$6,$F$2,,,Ccy,Conv)</f>
        <v>0</v>
      </c>
      <c r="N239" s="18">
        <f>_xll.ciqfunctions.udf.CIQ($C$2, "IQ_CHANGE_TRADING_ASSETS",N$6,$F$2,,,Ccy,Conv)</f>
        <v>0</v>
      </c>
      <c r="O239" s="18"/>
      <c r="P239" s="18">
        <f>_xll.ciqfunctions.udf.CIQ($C$2, "IQ_CHANGE_TRADING_ASSETS",P$6,$F$2,,,Ccy,Conv)</f>
        <v>0</v>
      </c>
      <c r="Q239" s="215"/>
      <c r="R239" s="215"/>
      <c r="S239" s="215"/>
      <c r="T239" s="215"/>
      <c r="U239" s="215"/>
      <c r="V239" s="222"/>
      <c r="W239" s="222"/>
      <c r="X239" s="222"/>
      <c r="Y239" s="215"/>
      <c r="Z239" s="215"/>
      <c r="AA239" s="215"/>
      <c r="AB239" s="215"/>
      <c r="AC239" s="215"/>
      <c r="AD239" s="215"/>
      <c r="AE239" s="215"/>
      <c r="AF239" s="215"/>
      <c r="AG239" s="215"/>
      <c r="AH239" s="215"/>
      <c r="AI239" s="215"/>
      <c r="AJ239" s="215"/>
      <c r="AK239" s="215"/>
      <c r="AL239" s="215"/>
      <c r="AM239" s="215"/>
      <c r="AN239" s="215"/>
      <c r="AO239" s="215"/>
      <c r="AP239" s="215"/>
      <c r="AQ239" s="215"/>
      <c r="AR239" s="215"/>
      <c r="AS239" s="215"/>
      <c r="AT239" s="215"/>
      <c r="AU239" s="215"/>
      <c r="AV239" s="215"/>
      <c r="AW239" s="215"/>
      <c r="AX239" s="215"/>
      <c r="AY239" s="215"/>
      <c r="AZ239" s="215"/>
      <c r="BA239" s="215"/>
      <c r="BB239" s="215"/>
      <c r="BC239" s="215"/>
      <c r="BD239" s="215"/>
      <c r="BE239" s="215"/>
      <c r="BF239" s="215"/>
      <c r="BG239" s="215"/>
      <c r="BH239" s="215"/>
      <c r="BI239" s="215"/>
      <c r="BJ239" s="215"/>
      <c r="BK239" s="215"/>
      <c r="BL239" s="215"/>
      <c r="BM239" s="215"/>
      <c r="BN239" s="215"/>
      <c r="BO239" s="215"/>
      <c r="BP239" s="215"/>
      <c r="BQ239" s="215"/>
      <c r="BR239" s="215"/>
      <c r="BS239" s="215"/>
      <c r="BT239" s="215"/>
      <c r="BU239" s="215"/>
      <c r="BV239" s="215"/>
      <c r="BW239" s="215"/>
      <c r="BX239" s="215"/>
      <c r="BY239" s="215"/>
      <c r="BZ239" s="215"/>
    </row>
    <row r="240" spans="1:78" x14ac:dyDescent="0.2">
      <c r="A240" s="2" t="str">
        <f>'Language Index'!A227</f>
        <v>Change in Acc. Receivable</v>
      </c>
      <c r="B240" s="17"/>
      <c r="C240" s="17"/>
      <c r="D240" s="18">
        <f>_xll.ciqfunctions.udf.CIQ($C$2, "IQ_CHANGE_AR",D$6,$F$2,,,Ccy,Conv)</f>
        <v>-539</v>
      </c>
      <c r="E240" s="18">
        <f>_xll.ciqfunctions.udf.CIQ($C$2, "IQ_CHANGE_AR",E$6,$F$2,,,Ccy,Conv)</f>
        <v>-539</v>
      </c>
      <c r="F240" s="18">
        <f>_xll.ciqfunctions.udf.CIQ($C$2, "IQ_CHANGE_AR",F$6,$F$2,,,Ccy,Conv)</f>
        <v>725</v>
      </c>
      <c r="G240" s="18">
        <f>_xll.ciqfunctions.udf.CIQ($C$2, "IQ_CHANGE_AR",G$6,$F$2,,,Ccy,Conv)</f>
        <v>725</v>
      </c>
      <c r="H240" s="18">
        <f>_xll.ciqfunctions.udf.CIQ($C$2, "IQ_CHANGE_AR",H$6,$F$2,,,Ccy,Conv)</f>
        <v>725</v>
      </c>
      <c r="I240" s="18">
        <f>_xll.ciqfunctions.udf.CIQ($C$2, "IQ_CHANGE_AR",I$6,$F$2,,,Ccy,Conv)</f>
        <v>725</v>
      </c>
      <c r="J240" s="18">
        <f>_xll.ciqfunctions.udf.CIQ($C$2, "IQ_CHANGE_AR",J$6,$F$2,,,Ccy,Conv)</f>
        <v>-374</v>
      </c>
      <c r="K240" s="18">
        <f>_xll.ciqfunctions.udf.CIQ($C$2, "IQ_CHANGE_AR",K$6,$F$2,,,Ccy,Conv)</f>
        <v>-374</v>
      </c>
      <c r="L240" s="18">
        <f>_xll.ciqfunctions.udf.CIQ($C$2, "IQ_CHANGE_AR",L$6,$F$2,,,Ccy,Conv)</f>
        <v>-374</v>
      </c>
      <c r="M240" s="18">
        <f>_xll.ciqfunctions.udf.CIQ($C$2, "IQ_CHANGE_AR",M$6,$F$2,,,Ccy,Conv)</f>
        <v>-374</v>
      </c>
      <c r="N240" s="18">
        <f>_xll.ciqfunctions.udf.CIQ($C$2, "IQ_CHANGE_AR",N$6,$F$2,,,Ccy,Conv)</f>
        <v>-4278</v>
      </c>
      <c r="O240" s="18"/>
      <c r="P240" s="18">
        <f>_xll.ciqfunctions.udf.CIQ($C$2, "IQ_CHANGE_AR",P$6,$F$2,,,Ccy,Conv)</f>
        <v>-4278</v>
      </c>
      <c r="Q240" s="215"/>
      <c r="R240" s="215"/>
      <c r="S240" s="215"/>
      <c r="T240" s="215"/>
      <c r="U240" s="215"/>
      <c r="V240" s="222"/>
      <c r="W240" s="222"/>
      <c r="X240" s="222"/>
      <c r="Y240" s="215"/>
      <c r="Z240" s="215"/>
      <c r="AA240" s="215"/>
      <c r="AB240" s="215"/>
      <c r="AC240" s="215"/>
      <c r="AD240" s="215"/>
      <c r="AE240" s="215"/>
      <c r="AF240" s="215"/>
      <c r="AG240" s="215"/>
      <c r="AH240" s="215"/>
      <c r="AI240" s="215"/>
      <c r="AJ240" s="215"/>
      <c r="AK240" s="215"/>
      <c r="AL240" s="215"/>
      <c r="AM240" s="215"/>
      <c r="AN240" s="215"/>
      <c r="AO240" s="215"/>
      <c r="AP240" s="215"/>
      <c r="AQ240" s="215"/>
      <c r="AR240" s="215"/>
      <c r="AS240" s="215"/>
      <c r="AT240" s="215"/>
      <c r="AU240" s="215"/>
      <c r="AV240" s="215"/>
      <c r="AW240" s="215"/>
      <c r="AX240" s="215"/>
      <c r="AY240" s="215"/>
      <c r="AZ240" s="215"/>
      <c r="BA240" s="215"/>
      <c r="BB240" s="215"/>
      <c r="BC240" s="215"/>
      <c r="BD240" s="215"/>
      <c r="BE240" s="215"/>
      <c r="BF240" s="215"/>
      <c r="BG240" s="215"/>
      <c r="BH240" s="215"/>
      <c r="BI240" s="215"/>
      <c r="BJ240" s="215"/>
      <c r="BK240" s="215"/>
      <c r="BL240" s="215"/>
      <c r="BM240" s="215"/>
      <c r="BN240" s="215"/>
      <c r="BO240" s="215"/>
      <c r="BP240" s="215"/>
      <c r="BQ240" s="215"/>
      <c r="BR240" s="215"/>
      <c r="BS240" s="215"/>
      <c r="BT240" s="215"/>
      <c r="BU240" s="215"/>
      <c r="BV240" s="215"/>
      <c r="BW240" s="215"/>
      <c r="BX240" s="215"/>
      <c r="BY240" s="215"/>
      <c r="BZ240" s="215"/>
    </row>
    <row r="241" spans="1:78" x14ac:dyDescent="0.2">
      <c r="A241" s="2" t="str">
        <f>'Language Index'!A228</f>
        <v>Change In Inventories</v>
      </c>
      <c r="B241" s="17"/>
      <c r="C241" s="17"/>
      <c r="D241" s="18">
        <f>_xll.ciqfunctions.udf.CIQ($C$2, "IQ_CHANGE_INVENTORY",D$6,$F$2,,,Ccy,Conv)</f>
        <v>71</v>
      </c>
      <c r="E241" s="18">
        <f>_xll.ciqfunctions.udf.CIQ($C$2, "IQ_CHANGE_INVENTORY",E$6,$F$2,,,Ccy,Conv)</f>
        <v>71</v>
      </c>
      <c r="F241" s="18">
        <f>_xll.ciqfunctions.udf.CIQ($C$2, "IQ_CHANGE_INVENTORY",F$6,$F$2,,,Ccy,Conv)</f>
        <v>390</v>
      </c>
      <c r="G241" s="18">
        <f>_xll.ciqfunctions.udf.CIQ($C$2, "IQ_CHANGE_INVENTORY",G$6,$F$2,,,Ccy,Conv)</f>
        <v>390</v>
      </c>
      <c r="H241" s="18">
        <f>_xll.ciqfunctions.udf.CIQ($C$2, "IQ_CHANGE_INVENTORY",H$6,$F$2,,,Ccy,Conv)</f>
        <v>390</v>
      </c>
      <c r="I241" s="18">
        <f>_xll.ciqfunctions.udf.CIQ($C$2, "IQ_CHANGE_INVENTORY",I$6,$F$2,,,Ccy,Conv)</f>
        <v>390</v>
      </c>
      <c r="J241" s="18">
        <f>_xll.ciqfunctions.udf.CIQ($C$2, "IQ_CHANGE_INVENTORY",J$6,$F$2,,,Ccy,Conv)</f>
        <v>-166</v>
      </c>
      <c r="K241" s="18">
        <f>_xll.ciqfunctions.udf.CIQ($C$2, "IQ_CHANGE_INVENTORY",K$6,$F$2,,,Ccy,Conv)</f>
        <v>-166</v>
      </c>
      <c r="L241" s="18">
        <f>_xll.ciqfunctions.udf.CIQ($C$2, "IQ_CHANGE_INVENTORY",L$6,$F$2,,,Ccy,Conv)</f>
        <v>-166</v>
      </c>
      <c r="M241" s="18">
        <f>_xll.ciqfunctions.udf.CIQ($C$2, "IQ_CHANGE_INVENTORY",M$6,$F$2,,,Ccy,Conv)</f>
        <v>-166</v>
      </c>
      <c r="N241" s="18">
        <f>_xll.ciqfunctions.udf.CIQ($C$2, "IQ_CHANGE_INVENTORY",N$6,$F$2,,,Ccy,Conv)</f>
        <v>70</v>
      </c>
      <c r="O241" s="18"/>
      <c r="P241" s="18">
        <f>_xll.ciqfunctions.udf.CIQ($C$2, "IQ_CHANGE_INVENTORY",P$6,$F$2,,,Ccy,Conv)</f>
        <v>70</v>
      </c>
      <c r="Q241" s="215"/>
      <c r="R241" s="215"/>
      <c r="S241" s="215"/>
      <c r="T241" s="215"/>
      <c r="U241" s="215"/>
      <c r="V241" s="222"/>
      <c r="W241" s="222"/>
      <c r="X241" s="222"/>
      <c r="Y241" s="215"/>
      <c r="Z241" s="215"/>
      <c r="AA241" s="215"/>
      <c r="AB241" s="215"/>
      <c r="AC241" s="215"/>
      <c r="AD241" s="215"/>
      <c r="AE241" s="215"/>
      <c r="AF241" s="215"/>
      <c r="AG241" s="215"/>
      <c r="AH241" s="215"/>
      <c r="AI241" s="215"/>
      <c r="AJ241" s="215"/>
      <c r="AK241" s="215"/>
      <c r="AL241" s="215"/>
      <c r="AM241" s="215"/>
      <c r="AN241" s="215"/>
      <c r="AO241" s="215"/>
      <c r="AP241" s="215"/>
      <c r="AQ241" s="215"/>
      <c r="AR241" s="215"/>
      <c r="AS241" s="215"/>
      <c r="AT241" s="215"/>
      <c r="AU241" s="215"/>
      <c r="AV241" s="215"/>
      <c r="AW241" s="215"/>
      <c r="AX241" s="215"/>
      <c r="AY241" s="215"/>
      <c r="AZ241" s="215"/>
      <c r="BA241" s="215"/>
      <c r="BB241" s="215"/>
      <c r="BC241" s="215"/>
      <c r="BD241" s="215"/>
      <c r="BE241" s="215"/>
      <c r="BF241" s="215"/>
      <c r="BG241" s="215"/>
      <c r="BH241" s="215"/>
      <c r="BI241" s="215"/>
      <c r="BJ241" s="215"/>
      <c r="BK241" s="215"/>
      <c r="BL241" s="215"/>
      <c r="BM241" s="215"/>
      <c r="BN241" s="215"/>
      <c r="BO241" s="215"/>
      <c r="BP241" s="215"/>
      <c r="BQ241" s="215"/>
      <c r="BR241" s="215"/>
      <c r="BS241" s="215"/>
      <c r="BT241" s="215"/>
      <c r="BU241" s="215"/>
      <c r="BV241" s="215"/>
      <c r="BW241" s="215"/>
      <c r="BX241" s="215"/>
      <c r="BY241" s="215"/>
      <c r="BZ241" s="215"/>
    </row>
    <row r="242" spans="1:78" x14ac:dyDescent="0.2">
      <c r="A242" s="2" t="str">
        <f>'Language Index'!A229</f>
        <v>Change in Acc. Payable</v>
      </c>
      <c r="B242" s="17"/>
      <c r="C242" s="17"/>
      <c r="D242" s="18">
        <f>_xll.ciqfunctions.udf.CIQ($C$2, "IQ_CHANGE_AP",D$6,$F$2,,,Ccy,Conv)</f>
        <v>213</v>
      </c>
      <c r="E242" s="18">
        <f>_xll.ciqfunctions.udf.CIQ($C$2, "IQ_CHANGE_AP",E$6,$F$2,,,Ccy,Conv)</f>
        <v>213</v>
      </c>
      <c r="F242" s="18">
        <f>_xll.ciqfunctions.udf.CIQ($C$2, "IQ_CHANGE_AP",F$6,$F$2,,,Ccy,Conv)</f>
        <v>65</v>
      </c>
      <c r="G242" s="18">
        <f>_xll.ciqfunctions.udf.CIQ($C$2, "IQ_CHANGE_AP",G$6,$F$2,,,Ccy,Conv)</f>
        <v>65</v>
      </c>
      <c r="H242" s="18">
        <f>_xll.ciqfunctions.udf.CIQ($C$2, "IQ_CHANGE_AP",H$6,$F$2,,,Ccy,Conv)</f>
        <v>65</v>
      </c>
      <c r="I242" s="18">
        <f>_xll.ciqfunctions.udf.CIQ($C$2, "IQ_CHANGE_AP",I$6,$F$2,,,Ccy,Conv)</f>
        <v>65</v>
      </c>
      <c r="J242" s="18">
        <f>_xll.ciqfunctions.udf.CIQ($C$2, "IQ_CHANGE_AP",J$6,$F$2,,,Ccy,Conv)</f>
        <v>-13</v>
      </c>
      <c r="K242" s="18">
        <f>_xll.ciqfunctions.udf.CIQ($C$2, "IQ_CHANGE_AP",K$6,$F$2,,,Ccy,Conv)</f>
        <v>-13</v>
      </c>
      <c r="L242" s="18">
        <f>_xll.ciqfunctions.udf.CIQ($C$2, "IQ_CHANGE_AP",L$6,$F$2,,,Ccy,Conv)</f>
        <v>-13</v>
      </c>
      <c r="M242" s="18">
        <f>_xll.ciqfunctions.udf.CIQ($C$2, "IQ_CHANGE_AP",M$6,$F$2,,,Ccy,Conv)</f>
        <v>-13</v>
      </c>
      <c r="N242" s="18">
        <f>_xll.ciqfunctions.udf.CIQ($C$2, "IQ_CHANGE_AP",N$6,$F$2,,,Ccy,Conv)</f>
        <v>624</v>
      </c>
      <c r="O242" s="18"/>
      <c r="P242" s="18">
        <f>_xll.ciqfunctions.udf.CIQ($C$2, "IQ_CHANGE_AP",P$6,$F$2,,,Ccy,Conv)</f>
        <v>624</v>
      </c>
      <c r="Q242" s="215"/>
      <c r="R242" s="215"/>
      <c r="S242" s="215"/>
      <c r="T242" s="215"/>
      <c r="U242" s="215"/>
      <c r="V242" s="222"/>
      <c r="W242" s="222"/>
      <c r="X242" s="222"/>
      <c r="Y242" s="215"/>
      <c r="Z242" s="215"/>
      <c r="AA242" s="215"/>
      <c r="AB242" s="215"/>
      <c r="AC242" s="215"/>
      <c r="AD242" s="215"/>
      <c r="AE242" s="215"/>
      <c r="AF242" s="215"/>
      <c r="AG242" s="215"/>
      <c r="AH242" s="215"/>
      <c r="AI242" s="215"/>
      <c r="AJ242" s="215"/>
      <c r="AK242" s="215"/>
      <c r="AL242" s="215"/>
      <c r="AM242" s="215"/>
      <c r="AN242" s="215"/>
      <c r="AO242" s="215"/>
      <c r="AP242" s="215"/>
      <c r="AQ242" s="215"/>
      <c r="AR242" s="215"/>
      <c r="AS242" s="215"/>
      <c r="AT242" s="215"/>
      <c r="AU242" s="215"/>
      <c r="AV242" s="215"/>
      <c r="AW242" s="215"/>
      <c r="AX242" s="215"/>
      <c r="AY242" s="215"/>
      <c r="AZ242" s="215"/>
      <c r="BA242" s="215"/>
      <c r="BB242" s="215"/>
      <c r="BC242" s="215"/>
      <c r="BD242" s="215"/>
      <c r="BE242" s="215"/>
      <c r="BF242" s="215"/>
      <c r="BG242" s="215"/>
      <c r="BH242" s="215"/>
      <c r="BI242" s="215"/>
      <c r="BJ242" s="215"/>
      <c r="BK242" s="215"/>
      <c r="BL242" s="215"/>
      <c r="BM242" s="215"/>
      <c r="BN242" s="215"/>
      <c r="BO242" s="215"/>
      <c r="BP242" s="215"/>
      <c r="BQ242" s="215"/>
      <c r="BR242" s="215"/>
      <c r="BS242" s="215"/>
      <c r="BT242" s="215"/>
      <c r="BU242" s="215"/>
      <c r="BV242" s="215"/>
      <c r="BW242" s="215"/>
      <c r="BX242" s="215"/>
      <c r="BY242" s="215"/>
      <c r="BZ242" s="215"/>
    </row>
    <row r="243" spans="1:78" x14ac:dyDescent="0.2">
      <c r="A243" s="2" t="str">
        <f>'Language Index'!A230</f>
        <v>Change in Unearned Rev.</v>
      </c>
      <c r="B243" s="17"/>
      <c r="C243" s="17"/>
      <c r="D243" s="18">
        <f>_xll.ciqfunctions.udf.CIQ($C$2, "IQ_CHANGE_UNEARN_REV",D$6,$F$2,,,Ccy,Conv)</f>
        <v>0</v>
      </c>
      <c r="E243" s="18">
        <f>_xll.ciqfunctions.udf.CIQ($C$2, "IQ_CHANGE_UNEARN_REV",E$6,$F$2,,,Ccy,Conv)</f>
        <v>0</v>
      </c>
      <c r="F243" s="18">
        <f>_xll.ciqfunctions.udf.CIQ($C$2, "IQ_CHANGE_UNEARN_REV",F$6,$F$2,,,Ccy,Conv)</f>
        <v>0</v>
      </c>
      <c r="G243" s="18">
        <f>_xll.ciqfunctions.udf.CIQ($C$2, "IQ_CHANGE_UNEARN_REV",G$6,$F$2,,,Ccy,Conv)</f>
        <v>0</v>
      </c>
      <c r="H243" s="18">
        <f>_xll.ciqfunctions.udf.CIQ($C$2, "IQ_CHANGE_UNEARN_REV",H$6,$F$2,,,Ccy,Conv)</f>
        <v>0</v>
      </c>
      <c r="I243" s="18">
        <f>_xll.ciqfunctions.udf.CIQ($C$2, "IQ_CHANGE_UNEARN_REV",I$6,$F$2,,,Ccy,Conv)</f>
        <v>0</v>
      </c>
      <c r="J243" s="18">
        <f>_xll.ciqfunctions.udf.CIQ($C$2, "IQ_CHANGE_UNEARN_REV",J$6,$F$2,,,Ccy,Conv)</f>
        <v>0</v>
      </c>
      <c r="K243" s="18">
        <f>_xll.ciqfunctions.udf.CIQ($C$2, "IQ_CHANGE_UNEARN_REV",K$6,$F$2,,,Ccy,Conv)</f>
        <v>0</v>
      </c>
      <c r="L243" s="18">
        <f>_xll.ciqfunctions.udf.CIQ($C$2, "IQ_CHANGE_UNEARN_REV",L$6,$F$2,,,Ccy,Conv)</f>
        <v>0</v>
      </c>
      <c r="M243" s="18">
        <f>_xll.ciqfunctions.udf.CIQ($C$2, "IQ_CHANGE_UNEARN_REV",M$6,$F$2,,,Ccy,Conv)</f>
        <v>0</v>
      </c>
      <c r="N243" s="18">
        <f>_xll.ciqfunctions.udf.CIQ($C$2, "IQ_CHANGE_UNEARN_REV",N$6,$F$2,,,Ccy,Conv)</f>
        <v>0</v>
      </c>
      <c r="O243" s="18"/>
      <c r="P243" s="18">
        <f>_xll.ciqfunctions.udf.CIQ($C$2, "IQ_CHANGE_UNEARN_REV",P$6,$F$2,,,Ccy,Conv)</f>
        <v>0</v>
      </c>
      <c r="Q243" s="215"/>
      <c r="R243" s="215"/>
      <c r="S243" s="215"/>
      <c r="T243" s="215"/>
      <c r="U243" s="215"/>
      <c r="V243" s="222"/>
      <c r="W243" s="222"/>
      <c r="X243" s="222"/>
      <c r="Y243" s="215"/>
      <c r="Z243" s="215"/>
      <c r="AA243" s="215"/>
      <c r="AB243" s="215"/>
      <c r="AC243" s="215"/>
      <c r="AD243" s="215"/>
      <c r="AE243" s="215"/>
      <c r="AF243" s="215"/>
      <c r="AG243" s="215"/>
      <c r="AH243" s="215"/>
      <c r="AI243" s="215"/>
      <c r="AJ243" s="215"/>
      <c r="AK243" s="215"/>
      <c r="AL243" s="215"/>
      <c r="AM243" s="215"/>
      <c r="AN243" s="215"/>
      <c r="AO243" s="215"/>
      <c r="AP243" s="215"/>
      <c r="AQ243" s="215"/>
      <c r="AR243" s="215"/>
      <c r="AS243" s="215"/>
      <c r="AT243" s="215"/>
      <c r="AU243" s="215"/>
      <c r="AV243" s="215"/>
      <c r="AW243" s="215"/>
      <c r="AX243" s="215"/>
      <c r="AY243" s="215"/>
      <c r="AZ243" s="215"/>
      <c r="BA243" s="215"/>
      <c r="BB243" s="215"/>
      <c r="BC243" s="215"/>
      <c r="BD243" s="215"/>
      <c r="BE243" s="215"/>
      <c r="BF243" s="215"/>
      <c r="BG243" s="215"/>
      <c r="BH243" s="215"/>
      <c r="BI243" s="215"/>
      <c r="BJ243" s="215"/>
      <c r="BK243" s="215"/>
      <c r="BL243" s="215"/>
      <c r="BM243" s="215"/>
      <c r="BN243" s="215"/>
      <c r="BO243" s="215"/>
      <c r="BP243" s="215"/>
      <c r="BQ243" s="215"/>
      <c r="BR243" s="215"/>
      <c r="BS243" s="215"/>
      <c r="BT243" s="215"/>
      <c r="BU243" s="215"/>
      <c r="BV243" s="215"/>
      <c r="BW243" s="215"/>
      <c r="BX243" s="215"/>
      <c r="BY243" s="215"/>
      <c r="BZ243" s="215"/>
    </row>
    <row r="244" spans="1:78" x14ac:dyDescent="0.2">
      <c r="A244" s="2" t="str">
        <f>'Language Index'!A231</f>
        <v>Change in Inc. Taxes</v>
      </c>
      <c r="B244" s="17"/>
      <c r="C244" s="17"/>
      <c r="D244" s="18">
        <f>_xll.ciqfunctions.udf.CIQ($C$2, "IQ_CHANGE_INC_TAX",D$6,$F$2,,,Ccy,Conv)</f>
        <v>0</v>
      </c>
      <c r="E244" s="18">
        <f>_xll.ciqfunctions.udf.CIQ($C$2, "IQ_CHANGE_INC_TAX",E$6,$F$2,,,Ccy,Conv)</f>
        <v>0</v>
      </c>
      <c r="F244" s="18">
        <f>_xll.ciqfunctions.udf.CIQ($C$2, "IQ_CHANGE_INC_TAX",F$6,$F$2,,,Ccy,Conv)</f>
        <v>0</v>
      </c>
      <c r="G244" s="18">
        <f>_xll.ciqfunctions.udf.CIQ($C$2, "IQ_CHANGE_INC_TAX",G$6,$F$2,,,Ccy,Conv)</f>
        <v>0</v>
      </c>
      <c r="H244" s="18">
        <f>_xll.ciqfunctions.udf.CIQ($C$2, "IQ_CHANGE_INC_TAX",H$6,$F$2,,,Ccy,Conv)</f>
        <v>0</v>
      </c>
      <c r="I244" s="18">
        <f>_xll.ciqfunctions.udf.CIQ($C$2, "IQ_CHANGE_INC_TAX",I$6,$F$2,,,Ccy,Conv)</f>
        <v>0</v>
      </c>
      <c r="J244" s="18">
        <f>_xll.ciqfunctions.udf.CIQ($C$2, "IQ_CHANGE_INC_TAX",J$6,$F$2,,,Ccy,Conv)</f>
        <v>0</v>
      </c>
      <c r="K244" s="18">
        <f>_xll.ciqfunctions.udf.CIQ($C$2, "IQ_CHANGE_INC_TAX",K$6,$F$2,,,Ccy,Conv)</f>
        <v>0</v>
      </c>
      <c r="L244" s="18">
        <f>_xll.ciqfunctions.udf.CIQ($C$2, "IQ_CHANGE_INC_TAX",L$6,$F$2,,,Ccy,Conv)</f>
        <v>0</v>
      </c>
      <c r="M244" s="18">
        <f>_xll.ciqfunctions.udf.CIQ($C$2, "IQ_CHANGE_INC_TAX",M$6,$F$2,,,Ccy,Conv)</f>
        <v>0</v>
      </c>
      <c r="N244" s="18">
        <f>_xll.ciqfunctions.udf.CIQ($C$2, "IQ_CHANGE_INC_TAX",N$6,$F$2,,,Ccy,Conv)</f>
        <v>0</v>
      </c>
      <c r="O244" s="18"/>
      <c r="P244" s="18">
        <f>_xll.ciqfunctions.udf.CIQ($C$2, "IQ_CHANGE_INC_TAX",P$6,$F$2,,,Ccy,Conv)</f>
        <v>0</v>
      </c>
      <c r="Q244" s="215"/>
      <c r="R244" s="215"/>
      <c r="S244" s="215"/>
      <c r="T244" s="215"/>
      <c r="U244" s="215"/>
      <c r="V244" s="222"/>
      <c r="W244" s="222"/>
      <c r="X244" s="222"/>
      <c r="Y244" s="215"/>
      <c r="Z244" s="215"/>
      <c r="AA244" s="215"/>
      <c r="AB244" s="215"/>
      <c r="AC244" s="215"/>
      <c r="AD244" s="215"/>
      <c r="AE244" s="215"/>
      <c r="AF244" s="215"/>
      <c r="AG244" s="215"/>
      <c r="AH244" s="215"/>
      <c r="AI244" s="215"/>
      <c r="AJ244" s="215"/>
      <c r="AK244" s="215"/>
      <c r="AL244" s="215"/>
      <c r="AM244" s="215"/>
      <c r="AN244" s="215"/>
      <c r="AO244" s="215"/>
      <c r="AP244" s="215"/>
      <c r="AQ244" s="215"/>
      <c r="AR244" s="215"/>
      <c r="AS244" s="215"/>
      <c r="AT244" s="215"/>
      <c r="AU244" s="215"/>
      <c r="AV244" s="215"/>
      <c r="AW244" s="215"/>
      <c r="AX244" s="215"/>
      <c r="AY244" s="215"/>
      <c r="AZ244" s="215"/>
      <c r="BA244" s="215"/>
      <c r="BB244" s="215"/>
      <c r="BC244" s="215"/>
      <c r="BD244" s="215"/>
      <c r="BE244" s="215"/>
      <c r="BF244" s="215"/>
      <c r="BG244" s="215"/>
      <c r="BH244" s="215"/>
      <c r="BI244" s="215"/>
      <c r="BJ244" s="215"/>
      <c r="BK244" s="215"/>
      <c r="BL244" s="215"/>
      <c r="BM244" s="215"/>
      <c r="BN244" s="215"/>
      <c r="BO244" s="215"/>
      <c r="BP244" s="215"/>
      <c r="BQ244" s="215"/>
      <c r="BR244" s="215"/>
      <c r="BS244" s="215"/>
      <c r="BT244" s="215"/>
      <c r="BU244" s="215"/>
      <c r="BV244" s="215"/>
      <c r="BW244" s="215"/>
      <c r="BX244" s="215"/>
      <c r="BY244" s="215"/>
      <c r="BZ244" s="215"/>
    </row>
    <row r="245" spans="1:78" x14ac:dyDescent="0.2">
      <c r="A245" s="2" t="str">
        <f>'Language Index'!A232</f>
        <v>Change in Def. Taxes</v>
      </c>
      <c r="B245" s="17"/>
      <c r="C245" s="17"/>
      <c r="D245" s="18">
        <f>_xll.ciqfunctions.udf.CIQ($C$2, "IQ_CHANGE_DEF_TAX",D$6,$F$2,,,Ccy,Conv)</f>
        <v>0</v>
      </c>
      <c r="E245" s="18">
        <f>_xll.ciqfunctions.udf.CIQ($C$2, "IQ_CHANGE_DEF_TAX",E$6,$F$2,,,Ccy,Conv)</f>
        <v>0</v>
      </c>
      <c r="F245" s="18">
        <f>_xll.ciqfunctions.udf.CIQ($C$2, "IQ_CHANGE_DEF_TAX",F$6,$F$2,,,Ccy,Conv)</f>
        <v>0</v>
      </c>
      <c r="G245" s="18">
        <f>_xll.ciqfunctions.udf.CIQ($C$2, "IQ_CHANGE_DEF_TAX",G$6,$F$2,,,Ccy,Conv)</f>
        <v>0</v>
      </c>
      <c r="H245" s="18">
        <f>_xll.ciqfunctions.udf.CIQ($C$2, "IQ_CHANGE_DEF_TAX",H$6,$F$2,,,Ccy,Conv)</f>
        <v>0</v>
      </c>
      <c r="I245" s="18">
        <f>_xll.ciqfunctions.udf.CIQ($C$2, "IQ_CHANGE_DEF_TAX",I$6,$F$2,,,Ccy,Conv)</f>
        <v>0</v>
      </c>
      <c r="J245" s="18">
        <f>_xll.ciqfunctions.udf.CIQ($C$2, "IQ_CHANGE_DEF_TAX",J$6,$F$2,,,Ccy,Conv)</f>
        <v>0</v>
      </c>
      <c r="K245" s="18">
        <f>_xll.ciqfunctions.udf.CIQ($C$2, "IQ_CHANGE_DEF_TAX",K$6,$F$2,,,Ccy,Conv)</f>
        <v>0</v>
      </c>
      <c r="L245" s="18">
        <f>_xll.ciqfunctions.udf.CIQ($C$2, "IQ_CHANGE_DEF_TAX",L$6,$F$2,,,Ccy,Conv)</f>
        <v>0</v>
      </c>
      <c r="M245" s="18">
        <f>_xll.ciqfunctions.udf.CIQ($C$2, "IQ_CHANGE_DEF_TAX",M$6,$F$2,,,Ccy,Conv)</f>
        <v>0</v>
      </c>
      <c r="N245" s="18">
        <f>_xll.ciqfunctions.udf.CIQ($C$2, "IQ_CHANGE_DEF_TAX",N$6,$F$2,,,Ccy,Conv)</f>
        <v>0</v>
      </c>
      <c r="O245" s="18"/>
      <c r="P245" s="18">
        <f>_xll.ciqfunctions.udf.CIQ($C$2, "IQ_CHANGE_DEF_TAX",P$6,$F$2,,,Ccy,Conv)</f>
        <v>0</v>
      </c>
      <c r="Q245" s="215"/>
      <c r="R245" s="215"/>
      <c r="S245" s="215"/>
      <c r="T245" s="215"/>
      <c r="U245" s="215"/>
      <c r="V245" s="222"/>
      <c r="W245" s="222"/>
      <c r="X245" s="222"/>
      <c r="Y245" s="215"/>
      <c r="Z245" s="215"/>
      <c r="AA245" s="215"/>
      <c r="AB245" s="215"/>
      <c r="AC245" s="215"/>
      <c r="AD245" s="215"/>
      <c r="AE245" s="215"/>
      <c r="AF245" s="215"/>
      <c r="AG245" s="215"/>
      <c r="AH245" s="215"/>
      <c r="AI245" s="215"/>
      <c r="AJ245" s="215"/>
      <c r="AK245" s="215"/>
      <c r="AL245" s="215"/>
      <c r="AM245" s="215"/>
      <c r="AN245" s="215"/>
      <c r="AO245" s="215"/>
      <c r="AP245" s="215"/>
      <c r="AQ245" s="215"/>
      <c r="AR245" s="215"/>
      <c r="AS245" s="215"/>
      <c r="AT245" s="215"/>
      <c r="AU245" s="215"/>
      <c r="AV245" s="215"/>
      <c r="AW245" s="215"/>
      <c r="AX245" s="215"/>
      <c r="AY245" s="215"/>
      <c r="AZ245" s="215"/>
      <c r="BA245" s="215"/>
      <c r="BB245" s="215"/>
      <c r="BC245" s="215"/>
      <c r="BD245" s="215"/>
      <c r="BE245" s="215"/>
      <c r="BF245" s="215"/>
      <c r="BG245" s="215"/>
      <c r="BH245" s="215"/>
      <c r="BI245" s="215"/>
      <c r="BJ245" s="215"/>
      <c r="BK245" s="215"/>
      <c r="BL245" s="215"/>
      <c r="BM245" s="215"/>
      <c r="BN245" s="215"/>
      <c r="BO245" s="215"/>
      <c r="BP245" s="215"/>
      <c r="BQ245" s="215"/>
      <c r="BR245" s="215"/>
      <c r="BS245" s="215"/>
      <c r="BT245" s="215"/>
      <c r="BU245" s="215"/>
      <c r="BV245" s="215"/>
      <c r="BW245" s="215"/>
      <c r="BX245" s="215"/>
      <c r="BY245" s="215"/>
      <c r="BZ245" s="215"/>
    </row>
    <row r="246" spans="1:78" x14ac:dyDescent="0.2">
      <c r="A246" s="2" t="str">
        <f>'Language Index'!A233</f>
        <v>Change In Other Net Operating Assets</v>
      </c>
      <c r="B246" s="17"/>
      <c r="C246" s="17"/>
      <c r="D246" s="18">
        <f>_xll.ciqfunctions.udf.CIQ($C$2, "IQ_CHANGE_OTHER_NET_OPER_ASSETS",D$6,$F$2,,,Ccy,Conv)</f>
        <v>2117</v>
      </c>
      <c r="E246" s="18">
        <f>_xll.ciqfunctions.udf.CIQ($C$2, "IQ_CHANGE_OTHER_NET_OPER_ASSETS",E$6,$F$2,,,Ccy,Conv)</f>
        <v>4419</v>
      </c>
      <c r="F246" s="18">
        <f>_xll.ciqfunctions.udf.CIQ($C$2, "IQ_CHANGE_OTHER_NET_OPER_ASSETS",F$6,$F$2,,,Ccy,Conv)</f>
        <v>1004</v>
      </c>
      <c r="G246" s="18">
        <f>_xll.ciqfunctions.udf.CIQ($C$2, "IQ_CHANGE_OTHER_NET_OPER_ASSETS",G$6,$F$2,,,Ccy,Conv)</f>
        <v>860</v>
      </c>
      <c r="H246" s="18">
        <f>_xll.ciqfunctions.udf.CIQ($C$2, "IQ_CHANGE_OTHER_NET_OPER_ASSETS",H$6,$F$2,,,Ccy,Conv)</f>
        <v>-58</v>
      </c>
      <c r="I246" s="18">
        <f>_xll.ciqfunctions.udf.CIQ($C$2, "IQ_CHANGE_OTHER_NET_OPER_ASSETS",I$6,$F$2,,,Ccy,Conv)</f>
        <v>-870</v>
      </c>
      <c r="J246" s="18">
        <f>_xll.ciqfunctions.udf.CIQ($C$2, "IQ_CHANGE_OTHER_NET_OPER_ASSETS",J$6,$F$2,,,Ccy,Conv)</f>
        <v>1866</v>
      </c>
      <c r="K246" s="18">
        <f>_xll.ciqfunctions.udf.CIQ($C$2, "IQ_CHANGE_OTHER_NET_OPER_ASSETS",K$6,$F$2,,,Ccy,Conv)</f>
        <v>2260</v>
      </c>
      <c r="L246" s="18">
        <f>_xll.ciqfunctions.udf.CIQ($C$2, "IQ_CHANGE_OTHER_NET_OPER_ASSETS",L$6,$F$2,,,Ccy,Conv)</f>
        <v>1293</v>
      </c>
      <c r="M246" s="18">
        <f>_xll.ciqfunctions.udf.CIQ($C$2, "IQ_CHANGE_OTHER_NET_OPER_ASSETS",M$6,$F$2,,,Ccy,Conv)</f>
        <v>1669</v>
      </c>
      <c r="N246" s="18">
        <f>_xll.ciqfunctions.udf.CIQ($C$2, "IQ_CHANGE_OTHER_NET_OPER_ASSETS",N$6,$F$2,,,Ccy,Conv)</f>
        <v>445</v>
      </c>
      <c r="O246" s="18"/>
      <c r="P246" s="18">
        <f>_xll.ciqfunctions.udf.CIQ($C$2, "IQ_CHANGE_OTHER_NET_OPER_ASSETS",P$6,$F$2,,,Ccy,Conv)</f>
        <v>445</v>
      </c>
      <c r="Q246" s="215"/>
      <c r="R246" s="215"/>
      <c r="S246" s="215"/>
      <c r="T246" s="215"/>
      <c r="U246" s="215"/>
      <c r="V246" s="222"/>
      <c r="W246" s="222"/>
      <c r="X246" s="222"/>
      <c r="Y246" s="215"/>
      <c r="Z246" s="215"/>
      <c r="AA246" s="215"/>
      <c r="AB246" s="215"/>
      <c r="AC246" s="215"/>
      <c r="AD246" s="215"/>
      <c r="AE246" s="215"/>
      <c r="AF246" s="215"/>
      <c r="AG246" s="215"/>
      <c r="AH246" s="215"/>
      <c r="AI246" s="215"/>
      <c r="AJ246" s="215"/>
      <c r="AK246" s="215"/>
      <c r="AL246" s="215"/>
      <c r="AM246" s="215"/>
      <c r="AN246" s="215"/>
      <c r="AO246" s="215"/>
      <c r="AP246" s="215"/>
      <c r="AQ246" s="215"/>
      <c r="AR246" s="215"/>
      <c r="AS246" s="215"/>
      <c r="AT246" s="215"/>
      <c r="AU246" s="215"/>
      <c r="AV246" s="215"/>
      <c r="AW246" s="215"/>
      <c r="AX246" s="215"/>
      <c r="AY246" s="215"/>
      <c r="AZ246" s="215"/>
      <c r="BA246" s="215"/>
      <c r="BB246" s="215"/>
      <c r="BC246" s="215"/>
      <c r="BD246" s="215"/>
      <c r="BE246" s="215"/>
      <c r="BF246" s="215"/>
      <c r="BG246" s="215"/>
      <c r="BH246" s="215"/>
      <c r="BI246" s="215"/>
      <c r="BJ246" s="215"/>
      <c r="BK246" s="215"/>
      <c r="BL246" s="215"/>
      <c r="BM246" s="215"/>
      <c r="BN246" s="215"/>
      <c r="BO246" s="215"/>
      <c r="BP246" s="215"/>
      <c r="BQ246" s="215"/>
      <c r="BR246" s="215"/>
      <c r="BS246" s="215"/>
      <c r="BT246" s="215"/>
      <c r="BU246" s="215"/>
      <c r="BV246" s="215"/>
      <c r="BW246" s="215"/>
      <c r="BX246" s="215"/>
      <c r="BY246" s="215"/>
      <c r="BZ246" s="215"/>
    </row>
    <row r="247" spans="1:78" ht="13.5" thickBot="1" x14ac:dyDescent="0.25">
      <c r="A247" s="20" t="str">
        <f>'Language Index'!A234</f>
        <v>Cash from Ops.</v>
      </c>
      <c r="B247" s="20"/>
      <c r="C247" s="20"/>
      <c r="D247" s="24">
        <f>_xll.ciqfunctions.udf.CIQ($C$2, "IQ_CASH_OPER",D$6,$F$2,,,Ccy,Conv)</f>
        <v>12278</v>
      </c>
      <c r="E247" s="24">
        <f>_xll.ciqfunctions.udf.CIQ($C$2, "IQ_CASH_OPER",E$6,$F$2,,,Ccy,Conv)</f>
        <v>13433</v>
      </c>
      <c r="F247" s="24">
        <f>_xll.ciqfunctions.udf.CIQ($C$2, "IQ_CASH_OPER",F$6,$F$2,,,Ccy,Conv)</f>
        <v>13931</v>
      </c>
      <c r="G247" s="24">
        <f>_xll.ciqfunctions.udf.CIQ($C$2, "IQ_CASH_OPER",G$6,$F$2,,,Ccy,Conv)</f>
        <v>14325</v>
      </c>
      <c r="H247" s="24">
        <f>_xll.ciqfunctions.udf.CIQ($C$2, "IQ_CASH_OPER",H$6,$F$2,,,Ccy,Conv)</f>
        <v>13753</v>
      </c>
      <c r="I247" s="24">
        <f>_xll.ciqfunctions.udf.CIQ($C$2, "IQ_CASH_OPER",I$6,$F$2,,,Ccy,Conv)</f>
        <v>13578</v>
      </c>
      <c r="J247" s="24">
        <f>_xll.ciqfunctions.udf.CIQ($C$2, "IQ_CASH_OPER",J$6,$F$2,,,Ccy,Conv)</f>
        <v>13445</v>
      </c>
      <c r="K247" s="24">
        <f>_xll.ciqfunctions.udf.CIQ($C$2, "IQ_CASH_OPER",K$6,$F$2,,,Ccy,Conv)</f>
        <v>13647</v>
      </c>
      <c r="L247" s="24">
        <f>_xll.ciqfunctions.udf.CIQ($C$2, "IQ_CASH_OPER",L$6,$F$2,,,Ccy,Conv)</f>
        <v>13282</v>
      </c>
      <c r="M247" s="24">
        <f>_xll.ciqfunctions.udf.CIQ($C$2, "IQ_CASH_OPER",M$6,$F$2,,,Ccy,Conv)</f>
        <v>13483</v>
      </c>
      <c r="N247" s="24">
        <f>_xll.ciqfunctions.udf.CIQ($C$2, "IQ_CASH_OPER",N$6,$F$2,,,Ccy,Conv)</f>
        <v>13193</v>
      </c>
      <c r="O247" s="22"/>
      <c r="P247" s="24">
        <f>_xll.ciqfunctions.udf.CIQ($C$2, "IQ_CASH_OPER",P$6,$F$2,,,Ccy,Conv)</f>
        <v>13193</v>
      </c>
      <c r="Q247" s="215"/>
      <c r="R247" s="215"/>
      <c r="S247" s="215"/>
      <c r="T247" s="215"/>
      <c r="U247" s="215"/>
      <c r="V247" s="222"/>
      <c r="W247" s="222"/>
      <c r="X247" s="222"/>
      <c r="Y247" s="215"/>
      <c r="Z247" s="215"/>
      <c r="AA247" s="215"/>
      <c r="AB247" s="215"/>
      <c r="AC247" s="215"/>
      <c r="AD247" s="215"/>
      <c r="AE247" s="215"/>
      <c r="AF247" s="215"/>
      <c r="AG247" s="215"/>
      <c r="AH247" s="215"/>
      <c r="AI247" s="215"/>
      <c r="AJ247" s="215"/>
      <c r="AK247" s="215"/>
      <c r="AL247" s="215"/>
      <c r="AM247" s="215"/>
      <c r="AN247" s="215"/>
      <c r="AO247" s="215"/>
      <c r="AP247" s="215"/>
      <c r="AQ247" s="215"/>
      <c r="AR247" s="215"/>
      <c r="AS247" s="215"/>
      <c r="AT247" s="215"/>
      <c r="AU247" s="215"/>
      <c r="AV247" s="215"/>
      <c r="AW247" s="215"/>
      <c r="AX247" s="215"/>
      <c r="AY247" s="215"/>
      <c r="AZ247" s="215"/>
      <c r="BA247" s="215"/>
      <c r="BB247" s="215"/>
      <c r="BC247" s="215"/>
      <c r="BD247" s="215"/>
      <c r="BE247" s="215"/>
      <c r="BF247" s="215"/>
      <c r="BG247" s="215"/>
      <c r="BH247" s="215"/>
      <c r="BI247" s="215"/>
      <c r="BJ247" s="215"/>
      <c r="BK247" s="215"/>
      <c r="BL247" s="215"/>
      <c r="BM247" s="215"/>
      <c r="BN247" s="215"/>
      <c r="BO247" s="215"/>
      <c r="BP247" s="215"/>
      <c r="BQ247" s="215"/>
      <c r="BR247" s="215"/>
      <c r="BS247" s="215"/>
      <c r="BT247" s="215"/>
      <c r="BU247" s="215"/>
      <c r="BV247" s="215"/>
      <c r="BW247" s="215"/>
      <c r="BX247" s="215"/>
      <c r="BY247" s="215"/>
      <c r="BZ247" s="215"/>
    </row>
    <row r="248" spans="1:78" ht="13.5" thickTop="1" x14ac:dyDescent="0.2">
      <c r="A248" s="16"/>
      <c r="B248" s="16"/>
      <c r="C248" s="1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215"/>
      <c r="R248" s="215"/>
      <c r="S248" s="215"/>
      <c r="T248" s="215"/>
      <c r="U248" s="215"/>
      <c r="V248" s="222"/>
      <c r="W248" s="222"/>
      <c r="X248" s="222"/>
      <c r="Y248" s="215"/>
      <c r="Z248" s="215"/>
      <c r="AA248" s="215"/>
      <c r="AB248" s="215"/>
      <c r="AC248" s="215"/>
      <c r="AD248" s="215"/>
      <c r="AE248" s="215"/>
      <c r="AF248" s="215"/>
      <c r="AG248" s="215"/>
      <c r="AH248" s="215"/>
      <c r="AI248" s="215"/>
      <c r="AJ248" s="215"/>
      <c r="AK248" s="215"/>
      <c r="AL248" s="215"/>
      <c r="AM248" s="215"/>
      <c r="AN248" s="215"/>
      <c r="AO248" s="215"/>
      <c r="AP248" s="215"/>
      <c r="AQ248" s="215"/>
      <c r="AR248" s="215"/>
      <c r="AS248" s="215"/>
      <c r="AT248" s="215"/>
      <c r="AU248" s="215"/>
      <c r="AV248" s="215"/>
      <c r="AW248" s="215"/>
      <c r="AX248" s="215"/>
      <c r="AY248" s="215"/>
      <c r="AZ248" s="215"/>
      <c r="BA248" s="215"/>
      <c r="BB248" s="215"/>
      <c r="BC248" s="215"/>
      <c r="BD248" s="215"/>
      <c r="BE248" s="215"/>
      <c r="BF248" s="215"/>
      <c r="BG248" s="215"/>
      <c r="BH248" s="215"/>
      <c r="BI248" s="215"/>
      <c r="BJ248" s="215"/>
      <c r="BK248" s="215"/>
      <c r="BL248" s="215"/>
      <c r="BM248" s="215"/>
      <c r="BN248" s="215"/>
      <c r="BO248" s="215"/>
      <c r="BP248" s="215"/>
      <c r="BQ248" s="215"/>
      <c r="BR248" s="215"/>
      <c r="BS248" s="215"/>
      <c r="BT248" s="215"/>
      <c r="BU248" s="215"/>
      <c r="BV248" s="215"/>
      <c r="BW248" s="215"/>
      <c r="BX248" s="215"/>
      <c r="BY248" s="215"/>
      <c r="BZ248" s="215"/>
    </row>
    <row r="249" spans="1:78" x14ac:dyDescent="0.2">
      <c r="A249" s="2" t="str">
        <f>'Language Index'!A235</f>
        <v>Capital Expenditure</v>
      </c>
      <c r="B249" s="17"/>
      <c r="C249" s="17"/>
      <c r="D249" s="18">
        <f>_xll.ciqfunctions.udf.CIQ($C$2, "IQ_CAPEX",D$6,$F$2,,,Ccy,Conv)</f>
        <v>-1390</v>
      </c>
      <c r="E249" s="18">
        <f>_xll.ciqfunctions.udf.CIQ($C$2, "IQ_CAPEX",E$6,$F$2,,,Ccy,Conv)</f>
        <v>-1354</v>
      </c>
      <c r="F249" s="18">
        <f>_xll.ciqfunctions.udf.CIQ($C$2, "IQ_CAPEX",F$6,$F$2,,,Ccy,Conv)</f>
        <v>-1245</v>
      </c>
      <c r="G249" s="18">
        <f>_xll.ciqfunctions.udf.CIQ($C$2, "IQ_CAPEX",G$6,$F$2,,,Ccy,Conv)</f>
        <v>-1184</v>
      </c>
      <c r="H249" s="18">
        <f>_xll.ciqfunctions.udf.CIQ($C$2, "IQ_CAPEX",H$6,$F$2,,,Ccy,Conv)</f>
        <v>-1040</v>
      </c>
      <c r="I249" s="18">
        <f>_xll.ciqfunctions.udf.CIQ($C$2, "IQ_CAPEX",I$6,$F$2,,,Ccy,Conv)</f>
        <v>-1045</v>
      </c>
      <c r="J249" s="18">
        <f>_xll.ciqfunctions.udf.CIQ($C$2, "IQ_CAPEX",J$6,$F$2,,,Ccy,Conv)</f>
        <v>-1048</v>
      </c>
      <c r="K249" s="18">
        <f>_xll.ciqfunctions.udf.CIQ($C$2, "IQ_CAPEX",K$6,$F$2,,,Ccy,Conv)</f>
        <v>-1053</v>
      </c>
      <c r="L249" s="18">
        <f>_xll.ciqfunctions.udf.CIQ($C$2, "IQ_CAPEX",L$6,$F$2,,,Ccy,Conv)</f>
        <v>-1043</v>
      </c>
      <c r="M249" s="18">
        <f>_xll.ciqfunctions.udf.CIQ($C$2, "IQ_CAPEX",M$6,$F$2,,,Ccy,Conv)</f>
        <v>-1012</v>
      </c>
      <c r="N249" s="18">
        <f>_xll.ciqfunctions.udf.CIQ($C$2, "IQ_CAPEX",N$6,$F$2,,,Ccy,Conv)</f>
        <v>-1091</v>
      </c>
      <c r="O249" s="18"/>
      <c r="P249" s="18">
        <f>_xll.ciqfunctions.udf.CIQ($C$2, "IQ_CAPEX",P$6,$F$2,,,Ccy,Conv)</f>
        <v>-1091</v>
      </c>
      <c r="Q249" s="215"/>
      <c r="R249" s="215"/>
      <c r="S249" s="215"/>
      <c r="T249" s="215"/>
      <c r="U249" s="215"/>
      <c r="V249" s="222"/>
      <c r="W249" s="222"/>
      <c r="X249" s="222"/>
      <c r="Y249" s="215"/>
      <c r="Z249" s="215"/>
      <c r="AA249" s="215"/>
      <c r="AB249" s="215"/>
      <c r="AC249" s="215"/>
      <c r="AD249" s="215"/>
      <c r="AE249" s="215"/>
      <c r="AF249" s="215"/>
      <c r="AG249" s="215"/>
      <c r="AH249" s="215"/>
      <c r="AI249" s="215"/>
      <c r="AJ249" s="215"/>
      <c r="AK249" s="215"/>
      <c r="AL249" s="215"/>
      <c r="AM249" s="215"/>
      <c r="AN249" s="215"/>
      <c r="AO249" s="215"/>
      <c r="AP249" s="215"/>
      <c r="AQ249" s="215"/>
      <c r="AR249" s="215"/>
      <c r="AS249" s="215"/>
      <c r="AT249" s="215"/>
      <c r="AU249" s="215"/>
      <c r="AV249" s="215"/>
      <c r="AW249" s="215"/>
      <c r="AX249" s="215"/>
      <c r="AY249" s="215"/>
      <c r="AZ249" s="215"/>
      <c r="BA249" s="215"/>
      <c r="BB249" s="215"/>
      <c r="BC249" s="215"/>
      <c r="BD249" s="215"/>
      <c r="BE249" s="215"/>
      <c r="BF249" s="215"/>
      <c r="BG249" s="215"/>
      <c r="BH249" s="215"/>
      <c r="BI249" s="215"/>
      <c r="BJ249" s="215"/>
      <c r="BK249" s="215"/>
      <c r="BL249" s="215"/>
      <c r="BM249" s="215"/>
      <c r="BN249" s="215"/>
      <c r="BO249" s="215"/>
      <c r="BP249" s="215"/>
      <c r="BQ249" s="215"/>
      <c r="BR249" s="215"/>
      <c r="BS249" s="215"/>
      <c r="BT249" s="215"/>
      <c r="BU249" s="215"/>
      <c r="BV249" s="215"/>
      <c r="BW249" s="215"/>
      <c r="BX249" s="215"/>
      <c r="BY249" s="215"/>
      <c r="BZ249" s="215"/>
    </row>
    <row r="250" spans="1:78" x14ac:dyDescent="0.2">
      <c r="A250" s="2" t="str">
        <f>'Language Index'!A236</f>
        <v>Sale of Property, Plant, and Equipment</v>
      </c>
      <c r="B250" s="17"/>
      <c r="C250" s="17"/>
      <c r="D250" s="18">
        <f>_xll.ciqfunctions.udf.CIQ($C$2, "IQ_SALE_PPE_CF",D$6,$F$2,,,Ccy,Conv)</f>
        <v>46</v>
      </c>
      <c r="E250" s="18">
        <f>_xll.ciqfunctions.udf.CIQ($C$2, "IQ_SALE_PPE_CF",E$6,$F$2,,,Ccy,Conv)</f>
        <v>150</v>
      </c>
      <c r="F250" s="18">
        <f>_xll.ciqfunctions.udf.CIQ($C$2, "IQ_SALE_PPE_CF",F$6,$F$2,,,Ccy,Conv)</f>
        <v>321</v>
      </c>
      <c r="G250" s="18">
        <f>_xll.ciqfunctions.udf.CIQ($C$2, "IQ_SALE_PPE_CF",G$6,$F$2,,,Ccy,Conv)</f>
        <v>322</v>
      </c>
      <c r="H250" s="18">
        <f>_xll.ciqfunctions.udf.CIQ($C$2, "IQ_SALE_PPE_CF",H$6,$F$2,,,Ccy,Conv)</f>
        <v>353</v>
      </c>
      <c r="I250" s="18">
        <f>_xll.ciqfunctions.udf.CIQ($C$2, "IQ_SALE_PPE_CF",I$6,$F$2,,,Ccy,Conv)</f>
        <v>720</v>
      </c>
      <c r="J250" s="18">
        <f>_xll.ciqfunctions.udf.CIQ($C$2, "IQ_SALE_PPE_CF",J$6,$F$2,,,Ccy,Conv)</f>
        <v>557</v>
      </c>
      <c r="K250" s="18">
        <f>_xll.ciqfunctions.udf.CIQ($C$2, "IQ_SALE_PPE_CF",K$6,$F$2,,,Ccy,Conv)</f>
        <v>619</v>
      </c>
      <c r="L250" s="18">
        <f>_xll.ciqfunctions.udf.CIQ($C$2, "IQ_SALE_PPE_CF",L$6,$F$2,,,Ccy,Conv)</f>
        <v>611</v>
      </c>
      <c r="M250" s="18">
        <f>_xll.ciqfunctions.udf.CIQ($C$2, "IQ_SALE_PPE_CF",M$6,$F$2,,,Ccy,Conv)</f>
        <v>139</v>
      </c>
      <c r="N250" s="18">
        <f>_xll.ciqfunctions.udf.CIQ($C$2, "IQ_SALE_PPE_CF",N$6,$F$2,,,Ccy,Conv)</f>
        <v>121</v>
      </c>
      <c r="O250" s="18"/>
      <c r="P250" s="18">
        <f>_xll.ciqfunctions.udf.CIQ($C$2, "IQ_SALE_PPE_CF",P$6,$F$2,,,Ccy,Conv)</f>
        <v>121</v>
      </c>
      <c r="Q250" s="215"/>
      <c r="R250" s="215"/>
      <c r="S250" s="215"/>
      <c r="T250" s="215"/>
      <c r="U250" s="215"/>
      <c r="V250" s="222"/>
      <c r="W250" s="222"/>
      <c r="X250" s="222"/>
      <c r="Y250" s="215"/>
      <c r="Z250" s="215"/>
      <c r="AA250" s="215"/>
      <c r="AB250" s="215"/>
      <c r="AC250" s="215"/>
      <c r="AD250" s="215"/>
      <c r="AE250" s="215"/>
      <c r="AF250" s="215"/>
      <c r="AG250" s="215"/>
      <c r="AH250" s="215"/>
      <c r="AI250" s="215"/>
      <c r="AJ250" s="215"/>
      <c r="AK250" s="215"/>
      <c r="AL250" s="215"/>
      <c r="AM250" s="215"/>
      <c r="AN250" s="215"/>
      <c r="AO250" s="215"/>
      <c r="AP250" s="215"/>
      <c r="AQ250" s="215"/>
      <c r="AR250" s="215"/>
      <c r="AS250" s="215"/>
      <c r="AT250" s="215"/>
      <c r="AU250" s="215"/>
      <c r="AV250" s="215"/>
      <c r="AW250" s="215"/>
      <c r="AX250" s="215"/>
      <c r="AY250" s="215"/>
      <c r="AZ250" s="215"/>
      <c r="BA250" s="215"/>
      <c r="BB250" s="215"/>
      <c r="BC250" s="215"/>
      <c r="BD250" s="215"/>
      <c r="BE250" s="215"/>
      <c r="BF250" s="215"/>
      <c r="BG250" s="215"/>
      <c r="BH250" s="215"/>
      <c r="BI250" s="215"/>
      <c r="BJ250" s="215"/>
      <c r="BK250" s="215"/>
      <c r="BL250" s="215"/>
      <c r="BM250" s="215"/>
      <c r="BN250" s="215"/>
      <c r="BO250" s="215"/>
      <c r="BP250" s="215"/>
      <c r="BQ250" s="215"/>
      <c r="BR250" s="215"/>
      <c r="BS250" s="215"/>
      <c r="BT250" s="215"/>
      <c r="BU250" s="215"/>
      <c r="BV250" s="215"/>
      <c r="BW250" s="215"/>
      <c r="BX250" s="215"/>
      <c r="BY250" s="215"/>
      <c r="BZ250" s="215"/>
    </row>
    <row r="251" spans="1:78" x14ac:dyDescent="0.2">
      <c r="A251" s="2" t="str">
        <f>'Language Index'!A237</f>
        <v>Cash Acquisitions</v>
      </c>
      <c r="B251" s="17"/>
      <c r="C251" s="17"/>
      <c r="D251" s="18">
        <f>_xll.ciqfunctions.udf.CIQ($C$2, "IQ_CASH_ACQUIRE_CF",D$6,$F$2,,,Ccy,Conv)</f>
        <v>-1746</v>
      </c>
      <c r="E251" s="18">
        <f>_xll.ciqfunctions.udf.CIQ($C$2, "IQ_CASH_ACQUIRE_CF",E$6,$F$2,,,Ccy,Conv)</f>
        <v>-6273</v>
      </c>
      <c r="F251" s="18">
        <f>_xll.ciqfunctions.udf.CIQ($C$2, "IQ_CASH_ACQUIRE_CF",F$6,$F$2,,,Ccy,Conv)</f>
        <v>-5082</v>
      </c>
      <c r="G251" s="18">
        <f>_xll.ciqfunctions.udf.CIQ($C$2, "IQ_CASH_ACQUIRE_CF",G$6,$F$2,,,Ccy,Conv)</f>
        <v>-5142</v>
      </c>
      <c r="H251" s="18">
        <f>_xll.ciqfunctions.udf.CIQ($C$2, "IQ_CASH_ACQUIRE_CF",H$6,$F$2,,,Ccy,Conv)</f>
        <v>-4961</v>
      </c>
      <c r="I251" s="18">
        <f>_xll.ciqfunctions.udf.CIQ($C$2, "IQ_CASH_ACQUIRE_CF",I$6,$F$2,,,Ccy,Conv)</f>
        <v>-2885</v>
      </c>
      <c r="J251" s="18">
        <f>_xll.ciqfunctions.udf.CIQ($C$2, "IQ_CASH_ACQUIRE_CF",J$6,$F$2,,,Ccy,Conv)</f>
        <v>-3289</v>
      </c>
      <c r="K251" s="18">
        <f>_xll.ciqfunctions.udf.CIQ($C$2, "IQ_CASH_ACQUIRE_CF",K$6,$F$2,,,Ccy,Conv)</f>
        <v>-10305</v>
      </c>
      <c r="L251" s="18">
        <f>_xll.ciqfunctions.udf.CIQ($C$2, "IQ_CASH_ACQUIRE_CF",L$6,$F$2,,,Ccy,Conv)</f>
        <v>-10899</v>
      </c>
      <c r="M251" s="18">
        <f>_xll.ciqfunctions.udf.CIQ($C$2, "IQ_CASH_ACQUIRE_CF",M$6,$F$2,,,Ccy,Conv)</f>
        <v>-8444</v>
      </c>
      <c r="N251" s="18">
        <f>_xll.ciqfunctions.udf.CIQ($C$2, "IQ_CASH_ACQUIRE_CF",N$6,$F$2,,,Ccy,Conv)</f>
        <v>-8294</v>
      </c>
      <c r="O251" s="18"/>
      <c r="P251" s="18">
        <f>_xll.ciqfunctions.udf.CIQ($C$2, "IQ_CASH_ACQUIRE_CF",P$6,$F$2,,,Ccy,Conv)</f>
        <v>-8294</v>
      </c>
      <c r="Q251" s="215"/>
      <c r="R251" s="215"/>
      <c r="S251" s="215"/>
      <c r="T251" s="215"/>
      <c r="U251" s="215"/>
      <c r="V251" s="222"/>
      <c r="W251" s="222"/>
      <c r="X251" s="222"/>
      <c r="Y251" s="215"/>
      <c r="Z251" s="215"/>
      <c r="AA251" s="215"/>
      <c r="AB251" s="215"/>
      <c r="AC251" s="215"/>
      <c r="AD251" s="215"/>
      <c r="AE251" s="215"/>
      <c r="AF251" s="215"/>
      <c r="AG251" s="215"/>
      <c r="AH251" s="215"/>
      <c r="AI251" s="215"/>
      <c r="AJ251" s="215"/>
      <c r="AK251" s="215"/>
      <c r="AL251" s="215"/>
      <c r="AM251" s="215"/>
      <c r="AN251" s="215"/>
      <c r="AO251" s="215"/>
      <c r="AP251" s="215"/>
      <c r="AQ251" s="215"/>
      <c r="AR251" s="215"/>
      <c r="AS251" s="215"/>
      <c r="AT251" s="215"/>
      <c r="AU251" s="215"/>
      <c r="AV251" s="215"/>
      <c r="AW251" s="215"/>
      <c r="AX251" s="215"/>
      <c r="AY251" s="215"/>
      <c r="AZ251" s="215"/>
      <c r="BA251" s="215"/>
      <c r="BB251" s="215"/>
      <c r="BC251" s="215"/>
      <c r="BD251" s="215"/>
      <c r="BE251" s="215"/>
      <c r="BF251" s="215"/>
      <c r="BG251" s="215"/>
      <c r="BH251" s="215"/>
      <c r="BI251" s="215"/>
      <c r="BJ251" s="215"/>
      <c r="BK251" s="215"/>
      <c r="BL251" s="215"/>
      <c r="BM251" s="215"/>
      <c r="BN251" s="215"/>
      <c r="BO251" s="215"/>
      <c r="BP251" s="215"/>
      <c r="BQ251" s="215"/>
      <c r="BR251" s="215"/>
      <c r="BS251" s="215"/>
      <c r="BT251" s="215"/>
      <c r="BU251" s="215"/>
      <c r="BV251" s="215"/>
      <c r="BW251" s="215"/>
      <c r="BX251" s="215"/>
      <c r="BY251" s="215"/>
      <c r="BZ251" s="215"/>
    </row>
    <row r="252" spans="1:78" x14ac:dyDescent="0.2">
      <c r="A252" s="2" t="str">
        <f>'Language Index'!A238</f>
        <v>Divestitures</v>
      </c>
      <c r="B252" s="17"/>
      <c r="C252" s="17"/>
      <c r="D252" s="18">
        <f>_xll.ciqfunctions.udf.CIQ($C$2, "IQ_DIVEST_CF",D$6,$F$2,,,Ccy,Conv)</f>
        <v>10</v>
      </c>
      <c r="E252" s="18">
        <f>_xll.ciqfunctions.udf.CIQ($C$2, "IQ_DIVEST_CF",E$6,$F$2,,,Ccy,Conv)</f>
        <v>-3</v>
      </c>
      <c r="F252" s="18">
        <f>_xll.ciqfunctions.udf.CIQ($C$2, "IQ_DIVEST_CF",F$6,$F$2,,,Ccy,Conv)</f>
        <v>-4</v>
      </c>
      <c r="G252" s="18">
        <f>_xll.ciqfunctions.udf.CIQ($C$2, "IQ_DIVEST_CF",G$6,$F$2,,,Ccy,Conv)</f>
        <v>699</v>
      </c>
      <c r="H252" s="18">
        <f>_xll.ciqfunctions.udf.CIQ($C$2, "IQ_DIVEST_CF",H$6,$F$2,,,Ccy,Conv)</f>
        <v>693</v>
      </c>
      <c r="I252" s="18">
        <f>_xll.ciqfunctions.udf.CIQ($C$2, "IQ_DIVEST_CF",I$6,$F$2,,,Ccy,Conv)</f>
        <v>705</v>
      </c>
      <c r="J252" s="18">
        <f>_xll.ciqfunctions.udf.CIQ($C$2, "IQ_DIVEST_CF",J$6,$F$2,,,Ccy,Conv)</f>
        <v>698</v>
      </c>
      <c r="K252" s="18">
        <f>_xll.ciqfunctions.udf.CIQ($C$2, "IQ_DIVEST_CF",K$6,$F$2,,,Ccy,Conv)</f>
        <v>-6</v>
      </c>
      <c r="L252" s="18">
        <f>_xll.ciqfunctions.udf.CIQ($C$2, "IQ_DIVEST_CF",L$6,$F$2,,,Ccy,Conv)</f>
        <v>-6</v>
      </c>
      <c r="M252" s="18">
        <f>_xll.ciqfunctions.udf.CIQ($C$2, "IQ_DIVEST_CF",M$6,$F$2,,,Ccy,Conv)</f>
        <v>-8</v>
      </c>
      <c r="N252" s="18">
        <f>_xll.ciqfunctions.udf.CIQ($C$2, "IQ_DIVEST_CF",N$6,$F$2,,,Ccy,Conv)</f>
        <v>-1</v>
      </c>
      <c r="O252" s="18"/>
      <c r="P252" s="18">
        <f>_xll.ciqfunctions.udf.CIQ($C$2, "IQ_DIVEST_CF",P$6,$F$2,,,Ccy,Conv)</f>
        <v>-1</v>
      </c>
      <c r="Q252" s="215"/>
      <c r="R252" s="215"/>
      <c r="S252" s="215"/>
      <c r="T252" s="215"/>
      <c r="U252" s="215"/>
      <c r="V252" s="222"/>
      <c r="W252" s="222"/>
      <c r="X252" s="222"/>
      <c r="Y252" s="215"/>
      <c r="Z252" s="215"/>
      <c r="AA252" s="215"/>
      <c r="AB252" s="215"/>
      <c r="AC252" s="215"/>
      <c r="AD252" s="215"/>
      <c r="AE252" s="215"/>
      <c r="AF252" s="215"/>
      <c r="AG252" s="215"/>
      <c r="AH252" s="215"/>
      <c r="AI252" s="215"/>
      <c r="AJ252" s="215"/>
      <c r="AK252" s="215"/>
      <c r="AL252" s="215"/>
      <c r="AM252" s="215"/>
      <c r="AN252" s="215"/>
      <c r="AO252" s="215"/>
      <c r="AP252" s="215"/>
      <c r="AQ252" s="215"/>
      <c r="AR252" s="215"/>
      <c r="AS252" s="215"/>
      <c r="AT252" s="215"/>
      <c r="AU252" s="215"/>
      <c r="AV252" s="215"/>
      <c r="AW252" s="215"/>
      <c r="AX252" s="215"/>
      <c r="AY252" s="215"/>
      <c r="AZ252" s="215"/>
      <c r="BA252" s="215"/>
      <c r="BB252" s="215"/>
      <c r="BC252" s="215"/>
      <c r="BD252" s="215"/>
      <c r="BE252" s="215"/>
      <c r="BF252" s="215"/>
      <c r="BG252" s="215"/>
      <c r="BH252" s="215"/>
      <c r="BI252" s="215"/>
      <c r="BJ252" s="215"/>
      <c r="BK252" s="215"/>
      <c r="BL252" s="215"/>
      <c r="BM252" s="215"/>
      <c r="BN252" s="215"/>
      <c r="BO252" s="215"/>
      <c r="BP252" s="215"/>
      <c r="BQ252" s="215"/>
      <c r="BR252" s="215"/>
      <c r="BS252" s="215"/>
      <c r="BT252" s="215"/>
      <c r="BU252" s="215"/>
      <c r="BV252" s="215"/>
      <c r="BW252" s="215"/>
      <c r="BX252" s="215"/>
      <c r="BY252" s="215"/>
      <c r="BZ252" s="215"/>
    </row>
    <row r="253" spans="1:78" x14ac:dyDescent="0.2">
      <c r="A253" s="2" t="str">
        <f>'Language Index'!A239</f>
        <v>Sale/(Purchase) of Real Estate Properties</v>
      </c>
      <c r="B253" s="17"/>
      <c r="C253" s="17"/>
      <c r="D253" s="18">
        <f>_xll.ciqfunctions.udf.CIQ($C$2, "IQ_SALE_REAL_ESTATE_CF",D$6,$F$2,,,Ccy,Conv)</f>
        <v>0</v>
      </c>
      <c r="E253" s="18">
        <f>_xll.ciqfunctions.udf.CIQ($C$2, "IQ_SALE_REAL_ESTATE_CF",E$6,$F$2,,,Ccy,Conv)</f>
        <v>0</v>
      </c>
      <c r="F253" s="18">
        <f>_xll.ciqfunctions.udf.CIQ($C$2, "IQ_SALE_REAL_ESTATE_CF",F$6,$F$2,,,Ccy,Conv)</f>
        <v>0</v>
      </c>
      <c r="G253" s="18">
        <f>_xll.ciqfunctions.udf.CIQ($C$2, "IQ_SALE_REAL_ESTATE_CF",G$6,$F$2,,,Ccy,Conv)</f>
        <v>0</v>
      </c>
      <c r="H253" s="18">
        <f>_xll.ciqfunctions.udf.CIQ($C$2, "IQ_SALE_REAL_ESTATE_CF",H$6,$F$2,,,Ccy,Conv)</f>
        <v>0</v>
      </c>
      <c r="I253" s="18">
        <f>_xll.ciqfunctions.udf.CIQ($C$2, "IQ_SALE_REAL_ESTATE_CF",I$6,$F$2,,,Ccy,Conv)</f>
        <v>0</v>
      </c>
      <c r="J253" s="18">
        <f>_xll.ciqfunctions.udf.CIQ($C$2, "IQ_SALE_REAL_ESTATE_CF",J$6,$F$2,,,Ccy,Conv)</f>
        <v>0</v>
      </c>
      <c r="K253" s="18">
        <f>_xll.ciqfunctions.udf.CIQ($C$2, "IQ_SALE_REAL_ESTATE_CF",K$6,$F$2,,,Ccy,Conv)</f>
        <v>0</v>
      </c>
      <c r="L253" s="18">
        <f>_xll.ciqfunctions.udf.CIQ($C$2, "IQ_SALE_REAL_ESTATE_CF",L$6,$F$2,,,Ccy,Conv)</f>
        <v>0</v>
      </c>
      <c r="M253" s="18">
        <f>_xll.ciqfunctions.udf.CIQ($C$2, "IQ_SALE_REAL_ESTATE_CF",M$6,$F$2,,,Ccy,Conv)</f>
        <v>0</v>
      </c>
      <c r="N253" s="18">
        <f>_xll.ciqfunctions.udf.CIQ($C$2, "IQ_SALE_REAL_ESTATE_CF",N$6,$F$2,,,Ccy,Conv)</f>
        <v>0</v>
      </c>
      <c r="O253" s="18"/>
      <c r="P253" s="18">
        <f>_xll.ciqfunctions.udf.CIQ($C$2, "IQ_SALE_REAL_ESTATE_CF",P$6,$F$2,,,Ccy,Conv)</f>
        <v>0</v>
      </c>
      <c r="Q253" s="215"/>
      <c r="R253" s="215"/>
      <c r="S253" s="215"/>
      <c r="T253" s="215"/>
      <c r="U253" s="215"/>
      <c r="V253" s="222"/>
      <c r="W253" s="222"/>
      <c r="X253" s="222"/>
      <c r="Y253" s="215"/>
      <c r="Z253" s="215"/>
      <c r="AA253" s="215"/>
      <c r="AB253" s="215"/>
      <c r="AC253" s="215"/>
      <c r="AD253" s="215"/>
      <c r="AE253" s="215"/>
      <c r="AF253" s="215"/>
      <c r="AG253" s="215"/>
      <c r="AH253" s="215"/>
      <c r="AI253" s="215"/>
      <c r="AJ253" s="215"/>
      <c r="AK253" s="215"/>
      <c r="AL253" s="215"/>
      <c r="AM253" s="215"/>
      <c r="AN253" s="215"/>
      <c r="AO253" s="215"/>
      <c r="AP253" s="215"/>
      <c r="AQ253" s="215"/>
      <c r="AR253" s="215"/>
      <c r="AS253" s="215"/>
      <c r="AT253" s="215"/>
      <c r="AU253" s="215"/>
      <c r="AV253" s="215"/>
      <c r="AW253" s="215"/>
      <c r="AX253" s="215"/>
      <c r="AY253" s="215"/>
      <c r="AZ253" s="215"/>
      <c r="BA253" s="215"/>
      <c r="BB253" s="215"/>
      <c r="BC253" s="215"/>
      <c r="BD253" s="215"/>
      <c r="BE253" s="215"/>
      <c r="BF253" s="215"/>
      <c r="BG253" s="215"/>
      <c r="BH253" s="215"/>
      <c r="BI253" s="215"/>
      <c r="BJ253" s="215"/>
      <c r="BK253" s="215"/>
      <c r="BL253" s="215"/>
      <c r="BM253" s="215"/>
      <c r="BN253" s="215"/>
      <c r="BO253" s="215"/>
      <c r="BP253" s="215"/>
      <c r="BQ253" s="215"/>
      <c r="BR253" s="215"/>
      <c r="BS253" s="215"/>
      <c r="BT253" s="215"/>
      <c r="BU253" s="215"/>
      <c r="BV253" s="215"/>
      <c r="BW253" s="215"/>
      <c r="BX253" s="215"/>
      <c r="BY253" s="215"/>
      <c r="BZ253" s="215"/>
    </row>
    <row r="254" spans="1:78" x14ac:dyDescent="0.2">
      <c r="A254" s="2" t="str">
        <f>'Language Index'!A240</f>
        <v>Sale/(Purchase) of Intangible Assets</v>
      </c>
      <c r="B254" s="17"/>
      <c r="C254" s="17"/>
      <c r="D254" s="18">
        <f>_xll.ciqfunctions.udf.CIQ($C$2, "IQ_SALE_INTAN_CF",D$6,$F$2,,,Ccy,Conv)</f>
        <v>-590</v>
      </c>
      <c r="E254" s="18">
        <f>_xll.ciqfunctions.udf.CIQ($C$2, "IQ_SALE_INTAN_CF",E$6,$F$2,,,Ccy,Conv)</f>
        <v>-564</v>
      </c>
      <c r="F254" s="18">
        <f>_xll.ciqfunctions.udf.CIQ($C$2, "IQ_SALE_INTAN_CF",F$6,$F$2,,,Ccy,Conv)</f>
        <v>-565</v>
      </c>
      <c r="G254" s="18">
        <f>_xll.ciqfunctions.udf.CIQ($C$2, "IQ_SALE_INTAN_CF",G$6,$F$2,,,Ccy,Conv)</f>
        <v>-531</v>
      </c>
      <c r="H254" s="18">
        <f>_xll.ciqfunctions.udf.CIQ($C$2, "IQ_SALE_INTAN_CF",H$6,$F$2,,,Ccy,Conv)</f>
        <v>-618</v>
      </c>
      <c r="I254" s="18">
        <f>_xll.ciqfunctions.udf.CIQ($C$2, "IQ_SALE_INTAN_CF",I$6,$F$2,,,Ccy,Conv)</f>
        <v>-644</v>
      </c>
      <c r="J254" s="18">
        <f>_xll.ciqfunctions.udf.CIQ($C$2, "IQ_SALE_INTAN_CF",J$6,$F$2,,,Ccy,Conv)</f>
        <v>-637</v>
      </c>
      <c r="K254" s="18">
        <f>_xll.ciqfunctions.udf.CIQ($C$2, "IQ_SALE_INTAN_CF",K$6,$F$2,,,Ccy,Conv)</f>
        <v>-654</v>
      </c>
      <c r="L254" s="18">
        <f>_xll.ciqfunctions.udf.CIQ($C$2, "IQ_SALE_INTAN_CF",L$6,$F$2,,,Ccy,Conv)</f>
        <v>-593</v>
      </c>
      <c r="M254" s="18">
        <f>_xll.ciqfunctions.udf.CIQ($C$2, "IQ_SALE_INTAN_CF",M$6,$F$2,,,Ccy,Conv)</f>
        <v>-617</v>
      </c>
      <c r="N254" s="18">
        <f>_xll.ciqfunctions.udf.CIQ($C$2, "IQ_SALE_INTAN_CF",N$6,$F$2,,,Ccy,Conv)</f>
        <v>-647</v>
      </c>
      <c r="O254" s="18"/>
      <c r="P254" s="18">
        <f>_xll.ciqfunctions.udf.CIQ($C$2, "IQ_SALE_INTAN_CF",P$6,$F$2,,,Ccy,Conv)</f>
        <v>-647</v>
      </c>
      <c r="Q254" s="215"/>
      <c r="R254" s="215"/>
      <c r="S254" s="215"/>
      <c r="T254" s="215"/>
      <c r="U254" s="215"/>
      <c r="V254" s="222"/>
      <c r="W254" s="222"/>
      <c r="X254" s="222"/>
      <c r="Y254" s="215"/>
      <c r="Z254" s="215"/>
      <c r="AA254" s="215"/>
      <c r="AB254" s="215"/>
      <c r="AC254" s="215"/>
      <c r="AD254" s="215"/>
      <c r="AE254" s="215"/>
      <c r="AF254" s="215"/>
      <c r="AG254" s="215"/>
      <c r="AH254" s="215"/>
      <c r="AI254" s="215"/>
      <c r="AJ254" s="215"/>
      <c r="AK254" s="215"/>
      <c r="AL254" s="215"/>
      <c r="AM254" s="215"/>
      <c r="AN254" s="215"/>
      <c r="AO254" s="215"/>
      <c r="AP254" s="215"/>
      <c r="AQ254" s="215"/>
      <c r="AR254" s="215"/>
      <c r="AS254" s="215"/>
      <c r="AT254" s="215"/>
      <c r="AU254" s="215"/>
      <c r="AV254" s="215"/>
      <c r="AW254" s="215"/>
      <c r="AX254" s="215"/>
      <c r="AY254" s="215"/>
      <c r="AZ254" s="215"/>
      <c r="BA254" s="215"/>
      <c r="BB254" s="215"/>
      <c r="BC254" s="215"/>
      <c r="BD254" s="215"/>
      <c r="BE254" s="215"/>
      <c r="BF254" s="215"/>
      <c r="BG254" s="215"/>
      <c r="BH254" s="215"/>
      <c r="BI254" s="215"/>
      <c r="BJ254" s="215"/>
      <c r="BK254" s="215"/>
      <c r="BL254" s="215"/>
      <c r="BM254" s="215"/>
      <c r="BN254" s="215"/>
      <c r="BO254" s="215"/>
      <c r="BP254" s="215"/>
      <c r="BQ254" s="215"/>
      <c r="BR254" s="215"/>
      <c r="BS254" s="215"/>
      <c r="BT254" s="215"/>
      <c r="BU254" s="215"/>
      <c r="BV254" s="215"/>
      <c r="BW254" s="215"/>
      <c r="BX254" s="215"/>
      <c r="BY254" s="215"/>
      <c r="BZ254" s="215"/>
    </row>
    <row r="255" spans="1:78" x14ac:dyDescent="0.2">
      <c r="A255" s="2" t="str">
        <f>'Language Index'!A241</f>
        <v>Invest. in Marketable &amp; Equity Sec.</v>
      </c>
      <c r="B255" s="17"/>
      <c r="C255" s="17"/>
      <c r="D255" s="18">
        <f>_xll.ciqfunctions.udf.CIQ($C$2, "IQ_INVEST_SECURITY_CF",D$6,$F$2,,,Ccy,Conv)</f>
        <v>-7300</v>
      </c>
      <c r="E255" s="18">
        <f>_xll.ciqfunctions.udf.CIQ($C$2, "IQ_INVEST_SECURITY_CF",E$6,$F$2,,,Ccy,Conv)</f>
        <v>-3178</v>
      </c>
      <c r="F255" s="18">
        <f>_xll.ciqfunctions.udf.CIQ($C$2, "IQ_INVEST_SECURITY_CF",F$6,$F$2,,,Ccy,Conv)</f>
        <v>-496</v>
      </c>
      <c r="G255" s="18">
        <f>_xll.ciqfunctions.udf.CIQ($C$2, "IQ_INVEST_SECURITY_CF",G$6,$F$2,,,Ccy,Conv)</f>
        <v>2515</v>
      </c>
      <c r="H255" s="18">
        <f>_xll.ciqfunctions.udf.CIQ($C$2, "IQ_INVEST_SECURITY_CF",H$6,$F$2,,,Ccy,Conv)</f>
        <v>4485</v>
      </c>
      <c r="I255" s="18">
        <f>_xll.ciqfunctions.udf.CIQ($C$2, "IQ_INVEST_SECURITY_CF",I$6,$F$2,,,Ccy,Conv)</f>
        <v>2426</v>
      </c>
      <c r="J255" s="18">
        <f>_xll.ciqfunctions.udf.CIQ($C$2, "IQ_INVEST_SECURITY_CF",J$6,$F$2,,,Ccy,Conv)</f>
        <v>-1218</v>
      </c>
      <c r="K255" s="18">
        <f>_xll.ciqfunctions.udf.CIQ($C$2, "IQ_INVEST_SECURITY_CF",K$6,$F$2,,,Ccy,Conv)</f>
        <v>-2307</v>
      </c>
      <c r="L255" s="18">
        <f>_xll.ciqfunctions.udf.CIQ($C$2, "IQ_INVEST_SECURITY_CF",L$6,$F$2,,,Ccy,Conv)</f>
        <v>-2317</v>
      </c>
      <c r="M255" s="18">
        <f>_xll.ciqfunctions.udf.CIQ($C$2, "IQ_INVEST_SECURITY_CF",M$6,$F$2,,,Ccy,Conv)</f>
        <v>-3156</v>
      </c>
      <c r="N255" s="18">
        <f>_xll.ciqfunctions.udf.CIQ($C$2, "IQ_INVEST_SECURITY_CF",N$6,$F$2,,,Ccy,Conv)</f>
        <v>-391</v>
      </c>
      <c r="O255" s="18"/>
      <c r="P255" s="18">
        <f>_xll.ciqfunctions.udf.CIQ($C$2, "IQ_INVEST_SECURITY_CF",P$6,$F$2,,,Ccy,Conv)</f>
        <v>-391</v>
      </c>
      <c r="Q255" s="215"/>
      <c r="R255" s="215"/>
      <c r="S255" s="215"/>
      <c r="T255" s="215"/>
      <c r="U255" s="215"/>
      <c r="V255" s="222"/>
      <c r="W255" s="222"/>
      <c r="X255" s="222"/>
      <c r="Y255" s="215"/>
      <c r="Z255" s="215"/>
      <c r="AA255" s="215"/>
      <c r="AB255" s="215"/>
      <c r="AC255" s="215"/>
      <c r="AD255" s="215"/>
      <c r="AE255" s="215"/>
      <c r="AF255" s="215"/>
      <c r="AG255" s="215"/>
      <c r="AH255" s="215"/>
      <c r="AI255" s="215"/>
      <c r="AJ255" s="215"/>
      <c r="AK255" s="215"/>
      <c r="AL255" s="215"/>
      <c r="AM255" s="215"/>
      <c r="AN255" s="215"/>
      <c r="AO255" s="215"/>
      <c r="AP255" s="215"/>
      <c r="AQ255" s="215"/>
      <c r="AR255" s="215"/>
      <c r="AS255" s="215"/>
      <c r="AT255" s="215"/>
      <c r="AU255" s="215"/>
      <c r="AV255" s="215"/>
      <c r="AW255" s="215"/>
      <c r="AX255" s="215"/>
      <c r="AY255" s="215"/>
      <c r="AZ255" s="215"/>
      <c r="BA255" s="215"/>
      <c r="BB255" s="215"/>
      <c r="BC255" s="215"/>
      <c r="BD255" s="215"/>
      <c r="BE255" s="215"/>
      <c r="BF255" s="215"/>
      <c r="BG255" s="215"/>
      <c r="BH255" s="215"/>
      <c r="BI255" s="215"/>
      <c r="BJ255" s="215"/>
      <c r="BK255" s="215"/>
      <c r="BL255" s="215"/>
      <c r="BM255" s="215"/>
      <c r="BN255" s="215"/>
      <c r="BO255" s="215"/>
      <c r="BP255" s="215"/>
      <c r="BQ255" s="215"/>
      <c r="BR255" s="215"/>
      <c r="BS255" s="215"/>
      <c r="BT255" s="215"/>
      <c r="BU255" s="215"/>
      <c r="BV255" s="215"/>
      <c r="BW255" s="215"/>
      <c r="BX255" s="215"/>
      <c r="BY255" s="215"/>
      <c r="BZ255" s="215"/>
    </row>
    <row r="256" spans="1:78" x14ac:dyDescent="0.2">
      <c r="A256" s="2" t="str">
        <f>'Language Index'!A242</f>
        <v>Net (Inc.) Dec. in Loans Originated/Sold</v>
      </c>
      <c r="B256" s="17"/>
      <c r="C256" s="17"/>
      <c r="D256" s="18">
        <f>_xll.ciqfunctions.udf.CIQ($C$2, "IQ_INVEST_LOANS_CF",D$6,$F$2,,,Ccy,Conv)</f>
        <v>0</v>
      </c>
      <c r="E256" s="18">
        <f>_xll.ciqfunctions.udf.CIQ($C$2, "IQ_INVEST_LOANS_CF",E$6,$F$2,,,Ccy,Conv)</f>
        <v>0</v>
      </c>
      <c r="F256" s="18">
        <f>_xll.ciqfunctions.udf.CIQ($C$2, "IQ_INVEST_LOANS_CF",F$6,$F$2,,,Ccy,Conv)</f>
        <v>0</v>
      </c>
      <c r="G256" s="18">
        <f>_xll.ciqfunctions.udf.CIQ($C$2, "IQ_INVEST_LOANS_CF",G$6,$F$2,,,Ccy,Conv)</f>
        <v>0</v>
      </c>
      <c r="H256" s="18">
        <f>_xll.ciqfunctions.udf.CIQ($C$2, "IQ_INVEST_LOANS_CF",H$6,$F$2,,,Ccy,Conv)</f>
        <v>0</v>
      </c>
      <c r="I256" s="18">
        <f>_xll.ciqfunctions.udf.CIQ($C$2, "IQ_INVEST_LOANS_CF",I$6,$F$2,,,Ccy,Conv)</f>
        <v>0</v>
      </c>
      <c r="J256" s="18">
        <f>_xll.ciqfunctions.udf.CIQ($C$2, "IQ_INVEST_LOANS_CF",J$6,$F$2,,,Ccy,Conv)</f>
        <v>0</v>
      </c>
      <c r="K256" s="18">
        <f>_xll.ciqfunctions.udf.CIQ($C$2, "IQ_INVEST_LOANS_CF",K$6,$F$2,,,Ccy,Conv)</f>
        <v>0</v>
      </c>
      <c r="L256" s="18">
        <f>_xll.ciqfunctions.udf.CIQ($C$2, "IQ_INVEST_LOANS_CF",L$6,$F$2,,,Ccy,Conv)</f>
        <v>0</v>
      </c>
      <c r="M256" s="18">
        <f>_xll.ciqfunctions.udf.CIQ($C$2, "IQ_INVEST_LOANS_CF",M$6,$F$2,,,Ccy,Conv)</f>
        <v>0</v>
      </c>
      <c r="N256" s="18">
        <f>_xll.ciqfunctions.udf.CIQ($C$2, "IQ_INVEST_LOANS_CF",N$6,$F$2,,,Ccy,Conv)</f>
        <v>0</v>
      </c>
      <c r="O256" s="18"/>
      <c r="P256" s="18">
        <f>_xll.ciqfunctions.udf.CIQ($C$2, "IQ_INVEST_LOANS_CF",P$6,$F$2,,,Ccy,Conv)</f>
        <v>0</v>
      </c>
      <c r="Q256" s="215"/>
      <c r="R256" s="215"/>
      <c r="S256" s="215"/>
      <c r="T256" s="215"/>
      <c r="U256" s="215"/>
      <c r="V256" s="222"/>
      <c r="W256" s="222"/>
      <c r="X256" s="222"/>
      <c r="Y256" s="215"/>
      <c r="Z256" s="215"/>
      <c r="AA256" s="215"/>
      <c r="AB256" s="215"/>
      <c r="AC256" s="215"/>
      <c r="AD256" s="215"/>
      <c r="AE256" s="215"/>
      <c r="AF256" s="215"/>
      <c r="AG256" s="215"/>
      <c r="AH256" s="215"/>
      <c r="AI256" s="215"/>
      <c r="AJ256" s="215"/>
      <c r="AK256" s="215"/>
      <c r="AL256" s="215"/>
      <c r="AM256" s="215"/>
      <c r="AN256" s="215"/>
      <c r="AO256" s="215"/>
      <c r="AP256" s="215"/>
      <c r="AQ256" s="215"/>
      <c r="AR256" s="215"/>
      <c r="AS256" s="215"/>
      <c r="AT256" s="215"/>
      <c r="AU256" s="215"/>
      <c r="AV256" s="215"/>
      <c r="AW256" s="215"/>
      <c r="AX256" s="215"/>
      <c r="AY256" s="215"/>
      <c r="AZ256" s="215"/>
      <c r="BA256" s="215"/>
      <c r="BB256" s="215"/>
      <c r="BC256" s="215"/>
      <c r="BD256" s="215"/>
      <c r="BE256" s="215"/>
      <c r="BF256" s="215"/>
      <c r="BG256" s="215"/>
      <c r="BH256" s="215"/>
      <c r="BI256" s="215"/>
      <c r="BJ256" s="215"/>
      <c r="BK256" s="215"/>
      <c r="BL256" s="215"/>
      <c r="BM256" s="215"/>
      <c r="BN256" s="215"/>
      <c r="BO256" s="215"/>
      <c r="BP256" s="215"/>
      <c r="BQ256" s="215"/>
      <c r="BR256" s="215"/>
      <c r="BS256" s="215"/>
      <c r="BT256" s="215"/>
      <c r="BU256" s="215"/>
      <c r="BV256" s="215"/>
      <c r="BW256" s="215"/>
      <c r="BX256" s="215"/>
      <c r="BY256" s="215"/>
      <c r="BZ256" s="215"/>
    </row>
    <row r="257" spans="1:78" x14ac:dyDescent="0.2">
      <c r="A257" s="2" t="str">
        <f>'Language Index'!A243</f>
        <v>Other Investing Activities</v>
      </c>
      <c r="B257" s="17"/>
      <c r="C257" s="17"/>
      <c r="D257" s="18">
        <f>_xll.ciqfunctions.udf.CIQ($C$2, "IQ_OTHER_INVEST_ACT_SUPPL",D$6,$F$2,,,Ccy,Conv)</f>
        <v>1</v>
      </c>
      <c r="E257" s="18">
        <f>_xll.ciqfunctions.udf.CIQ($C$2, "IQ_OTHER_INVEST_ACT_SUPPL",E$6,$F$2,,,Ccy,Conv)</f>
        <v>-3</v>
      </c>
      <c r="F257" s="18">
        <f>_xll.ciqfunctions.udf.CIQ($C$2, "IQ_OTHER_INVEST_ACT_SUPPL",F$6,$F$2,,,Ccy,Conv)</f>
        <v>1</v>
      </c>
      <c r="G257" s="18">
        <f>_xll.ciqfunctions.udf.CIQ($C$2, "IQ_OTHER_INVEST_ACT_SUPPL",G$6,$F$2,,,Ccy,Conv)</f>
        <v>1</v>
      </c>
      <c r="H257" s="18">
        <f>_xll.ciqfunctions.udf.CIQ($C$2, "IQ_OTHER_INVEST_ACT_SUPPL",H$6,$F$2,,,Ccy,Conv)</f>
        <v>0</v>
      </c>
      <c r="I257" s="18">
        <f>_xll.ciqfunctions.udf.CIQ($C$2, "IQ_OTHER_INVEST_ACT_SUPPL",I$6,$F$2,,,Ccy,Conv)</f>
        <v>1</v>
      </c>
      <c r="J257" s="18">
        <f>_xll.ciqfunctions.udf.CIQ($C$2, "IQ_OTHER_INVEST_ACT_SUPPL",J$6,$F$2,,,Ccy,Conv)</f>
        <v>0</v>
      </c>
      <c r="K257" s="18">
        <f>_xll.ciqfunctions.udf.CIQ($C$2, "IQ_OTHER_INVEST_ACT_SUPPL",K$6,$F$2,,,Ccy,Conv)</f>
        <v>0</v>
      </c>
      <c r="L257" s="18">
        <f>_xll.ciqfunctions.udf.CIQ($C$2, "IQ_OTHER_INVEST_ACT_SUPPL",L$6,$F$2,,,Ccy,Conv)</f>
        <v>0</v>
      </c>
      <c r="M257" s="18">
        <f>_xll.ciqfunctions.udf.CIQ($C$2, "IQ_OTHER_INVEST_ACT_SUPPL",M$6,$F$2,,,Ccy,Conv)</f>
        <v>0</v>
      </c>
      <c r="N257" s="18">
        <f>_xll.ciqfunctions.udf.CIQ($C$2, "IQ_OTHER_INVEST_ACT_SUPPL",N$6,$F$2,,,Ccy,Conv)</f>
        <v>1</v>
      </c>
      <c r="O257" s="18"/>
      <c r="P257" s="18">
        <f>_xll.ciqfunctions.udf.CIQ($C$2, "IQ_OTHER_INVEST_ACT_SUPPL",P$6,$F$2,,,Ccy,Conv)</f>
        <v>1</v>
      </c>
      <c r="Q257" s="215"/>
      <c r="R257" s="215"/>
      <c r="S257" s="215"/>
      <c r="T257" s="215"/>
      <c r="U257" s="215"/>
      <c r="V257" s="222"/>
      <c r="W257" s="222"/>
      <c r="X257" s="222"/>
      <c r="Y257" s="215"/>
      <c r="Z257" s="215"/>
      <c r="AA257" s="215"/>
      <c r="AB257" s="215"/>
      <c r="AC257" s="215"/>
      <c r="AD257" s="215"/>
      <c r="AE257" s="215"/>
      <c r="AF257" s="215"/>
      <c r="AG257" s="215"/>
      <c r="AH257" s="215"/>
      <c r="AI257" s="215"/>
      <c r="AJ257" s="215"/>
      <c r="AK257" s="215"/>
      <c r="AL257" s="215"/>
      <c r="AM257" s="215"/>
      <c r="AN257" s="215"/>
      <c r="AO257" s="215"/>
      <c r="AP257" s="215"/>
      <c r="AQ257" s="215"/>
      <c r="AR257" s="215"/>
      <c r="AS257" s="215"/>
      <c r="AT257" s="215"/>
      <c r="AU257" s="215"/>
      <c r="AV257" s="215"/>
      <c r="AW257" s="215"/>
      <c r="AX257" s="215"/>
      <c r="AY257" s="215"/>
      <c r="AZ257" s="215"/>
      <c r="BA257" s="215"/>
      <c r="BB257" s="215"/>
      <c r="BC257" s="215"/>
      <c r="BD257" s="215"/>
      <c r="BE257" s="215"/>
      <c r="BF257" s="215"/>
      <c r="BG257" s="215"/>
      <c r="BH257" s="215"/>
      <c r="BI257" s="215"/>
      <c r="BJ257" s="215"/>
      <c r="BK257" s="215"/>
      <c r="BL257" s="215"/>
      <c r="BM257" s="215"/>
      <c r="BN257" s="215"/>
      <c r="BO257" s="215"/>
      <c r="BP257" s="215"/>
      <c r="BQ257" s="215"/>
      <c r="BR257" s="215"/>
      <c r="BS257" s="215"/>
      <c r="BT257" s="215"/>
      <c r="BU257" s="215"/>
      <c r="BV257" s="215"/>
      <c r="BW257" s="215"/>
      <c r="BX257" s="215"/>
      <c r="BY257" s="215"/>
      <c r="BZ257" s="215"/>
    </row>
    <row r="258" spans="1:78" ht="13.5" thickBot="1" x14ac:dyDescent="0.25">
      <c r="A258" s="20" t="str">
        <f>'Language Index'!A244</f>
        <v>Cash from Investing</v>
      </c>
      <c r="B258" s="20"/>
      <c r="C258" s="20"/>
      <c r="D258" s="24">
        <f>_xll.ciqfunctions.udf.CIQ($C$2, "IQ_CASH_INVEST",D$6,$F$2,,,Ccy,Conv)</f>
        <v>-10969</v>
      </c>
      <c r="E258" s="24">
        <f>_xll.ciqfunctions.udf.CIQ($C$2, "IQ_CASH_INVEST",E$6,$F$2,,,Ccy,Conv)</f>
        <v>-11225</v>
      </c>
      <c r="F258" s="24">
        <f>_xll.ciqfunctions.udf.CIQ($C$2, "IQ_CASH_INVEST",F$6,$F$2,,,Ccy,Conv)</f>
        <v>-7070</v>
      </c>
      <c r="G258" s="24">
        <f>_xll.ciqfunctions.udf.CIQ($C$2, "IQ_CASH_INVEST",G$6,$F$2,,,Ccy,Conv)</f>
        <v>-3320</v>
      </c>
      <c r="H258" s="24">
        <f>_xll.ciqfunctions.udf.CIQ($C$2, "IQ_CASH_INVEST",H$6,$F$2,,,Ccy,Conv)</f>
        <v>-1088</v>
      </c>
      <c r="I258" s="24">
        <f>_xll.ciqfunctions.udf.CIQ($C$2, "IQ_CASH_INVEST",I$6,$F$2,,,Ccy,Conv)</f>
        <v>-722</v>
      </c>
      <c r="J258" s="24">
        <f>_xll.ciqfunctions.udf.CIQ($C$2, "IQ_CASH_INVEST",J$6,$F$2,,,Ccy,Conv)</f>
        <v>-4937</v>
      </c>
      <c r="K258" s="24">
        <f>_xll.ciqfunctions.udf.CIQ($C$2, "IQ_CASH_INVEST",K$6,$F$2,,,Ccy,Conv)</f>
        <v>-13706</v>
      </c>
      <c r="L258" s="24">
        <f>_xll.ciqfunctions.udf.CIQ($C$2, "IQ_CASH_INVEST",L$6,$F$2,,,Ccy,Conv)</f>
        <v>-14247</v>
      </c>
      <c r="M258" s="24">
        <f>_xll.ciqfunctions.udf.CIQ($C$2, "IQ_CASH_INVEST",M$6,$F$2,,,Ccy,Conv)</f>
        <v>-13098</v>
      </c>
      <c r="N258" s="24">
        <f>_xll.ciqfunctions.udf.CIQ($C$2, "IQ_CASH_INVEST",N$6,$F$2,,,Ccy,Conv)</f>
        <v>-10302</v>
      </c>
      <c r="O258" s="22"/>
      <c r="P258" s="24">
        <f>_xll.ciqfunctions.udf.CIQ($C$2, "IQ_CASH_INVEST",P$6,$F$2,,,Ccy,Conv)</f>
        <v>-10302</v>
      </c>
      <c r="Q258" s="215"/>
      <c r="R258" s="215"/>
      <c r="S258" s="215"/>
      <c r="T258" s="215"/>
      <c r="U258" s="215"/>
      <c r="V258" s="222"/>
      <c r="W258" s="222"/>
      <c r="X258" s="222"/>
      <c r="Y258" s="215"/>
      <c r="Z258" s="215"/>
      <c r="AA258" s="215"/>
      <c r="AB258" s="215"/>
      <c r="AC258" s="215"/>
      <c r="AD258" s="215"/>
      <c r="AE258" s="215"/>
      <c r="AF258" s="215"/>
      <c r="AG258" s="215"/>
      <c r="AH258" s="215"/>
      <c r="AI258" s="215"/>
      <c r="AJ258" s="215"/>
      <c r="AK258" s="215"/>
      <c r="AL258" s="215"/>
      <c r="AM258" s="215"/>
      <c r="AN258" s="215"/>
      <c r="AO258" s="215"/>
      <c r="AP258" s="215"/>
      <c r="AQ258" s="215"/>
      <c r="AR258" s="215"/>
      <c r="AS258" s="215"/>
      <c r="AT258" s="215"/>
      <c r="AU258" s="215"/>
      <c r="AV258" s="215"/>
      <c r="AW258" s="215"/>
      <c r="AX258" s="215"/>
      <c r="AY258" s="215"/>
      <c r="AZ258" s="215"/>
      <c r="BA258" s="215"/>
      <c r="BB258" s="215"/>
      <c r="BC258" s="215"/>
      <c r="BD258" s="215"/>
      <c r="BE258" s="215"/>
      <c r="BF258" s="215"/>
      <c r="BG258" s="215"/>
      <c r="BH258" s="215"/>
      <c r="BI258" s="215"/>
      <c r="BJ258" s="215"/>
      <c r="BK258" s="215"/>
      <c r="BL258" s="215"/>
      <c r="BM258" s="215"/>
      <c r="BN258" s="215"/>
      <c r="BO258" s="215"/>
      <c r="BP258" s="215"/>
      <c r="BQ258" s="215"/>
      <c r="BR258" s="215"/>
      <c r="BS258" s="215"/>
      <c r="BT258" s="215"/>
      <c r="BU258" s="215"/>
      <c r="BV258" s="215"/>
      <c r="BW258" s="215"/>
      <c r="BX258" s="215"/>
      <c r="BY258" s="215"/>
      <c r="BZ258" s="215"/>
    </row>
    <row r="259" spans="1:78" ht="13.5" thickTop="1" x14ac:dyDescent="0.2">
      <c r="A259" s="16"/>
      <c r="B259" s="16"/>
      <c r="C259" s="16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215"/>
      <c r="R259" s="215"/>
      <c r="S259" s="215"/>
      <c r="T259" s="215"/>
      <c r="U259" s="215"/>
      <c r="V259" s="222"/>
      <c r="W259" s="222"/>
      <c r="X259" s="222"/>
      <c r="Y259" s="215"/>
      <c r="Z259" s="215"/>
      <c r="AA259" s="215"/>
      <c r="AB259" s="215"/>
      <c r="AC259" s="215"/>
      <c r="AD259" s="215"/>
      <c r="AE259" s="215"/>
      <c r="AF259" s="215"/>
      <c r="AG259" s="215"/>
      <c r="AH259" s="215"/>
      <c r="AI259" s="215"/>
      <c r="AJ259" s="215"/>
      <c r="AK259" s="215"/>
      <c r="AL259" s="215"/>
      <c r="AM259" s="215"/>
      <c r="AN259" s="215"/>
      <c r="AO259" s="215"/>
      <c r="AP259" s="215"/>
      <c r="AQ259" s="215"/>
      <c r="AR259" s="215"/>
      <c r="AS259" s="215"/>
      <c r="AT259" s="215"/>
      <c r="AU259" s="215"/>
      <c r="AV259" s="215"/>
      <c r="AW259" s="215"/>
      <c r="AX259" s="215"/>
      <c r="AY259" s="215"/>
      <c r="AZ259" s="215"/>
      <c r="BA259" s="215"/>
      <c r="BB259" s="215"/>
      <c r="BC259" s="215"/>
      <c r="BD259" s="215"/>
      <c r="BE259" s="215"/>
      <c r="BF259" s="215"/>
      <c r="BG259" s="215"/>
      <c r="BH259" s="215"/>
      <c r="BI259" s="215"/>
      <c r="BJ259" s="215"/>
      <c r="BK259" s="215"/>
      <c r="BL259" s="215"/>
      <c r="BM259" s="215"/>
      <c r="BN259" s="215"/>
      <c r="BO259" s="215"/>
      <c r="BP259" s="215"/>
      <c r="BQ259" s="215"/>
      <c r="BR259" s="215"/>
      <c r="BS259" s="215"/>
      <c r="BT259" s="215"/>
      <c r="BU259" s="215"/>
      <c r="BV259" s="215"/>
      <c r="BW259" s="215"/>
      <c r="BX259" s="215"/>
      <c r="BY259" s="215"/>
      <c r="BZ259" s="215"/>
    </row>
    <row r="260" spans="1:78" x14ac:dyDescent="0.2">
      <c r="A260" s="2" t="str">
        <f>'Language Index'!A245</f>
        <v>Short Term Debt Issued</v>
      </c>
      <c r="B260" s="17"/>
      <c r="C260" s="17"/>
      <c r="D260" s="18">
        <f>_xll.ciqfunctions.udf.CIQ($C$2, "IQ_ST_DEBT_ISSUED",D$6,$F$2,,,Ccy,Conv)</f>
        <v>0</v>
      </c>
      <c r="E260" s="18">
        <f>_xll.ciqfunctions.udf.CIQ($C$2, "IQ_ST_DEBT_ISSUED",E$6,$F$2,,,Ccy,Conv)</f>
        <v>0</v>
      </c>
      <c r="F260" s="18">
        <f>_xll.ciqfunctions.udf.CIQ($C$2, "IQ_ST_DEBT_ISSUED",F$6,$F$2,,,Ccy,Conv)</f>
        <v>0</v>
      </c>
      <c r="G260" s="18">
        <f>_xll.ciqfunctions.udf.CIQ($C$2, "IQ_ST_DEBT_ISSUED",G$6,$F$2,,,Ccy,Conv)</f>
        <v>0</v>
      </c>
      <c r="H260" s="18">
        <f>_xll.ciqfunctions.udf.CIQ($C$2, "IQ_ST_DEBT_ISSUED",H$6,$F$2,,,Ccy,Conv)</f>
        <v>0</v>
      </c>
      <c r="I260" s="18">
        <f>_xll.ciqfunctions.udf.CIQ($C$2, "IQ_ST_DEBT_ISSUED",I$6,$F$2,,,Ccy,Conv)</f>
        <v>0</v>
      </c>
      <c r="J260" s="18">
        <f>_xll.ciqfunctions.udf.CIQ($C$2, "IQ_ST_DEBT_ISSUED",J$6,$F$2,,,Ccy,Conv)</f>
        <v>30</v>
      </c>
      <c r="K260" s="18">
        <f>_xll.ciqfunctions.udf.CIQ($C$2, "IQ_ST_DEBT_ISSUED",K$6,$F$2,,,Ccy,Conv)</f>
        <v>0</v>
      </c>
      <c r="L260" s="18">
        <f>_xll.ciqfunctions.udf.CIQ($C$2, "IQ_ST_DEBT_ISSUED",L$6,$F$2,,,Ccy,Conv)</f>
        <v>0</v>
      </c>
      <c r="M260" s="18">
        <f>_xll.ciqfunctions.udf.CIQ($C$2, "IQ_ST_DEBT_ISSUED",M$6,$F$2,,,Ccy,Conv)</f>
        <v>0</v>
      </c>
      <c r="N260" s="18">
        <f>_xll.ciqfunctions.udf.CIQ($C$2, "IQ_ST_DEBT_ISSUED",N$6,$F$2,,,Ccy,Conv)</f>
        <v>0</v>
      </c>
      <c r="O260" s="18"/>
      <c r="P260" s="18">
        <f>_xll.ciqfunctions.udf.CIQ($C$2, "IQ_ST_DEBT_ISSUED",P$6,$F$2,,,Ccy,Conv)</f>
        <v>0</v>
      </c>
      <c r="Q260" s="215"/>
      <c r="R260" s="215"/>
      <c r="S260" s="215"/>
      <c r="T260" s="215"/>
      <c r="U260" s="215"/>
      <c r="V260" s="222"/>
      <c r="W260" s="222"/>
      <c r="X260" s="222"/>
      <c r="Y260" s="215"/>
      <c r="Z260" s="215"/>
      <c r="AA260" s="215"/>
      <c r="AB260" s="215"/>
      <c r="AC260" s="215"/>
      <c r="AD260" s="215"/>
      <c r="AE260" s="215"/>
      <c r="AF260" s="215"/>
      <c r="AG260" s="215"/>
      <c r="AH260" s="215"/>
      <c r="AI260" s="215"/>
      <c r="AJ260" s="215"/>
      <c r="AK260" s="215"/>
      <c r="AL260" s="215"/>
      <c r="AM260" s="215"/>
      <c r="AN260" s="215"/>
      <c r="AO260" s="215"/>
      <c r="AP260" s="215"/>
      <c r="AQ260" s="215"/>
      <c r="AR260" s="215"/>
      <c r="AS260" s="215"/>
      <c r="AT260" s="215"/>
      <c r="AU260" s="215"/>
      <c r="AV260" s="215"/>
      <c r="AW260" s="215"/>
      <c r="AX260" s="215"/>
      <c r="AY260" s="215"/>
      <c r="AZ260" s="215"/>
      <c r="BA260" s="215"/>
      <c r="BB260" s="215"/>
      <c r="BC260" s="215"/>
      <c r="BD260" s="215"/>
      <c r="BE260" s="215"/>
      <c r="BF260" s="215"/>
      <c r="BG260" s="215"/>
      <c r="BH260" s="215"/>
      <c r="BI260" s="215"/>
      <c r="BJ260" s="215"/>
      <c r="BK260" s="215"/>
      <c r="BL260" s="215"/>
      <c r="BM260" s="215"/>
      <c r="BN260" s="215"/>
      <c r="BO260" s="215"/>
      <c r="BP260" s="215"/>
      <c r="BQ260" s="215"/>
      <c r="BR260" s="215"/>
      <c r="BS260" s="215"/>
      <c r="BT260" s="215"/>
      <c r="BU260" s="215"/>
      <c r="BV260" s="215"/>
      <c r="BW260" s="215"/>
      <c r="BX260" s="215"/>
      <c r="BY260" s="215"/>
      <c r="BZ260" s="215"/>
    </row>
    <row r="261" spans="1:78" x14ac:dyDescent="0.2">
      <c r="A261" s="2" t="str">
        <f>'Language Index'!A246</f>
        <v>Long-Term Debt Issued</v>
      </c>
      <c r="B261" s="17"/>
      <c r="C261" s="17"/>
      <c r="D261" s="18">
        <f>_xll.ciqfunctions.udf.CIQ($C$2, "IQ_LT_DEBT_ISSUED",D$6,$F$2,,,Ccy,Conv)</f>
        <v>0</v>
      </c>
      <c r="E261" s="18">
        <f>_xll.ciqfunctions.udf.CIQ($C$2, "IQ_LT_DEBT_ISSUED",E$6,$F$2,,,Ccy,Conv)</f>
        <v>0</v>
      </c>
      <c r="F261" s="18">
        <f>_xll.ciqfunctions.udf.CIQ($C$2, "IQ_LT_DEBT_ISSUED",F$6,$F$2,,,Ccy,Conv)</f>
        <v>9586</v>
      </c>
      <c r="G261" s="18">
        <f>_xll.ciqfunctions.udf.CIQ($C$2, "IQ_LT_DEBT_ISSUED",G$6,$F$2,,,Ccy,Conv)</f>
        <v>0</v>
      </c>
      <c r="H261" s="18">
        <f>_xll.ciqfunctions.udf.CIQ($C$2, "IQ_LT_DEBT_ISSUED",H$6,$F$2,,,Ccy,Conv)</f>
        <v>0</v>
      </c>
      <c r="I261" s="18">
        <f>_xll.ciqfunctions.udf.CIQ($C$2, "IQ_LT_DEBT_ISSUED",I$6,$F$2,,,Ccy,Conv)</f>
        <v>0</v>
      </c>
      <c r="J261" s="18">
        <f>_xll.ciqfunctions.udf.CIQ($C$2, "IQ_LT_DEBT_ISSUED",J$6,$F$2,,,Ccy,Conv)</f>
        <v>5705</v>
      </c>
      <c r="K261" s="18">
        <f>_xll.ciqfunctions.udf.CIQ($C$2, "IQ_LT_DEBT_ISSUED",K$6,$F$2,,,Ccy,Conv)</f>
        <v>0</v>
      </c>
      <c r="L261" s="18">
        <f>_xll.ciqfunctions.udf.CIQ($C$2, "IQ_LT_DEBT_ISSUED",L$6,$F$2,,,Ccy,Conv)</f>
        <v>0</v>
      </c>
      <c r="M261" s="18">
        <f>_xll.ciqfunctions.udf.CIQ($C$2, "IQ_LT_DEBT_ISSUED",M$6,$F$2,,,Ccy,Conv)</f>
        <v>0</v>
      </c>
      <c r="N261" s="18">
        <f>_xll.ciqfunctions.udf.CIQ($C$2, "IQ_LT_DEBT_ISSUED",N$6,$F$2,,,Ccy,Conv)</f>
        <v>8391</v>
      </c>
      <c r="O261" s="18"/>
      <c r="P261" s="18">
        <f>_xll.ciqfunctions.udf.CIQ($C$2, "IQ_LT_DEBT_ISSUED",P$6,$F$2,,,Ccy,Conv)</f>
        <v>8391</v>
      </c>
      <c r="Q261" s="215"/>
      <c r="R261" s="215"/>
      <c r="S261" s="215"/>
      <c r="T261" s="215"/>
      <c r="U261" s="215"/>
      <c r="V261" s="222"/>
      <c r="W261" s="222"/>
      <c r="X261" s="222"/>
      <c r="Y261" s="215"/>
      <c r="Z261" s="215"/>
      <c r="AA261" s="215"/>
      <c r="AB261" s="215"/>
      <c r="AC261" s="215"/>
      <c r="AD261" s="215"/>
      <c r="AE261" s="215"/>
      <c r="AF261" s="215"/>
      <c r="AG261" s="215"/>
      <c r="AH261" s="215"/>
      <c r="AI261" s="215"/>
      <c r="AJ261" s="215"/>
      <c r="AK261" s="215"/>
      <c r="AL261" s="215"/>
      <c r="AM261" s="215"/>
      <c r="AN261" s="215"/>
      <c r="AO261" s="215"/>
      <c r="AP261" s="215"/>
      <c r="AQ261" s="215"/>
      <c r="AR261" s="215"/>
      <c r="AS261" s="215"/>
      <c r="AT261" s="215"/>
      <c r="AU261" s="215"/>
      <c r="AV261" s="215"/>
      <c r="AW261" s="215"/>
      <c r="AX261" s="215"/>
      <c r="AY261" s="215"/>
      <c r="AZ261" s="215"/>
      <c r="BA261" s="215"/>
      <c r="BB261" s="215"/>
      <c r="BC261" s="215"/>
      <c r="BD261" s="215"/>
      <c r="BE261" s="215"/>
      <c r="BF261" s="215"/>
      <c r="BG261" s="215"/>
      <c r="BH261" s="215"/>
      <c r="BI261" s="215"/>
      <c r="BJ261" s="215"/>
      <c r="BK261" s="215"/>
      <c r="BL261" s="215"/>
      <c r="BM261" s="215"/>
      <c r="BN261" s="215"/>
      <c r="BO261" s="215"/>
      <c r="BP261" s="215"/>
      <c r="BQ261" s="215"/>
      <c r="BR261" s="215"/>
      <c r="BS261" s="215"/>
      <c r="BT261" s="215"/>
      <c r="BU261" s="215"/>
      <c r="BV261" s="215"/>
      <c r="BW261" s="215"/>
      <c r="BX261" s="215"/>
      <c r="BY261" s="215"/>
      <c r="BZ261" s="215"/>
    </row>
    <row r="262" spans="1:78" x14ac:dyDescent="0.2">
      <c r="A262" s="20" t="str">
        <f>'Language Index'!A247</f>
        <v>Total Debt Issued</v>
      </c>
      <c r="B262" s="20"/>
      <c r="C262" s="20"/>
      <c r="D262" s="21">
        <f>_xll.ciqfunctions.udf.CIQ($C$2, "IQ_TOTAL_DEBT_ISSUED",D$6,$F$2,,,Ccy,Conv)</f>
        <v>13051</v>
      </c>
      <c r="E262" s="21">
        <f>_xll.ciqfunctions.udf.CIQ($C$2, "IQ_TOTAL_DEBT_ISSUED",E$6,$F$2,,,Ccy,Conv)</f>
        <v>9595</v>
      </c>
      <c r="F262" s="21">
        <f>_xll.ciqfunctions.udf.CIQ($C$2, "IQ_TOTAL_DEBT_ISSUED",F$6,$F$2,,,Ccy,Conv)</f>
        <v>9586</v>
      </c>
      <c r="G262" s="21">
        <f>_xll.ciqfunctions.udf.CIQ($C$2, "IQ_TOTAL_DEBT_ISSUED",G$6,$F$2,,,Ccy,Conv)</f>
        <v>5641</v>
      </c>
      <c r="H262" s="21">
        <f>_xll.ciqfunctions.udf.CIQ($C$2, "IQ_TOTAL_DEBT_ISSUED",H$6,$F$2,,,Ccy,Conv)</f>
        <v>5859</v>
      </c>
      <c r="I262" s="21">
        <f>_xll.ciqfunctions.udf.CIQ($C$2, "IQ_TOTAL_DEBT_ISSUED",I$6,$F$2,,,Ccy,Conv)</f>
        <v>5708</v>
      </c>
      <c r="J262" s="21">
        <f>_xll.ciqfunctions.udf.CIQ($C$2, "IQ_TOTAL_DEBT_ISSUED",J$6,$F$2,,,Ccy,Conv)</f>
        <v>5735</v>
      </c>
      <c r="K262" s="21">
        <f>_xll.ciqfunctions.udf.CIQ($C$2, "IQ_TOTAL_DEBT_ISSUED",K$6,$F$2,,,Ccy,Conv)</f>
        <v>8626</v>
      </c>
      <c r="L262" s="21">
        <f>_xll.ciqfunctions.udf.CIQ($C$2, "IQ_TOTAL_DEBT_ISSUED",L$6,$F$2,,,Ccy,Conv)</f>
        <v>8415</v>
      </c>
      <c r="M262" s="21">
        <f>_xll.ciqfunctions.udf.CIQ($C$2, "IQ_TOTAL_DEBT_ISSUED",M$6,$F$2,,,Ccy,Conv)</f>
        <v>8412</v>
      </c>
      <c r="N262" s="21">
        <f>_xll.ciqfunctions.udf.CIQ($C$2, "IQ_TOTAL_DEBT_ISSUED",N$6,$F$2,,,Ccy,Conv)</f>
        <v>8391</v>
      </c>
      <c r="O262" s="22"/>
      <c r="P262" s="21">
        <f>_xll.ciqfunctions.udf.CIQ($C$2, "IQ_TOTAL_DEBT_ISSUED",P$6,$F$2,,,Ccy,Conv)</f>
        <v>8391</v>
      </c>
      <c r="Q262" s="215"/>
      <c r="R262" s="215"/>
      <c r="S262" s="215"/>
      <c r="T262" s="215"/>
      <c r="U262" s="215"/>
      <c r="V262" s="222"/>
      <c r="W262" s="222"/>
      <c r="X262" s="222"/>
      <c r="Y262" s="215"/>
      <c r="Z262" s="215"/>
      <c r="AA262" s="215"/>
      <c r="AB262" s="215"/>
      <c r="AC262" s="215"/>
      <c r="AD262" s="215"/>
      <c r="AE262" s="215"/>
      <c r="AF262" s="215"/>
      <c r="AG262" s="215"/>
      <c r="AH262" s="215"/>
      <c r="AI262" s="215"/>
      <c r="AJ262" s="215"/>
      <c r="AK262" s="215"/>
      <c r="AL262" s="215"/>
      <c r="AM262" s="215"/>
      <c r="AN262" s="215"/>
      <c r="AO262" s="215"/>
      <c r="AP262" s="215"/>
      <c r="AQ262" s="215"/>
      <c r="AR262" s="215"/>
      <c r="AS262" s="215"/>
      <c r="AT262" s="215"/>
      <c r="AU262" s="215"/>
      <c r="AV262" s="215"/>
      <c r="AW262" s="215"/>
      <c r="AX262" s="215"/>
      <c r="AY262" s="215"/>
      <c r="AZ262" s="215"/>
      <c r="BA262" s="215"/>
      <c r="BB262" s="215"/>
      <c r="BC262" s="215"/>
      <c r="BD262" s="215"/>
      <c r="BE262" s="215"/>
      <c r="BF262" s="215"/>
      <c r="BG262" s="215"/>
      <c r="BH262" s="215"/>
      <c r="BI262" s="215"/>
      <c r="BJ262" s="215"/>
      <c r="BK262" s="215"/>
      <c r="BL262" s="215"/>
      <c r="BM262" s="215"/>
      <c r="BN262" s="215"/>
      <c r="BO262" s="215"/>
      <c r="BP262" s="215"/>
      <c r="BQ262" s="215"/>
      <c r="BR262" s="215"/>
      <c r="BS262" s="215"/>
      <c r="BT262" s="215"/>
      <c r="BU262" s="215"/>
      <c r="BV262" s="215"/>
      <c r="BW262" s="215"/>
      <c r="BX262" s="215"/>
      <c r="BY262" s="215"/>
      <c r="BZ262" s="215"/>
    </row>
    <row r="263" spans="1:78" x14ac:dyDescent="0.2">
      <c r="A263" s="2" t="str">
        <f>'Language Index'!A248</f>
        <v>Short Term Debt Repaid</v>
      </c>
      <c r="B263" s="17"/>
      <c r="C263" s="17"/>
      <c r="D263" s="18">
        <f>_xll.ciqfunctions.udf.CIQ($C$2, "IQ_ST_DEBT_REPAID",D$6,$F$2,,,Ccy,Conv)</f>
        <v>0</v>
      </c>
      <c r="E263" s="18">
        <f>_xll.ciqfunctions.udf.CIQ($C$2, "IQ_ST_DEBT_REPAID",E$6,$F$2,,,Ccy,Conv)</f>
        <v>0</v>
      </c>
      <c r="F263" s="18">
        <f>_xll.ciqfunctions.udf.CIQ($C$2, "IQ_ST_DEBT_REPAID",F$6,$F$2,,,Ccy,Conv)</f>
        <v>-7</v>
      </c>
      <c r="G263" s="18">
        <f>_xll.ciqfunctions.udf.CIQ($C$2, "IQ_ST_DEBT_REPAID",G$6,$F$2,,,Ccy,Conv)</f>
        <v>0</v>
      </c>
      <c r="H263" s="18">
        <f>_xll.ciqfunctions.udf.CIQ($C$2, "IQ_ST_DEBT_REPAID",H$6,$F$2,,,Ccy,Conv)</f>
        <v>0</v>
      </c>
      <c r="I263" s="18">
        <f>_xll.ciqfunctions.udf.CIQ($C$2, "IQ_ST_DEBT_REPAID",I$6,$F$2,,,Ccy,Conv)</f>
        <v>0</v>
      </c>
      <c r="J263" s="18">
        <f>_xll.ciqfunctions.udf.CIQ($C$2, "IQ_ST_DEBT_REPAID",J$6,$F$2,,,Ccy,Conv)</f>
        <v>0</v>
      </c>
      <c r="K263" s="18">
        <f>_xll.ciqfunctions.udf.CIQ($C$2, "IQ_ST_DEBT_REPAID",K$6,$F$2,,,Ccy,Conv)</f>
        <v>0</v>
      </c>
      <c r="L263" s="18">
        <f>_xll.ciqfunctions.udf.CIQ($C$2, "IQ_ST_DEBT_REPAID",L$6,$F$2,,,Ccy,Conv)</f>
        <v>0</v>
      </c>
      <c r="M263" s="18">
        <f>_xll.ciqfunctions.udf.CIQ($C$2, "IQ_ST_DEBT_REPAID",M$6,$F$2,,,Ccy,Conv)</f>
        <v>0</v>
      </c>
      <c r="N263" s="18">
        <f>_xll.ciqfunctions.udf.CIQ($C$2, "IQ_ST_DEBT_REPAID",N$6,$F$2,,,Ccy,Conv)</f>
        <v>-29</v>
      </c>
      <c r="O263" s="18"/>
      <c r="P263" s="18">
        <f>_xll.ciqfunctions.udf.CIQ($C$2, "IQ_ST_DEBT_REPAID",P$6,$F$2,,,Ccy,Conv)</f>
        <v>-29</v>
      </c>
      <c r="Q263" s="215"/>
      <c r="R263" s="215"/>
      <c r="S263" s="215"/>
      <c r="T263" s="215"/>
      <c r="U263" s="215"/>
      <c r="V263" s="222"/>
      <c r="W263" s="222"/>
      <c r="X263" s="222"/>
      <c r="Y263" s="215"/>
      <c r="Z263" s="215"/>
      <c r="AA263" s="215"/>
      <c r="AB263" s="215"/>
      <c r="AC263" s="215"/>
      <c r="AD263" s="215"/>
      <c r="AE263" s="215"/>
      <c r="AF263" s="215"/>
      <c r="AG263" s="215"/>
      <c r="AH263" s="215"/>
      <c r="AI263" s="215"/>
      <c r="AJ263" s="215"/>
      <c r="AK263" s="215"/>
      <c r="AL263" s="215"/>
      <c r="AM263" s="215"/>
      <c r="AN263" s="215"/>
      <c r="AO263" s="215"/>
      <c r="AP263" s="215"/>
      <c r="AQ263" s="215"/>
      <c r="AR263" s="215"/>
      <c r="AS263" s="215"/>
      <c r="AT263" s="215"/>
      <c r="AU263" s="215"/>
      <c r="AV263" s="215"/>
      <c r="AW263" s="215"/>
      <c r="AX263" s="215"/>
      <c r="AY263" s="215"/>
      <c r="AZ263" s="215"/>
      <c r="BA263" s="215"/>
      <c r="BB263" s="215"/>
      <c r="BC263" s="215"/>
      <c r="BD263" s="215"/>
      <c r="BE263" s="215"/>
      <c r="BF263" s="215"/>
      <c r="BG263" s="215"/>
      <c r="BH263" s="215"/>
      <c r="BI263" s="215"/>
      <c r="BJ263" s="215"/>
      <c r="BK263" s="215"/>
      <c r="BL263" s="215"/>
      <c r="BM263" s="215"/>
      <c r="BN263" s="215"/>
      <c r="BO263" s="215"/>
      <c r="BP263" s="215"/>
      <c r="BQ263" s="215"/>
      <c r="BR263" s="215"/>
      <c r="BS263" s="215"/>
      <c r="BT263" s="215"/>
      <c r="BU263" s="215"/>
      <c r="BV263" s="215"/>
      <c r="BW263" s="215"/>
      <c r="BX263" s="215"/>
      <c r="BY263" s="215"/>
      <c r="BZ263" s="215"/>
    </row>
    <row r="264" spans="1:78" x14ac:dyDescent="0.2">
      <c r="A264" s="2" t="str">
        <f>'Language Index'!A249</f>
        <v>Long-Term Debt Repaid</v>
      </c>
      <c r="B264" s="17"/>
      <c r="C264" s="17"/>
      <c r="D264" s="18">
        <f>_xll.ciqfunctions.udf.CIQ($C$2, "IQ_LT_DEBT_REPAID",D$6,$F$2,,,Ccy,Conv)</f>
        <v>0</v>
      </c>
      <c r="E264" s="18">
        <f>_xll.ciqfunctions.udf.CIQ($C$2, "IQ_LT_DEBT_REPAID",E$6,$F$2,,,Ccy,Conv)</f>
        <v>0</v>
      </c>
      <c r="F264" s="18">
        <f>_xll.ciqfunctions.udf.CIQ($C$2, "IQ_LT_DEBT_REPAID",F$6,$F$2,,,Ccy,Conv)</f>
        <v>-5082</v>
      </c>
      <c r="G264" s="18">
        <f>_xll.ciqfunctions.udf.CIQ($C$2, "IQ_LT_DEBT_REPAID",G$6,$F$2,,,Ccy,Conv)</f>
        <v>0</v>
      </c>
      <c r="H264" s="18">
        <f>_xll.ciqfunctions.udf.CIQ($C$2, "IQ_LT_DEBT_REPAID",H$6,$F$2,,,Ccy,Conv)</f>
        <v>0</v>
      </c>
      <c r="I264" s="18">
        <f>_xll.ciqfunctions.udf.CIQ($C$2, "IQ_LT_DEBT_REPAID",I$6,$F$2,,,Ccy,Conv)</f>
        <v>0</v>
      </c>
      <c r="J264" s="18">
        <f>_xll.ciqfunctions.udf.CIQ($C$2, "IQ_LT_DEBT_REPAID",J$6,$F$2,,,Ccy,Conv)</f>
        <v>-6615</v>
      </c>
      <c r="K264" s="18">
        <f>_xll.ciqfunctions.udf.CIQ($C$2, "IQ_LT_DEBT_REPAID",K$6,$F$2,,,Ccy,Conv)</f>
        <v>0</v>
      </c>
      <c r="L264" s="18">
        <f>_xll.ciqfunctions.udf.CIQ($C$2, "IQ_LT_DEBT_REPAID",L$6,$F$2,,,Ccy,Conv)</f>
        <v>0</v>
      </c>
      <c r="M264" s="18">
        <f>_xll.ciqfunctions.udf.CIQ($C$2, "IQ_LT_DEBT_REPAID",M$6,$F$2,,,Ccy,Conv)</f>
        <v>0</v>
      </c>
      <c r="N264" s="18">
        <f>_xll.ciqfunctions.udf.CIQ($C$2, "IQ_LT_DEBT_REPAID",N$6,$F$2,,,Ccy,Conv)</f>
        <v>-5489</v>
      </c>
      <c r="O264" s="18"/>
      <c r="P264" s="18">
        <f>_xll.ciqfunctions.udf.CIQ($C$2, "IQ_LT_DEBT_REPAID",P$6,$F$2,,,Ccy,Conv)</f>
        <v>-5489</v>
      </c>
      <c r="Q264" s="215"/>
      <c r="R264" s="215"/>
      <c r="S264" s="215"/>
      <c r="T264" s="215"/>
      <c r="U264" s="215"/>
      <c r="V264" s="222"/>
      <c r="W264" s="222"/>
      <c r="X264" s="222"/>
      <c r="Y264" s="215"/>
      <c r="Z264" s="215"/>
      <c r="AA264" s="215"/>
      <c r="AB264" s="215"/>
      <c r="AC264" s="215"/>
      <c r="AD264" s="215"/>
      <c r="AE264" s="215"/>
      <c r="AF264" s="215"/>
      <c r="AG264" s="215"/>
      <c r="AH264" s="215"/>
      <c r="AI264" s="215"/>
      <c r="AJ264" s="215"/>
      <c r="AK264" s="215"/>
      <c r="AL264" s="215"/>
      <c r="AM264" s="215"/>
      <c r="AN264" s="215"/>
      <c r="AO264" s="215"/>
      <c r="AP264" s="215"/>
      <c r="AQ264" s="215"/>
      <c r="AR264" s="215"/>
      <c r="AS264" s="215"/>
      <c r="AT264" s="215"/>
      <c r="AU264" s="215"/>
      <c r="AV264" s="215"/>
      <c r="AW264" s="215"/>
      <c r="AX264" s="215"/>
      <c r="AY264" s="215"/>
      <c r="AZ264" s="215"/>
      <c r="BA264" s="215"/>
      <c r="BB264" s="215"/>
      <c r="BC264" s="215"/>
      <c r="BD264" s="215"/>
      <c r="BE264" s="215"/>
      <c r="BF264" s="215"/>
      <c r="BG264" s="215"/>
      <c r="BH264" s="215"/>
      <c r="BI264" s="215"/>
      <c r="BJ264" s="215"/>
      <c r="BK264" s="215"/>
      <c r="BL264" s="215"/>
      <c r="BM264" s="215"/>
      <c r="BN264" s="215"/>
      <c r="BO264" s="215"/>
      <c r="BP264" s="215"/>
      <c r="BQ264" s="215"/>
      <c r="BR264" s="215"/>
      <c r="BS264" s="215"/>
      <c r="BT264" s="215"/>
      <c r="BU264" s="215"/>
      <c r="BV264" s="215"/>
      <c r="BW264" s="215"/>
      <c r="BX264" s="215"/>
      <c r="BY264" s="215"/>
      <c r="BZ264" s="215"/>
    </row>
    <row r="265" spans="1:78" x14ac:dyDescent="0.2">
      <c r="A265" s="20" t="str">
        <f>'Language Index'!A250</f>
        <v>Total Debt Repaid</v>
      </c>
      <c r="B265" s="20"/>
      <c r="C265" s="20"/>
      <c r="D265" s="21">
        <f>_xll.ciqfunctions.udf.CIQ($C$2, "IQ_TOTAL_DEBT_REPAID",D$6,$F$2,,,Ccy,Conv)</f>
        <v>-6095</v>
      </c>
      <c r="E265" s="21">
        <f>_xll.ciqfunctions.udf.CIQ($C$2, "IQ_TOTAL_DEBT_REPAID",E$6,$F$2,,,Ccy,Conv)</f>
        <v>-6327</v>
      </c>
      <c r="F265" s="21">
        <f>_xll.ciqfunctions.udf.CIQ($C$2, "IQ_TOTAL_DEBT_REPAID",F$6,$F$2,,,Ccy,Conv)</f>
        <v>-5089</v>
      </c>
      <c r="G265" s="21">
        <f>_xll.ciqfunctions.udf.CIQ($C$2, "IQ_TOTAL_DEBT_REPAID",G$6,$F$2,,,Ccy,Conv)</f>
        <v>-5067</v>
      </c>
      <c r="H265" s="21">
        <f>_xll.ciqfunctions.udf.CIQ($C$2, "IQ_TOTAL_DEBT_REPAID",H$6,$F$2,,,Ccy,Conv)</f>
        <v>-7050</v>
      </c>
      <c r="I265" s="21">
        <f>_xll.ciqfunctions.udf.CIQ($C$2, "IQ_TOTAL_DEBT_REPAID",I$6,$F$2,,,Ccy,Conv)</f>
        <v>-6607</v>
      </c>
      <c r="J265" s="21">
        <f>_xll.ciqfunctions.udf.CIQ($C$2, "IQ_TOTAL_DEBT_REPAID",J$6,$F$2,,,Ccy,Conv)</f>
        <v>-6615</v>
      </c>
      <c r="K265" s="21">
        <f>_xll.ciqfunctions.udf.CIQ($C$2, "IQ_TOTAL_DEBT_REPAID",K$6,$F$2,,,Ccy,Conv)</f>
        <v>-5795</v>
      </c>
      <c r="L265" s="21">
        <f>_xll.ciqfunctions.udf.CIQ($C$2, "IQ_TOTAL_DEBT_REPAID",L$6,$F$2,,,Ccy,Conv)</f>
        <v>-3985</v>
      </c>
      <c r="M265" s="21">
        <f>_xll.ciqfunctions.udf.CIQ($C$2, "IQ_TOTAL_DEBT_REPAID",M$6,$F$2,,,Ccy,Conv)</f>
        <v>-3832</v>
      </c>
      <c r="N265" s="21">
        <f>_xll.ciqfunctions.udf.CIQ($C$2, "IQ_TOTAL_DEBT_REPAID",N$6,$F$2,,,Ccy,Conv)</f>
        <v>-5518</v>
      </c>
      <c r="O265" s="22"/>
      <c r="P265" s="21">
        <f>_xll.ciqfunctions.udf.CIQ($C$2, "IQ_TOTAL_DEBT_REPAID",P$6,$F$2,,,Ccy,Conv)</f>
        <v>-5518</v>
      </c>
      <c r="Q265" s="215"/>
      <c r="R265" s="215"/>
      <c r="S265" s="215"/>
      <c r="T265" s="215"/>
      <c r="U265" s="215"/>
      <c r="V265" s="222"/>
      <c r="W265" s="222"/>
      <c r="X265" s="222"/>
      <c r="Y265" s="215"/>
      <c r="Z265" s="215"/>
      <c r="AA265" s="215"/>
      <c r="AB265" s="215"/>
      <c r="AC265" s="215"/>
      <c r="AD265" s="215"/>
      <c r="AE265" s="215"/>
      <c r="AF265" s="215"/>
      <c r="AG265" s="215"/>
      <c r="AH265" s="215"/>
      <c r="AI265" s="215"/>
      <c r="AJ265" s="215"/>
      <c r="AK265" s="215"/>
      <c r="AL265" s="215"/>
      <c r="AM265" s="215"/>
      <c r="AN265" s="215"/>
      <c r="AO265" s="215"/>
      <c r="AP265" s="215"/>
      <c r="AQ265" s="215"/>
      <c r="AR265" s="215"/>
      <c r="AS265" s="215"/>
      <c r="AT265" s="215"/>
      <c r="AU265" s="215"/>
      <c r="AV265" s="215"/>
      <c r="AW265" s="215"/>
      <c r="AX265" s="215"/>
      <c r="AY265" s="215"/>
      <c r="AZ265" s="215"/>
      <c r="BA265" s="215"/>
      <c r="BB265" s="215"/>
      <c r="BC265" s="215"/>
      <c r="BD265" s="215"/>
      <c r="BE265" s="215"/>
      <c r="BF265" s="215"/>
      <c r="BG265" s="215"/>
      <c r="BH265" s="215"/>
      <c r="BI265" s="215"/>
      <c r="BJ265" s="215"/>
      <c r="BK265" s="215"/>
      <c r="BL265" s="215"/>
      <c r="BM265" s="215"/>
      <c r="BN265" s="215"/>
      <c r="BO265" s="215"/>
      <c r="BP265" s="215"/>
      <c r="BQ265" s="215"/>
      <c r="BR265" s="215"/>
      <c r="BS265" s="215"/>
      <c r="BT265" s="215"/>
      <c r="BU265" s="215"/>
      <c r="BV265" s="215"/>
      <c r="BW265" s="215"/>
      <c r="BX265" s="215"/>
      <c r="BY265" s="215"/>
      <c r="BZ265" s="215"/>
    </row>
    <row r="266" spans="1:78" x14ac:dyDescent="0.2">
      <c r="A266" s="16"/>
      <c r="B266" s="16"/>
      <c r="C266" s="16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215"/>
      <c r="R266" s="215"/>
      <c r="S266" s="215"/>
      <c r="T266" s="215"/>
      <c r="U266" s="215"/>
      <c r="V266" s="222"/>
      <c r="W266" s="222"/>
      <c r="X266" s="222"/>
      <c r="Y266" s="215"/>
      <c r="Z266" s="215"/>
      <c r="AA266" s="215"/>
      <c r="AB266" s="215"/>
      <c r="AC266" s="215"/>
      <c r="AD266" s="215"/>
      <c r="AE266" s="215"/>
      <c r="AF266" s="215"/>
      <c r="AG266" s="215"/>
      <c r="AH266" s="215"/>
      <c r="AI266" s="215"/>
      <c r="AJ266" s="215"/>
      <c r="AK266" s="215"/>
      <c r="AL266" s="215"/>
      <c r="AM266" s="215"/>
      <c r="AN266" s="215"/>
      <c r="AO266" s="215"/>
      <c r="AP266" s="215"/>
      <c r="AQ266" s="215"/>
      <c r="AR266" s="215"/>
      <c r="AS266" s="215"/>
      <c r="AT266" s="215"/>
      <c r="AU266" s="215"/>
      <c r="AV266" s="215"/>
      <c r="AW266" s="215"/>
      <c r="AX266" s="215"/>
      <c r="AY266" s="215"/>
      <c r="AZ266" s="215"/>
      <c r="BA266" s="215"/>
      <c r="BB266" s="215"/>
      <c r="BC266" s="215"/>
      <c r="BD266" s="215"/>
      <c r="BE266" s="215"/>
      <c r="BF266" s="215"/>
      <c r="BG266" s="215"/>
      <c r="BH266" s="215"/>
      <c r="BI266" s="215"/>
      <c r="BJ266" s="215"/>
      <c r="BK266" s="215"/>
      <c r="BL266" s="215"/>
      <c r="BM266" s="215"/>
      <c r="BN266" s="215"/>
      <c r="BO266" s="215"/>
      <c r="BP266" s="215"/>
      <c r="BQ266" s="215"/>
      <c r="BR266" s="215"/>
      <c r="BS266" s="215"/>
      <c r="BT266" s="215"/>
      <c r="BU266" s="215"/>
      <c r="BV266" s="215"/>
      <c r="BW266" s="215"/>
      <c r="BX266" s="215"/>
      <c r="BY266" s="215"/>
      <c r="BZ266" s="215"/>
    </row>
    <row r="267" spans="1:78" x14ac:dyDescent="0.2">
      <c r="A267" s="2" t="str">
        <f>'Language Index'!A251</f>
        <v>Issuance of Common Stock</v>
      </c>
      <c r="B267" s="17"/>
      <c r="C267" s="17"/>
      <c r="D267" s="18">
        <f>_xll.ciqfunctions.udf.CIQ($C$2, "IQ_COMMON_ISSUED",D$6,$F$2,,,Ccy,Conv)</f>
        <v>0</v>
      </c>
      <c r="E267" s="18">
        <f>_xll.ciqfunctions.udf.CIQ($C$2, "IQ_COMMON_ISSUED",E$6,$F$2,,,Ccy,Conv)</f>
        <v>0</v>
      </c>
      <c r="F267" s="18">
        <f>_xll.ciqfunctions.udf.CIQ($C$2, "IQ_COMMON_ISSUED",F$6,$F$2,,,Ccy,Conv)</f>
        <v>414</v>
      </c>
      <c r="G267" s="18">
        <f>_xll.ciqfunctions.udf.CIQ($C$2, "IQ_COMMON_ISSUED",G$6,$F$2,,,Ccy,Conv)</f>
        <v>674</v>
      </c>
      <c r="H267" s="18">
        <f>_xll.ciqfunctions.udf.CIQ($C$2, "IQ_COMMON_ISSUED",H$6,$F$2,,,Ccy,Conv)</f>
        <v>799</v>
      </c>
      <c r="I267" s="18">
        <f>_xll.ciqfunctions.udf.CIQ($C$2, "IQ_COMMON_ISSUED",I$6,$F$2,,,Ccy,Conv)</f>
        <v>1051</v>
      </c>
      <c r="J267" s="18">
        <f>_xll.ciqfunctions.udf.CIQ($C$2, "IQ_COMMON_ISSUED",J$6,$F$2,,,Ccy,Conv)</f>
        <v>745</v>
      </c>
      <c r="K267" s="18">
        <f>_xll.ciqfunctions.udf.CIQ($C$2, "IQ_COMMON_ISSUED",K$6,$F$2,,,Ccy,Conv)</f>
        <v>701</v>
      </c>
      <c r="L267" s="18">
        <f>_xll.ciqfunctions.udf.CIQ($C$2, "IQ_COMMON_ISSUED",L$6,$F$2,,,Ccy,Conv)</f>
        <v>761</v>
      </c>
      <c r="M267" s="18">
        <f>_xll.ciqfunctions.udf.CIQ($C$2, "IQ_COMMON_ISSUED",M$6,$F$2,,,Ccy,Conv)</f>
        <v>643</v>
      </c>
      <c r="N267" s="18">
        <f>_xll.ciqfunctions.udf.CIQ($C$2, "IQ_COMMON_ISSUED",N$6,$F$2,,,Ccy,Conv)</f>
        <v>710</v>
      </c>
      <c r="O267" s="18"/>
      <c r="P267" s="18">
        <f>_xll.ciqfunctions.udf.CIQ($C$2, "IQ_COMMON_ISSUED",P$6,$F$2,,,Ccy,Conv)</f>
        <v>710</v>
      </c>
      <c r="Q267" s="215"/>
      <c r="R267" s="215"/>
      <c r="S267" s="215"/>
      <c r="T267" s="215"/>
      <c r="U267" s="215"/>
      <c r="V267" s="222"/>
      <c r="W267" s="222"/>
      <c r="X267" s="222"/>
      <c r="Y267" s="215"/>
      <c r="Z267" s="215"/>
      <c r="AA267" s="215"/>
      <c r="AB267" s="215"/>
      <c r="AC267" s="215"/>
      <c r="AD267" s="215"/>
      <c r="AE267" s="215"/>
      <c r="AF267" s="215"/>
      <c r="AG267" s="215"/>
      <c r="AH267" s="215"/>
      <c r="AI267" s="215"/>
      <c r="AJ267" s="215"/>
      <c r="AK267" s="215"/>
      <c r="AL267" s="215"/>
      <c r="AM267" s="215"/>
      <c r="AN267" s="215"/>
      <c r="AO267" s="215"/>
      <c r="AP267" s="215"/>
      <c r="AQ267" s="215"/>
      <c r="AR267" s="215"/>
      <c r="AS267" s="215"/>
      <c r="AT267" s="215"/>
      <c r="AU267" s="215"/>
      <c r="AV267" s="215"/>
      <c r="AW267" s="215"/>
      <c r="AX267" s="215"/>
      <c r="AY267" s="215"/>
      <c r="AZ267" s="215"/>
      <c r="BA267" s="215"/>
      <c r="BB267" s="215"/>
      <c r="BC267" s="215"/>
      <c r="BD267" s="215"/>
      <c r="BE267" s="215"/>
      <c r="BF267" s="215"/>
      <c r="BG267" s="215"/>
      <c r="BH267" s="215"/>
      <c r="BI267" s="215"/>
      <c r="BJ267" s="215"/>
      <c r="BK267" s="215"/>
      <c r="BL267" s="215"/>
      <c r="BM267" s="215"/>
      <c r="BN267" s="215"/>
      <c r="BO267" s="215"/>
      <c r="BP267" s="215"/>
      <c r="BQ267" s="215"/>
      <c r="BR267" s="215"/>
      <c r="BS267" s="215"/>
      <c r="BT267" s="215"/>
      <c r="BU267" s="215"/>
      <c r="BV267" s="215"/>
      <c r="BW267" s="215"/>
      <c r="BX267" s="215"/>
      <c r="BY267" s="215"/>
      <c r="BZ267" s="215"/>
    </row>
    <row r="268" spans="1:78" x14ac:dyDescent="0.2">
      <c r="A268" s="2" t="str">
        <f>'Language Index'!A252</f>
        <v>Repurchase of Common</v>
      </c>
      <c r="B268" s="17"/>
      <c r="C268" s="17"/>
      <c r="D268" s="18">
        <f>_xll.ciqfunctions.udf.CIQ($C$2, "IQ_COMMON_REP",D$6,$F$2,,,Ccy,Conv)</f>
        <v>-332</v>
      </c>
      <c r="E268" s="18">
        <f>_xll.ciqfunctions.udf.CIQ($C$2, "IQ_COMMON_REP",E$6,$F$2,,,Ccy,Conv)</f>
        <v>-416</v>
      </c>
      <c r="F268" s="18">
        <f>_xll.ciqfunctions.udf.CIQ($C$2, "IQ_COMMON_REP",F$6,$F$2,,,Ccy,Conv)</f>
        <v>-402</v>
      </c>
      <c r="G268" s="18">
        <f>_xll.ciqfunctions.udf.CIQ($C$2, "IQ_COMMON_REP",G$6,$F$2,,,Ccy,Conv)</f>
        <v>-505</v>
      </c>
      <c r="H268" s="18">
        <f>_xll.ciqfunctions.udf.CIQ($C$2, "IQ_COMMON_REP",H$6,$F$2,,,Ccy,Conv)</f>
        <v>-512</v>
      </c>
      <c r="I268" s="18">
        <f>_xll.ciqfunctions.udf.CIQ($C$2, "IQ_COMMON_REP",I$6,$F$2,,,Ccy,Conv)</f>
        <v>-603</v>
      </c>
      <c r="J268" s="18">
        <f>_xll.ciqfunctions.udf.CIQ($C$2, "IQ_COMMON_REP",J$6,$F$2,,,Ccy,Conv)</f>
        <v>-651</v>
      </c>
      <c r="K268" s="18">
        <f>_xll.ciqfunctions.udf.CIQ($C$2, "IQ_COMMON_REP",K$6,$F$2,,,Ccy,Conv)</f>
        <v>-736</v>
      </c>
      <c r="L268" s="18">
        <f>_xll.ciqfunctions.udf.CIQ($C$2, "IQ_COMMON_REP",L$6,$F$2,,,Ccy,Conv)</f>
        <v>-738</v>
      </c>
      <c r="M268" s="18">
        <f>_xll.ciqfunctions.udf.CIQ($C$2, "IQ_COMMON_REP",M$6,$F$2,,,Ccy,Conv)</f>
        <v>-963</v>
      </c>
      <c r="N268" s="18">
        <f>_xll.ciqfunctions.udf.CIQ($C$2, "IQ_COMMON_REP",N$6,$F$2,,,Ccy,Conv)</f>
        <v>-1018</v>
      </c>
      <c r="O268" s="18"/>
      <c r="P268" s="18">
        <f>_xll.ciqfunctions.udf.CIQ($C$2, "IQ_COMMON_REP",P$6,$F$2,,,Ccy,Conv)</f>
        <v>-1018</v>
      </c>
      <c r="Q268" s="215"/>
      <c r="R268" s="215"/>
      <c r="S268" s="215"/>
      <c r="T268" s="215"/>
      <c r="U268" s="215"/>
      <c r="V268" s="222"/>
      <c r="W268" s="222"/>
      <c r="X268" s="222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  <c r="AS268" s="215"/>
      <c r="AT268" s="215"/>
      <c r="AU268" s="215"/>
      <c r="AV268" s="215"/>
      <c r="AW268" s="215"/>
      <c r="AX268" s="215"/>
      <c r="AY268" s="215"/>
      <c r="AZ268" s="215"/>
      <c r="BA268" s="215"/>
      <c r="BB268" s="215"/>
      <c r="BC268" s="215"/>
      <c r="BD268" s="215"/>
      <c r="BE268" s="215"/>
      <c r="BF268" s="215"/>
      <c r="BG268" s="215"/>
      <c r="BH268" s="215"/>
      <c r="BI268" s="215"/>
      <c r="BJ268" s="215"/>
      <c r="BK268" s="215"/>
      <c r="BL268" s="215"/>
      <c r="BM268" s="215"/>
      <c r="BN268" s="215"/>
      <c r="BO268" s="215"/>
      <c r="BP268" s="215"/>
      <c r="BQ268" s="215"/>
      <c r="BR268" s="215"/>
      <c r="BS268" s="215"/>
      <c r="BT268" s="215"/>
      <c r="BU268" s="215"/>
      <c r="BV268" s="215"/>
      <c r="BW268" s="215"/>
      <c r="BX268" s="215"/>
      <c r="BY268" s="215"/>
      <c r="BZ268" s="215"/>
    </row>
    <row r="269" spans="1:78" x14ac:dyDescent="0.2">
      <c r="A269" s="2" t="str">
        <f>'Language Index'!A253</f>
        <v>Issuance of Pref. Stock</v>
      </c>
      <c r="B269" s="17"/>
      <c r="C269" s="17"/>
      <c r="D269" s="18">
        <f>_xll.ciqfunctions.udf.CIQ($C$2, "IQ_PREF_ISSUED",D$6,$F$2,,,Ccy,Conv)</f>
        <v>0</v>
      </c>
      <c r="E269" s="18">
        <f>_xll.ciqfunctions.udf.CIQ($C$2, "IQ_PREF_ISSUED",E$6,$F$2,,,Ccy,Conv)</f>
        <v>0</v>
      </c>
      <c r="F269" s="18">
        <f>_xll.ciqfunctions.udf.CIQ($C$2, "IQ_PREF_ISSUED",F$6,$F$2,,,Ccy,Conv)</f>
        <v>0</v>
      </c>
      <c r="G269" s="18">
        <f>_xll.ciqfunctions.udf.CIQ($C$2, "IQ_PREF_ISSUED",G$6,$F$2,,,Ccy,Conv)</f>
        <v>0</v>
      </c>
      <c r="H269" s="18">
        <f>_xll.ciqfunctions.udf.CIQ($C$2, "IQ_PREF_ISSUED",H$6,$F$2,,,Ccy,Conv)</f>
        <v>0</v>
      </c>
      <c r="I269" s="18">
        <f>_xll.ciqfunctions.udf.CIQ($C$2, "IQ_PREF_ISSUED",I$6,$F$2,,,Ccy,Conv)</f>
        <v>0</v>
      </c>
      <c r="J269" s="18">
        <f>_xll.ciqfunctions.udf.CIQ($C$2, "IQ_PREF_ISSUED",J$6,$F$2,,,Ccy,Conv)</f>
        <v>0</v>
      </c>
      <c r="K269" s="18">
        <f>_xll.ciqfunctions.udf.CIQ($C$2, "IQ_PREF_ISSUED",K$6,$F$2,,,Ccy,Conv)</f>
        <v>0</v>
      </c>
      <c r="L269" s="18">
        <f>_xll.ciqfunctions.udf.CIQ($C$2, "IQ_PREF_ISSUED",L$6,$F$2,,,Ccy,Conv)</f>
        <v>0</v>
      </c>
      <c r="M269" s="18">
        <f>_xll.ciqfunctions.udf.CIQ($C$2, "IQ_PREF_ISSUED",M$6,$F$2,,,Ccy,Conv)</f>
        <v>0</v>
      </c>
      <c r="N269" s="18">
        <f>_xll.ciqfunctions.udf.CIQ($C$2, "IQ_PREF_ISSUED",N$6,$F$2,,,Ccy,Conv)</f>
        <v>0</v>
      </c>
      <c r="O269" s="18"/>
      <c r="P269" s="18">
        <f>_xll.ciqfunctions.udf.CIQ($C$2, "IQ_PREF_ISSUED",P$6,$F$2,,,Ccy,Conv)</f>
        <v>0</v>
      </c>
      <c r="Q269" s="215"/>
      <c r="R269" s="215"/>
      <c r="S269" s="215"/>
      <c r="T269" s="215"/>
      <c r="U269" s="215"/>
      <c r="V269" s="222"/>
      <c r="W269" s="222"/>
      <c r="X269" s="222"/>
      <c r="Y269" s="215"/>
      <c r="Z269" s="215"/>
      <c r="AA269" s="215"/>
      <c r="AB269" s="215"/>
      <c r="AC269" s="215"/>
      <c r="AD269" s="215"/>
      <c r="AE269" s="215"/>
      <c r="AF269" s="215"/>
      <c r="AG269" s="215"/>
      <c r="AH269" s="215"/>
      <c r="AI269" s="215"/>
      <c r="AJ269" s="215"/>
      <c r="AK269" s="215"/>
      <c r="AL269" s="215"/>
      <c r="AM269" s="215"/>
      <c r="AN269" s="215"/>
      <c r="AO269" s="215"/>
      <c r="AP269" s="215"/>
      <c r="AQ269" s="215"/>
      <c r="AR269" s="215"/>
      <c r="AS269" s="215"/>
      <c r="AT269" s="215"/>
      <c r="AU269" s="215"/>
      <c r="AV269" s="215"/>
      <c r="AW269" s="215"/>
      <c r="AX269" s="215"/>
      <c r="AY269" s="215"/>
      <c r="AZ269" s="215"/>
      <c r="BA269" s="215"/>
      <c r="BB269" s="215"/>
      <c r="BC269" s="215"/>
      <c r="BD269" s="215"/>
      <c r="BE269" s="215"/>
      <c r="BF269" s="215"/>
      <c r="BG269" s="215"/>
      <c r="BH269" s="215"/>
      <c r="BI269" s="215"/>
      <c r="BJ269" s="215"/>
      <c r="BK269" s="215"/>
      <c r="BL269" s="215"/>
      <c r="BM269" s="215"/>
      <c r="BN269" s="215"/>
      <c r="BO269" s="215"/>
      <c r="BP269" s="215"/>
      <c r="BQ269" s="215"/>
      <c r="BR269" s="215"/>
      <c r="BS269" s="215"/>
      <c r="BT269" s="215"/>
      <c r="BU269" s="215"/>
      <c r="BV269" s="215"/>
      <c r="BW269" s="215"/>
      <c r="BX269" s="215"/>
      <c r="BY269" s="215"/>
      <c r="BZ269" s="215"/>
    </row>
    <row r="270" spans="1:78" x14ac:dyDescent="0.2">
      <c r="A270" s="2" t="str">
        <f>'Language Index'!A254</f>
        <v>Repurchase of Preferred</v>
      </c>
      <c r="B270" s="17"/>
      <c r="C270" s="17"/>
      <c r="D270" s="18">
        <f>_xll.ciqfunctions.udf.CIQ($C$2, "IQ_PREF_REP",D$6,$F$2,,,Ccy,Conv)</f>
        <v>0</v>
      </c>
      <c r="E270" s="18">
        <f>_xll.ciqfunctions.udf.CIQ($C$2, "IQ_PREF_REP",E$6,$F$2,,,Ccy,Conv)</f>
        <v>0</v>
      </c>
      <c r="F270" s="18">
        <f>_xll.ciqfunctions.udf.CIQ($C$2, "IQ_PREF_REP",F$6,$F$2,,,Ccy,Conv)</f>
        <v>0</v>
      </c>
      <c r="G270" s="18">
        <f>_xll.ciqfunctions.udf.CIQ($C$2, "IQ_PREF_REP",G$6,$F$2,,,Ccy,Conv)</f>
        <v>0</v>
      </c>
      <c r="H270" s="18">
        <f>_xll.ciqfunctions.udf.CIQ($C$2, "IQ_PREF_REP",H$6,$F$2,,,Ccy,Conv)</f>
        <v>0</v>
      </c>
      <c r="I270" s="18">
        <f>_xll.ciqfunctions.udf.CIQ($C$2, "IQ_PREF_REP",I$6,$F$2,,,Ccy,Conv)</f>
        <v>0</v>
      </c>
      <c r="J270" s="18">
        <f>_xll.ciqfunctions.udf.CIQ($C$2, "IQ_PREF_REP",J$6,$F$2,,,Ccy,Conv)</f>
        <v>0</v>
      </c>
      <c r="K270" s="18">
        <f>_xll.ciqfunctions.udf.CIQ($C$2, "IQ_PREF_REP",K$6,$F$2,,,Ccy,Conv)</f>
        <v>0</v>
      </c>
      <c r="L270" s="18">
        <f>_xll.ciqfunctions.udf.CIQ($C$2, "IQ_PREF_REP",L$6,$F$2,,,Ccy,Conv)</f>
        <v>0</v>
      </c>
      <c r="M270" s="18">
        <f>_xll.ciqfunctions.udf.CIQ($C$2, "IQ_PREF_REP",M$6,$F$2,,,Ccy,Conv)</f>
        <v>0</v>
      </c>
      <c r="N270" s="18">
        <f>_xll.ciqfunctions.udf.CIQ($C$2, "IQ_PREF_REP",N$6,$F$2,,,Ccy,Conv)</f>
        <v>0</v>
      </c>
      <c r="O270" s="18"/>
      <c r="P270" s="18">
        <f>_xll.ciqfunctions.udf.CIQ($C$2, "IQ_PREF_REP",P$6,$F$2,,,Ccy,Conv)</f>
        <v>0</v>
      </c>
      <c r="Q270" s="215"/>
      <c r="R270" s="215"/>
      <c r="S270" s="215"/>
      <c r="T270" s="215"/>
      <c r="U270" s="215"/>
      <c r="V270" s="222"/>
      <c r="W270" s="222"/>
      <c r="X270" s="222"/>
      <c r="Y270" s="215"/>
      <c r="Z270" s="215"/>
      <c r="AA270" s="215"/>
      <c r="AB270" s="215"/>
      <c r="AC270" s="215"/>
      <c r="AD270" s="215"/>
      <c r="AE270" s="215"/>
      <c r="AF270" s="215"/>
      <c r="AG270" s="215"/>
      <c r="AH270" s="215"/>
      <c r="AI270" s="215"/>
      <c r="AJ270" s="215"/>
      <c r="AK270" s="215"/>
      <c r="AL270" s="215"/>
      <c r="AM270" s="215"/>
      <c r="AN270" s="215"/>
      <c r="AO270" s="215"/>
      <c r="AP270" s="215"/>
      <c r="AQ270" s="215"/>
      <c r="AR270" s="215"/>
      <c r="AS270" s="215"/>
      <c r="AT270" s="215"/>
      <c r="AU270" s="215"/>
      <c r="AV270" s="215"/>
      <c r="AW270" s="215"/>
      <c r="AX270" s="215"/>
      <c r="AY270" s="215"/>
      <c r="AZ270" s="215"/>
      <c r="BA270" s="215"/>
      <c r="BB270" s="215"/>
      <c r="BC270" s="215"/>
      <c r="BD270" s="215"/>
      <c r="BE270" s="215"/>
      <c r="BF270" s="215"/>
      <c r="BG270" s="215"/>
      <c r="BH270" s="215"/>
      <c r="BI270" s="215"/>
      <c r="BJ270" s="215"/>
      <c r="BK270" s="215"/>
      <c r="BL270" s="215"/>
      <c r="BM270" s="215"/>
      <c r="BN270" s="215"/>
      <c r="BO270" s="215"/>
      <c r="BP270" s="215"/>
      <c r="BQ270" s="215"/>
      <c r="BR270" s="215"/>
      <c r="BS270" s="215"/>
      <c r="BT270" s="215"/>
      <c r="BU270" s="215"/>
      <c r="BV270" s="215"/>
      <c r="BW270" s="215"/>
      <c r="BX270" s="215"/>
      <c r="BY270" s="215"/>
      <c r="BZ270" s="215"/>
    </row>
    <row r="271" spans="1:78" x14ac:dyDescent="0.2">
      <c r="A271" s="2"/>
      <c r="B271" s="16"/>
      <c r="C271" s="16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215"/>
      <c r="R271" s="215"/>
      <c r="S271" s="215"/>
      <c r="T271" s="215"/>
      <c r="U271" s="215"/>
      <c r="V271" s="222"/>
      <c r="W271" s="222"/>
      <c r="X271" s="222"/>
      <c r="Y271" s="215"/>
      <c r="Z271" s="215"/>
      <c r="AA271" s="215"/>
      <c r="AB271" s="215"/>
      <c r="AC271" s="215"/>
      <c r="AD271" s="215"/>
      <c r="AE271" s="215"/>
      <c r="AF271" s="215"/>
      <c r="AG271" s="215"/>
      <c r="AH271" s="215"/>
      <c r="AI271" s="215"/>
      <c r="AJ271" s="215"/>
      <c r="AK271" s="215"/>
      <c r="AL271" s="215"/>
      <c r="AM271" s="215"/>
      <c r="AN271" s="215"/>
      <c r="AO271" s="215"/>
      <c r="AP271" s="215"/>
      <c r="AQ271" s="215"/>
      <c r="AR271" s="215"/>
      <c r="AS271" s="215"/>
      <c r="AT271" s="215"/>
      <c r="AU271" s="215"/>
      <c r="AV271" s="215"/>
      <c r="AW271" s="215"/>
      <c r="AX271" s="215"/>
      <c r="AY271" s="215"/>
      <c r="AZ271" s="215"/>
      <c r="BA271" s="215"/>
      <c r="BB271" s="215"/>
      <c r="BC271" s="215"/>
      <c r="BD271" s="215"/>
      <c r="BE271" s="215"/>
      <c r="BF271" s="215"/>
      <c r="BG271" s="215"/>
      <c r="BH271" s="215"/>
      <c r="BI271" s="215"/>
      <c r="BJ271" s="215"/>
      <c r="BK271" s="215"/>
      <c r="BL271" s="215"/>
      <c r="BM271" s="215"/>
      <c r="BN271" s="215"/>
      <c r="BO271" s="215"/>
      <c r="BP271" s="215"/>
      <c r="BQ271" s="215"/>
      <c r="BR271" s="215"/>
      <c r="BS271" s="215"/>
      <c r="BT271" s="215"/>
      <c r="BU271" s="215"/>
      <c r="BV271" s="215"/>
      <c r="BW271" s="215"/>
      <c r="BX271" s="215"/>
      <c r="BY271" s="215"/>
      <c r="BZ271" s="215"/>
    </row>
    <row r="272" spans="1:78" x14ac:dyDescent="0.2">
      <c r="A272" s="2" t="str">
        <f>'Language Index'!A255</f>
        <v>Common Dividends Paid</v>
      </c>
      <c r="B272" s="17"/>
      <c r="C272" s="17"/>
      <c r="D272" s="18">
        <f>_xll.ciqfunctions.udf.CIQ($C$2, "IQ_COMMON_DIV_CF",D$6,$F$2,,,Ccy,Conv)</f>
        <v>-5992</v>
      </c>
      <c r="E272" s="18">
        <f>_xll.ciqfunctions.udf.CIQ($C$2, "IQ_COMMON_DIV_CF",E$6,$F$2,,,Ccy,Conv)</f>
        <v>-6016</v>
      </c>
      <c r="F272" s="18">
        <f>_xll.ciqfunctions.udf.CIQ($C$2, "IQ_COMMON_DIV_CF",F$6,$F$2,,,Ccy,Conv)</f>
        <v>-6040</v>
      </c>
      <c r="G272" s="18">
        <f>_xll.ciqfunctions.udf.CIQ($C$2, "IQ_COMMON_DIV_CF",G$6,$F$2,,,Ccy,Conv)</f>
        <v>-6065</v>
      </c>
      <c r="H272" s="18">
        <f>_xll.ciqfunctions.udf.CIQ($C$2, "IQ_COMMON_DIV_CF",H$6,$F$2,,,Ccy,Conv)</f>
        <v>-6091</v>
      </c>
      <c r="I272" s="18">
        <f>_xll.ciqfunctions.udf.CIQ($C$2, "IQ_COMMON_DIV_CF",I$6,$F$2,,,Ccy,Conv)</f>
        <v>-6119</v>
      </c>
      <c r="J272" s="18">
        <f>_xll.ciqfunctions.udf.CIQ($C$2, "IQ_COMMON_DIV_CF",J$6,$F$2,,,Ccy,Conv)</f>
        <v>-6147</v>
      </c>
      <c r="K272" s="18">
        <f>_xll.ciqfunctions.udf.CIQ($C$2, "IQ_COMMON_DIV_CF",K$6,$F$2,,,Ccy,Conv)</f>
        <v>-6174</v>
      </c>
      <c r="L272" s="18">
        <f>_xll.ciqfunctions.udf.CIQ($C$2, "IQ_COMMON_DIV_CF",L$6,$F$2,,,Ccy,Conv)</f>
        <v>-6201</v>
      </c>
      <c r="M272" s="18">
        <f>_xll.ciqfunctions.udf.CIQ($C$2, "IQ_COMMON_DIV_CF",M$6,$F$2,,,Ccy,Conv)</f>
        <v>-6227</v>
      </c>
      <c r="N272" s="18">
        <f>_xll.ciqfunctions.udf.CIQ($C$2, "IQ_COMMON_DIV_CF",N$6,$F$2,,,Ccy,Conv)</f>
        <v>-6255</v>
      </c>
      <c r="O272" s="18"/>
      <c r="P272" s="18">
        <f>_xll.ciqfunctions.udf.CIQ($C$2, "IQ_COMMON_DIV_CF",P$6,$F$2,,,Ccy,Conv)</f>
        <v>-6255</v>
      </c>
      <c r="Q272" s="215"/>
      <c r="R272" s="215"/>
      <c r="S272" s="215"/>
      <c r="T272" s="215"/>
      <c r="U272" s="215"/>
      <c r="V272" s="222"/>
      <c r="W272" s="222"/>
      <c r="X272" s="222"/>
      <c r="Y272" s="215"/>
      <c r="Z272" s="215"/>
      <c r="AA272" s="215"/>
      <c r="AB272" s="215"/>
      <c r="AC272" s="215"/>
      <c r="AD272" s="215"/>
      <c r="AE272" s="215"/>
      <c r="AF272" s="215"/>
      <c r="AG272" s="215"/>
      <c r="AH272" s="215"/>
      <c r="AI272" s="215"/>
      <c r="AJ272" s="215"/>
      <c r="AK272" s="215"/>
      <c r="AL272" s="215"/>
      <c r="AM272" s="215"/>
      <c r="AN272" s="215"/>
      <c r="AO272" s="215"/>
      <c r="AP272" s="215"/>
      <c r="AQ272" s="215"/>
      <c r="AR272" s="215"/>
      <c r="AS272" s="215"/>
      <c r="AT272" s="215"/>
      <c r="AU272" s="215"/>
      <c r="AV272" s="215"/>
      <c r="AW272" s="215"/>
      <c r="AX272" s="215"/>
      <c r="AY272" s="215"/>
      <c r="AZ272" s="215"/>
      <c r="BA272" s="215"/>
      <c r="BB272" s="215"/>
      <c r="BC272" s="215"/>
      <c r="BD272" s="215"/>
      <c r="BE272" s="215"/>
      <c r="BF272" s="215"/>
      <c r="BG272" s="215"/>
      <c r="BH272" s="215"/>
      <c r="BI272" s="215"/>
      <c r="BJ272" s="215"/>
      <c r="BK272" s="215"/>
      <c r="BL272" s="215"/>
      <c r="BM272" s="215"/>
      <c r="BN272" s="215"/>
      <c r="BO272" s="215"/>
      <c r="BP272" s="215"/>
      <c r="BQ272" s="215"/>
      <c r="BR272" s="215"/>
      <c r="BS272" s="215"/>
      <c r="BT272" s="215"/>
      <c r="BU272" s="215"/>
      <c r="BV272" s="215"/>
      <c r="BW272" s="215"/>
      <c r="BX272" s="215"/>
      <c r="BY272" s="215"/>
      <c r="BZ272" s="215"/>
    </row>
    <row r="273" spans="1:78" x14ac:dyDescent="0.2">
      <c r="A273" s="2" t="str">
        <f>'Language Index'!A256</f>
        <v>Pref. Dividends Paid</v>
      </c>
      <c r="B273" s="17"/>
      <c r="C273" s="17"/>
      <c r="D273" s="18">
        <f>_xll.ciqfunctions.udf.CIQ($C$2, "IQ_PREF_DIV_CF",D$6,$F$2,,,Ccy,Conv)</f>
        <v>0</v>
      </c>
      <c r="E273" s="18">
        <f>_xll.ciqfunctions.udf.CIQ($C$2, "IQ_PREF_DIV_CF",E$6,$F$2,,,Ccy,Conv)</f>
        <v>0</v>
      </c>
      <c r="F273" s="18">
        <f>_xll.ciqfunctions.udf.CIQ($C$2, "IQ_PREF_DIV_CF",F$6,$F$2,,,Ccy,Conv)</f>
        <v>0</v>
      </c>
      <c r="G273" s="18">
        <f>_xll.ciqfunctions.udf.CIQ($C$2, "IQ_PREF_DIV_CF",G$6,$F$2,,,Ccy,Conv)</f>
        <v>0</v>
      </c>
      <c r="H273" s="18">
        <f>_xll.ciqfunctions.udf.CIQ($C$2, "IQ_PREF_DIV_CF",H$6,$F$2,,,Ccy,Conv)</f>
        <v>0</v>
      </c>
      <c r="I273" s="18">
        <f>_xll.ciqfunctions.udf.CIQ($C$2, "IQ_PREF_DIV_CF",I$6,$F$2,,,Ccy,Conv)</f>
        <v>0</v>
      </c>
      <c r="J273" s="18">
        <f>_xll.ciqfunctions.udf.CIQ($C$2, "IQ_PREF_DIV_CF",J$6,$F$2,,,Ccy,Conv)</f>
        <v>0</v>
      </c>
      <c r="K273" s="18">
        <f>_xll.ciqfunctions.udf.CIQ($C$2, "IQ_PREF_DIV_CF",K$6,$F$2,,,Ccy,Conv)</f>
        <v>0</v>
      </c>
      <c r="L273" s="18">
        <f>_xll.ciqfunctions.udf.CIQ($C$2, "IQ_PREF_DIV_CF",L$6,$F$2,,,Ccy,Conv)</f>
        <v>0</v>
      </c>
      <c r="M273" s="18">
        <f>_xll.ciqfunctions.udf.CIQ($C$2, "IQ_PREF_DIV_CF",M$6,$F$2,,,Ccy,Conv)</f>
        <v>0</v>
      </c>
      <c r="N273" s="18">
        <f>_xll.ciqfunctions.udf.CIQ($C$2, "IQ_PREF_DIV_CF",N$6,$F$2,,,Ccy,Conv)</f>
        <v>0</v>
      </c>
      <c r="O273" s="18"/>
      <c r="P273" s="18">
        <f>_xll.ciqfunctions.udf.CIQ($C$2, "IQ_PREF_DIV_CF",P$6,$F$2,,,Ccy,Conv)</f>
        <v>0</v>
      </c>
      <c r="Q273" s="215"/>
      <c r="R273" s="215"/>
      <c r="S273" s="215"/>
      <c r="T273" s="215"/>
      <c r="U273" s="215"/>
      <c r="V273" s="222"/>
      <c r="W273" s="222"/>
      <c r="X273" s="222"/>
      <c r="Y273" s="215"/>
      <c r="Z273" s="215"/>
      <c r="AA273" s="215"/>
      <c r="AB273" s="215"/>
      <c r="AC273" s="215"/>
      <c r="AD273" s="215"/>
      <c r="AE273" s="215"/>
      <c r="AF273" s="215"/>
      <c r="AG273" s="215"/>
      <c r="AH273" s="215"/>
      <c r="AI273" s="215"/>
      <c r="AJ273" s="215"/>
      <c r="AK273" s="215"/>
      <c r="AL273" s="215"/>
      <c r="AM273" s="215"/>
      <c r="AN273" s="215"/>
      <c r="AO273" s="215"/>
      <c r="AP273" s="215"/>
      <c r="AQ273" s="215"/>
      <c r="AR273" s="215"/>
      <c r="AS273" s="215"/>
      <c r="AT273" s="215"/>
      <c r="AU273" s="215"/>
      <c r="AV273" s="215"/>
      <c r="AW273" s="215"/>
      <c r="AX273" s="215"/>
      <c r="AY273" s="215"/>
      <c r="AZ273" s="215"/>
      <c r="BA273" s="215"/>
      <c r="BB273" s="215"/>
      <c r="BC273" s="215"/>
      <c r="BD273" s="215"/>
      <c r="BE273" s="215"/>
      <c r="BF273" s="215"/>
      <c r="BG273" s="215"/>
      <c r="BH273" s="215"/>
      <c r="BI273" s="215"/>
      <c r="BJ273" s="215"/>
      <c r="BK273" s="215"/>
      <c r="BL273" s="215"/>
      <c r="BM273" s="215"/>
      <c r="BN273" s="215"/>
      <c r="BO273" s="215"/>
      <c r="BP273" s="215"/>
      <c r="BQ273" s="215"/>
      <c r="BR273" s="215"/>
      <c r="BS273" s="215"/>
      <c r="BT273" s="215"/>
      <c r="BU273" s="215"/>
      <c r="BV273" s="215"/>
      <c r="BW273" s="215"/>
      <c r="BX273" s="215"/>
      <c r="BY273" s="215"/>
      <c r="BZ273" s="215"/>
    </row>
    <row r="274" spans="1:78" x14ac:dyDescent="0.2">
      <c r="A274" s="2" t="str">
        <f>'Language Index'!A257</f>
        <v>Common and/or Pref. Dividends Paid</v>
      </c>
      <c r="B274" s="17"/>
      <c r="C274" s="17"/>
      <c r="D274" s="18">
        <f>_xll.ciqfunctions.udf.CIQ($C$2, "IQ_COMMON_PREF_DIV_CF",D$6,$F$2,,,Ccy,Conv)</f>
        <v>0</v>
      </c>
      <c r="E274" s="18">
        <f>_xll.ciqfunctions.udf.CIQ($C$2, "IQ_COMMON_PREF_DIV_CF",E$6,$F$2,,,Ccy,Conv)</f>
        <v>0</v>
      </c>
      <c r="F274" s="18">
        <f>_xll.ciqfunctions.udf.CIQ($C$2, "IQ_COMMON_PREF_DIV_CF",F$6,$F$2,,,Ccy,Conv)</f>
        <v>0</v>
      </c>
      <c r="G274" s="18">
        <f>_xll.ciqfunctions.udf.CIQ($C$2, "IQ_COMMON_PREF_DIV_CF",G$6,$F$2,,,Ccy,Conv)</f>
        <v>0</v>
      </c>
      <c r="H274" s="18">
        <f>_xll.ciqfunctions.udf.CIQ($C$2, "IQ_COMMON_PREF_DIV_CF",H$6,$F$2,,,Ccy,Conv)</f>
        <v>0</v>
      </c>
      <c r="I274" s="18">
        <f>_xll.ciqfunctions.udf.CIQ($C$2, "IQ_COMMON_PREF_DIV_CF",I$6,$F$2,,,Ccy,Conv)</f>
        <v>0</v>
      </c>
      <c r="J274" s="18">
        <f>_xll.ciqfunctions.udf.CIQ($C$2, "IQ_COMMON_PREF_DIV_CF",J$6,$F$2,,,Ccy,Conv)</f>
        <v>0</v>
      </c>
      <c r="K274" s="18">
        <f>_xll.ciqfunctions.udf.CIQ($C$2, "IQ_COMMON_PREF_DIV_CF",K$6,$F$2,,,Ccy,Conv)</f>
        <v>0</v>
      </c>
      <c r="L274" s="18">
        <f>_xll.ciqfunctions.udf.CIQ($C$2, "IQ_COMMON_PREF_DIV_CF",L$6,$F$2,,,Ccy,Conv)</f>
        <v>0</v>
      </c>
      <c r="M274" s="18">
        <f>_xll.ciqfunctions.udf.CIQ($C$2, "IQ_COMMON_PREF_DIV_CF",M$6,$F$2,,,Ccy,Conv)</f>
        <v>0</v>
      </c>
      <c r="N274" s="18">
        <f>_xll.ciqfunctions.udf.CIQ($C$2, "IQ_COMMON_PREF_DIV_CF",N$6,$F$2,,,Ccy,Conv)</f>
        <v>0</v>
      </c>
      <c r="O274" s="18"/>
      <c r="P274" s="18">
        <f>_xll.ciqfunctions.udf.CIQ($C$2, "IQ_COMMON_PREF_DIV_CF",P$6,$F$2,,,Ccy,Conv)</f>
        <v>0</v>
      </c>
      <c r="Q274" s="215"/>
      <c r="R274" s="215"/>
      <c r="S274" s="215"/>
      <c r="T274" s="215"/>
      <c r="U274" s="215"/>
      <c r="V274" s="222"/>
      <c r="W274" s="222"/>
      <c r="X274" s="222"/>
      <c r="Y274" s="215"/>
      <c r="Z274" s="215"/>
      <c r="AA274" s="215"/>
      <c r="AB274" s="215"/>
      <c r="AC274" s="215"/>
      <c r="AD274" s="215"/>
      <c r="AE274" s="215"/>
      <c r="AF274" s="215"/>
      <c r="AG274" s="215"/>
      <c r="AH274" s="215"/>
      <c r="AI274" s="215"/>
      <c r="AJ274" s="215"/>
      <c r="AK274" s="215"/>
      <c r="AL274" s="215"/>
      <c r="AM274" s="215"/>
      <c r="AN274" s="215"/>
      <c r="AO274" s="215"/>
      <c r="AP274" s="215"/>
      <c r="AQ274" s="215"/>
      <c r="AR274" s="215"/>
      <c r="AS274" s="215"/>
      <c r="AT274" s="215"/>
      <c r="AU274" s="215"/>
      <c r="AV274" s="215"/>
      <c r="AW274" s="215"/>
      <c r="AX274" s="215"/>
      <c r="AY274" s="215"/>
      <c r="AZ274" s="215"/>
      <c r="BA274" s="215"/>
      <c r="BB274" s="215"/>
      <c r="BC274" s="215"/>
      <c r="BD274" s="215"/>
      <c r="BE274" s="215"/>
      <c r="BF274" s="215"/>
      <c r="BG274" s="215"/>
      <c r="BH274" s="215"/>
      <c r="BI274" s="215"/>
      <c r="BJ274" s="215"/>
      <c r="BK274" s="215"/>
      <c r="BL274" s="215"/>
      <c r="BM274" s="215"/>
      <c r="BN274" s="215"/>
      <c r="BO274" s="215"/>
      <c r="BP274" s="215"/>
      <c r="BQ274" s="215"/>
      <c r="BR274" s="215"/>
      <c r="BS274" s="215"/>
      <c r="BT274" s="215"/>
      <c r="BU274" s="215"/>
      <c r="BV274" s="215"/>
      <c r="BW274" s="215"/>
      <c r="BX274" s="215"/>
      <c r="BY274" s="215"/>
      <c r="BZ274" s="215"/>
    </row>
    <row r="275" spans="1:78" x14ac:dyDescent="0.2">
      <c r="A275" s="2" t="str">
        <f>'Language Index'!A258</f>
        <v>Total Dividends Paid</v>
      </c>
      <c r="B275" s="20"/>
      <c r="C275" s="20"/>
      <c r="D275" s="21">
        <f>_xll.ciqfunctions.udf.CIQ($C$2, "IQ_TOTAL_DIV_PAID_CF",D$6,$F$2,,,Ccy,Conv)</f>
        <v>-5992</v>
      </c>
      <c r="E275" s="21">
        <f>_xll.ciqfunctions.udf.CIQ($C$2, "IQ_TOTAL_DIV_PAID_CF",E$6,$F$2,,,Ccy,Conv)</f>
        <v>-6016</v>
      </c>
      <c r="F275" s="21">
        <f>_xll.ciqfunctions.udf.CIQ($C$2, "IQ_TOTAL_DIV_PAID_CF",F$6,$F$2,,,Ccy,Conv)</f>
        <v>-6040</v>
      </c>
      <c r="G275" s="21">
        <f>_xll.ciqfunctions.udf.CIQ($C$2, "IQ_TOTAL_DIV_PAID_CF",G$6,$F$2,,,Ccy,Conv)</f>
        <v>-6065</v>
      </c>
      <c r="H275" s="21">
        <f>_xll.ciqfunctions.udf.CIQ($C$2, "IQ_TOTAL_DIV_PAID_CF",H$6,$F$2,,,Ccy,Conv)</f>
        <v>-6091</v>
      </c>
      <c r="I275" s="21">
        <f>_xll.ciqfunctions.udf.CIQ($C$2, "IQ_TOTAL_DIV_PAID_CF",I$6,$F$2,,,Ccy,Conv)</f>
        <v>-6119</v>
      </c>
      <c r="J275" s="21">
        <f>_xll.ciqfunctions.udf.CIQ($C$2, "IQ_TOTAL_DIV_PAID_CF",J$6,$F$2,,,Ccy,Conv)</f>
        <v>-6147</v>
      </c>
      <c r="K275" s="21">
        <f>_xll.ciqfunctions.udf.CIQ($C$2, "IQ_TOTAL_DIV_PAID_CF",K$6,$F$2,,,Ccy,Conv)</f>
        <v>-6174</v>
      </c>
      <c r="L275" s="21">
        <f>_xll.ciqfunctions.udf.CIQ($C$2, "IQ_TOTAL_DIV_PAID_CF",L$6,$F$2,,,Ccy,Conv)</f>
        <v>-6201</v>
      </c>
      <c r="M275" s="21">
        <f>_xll.ciqfunctions.udf.CIQ($C$2, "IQ_TOTAL_DIV_PAID_CF",M$6,$F$2,,,Ccy,Conv)</f>
        <v>-6227</v>
      </c>
      <c r="N275" s="21">
        <f>_xll.ciqfunctions.udf.CIQ($C$2, "IQ_TOTAL_DIV_PAID_CF",N$6,$F$2,,,Ccy,Conv)</f>
        <v>-6255</v>
      </c>
      <c r="O275" s="22"/>
      <c r="P275" s="21">
        <f>_xll.ciqfunctions.udf.CIQ($C$2, "IQ_TOTAL_DIV_PAID_CF",P$6,$F$2,,,Ccy,Conv)</f>
        <v>-6255</v>
      </c>
      <c r="Q275" s="215"/>
      <c r="R275" s="215"/>
      <c r="S275" s="215"/>
      <c r="T275" s="215"/>
      <c r="U275" s="215"/>
      <c r="V275" s="222"/>
      <c r="W275" s="222"/>
      <c r="X275" s="222"/>
      <c r="Y275" s="215"/>
      <c r="Z275" s="215"/>
      <c r="AA275" s="215"/>
      <c r="AB275" s="215"/>
      <c r="AC275" s="215"/>
      <c r="AD275" s="215"/>
      <c r="AE275" s="215"/>
      <c r="AF275" s="215"/>
      <c r="AG275" s="215"/>
      <c r="AH275" s="215"/>
      <c r="AI275" s="215"/>
      <c r="AJ275" s="215"/>
      <c r="AK275" s="215"/>
      <c r="AL275" s="215"/>
      <c r="AM275" s="215"/>
      <c r="AN275" s="215"/>
      <c r="AO275" s="215"/>
      <c r="AP275" s="215"/>
      <c r="AQ275" s="215"/>
      <c r="AR275" s="215"/>
      <c r="AS275" s="215"/>
      <c r="AT275" s="215"/>
      <c r="AU275" s="215"/>
      <c r="AV275" s="215"/>
      <c r="AW275" s="215"/>
      <c r="AX275" s="215"/>
      <c r="AY275" s="215"/>
      <c r="AZ275" s="215"/>
      <c r="BA275" s="215"/>
      <c r="BB275" s="215"/>
      <c r="BC275" s="215"/>
      <c r="BD275" s="215"/>
      <c r="BE275" s="215"/>
      <c r="BF275" s="215"/>
      <c r="BG275" s="215"/>
      <c r="BH275" s="215"/>
      <c r="BI275" s="215"/>
      <c r="BJ275" s="215"/>
      <c r="BK275" s="215"/>
      <c r="BL275" s="215"/>
      <c r="BM275" s="215"/>
      <c r="BN275" s="215"/>
      <c r="BO275" s="215"/>
      <c r="BP275" s="215"/>
      <c r="BQ275" s="215"/>
      <c r="BR275" s="215"/>
      <c r="BS275" s="215"/>
      <c r="BT275" s="215"/>
      <c r="BU275" s="215"/>
      <c r="BV275" s="215"/>
      <c r="BW275" s="215"/>
      <c r="BX275" s="215"/>
      <c r="BY275" s="215"/>
      <c r="BZ275" s="215"/>
    </row>
    <row r="276" spans="1:78" x14ac:dyDescent="0.2">
      <c r="A276" s="16"/>
      <c r="B276" s="16"/>
      <c r="C276" s="1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215"/>
      <c r="R276" s="215"/>
      <c r="S276" s="215"/>
      <c r="T276" s="215"/>
      <c r="U276" s="215"/>
      <c r="V276" s="222"/>
      <c r="W276" s="222"/>
      <c r="X276" s="222"/>
      <c r="Y276" s="215"/>
      <c r="Z276" s="215"/>
      <c r="AA276" s="215"/>
      <c r="AB276" s="215"/>
      <c r="AC276" s="215"/>
      <c r="AD276" s="215"/>
      <c r="AE276" s="215"/>
      <c r="AF276" s="215"/>
      <c r="AG276" s="215"/>
      <c r="AH276" s="215"/>
      <c r="AI276" s="215"/>
      <c r="AJ276" s="215"/>
      <c r="AK276" s="215"/>
      <c r="AL276" s="215"/>
      <c r="AM276" s="215"/>
      <c r="AN276" s="215"/>
      <c r="AO276" s="215"/>
      <c r="AP276" s="215"/>
      <c r="AQ276" s="215"/>
      <c r="AR276" s="215"/>
      <c r="AS276" s="215"/>
      <c r="AT276" s="215"/>
      <c r="AU276" s="215"/>
      <c r="AV276" s="215"/>
      <c r="AW276" s="215"/>
      <c r="AX276" s="215"/>
      <c r="AY276" s="215"/>
      <c r="AZ276" s="215"/>
      <c r="BA276" s="215"/>
      <c r="BB276" s="215"/>
      <c r="BC276" s="215"/>
      <c r="BD276" s="215"/>
      <c r="BE276" s="215"/>
      <c r="BF276" s="215"/>
      <c r="BG276" s="215"/>
      <c r="BH276" s="215"/>
      <c r="BI276" s="215"/>
      <c r="BJ276" s="215"/>
      <c r="BK276" s="215"/>
      <c r="BL276" s="215"/>
      <c r="BM276" s="215"/>
      <c r="BN276" s="215"/>
      <c r="BO276" s="215"/>
      <c r="BP276" s="215"/>
      <c r="BQ276" s="215"/>
      <c r="BR276" s="215"/>
      <c r="BS276" s="215"/>
      <c r="BT276" s="215"/>
      <c r="BU276" s="215"/>
      <c r="BV276" s="215"/>
      <c r="BW276" s="215"/>
      <c r="BX276" s="215"/>
      <c r="BY276" s="215"/>
      <c r="BZ276" s="215"/>
    </row>
    <row r="277" spans="1:78" x14ac:dyDescent="0.2">
      <c r="A277" s="2" t="str">
        <f>'Language Index'!A259</f>
        <v>Special Dividend Paid</v>
      </c>
      <c r="B277" s="17"/>
      <c r="C277" s="17"/>
      <c r="D277" s="18">
        <f>_xll.ciqfunctions.udf.CIQ($C$2, "IQ_SPECIAL_DIV_CF",D$6,$F$2,,,Ccy,Conv)</f>
        <v>0</v>
      </c>
      <c r="E277" s="18">
        <f>_xll.ciqfunctions.udf.CIQ($C$2, "IQ_SPECIAL_DIV_CF",E$6,$F$2,,,Ccy,Conv)</f>
        <v>0</v>
      </c>
      <c r="F277" s="18">
        <f>_xll.ciqfunctions.udf.CIQ($C$2, "IQ_SPECIAL_DIV_CF",F$6,$F$2,,,Ccy,Conv)</f>
        <v>0</v>
      </c>
      <c r="G277" s="18">
        <f>_xll.ciqfunctions.udf.CIQ($C$2, "IQ_SPECIAL_DIV_CF",G$6,$F$2,,,Ccy,Conv)</f>
        <v>0</v>
      </c>
      <c r="H277" s="18">
        <f>_xll.ciqfunctions.udf.CIQ($C$2, "IQ_SPECIAL_DIV_CF",H$6,$F$2,,,Ccy,Conv)</f>
        <v>0</v>
      </c>
      <c r="I277" s="18">
        <f>_xll.ciqfunctions.udf.CIQ($C$2, "IQ_SPECIAL_DIV_CF",I$6,$F$2,,,Ccy,Conv)</f>
        <v>0</v>
      </c>
      <c r="J277" s="18">
        <f>_xll.ciqfunctions.udf.CIQ($C$2, "IQ_SPECIAL_DIV_CF",J$6,$F$2,,,Ccy,Conv)</f>
        <v>0</v>
      </c>
      <c r="K277" s="18">
        <f>_xll.ciqfunctions.udf.CIQ($C$2, "IQ_SPECIAL_DIV_CF",K$6,$F$2,,,Ccy,Conv)</f>
        <v>0</v>
      </c>
      <c r="L277" s="18">
        <f>_xll.ciqfunctions.udf.CIQ($C$2, "IQ_SPECIAL_DIV_CF",L$6,$F$2,,,Ccy,Conv)</f>
        <v>0</v>
      </c>
      <c r="M277" s="18">
        <f>_xll.ciqfunctions.udf.CIQ($C$2, "IQ_SPECIAL_DIV_CF",M$6,$F$2,,,Ccy,Conv)</f>
        <v>0</v>
      </c>
      <c r="N277" s="18">
        <f>_xll.ciqfunctions.udf.CIQ($C$2, "IQ_SPECIAL_DIV_CF",N$6,$F$2,,,Ccy,Conv)</f>
        <v>0</v>
      </c>
      <c r="O277" s="18"/>
      <c r="P277" s="18">
        <f>_xll.ciqfunctions.udf.CIQ($C$2, "IQ_SPECIAL_DIV_CF",P$6,$F$2,,,Ccy,Conv)</f>
        <v>0</v>
      </c>
      <c r="Q277" s="215"/>
      <c r="R277" s="215"/>
      <c r="S277" s="215"/>
      <c r="T277" s="215"/>
      <c r="U277" s="215"/>
      <c r="V277" s="240"/>
      <c r="W277" s="240"/>
      <c r="X277" s="222"/>
      <c r="Y277" s="215"/>
      <c r="Z277" s="215"/>
      <c r="AA277" s="215"/>
      <c r="AB277" s="215"/>
      <c r="AC277" s="215"/>
      <c r="AD277" s="215"/>
      <c r="AE277" s="215"/>
      <c r="AF277" s="215"/>
      <c r="AG277" s="215"/>
      <c r="AH277" s="215"/>
      <c r="AI277" s="215"/>
      <c r="AJ277" s="215"/>
      <c r="AK277" s="215"/>
      <c r="AL277" s="215"/>
      <c r="AM277" s="215"/>
      <c r="AN277" s="215"/>
      <c r="AO277" s="215"/>
      <c r="AP277" s="215"/>
      <c r="AQ277" s="215"/>
      <c r="AR277" s="215"/>
      <c r="AS277" s="215"/>
      <c r="AT277" s="215"/>
      <c r="AU277" s="215"/>
      <c r="AV277" s="215"/>
      <c r="AW277" s="215"/>
      <c r="AX277" s="215"/>
      <c r="AY277" s="215"/>
      <c r="AZ277" s="215"/>
      <c r="BA277" s="215"/>
      <c r="BB277" s="215"/>
      <c r="BC277" s="215"/>
      <c r="BD277" s="215"/>
      <c r="BE277" s="215"/>
      <c r="BF277" s="215"/>
      <c r="BG277" s="215"/>
      <c r="BH277" s="215"/>
      <c r="BI277" s="215"/>
      <c r="BJ277" s="215"/>
      <c r="BK277" s="215"/>
      <c r="BL277" s="215"/>
      <c r="BM277" s="215"/>
      <c r="BN277" s="215"/>
      <c r="BO277" s="215"/>
      <c r="BP277" s="215"/>
      <c r="BQ277" s="215"/>
      <c r="BR277" s="215"/>
      <c r="BS277" s="215"/>
      <c r="BT277" s="215"/>
      <c r="BU277" s="215"/>
      <c r="BV277" s="215"/>
      <c r="BW277" s="215"/>
      <c r="BX277" s="215"/>
      <c r="BY277" s="215"/>
      <c r="BZ277" s="215"/>
    </row>
    <row r="278" spans="1:78" x14ac:dyDescent="0.2">
      <c r="A278" s="2" t="str">
        <f>'Language Index'!A260</f>
        <v>Other Financing Activities</v>
      </c>
      <c r="B278" s="17"/>
      <c r="C278" s="17"/>
      <c r="D278" s="18">
        <f>_xll.ciqfunctions.udf.CIQ($C$2, "IQ_OTHER_FINANCE_ACT_SUPPL",D$6,$F$2,,,Ccy,Conv)</f>
        <v>207</v>
      </c>
      <c r="E278" s="18">
        <f>_xll.ciqfunctions.udf.CIQ($C$2, "IQ_OTHER_FINANCE_ACT_SUPPL",E$6,$F$2,,,Ccy,Conv)</f>
        <v>158</v>
      </c>
      <c r="F278" s="18">
        <f>_xll.ciqfunctions.udf.CIQ($C$2, "IQ_OTHER_FINANCE_ACT_SUPPL",F$6,$F$2,,,Ccy,Conv)</f>
        <v>-238</v>
      </c>
      <c r="G278" s="18">
        <f>_xll.ciqfunctions.udf.CIQ($C$2, "IQ_OTHER_FINANCE_ACT_SUPPL",G$6,$F$2,,,Ccy,Conv)</f>
        <v>-278</v>
      </c>
      <c r="H278" s="18">
        <f>_xll.ciqfunctions.udf.CIQ($C$2, "IQ_OTHER_FINANCE_ACT_SUPPL",H$6,$F$2,,,Ccy,Conv)</f>
        <v>-390</v>
      </c>
      <c r="I278" s="18">
        <f>_xll.ciqfunctions.udf.CIQ($C$2, "IQ_OTHER_FINANCE_ACT_SUPPL",I$6,$F$2,,,Ccy,Conv)</f>
        <v>-448</v>
      </c>
      <c r="J278" s="18">
        <f>_xll.ciqfunctions.udf.CIQ($C$2, "IQ_OTHER_FINANCE_ACT_SUPPL",J$6,$F$2,,,Ccy,Conv)</f>
        <v>-146</v>
      </c>
      <c r="K278" s="18">
        <f>_xll.ciqfunctions.udf.CIQ($C$2, "IQ_OTHER_FINANCE_ACT_SUPPL",K$6,$F$2,,,Ccy,Conv)</f>
        <v>-135</v>
      </c>
      <c r="L278" s="18">
        <f>_xll.ciqfunctions.udf.CIQ($C$2, "IQ_OTHER_FINANCE_ACT_SUPPL",L$6,$F$2,,,Ccy,Conv)</f>
        <v>-104</v>
      </c>
      <c r="M278" s="18">
        <f>_xll.ciqfunctions.udf.CIQ($C$2, "IQ_OTHER_FINANCE_ACT_SUPPL",M$6,$F$2,,,Ccy,Conv)</f>
        <v>-132</v>
      </c>
      <c r="N278" s="18">
        <f>_xll.ciqfunctions.udf.CIQ($C$2, "IQ_OTHER_FINANCE_ACT_SUPPL",N$6,$F$2,,,Ccy,Conv)</f>
        <v>-139</v>
      </c>
      <c r="O278" s="18"/>
      <c r="P278" s="18">
        <f>_xll.ciqfunctions.udf.CIQ($C$2, "IQ_OTHER_FINANCE_ACT_SUPPL",P$6,$F$2,,,Ccy,Conv)</f>
        <v>-139</v>
      </c>
      <c r="Q278" s="215"/>
      <c r="R278" s="215"/>
      <c r="S278" s="215"/>
      <c r="T278" s="215"/>
      <c r="U278" s="215"/>
      <c r="V278" s="222"/>
      <c r="W278" s="222"/>
      <c r="X278" s="222"/>
      <c r="Y278" s="215"/>
      <c r="Z278" s="215"/>
      <c r="AA278" s="215"/>
      <c r="AB278" s="215"/>
      <c r="AC278" s="215"/>
      <c r="AD278" s="215"/>
      <c r="AE278" s="215"/>
      <c r="AF278" s="215"/>
      <c r="AG278" s="215"/>
      <c r="AH278" s="215"/>
      <c r="AI278" s="215"/>
      <c r="AJ278" s="215"/>
      <c r="AK278" s="215"/>
      <c r="AL278" s="215"/>
      <c r="AM278" s="215"/>
      <c r="AN278" s="215"/>
      <c r="AO278" s="215"/>
      <c r="AP278" s="215"/>
      <c r="AQ278" s="215"/>
      <c r="AR278" s="215"/>
      <c r="AS278" s="215"/>
      <c r="AT278" s="215"/>
      <c r="AU278" s="215"/>
      <c r="AV278" s="215"/>
      <c r="AW278" s="215"/>
      <c r="AX278" s="215"/>
      <c r="AY278" s="215"/>
      <c r="AZ278" s="215"/>
      <c r="BA278" s="215"/>
      <c r="BB278" s="215"/>
      <c r="BC278" s="215"/>
      <c r="BD278" s="215"/>
      <c r="BE278" s="215"/>
      <c r="BF278" s="215"/>
      <c r="BG278" s="215"/>
      <c r="BH278" s="215"/>
      <c r="BI278" s="215"/>
      <c r="BJ278" s="215"/>
      <c r="BK278" s="215"/>
      <c r="BL278" s="215"/>
      <c r="BM278" s="215"/>
      <c r="BN278" s="215"/>
      <c r="BO278" s="215"/>
      <c r="BP278" s="215"/>
      <c r="BQ278" s="215"/>
      <c r="BR278" s="215"/>
      <c r="BS278" s="215"/>
      <c r="BT278" s="215"/>
      <c r="BU278" s="215"/>
      <c r="BV278" s="215"/>
      <c r="BW278" s="215"/>
      <c r="BX278" s="215"/>
      <c r="BY278" s="215"/>
      <c r="BZ278" s="215"/>
    </row>
    <row r="279" spans="1:78" ht="13.5" thickBot="1" x14ac:dyDescent="0.25">
      <c r="A279" s="20" t="str">
        <f>'Language Index'!A261</f>
        <v>Cash from Financing</v>
      </c>
      <c r="B279" s="20"/>
      <c r="C279" s="20"/>
      <c r="D279" s="24">
        <f>_xll.ciqfunctions.udf.CIQ($C$2, "IQ_CASH_FINAN",D$6,$F$2,,,Ccy,Conv)</f>
        <v>839</v>
      </c>
      <c r="E279" s="24">
        <f>_xll.ciqfunctions.udf.CIQ($C$2, "IQ_CASH_FINAN",E$6,$F$2,,,Ccy,Conv)</f>
        <v>-3006</v>
      </c>
      <c r="F279" s="24">
        <f>_xll.ciqfunctions.udf.CIQ($C$2, "IQ_CASH_FINAN",F$6,$F$2,,,Ccy,Conv)</f>
        <v>-1769</v>
      </c>
      <c r="G279" s="24">
        <f>_xll.ciqfunctions.udf.CIQ($C$2, "IQ_CASH_FINAN",G$6,$F$2,,,Ccy,Conv)</f>
        <v>-5600</v>
      </c>
      <c r="H279" s="24">
        <f>_xll.ciqfunctions.udf.CIQ($C$2, "IQ_CASH_FINAN",H$6,$F$2,,,Ccy,Conv)</f>
        <v>-7385</v>
      </c>
      <c r="I279" s="24">
        <f>_xll.ciqfunctions.udf.CIQ($C$2, "IQ_CASH_FINAN",I$6,$F$2,,,Ccy,Conv)</f>
        <v>-7018</v>
      </c>
      <c r="J279" s="24">
        <f>_xll.ciqfunctions.udf.CIQ($C$2, "IQ_CASH_FINAN",J$6,$F$2,,,Ccy,Conv)</f>
        <v>-7079</v>
      </c>
      <c r="K279" s="24">
        <f>_xll.ciqfunctions.udf.CIQ($C$2, "IQ_CASH_FINAN",K$6,$F$2,,,Ccy,Conv)</f>
        <v>-3513</v>
      </c>
      <c r="L279" s="24">
        <f>_xll.ciqfunctions.udf.CIQ($C$2, "IQ_CASH_FINAN",L$6,$F$2,,,Ccy,Conv)</f>
        <v>-1852</v>
      </c>
      <c r="M279" s="24">
        <f>_xll.ciqfunctions.udf.CIQ($C$2, "IQ_CASH_FINAN",M$6,$F$2,,,Ccy,Conv)</f>
        <v>-2099</v>
      </c>
      <c r="N279" s="24">
        <f>_xll.ciqfunctions.udf.CIQ($C$2, "IQ_CASH_FINAN",N$6,$F$2,,,Ccy,Conv)</f>
        <v>-3829</v>
      </c>
      <c r="O279" s="22"/>
      <c r="P279" s="24">
        <f>_xll.ciqfunctions.udf.CIQ($C$2, "IQ_CASH_FINAN",P$6,$F$2,,,Ccy,Conv)</f>
        <v>-3829</v>
      </c>
      <c r="Q279" s="215"/>
      <c r="R279" s="215"/>
      <c r="S279" s="215"/>
      <c r="T279" s="215"/>
      <c r="U279" s="215"/>
      <c r="V279" s="222"/>
      <c r="W279" s="222"/>
      <c r="X279" s="222"/>
      <c r="Y279" s="215"/>
      <c r="Z279" s="215"/>
      <c r="AA279" s="215"/>
      <c r="AB279" s="215"/>
      <c r="AC279" s="215"/>
      <c r="AD279" s="215"/>
      <c r="AE279" s="215"/>
      <c r="AF279" s="215"/>
      <c r="AG279" s="215"/>
      <c r="AH279" s="215"/>
      <c r="AI279" s="215"/>
      <c r="AJ279" s="215"/>
      <c r="AK279" s="215"/>
      <c r="AL279" s="215"/>
      <c r="AM279" s="215"/>
      <c r="AN279" s="215"/>
      <c r="AO279" s="215"/>
      <c r="AP279" s="215"/>
      <c r="AQ279" s="215"/>
      <c r="AR279" s="215"/>
      <c r="AS279" s="215"/>
      <c r="AT279" s="215"/>
      <c r="AU279" s="215"/>
      <c r="AV279" s="215"/>
      <c r="AW279" s="215"/>
      <c r="AX279" s="215"/>
      <c r="AY279" s="215"/>
      <c r="AZ279" s="215"/>
      <c r="BA279" s="215"/>
      <c r="BB279" s="215"/>
      <c r="BC279" s="215"/>
      <c r="BD279" s="215"/>
      <c r="BE279" s="215"/>
      <c r="BF279" s="215"/>
      <c r="BG279" s="215"/>
      <c r="BH279" s="215"/>
      <c r="BI279" s="215"/>
      <c r="BJ279" s="215"/>
      <c r="BK279" s="215"/>
      <c r="BL279" s="215"/>
      <c r="BM279" s="215"/>
      <c r="BN279" s="215"/>
      <c r="BO279" s="215"/>
      <c r="BP279" s="215"/>
      <c r="BQ279" s="215"/>
      <c r="BR279" s="215"/>
      <c r="BS279" s="215"/>
      <c r="BT279" s="215"/>
      <c r="BU279" s="215"/>
      <c r="BV279" s="215"/>
      <c r="BW279" s="215"/>
      <c r="BX279" s="215"/>
      <c r="BY279" s="215"/>
      <c r="BZ279" s="215"/>
    </row>
    <row r="280" spans="1:78" ht="13.5" thickTop="1" x14ac:dyDescent="0.2">
      <c r="A280" s="16"/>
      <c r="B280" s="16"/>
      <c r="C280" s="1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215"/>
      <c r="R280" s="215"/>
      <c r="S280" s="215"/>
      <c r="T280" s="215"/>
      <c r="U280" s="215"/>
      <c r="V280" s="222"/>
      <c r="W280" s="222"/>
      <c r="X280" s="222"/>
      <c r="Y280" s="215"/>
      <c r="Z280" s="215"/>
      <c r="AA280" s="215"/>
      <c r="AB280" s="215"/>
      <c r="AC280" s="215"/>
      <c r="AD280" s="215"/>
      <c r="AE280" s="215"/>
      <c r="AF280" s="215"/>
      <c r="AG280" s="215"/>
      <c r="AH280" s="215"/>
      <c r="AI280" s="215"/>
      <c r="AJ280" s="215"/>
      <c r="AK280" s="215"/>
      <c r="AL280" s="215"/>
      <c r="AM280" s="215"/>
      <c r="AN280" s="215"/>
      <c r="AO280" s="215"/>
      <c r="AP280" s="215"/>
      <c r="AQ280" s="215"/>
      <c r="AR280" s="215"/>
      <c r="AS280" s="215"/>
      <c r="AT280" s="215"/>
      <c r="AU280" s="215"/>
      <c r="AV280" s="215"/>
      <c r="AW280" s="215"/>
      <c r="AX280" s="215"/>
      <c r="AY280" s="215"/>
      <c r="AZ280" s="215"/>
      <c r="BA280" s="215"/>
      <c r="BB280" s="215"/>
      <c r="BC280" s="215"/>
      <c r="BD280" s="215"/>
      <c r="BE280" s="215"/>
      <c r="BF280" s="215"/>
      <c r="BG280" s="215"/>
      <c r="BH280" s="215"/>
      <c r="BI280" s="215"/>
      <c r="BJ280" s="215"/>
      <c r="BK280" s="215"/>
      <c r="BL280" s="215"/>
      <c r="BM280" s="215"/>
      <c r="BN280" s="215"/>
      <c r="BO280" s="215"/>
      <c r="BP280" s="215"/>
      <c r="BQ280" s="215"/>
      <c r="BR280" s="215"/>
      <c r="BS280" s="215"/>
      <c r="BT280" s="215"/>
      <c r="BU280" s="215"/>
      <c r="BV280" s="215"/>
      <c r="BW280" s="215"/>
      <c r="BX280" s="215"/>
      <c r="BY280" s="215"/>
      <c r="BZ280" s="215"/>
    </row>
    <row r="281" spans="1:78" x14ac:dyDescent="0.2">
      <c r="A281" s="2" t="str">
        <f>'Language Index'!A262</f>
        <v>Foreign Exchange Rate Adj.</v>
      </c>
      <c r="B281" s="17"/>
      <c r="C281" s="17"/>
      <c r="D281" s="18">
        <f>_xll.ciqfunctions.udf.CIQ($C$2, "IQ_FX",D$6,$F$2,,,Ccy,Conv)</f>
        <v>22</v>
      </c>
      <c r="E281" s="18">
        <f>_xll.ciqfunctions.udf.CIQ($C$2, "IQ_FX",E$6,$F$2,,,Ccy,Conv)</f>
        <v>99</v>
      </c>
      <c r="F281" s="18">
        <f>_xll.ciqfunctions.udf.CIQ($C$2, "IQ_FX",F$6,$F$2,,,Ccy,Conv)</f>
        <v>9</v>
      </c>
      <c r="G281" s="18">
        <f>_xll.ciqfunctions.udf.CIQ($C$2, "IQ_FX",G$6,$F$2,,,Ccy,Conv)</f>
        <v>-174</v>
      </c>
      <c r="H281" s="18">
        <f>_xll.ciqfunctions.udf.CIQ($C$2, "IQ_FX",H$6,$F$2,,,Ccy,Conv)</f>
        <v>-226</v>
      </c>
      <c r="I281" s="18">
        <f>_xll.ciqfunctions.udf.CIQ($C$2, "IQ_FX",I$6,$F$2,,,Ccy,Conv)</f>
        <v>100</v>
      </c>
      <c r="J281" s="18">
        <f>_xll.ciqfunctions.udf.CIQ($C$2, "IQ_FX",J$6,$F$2,,,Ccy,Conv)</f>
        <v>-359</v>
      </c>
      <c r="K281" s="18">
        <f>_xll.ciqfunctions.udf.CIQ($C$2, "IQ_FX",K$6,$F$2,,,Ccy,Conv)</f>
        <v>-33</v>
      </c>
      <c r="L281" s="18">
        <f>_xll.ciqfunctions.udf.CIQ($C$2, "IQ_FX",L$6,$F$2,,,Ccy,Conv)</f>
        <v>364</v>
      </c>
      <c r="M281" s="18">
        <f>_xll.ciqfunctions.udf.CIQ($C$2, "IQ_FX",M$6,$F$2,,,Ccy,Conv)</f>
        <v>99</v>
      </c>
      <c r="N281" s="18">
        <f>_xll.ciqfunctions.udf.CIQ($C$2, "IQ_FX",N$6,$F$2,,,Ccy,Conv)</f>
        <v>418</v>
      </c>
      <c r="O281" s="18"/>
      <c r="P281" s="18">
        <f>_xll.ciqfunctions.udf.CIQ($C$2, "IQ_FX",P$6,$F$2,,,Ccy,Conv)</f>
        <v>418</v>
      </c>
      <c r="Q281" s="215"/>
      <c r="R281" s="215"/>
      <c r="S281" s="215"/>
      <c r="T281" s="215"/>
      <c r="U281" s="215"/>
      <c r="V281" s="222"/>
      <c r="W281" s="222"/>
      <c r="X281" s="222"/>
      <c r="Y281" s="215"/>
      <c r="Z281" s="215"/>
      <c r="AA281" s="215"/>
      <c r="AB281" s="215"/>
      <c r="AC281" s="215"/>
      <c r="AD281" s="215"/>
      <c r="AE281" s="215"/>
      <c r="AF281" s="215"/>
      <c r="AG281" s="215"/>
      <c r="AH281" s="215"/>
      <c r="AI281" s="215"/>
      <c r="AJ281" s="215"/>
      <c r="AK281" s="215"/>
      <c r="AL281" s="215"/>
      <c r="AM281" s="215"/>
      <c r="AN281" s="215"/>
      <c r="AO281" s="215"/>
      <c r="AP281" s="215"/>
      <c r="AQ281" s="215"/>
      <c r="AR281" s="215"/>
      <c r="AS281" s="215"/>
      <c r="AT281" s="215"/>
      <c r="AU281" s="215"/>
      <c r="AV281" s="215"/>
      <c r="AW281" s="215"/>
      <c r="AX281" s="215"/>
      <c r="AY281" s="215"/>
      <c r="AZ281" s="215"/>
      <c r="BA281" s="215"/>
      <c r="BB281" s="215"/>
      <c r="BC281" s="215"/>
      <c r="BD281" s="215"/>
      <c r="BE281" s="215"/>
      <c r="BF281" s="215"/>
      <c r="BG281" s="215"/>
      <c r="BH281" s="215"/>
      <c r="BI281" s="215"/>
      <c r="BJ281" s="215"/>
      <c r="BK281" s="215"/>
      <c r="BL281" s="215"/>
      <c r="BM281" s="215"/>
      <c r="BN281" s="215"/>
      <c r="BO281" s="215"/>
      <c r="BP281" s="215"/>
      <c r="BQ281" s="215"/>
      <c r="BR281" s="215"/>
      <c r="BS281" s="215"/>
      <c r="BT281" s="215"/>
      <c r="BU281" s="215"/>
      <c r="BV281" s="215"/>
      <c r="BW281" s="215"/>
      <c r="BX281" s="215"/>
      <c r="BY281" s="215"/>
      <c r="BZ281" s="215"/>
    </row>
    <row r="282" spans="1:78" x14ac:dyDescent="0.2">
      <c r="A282" s="2" t="str">
        <f>'Language Index'!A263</f>
        <v>Misc. Cash Flow Adj.</v>
      </c>
      <c r="B282" s="17"/>
      <c r="C282" s="17"/>
      <c r="D282" s="18">
        <f>_xll.ciqfunctions.udf.CIQ($C$2, "IQ_MISC_ADJUST_CF",D$6,$F$2,,,Ccy,Conv)</f>
        <v>0</v>
      </c>
      <c r="E282" s="18">
        <f>_xll.ciqfunctions.udf.CIQ($C$2, "IQ_MISC_ADJUST_CF",E$6,$F$2,,,Ccy,Conv)</f>
        <v>-1</v>
      </c>
      <c r="F282" s="18">
        <f>_xll.ciqfunctions.udf.CIQ($C$2, "IQ_MISC_ADJUST_CF",F$6,$F$2,,,Ccy,Conv)</f>
        <v>0</v>
      </c>
      <c r="G282" s="18">
        <f>_xll.ciqfunctions.udf.CIQ($C$2, "IQ_MISC_ADJUST_CF",G$6,$F$2,,,Ccy,Conv)</f>
        <v>-1</v>
      </c>
      <c r="H282" s="18">
        <f>_xll.ciqfunctions.udf.CIQ($C$2, "IQ_MISC_ADJUST_CF",H$6,$F$2,,,Ccy,Conv)</f>
        <v>0</v>
      </c>
      <c r="I282" s="18">
        <f>_xll.ciqfunctions.udf.CIQ($C$2, "IQ_MISC_ADJUST_CF",I$6,$F$2,,,Ccy,Conv)</f>
        <v>1</v>
      </c>
      <c r="J282" s="18">
        <f>_xll.ciqfunctions.udf.CIQ($C$2, "IQ_MISC_ADJUST_CF",J$6,$F$2,,,Ccy,Conv)</f>
        <v>1</v>
      </c>
      <c r="K282" s="18">
        <f>_xll.ciqfunctions.udf.CIQ($C$2, "IQ_MISC_ADJUST_CF",K$6,$F$2,,,Ccy,Conv)</f>
        <v>1</v>
      </c>
      <c r="L282" s="18">
        <f>_xll.ciqfunctions.udf.CIQ($C$2, "IQ_MISC_ADJUST_CF",L$6,$F$2,,,Ccy,Conv)</f>
        <v>1</v>
      </c>
      <c r="M282" s="18">
        <f>_xll.ciqfunctions.udf.CIQ($C$2, "IQ_MISC_ADJUST_CF",M$6,$F$2,,,Ccy,Conv)</f>
        <v>1</v>
      </c>
      <c r="N282" s="18">
        <f>_xll.ciqfunctions.udf.CIQ($C$2, "IQ_MISC_ADJUST_CF",N$6,$F$2,,,Ccy,Conv)</f>
        <v>0</v>
      </c>
      <c r="O282" s="18"/>
      <c r="P282" s="18">
        <f>_xll.ciqfunctions.udf.CIQ($C$2, "IQ_MISC_ADJUST_CF",P$6,$F$2,,,Ccy,Conv)</f>
        <v>0</v>
      </c>
      <c r="Q282" s="215"/>
      <c r="R282" s="215"/>
      <c r="S282" s="215"/>
      <c r="T282" s="215"/>
      <c r="U282" s="215"/>
      <c r="V282" s="222"/>
      <c r="W282" s="222"/>
      <c r="X282" s="222"/>
      <c r="Y282" s="215"/>
      <c r="Z282" s="215"/>
      <c r="AA282" s="215"/>
      <c r="AB282" s="215"/>
      <c r="AC282" s="215"/>
      <c r="AD282" s="215"/>
      <c r="AE282" s="215"/>
      <c r="AF282" s="215"/>
      <c r="AG282" s="215"/>
      <c r="AH282" s="215"/>
      <c r="AI282" s="215"/>
      <c r="AJ282" s="215"/>
      <c r="AK282" s="215"/>
      <c r="AL282" s="215"/>
      <c r="AM282" s="215"/>
      <c r="AN282" s="215"/>
      <c r="AO282" s="215"/>
      <c r="AP282" s="215"/>
      <c r="AQ282" s="215"/>
      <c r="AR282" s="215"/>
      <c r="AS282" s="215"/>
      <c r="AT282" s="215"/>
      <c r="AU282" s="215"/>
      <c r="AV282" s="215"/>
      <c r="AW282" s="215"/>
      <c r="AX282" s="215"/>
      <c r="AY282" s="215"/>
      <c r="AZ282" s="215"/>
      <c r="BA282" s="215"/>
      <c r="BB282" s="215"/>
      <c r="BC282" s="215"/>
      <c r="BD282" s="215"/>
      <c r="BE282" s="215"/>
      <c r="BF282" s="215"/>
      <c r="BG282" s="215"/>
      <c r="BH282" s="215"/>
      <c r="BI282" s="215"/>
      <c r="BJ282" s="215"/>
      <c r="BK282" s="215"/>
      <c r="BL282" s="215"/>
      <c r="BM282" s="215"/>
      <c r="BN282" s="215"/>
      <c r="BO282" s="215"/>
      <c r="BP282" s="215"/>
      <c r="BQ282" s="215"/>
      <c r="BR282" s="215"/>
      <c r="BS282" s="215"/>
      <c r="BT282" s="215"/>
      <c r="BU282" s="215"/>
      <c r="BV282" s="215"/>
      <c r="BW282" s="215"/>
      <c r="BX282" s="215"/>
      <c r="BY282" s="215"/>
      <c r="BZ282" s="215"/>
    </row>
    <row r="283" spans="1:78" ht="13.5" thickBot="1" x14ac:dyDescent="0.25">
      <c r="A283" s="20" t="str">
        <f>'Language Index'!A264</f>
        <v>Net Change in Cash</v>
      </c>
      <c r="B283" s="20"/>
      <c r="C283" s="20"/>
      <c r="D283" s="24">
        <f>_xll.ciqfunctions.udf.CIQ($C$2, "IQ_NET_CHANGE",D$6,$F$2,,,Ccy,Conv)</f>
        <v>2170</v>
      </c>
      <c r="E283" s="24">
        <f>_xll.ciqfunctions.udf.CIQ($C$2, "IQ_NET_CHANGE",E$6,$F$2,,,Ccy,Conv)</f>
        <v>-700</v>
      </c>
      <c r="F283" s="24">
        <f>_xll.ciqfunctions.udf.CIQ($C$2, "IQ_NET_CHANGE",F$6,$F$2,,,Ccy,Conv)</f>
        <v>5101</v>
      </c>
      <c r="G283" s="24">
        <f>_xll.ciqfunctions.udf.CIQ($C$2, "IQ_NET_CHANGE",G$6,$F$2,,,Ccy,Conv)</f>
        <v>5230</v>
      </c>
      <c r="H283" s="24">
        <f>_xll.ciqfunctions.udf.CIQ($C$2, "IQ_NET_CHANGE",H$6,$F$2,,,Ccy,Conv)</f>
        <v>5054</v>
      </c>
      <c r="I283" s="24">
        <f>_xll.ciqfunctions.udf.CIQ($C$2, "IQ_NET_CHANGE",I$6,$F$2,,,Ccy,Conv)</f>
        <v>5939</v>
      </c>
      <c r="J283" s="24">
        <f>_xll.ciqfunctions.udf.CIQ($C$2, "IQ_NET_CHANGE",J$6,$F$2,,,Ccy,Conv)</f>
        <v>1071</v>
      </c>
      <c r="K283" s="24">
        <f>_xll.ciqfunctions.udf.CIQ($C$2, "IQ_NET_CHANGE",K$6,$F$2,,,Ccy,Conv)</f>
        <v>-3604</v>
      </c>
      <c r="L283" s="24">
        <f>_xll.ciqfunctions.udf.CIQ($C$2, "IQ_NET_CHANGE",L$6,$F$2,,,Ccy,Conv)</f>
        <v>-2452</v>
      </c>
      <c r="M283" s="24">
        <f>_xll.ciqfunctions.udf.CIQ($C$2, "IQ_NET_CHANGE",M$6,$F$2,,,Ccy,Conv)</f>
        <v>-1614</v>
      </c>
      <c r="N283" s="24">
        <f>_xll.ciqfunctions.udf.CIQ($C$2, "IQ_NET_CHANGE",N$6,$F$2,,,Ccy,Conv)</f>
        <v>-520</v>
      </c>
      <c r="O283" s="22"/>
      <c r="P283" s="24">
        <f>_xll.ciqfunctions.udf.CIQ($C$2, "IQ_NET_CHANGE",P$6,$F$2,,,Ccy,Conv)</f>
        <v>-520</v>
      </c>
      <c r="Q283" s="215"/>
      <c r="R283" s="215"/>
      <c r="S283" s="215"/>
      <c r="T283" s="215"/>
      <c r="U283" s="215"/>
      <c r="V283" s="222"/>
      <c r="W283" s="222"/>
      <c r="X283" s="222"/>
      <c r="Y283" s="215"/>
      <c r="Z283" s="215"/>
      <c r="AA283" s="215"/>
      <c r="AB283" s="215"/>
      <c r="AC283" s="215"/>
      <c r="AD283" s="215"/>
      <c r="AE283" s="215"/>
      <c r="AF283" s="215"/>
      <c r="AG283" s="215"/>
      <c r="AH283" s="215"/>
      <c r="AI283" s="215"/>
      <c r="AJ283" s="215"/>
      <c r="AK283" s="215"/>
      <c r="AL283" s="215"/>
      <c r="AM283" s="215"/>
      <c r="AN283" s="215"/>
      <c r="AO283" s="215"/>
      <c r="AP283" s="215"/>
      <c r="AQ283" s="215"/>
      <c r="AR283" s="215"/>
      <c r="AS283" s="215"/>
      <c r="AT283" s="215"/>
      <c r="AU283" s="215"/>
      <c r="AV283" s="215"/>
      <c r="AW283" s="215"/>
      <c r="AX283" s="215"/>
      <c r="AY283" s="215"/>
      <c r="AZ283" s="215"/>
      <c r="BA283" s="215"/>
      <c r="BB283" s="215"/>
      <c r="BC283" s="215"/>
      <c r="BD283" s="215"/>
      <c r="BE283" s="215"/>
      <c r="BF283" s="215"/>
      <c r="BG283" s="215"/>
      <c r="BH283" s="215"/>
      <c r="BI283" s="215"/>
      <c r="BJ283" s="215"/>
      <c r="BK283" s="215"/>
      <c r="BL283" s="215"/>
      <c r="BM283" s="215"/>
      <c r="BN283" s="215"/>
      <c r="BO283" s="215"/>
      <c r="BP283" s="215"/>
      <c r="BQ283" s="215"/>
      <c r="BR283" s="215"/>
      <c r="BS283" s="215"/>
      <c r="BT283" s="215"/>
      <c r="BU283" s="215"/>
      <c r="BV283" s="215"/>
      <c r="BW283" s="215"/>
      <c r="BX283" s="215"/>
      <c r="BY283" s="215"/>
      <c r="BZ283" s="215"/>
    </row>
    <row r="284" spans="1:78" ht="13.5" thickTop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215"/>
      <c r="R284" s="215"/>
      <c r="S284" s="215"/>
      <c r="T284" s="215"/>
      <c r="U284" s="215"/>
      <c r="V284" s="222"/>
      <c r="W284" s="222"/>
      <c r="X284" s="222"/>
      <c r="Y284" s="215"/>
      <c r="Z284" s="215"/>
      <c r="AA284" s="215"/>
      <c r="AB284" s="215"/>
      <c r="AC284" s="215"/>
      <c r="AD284" s="215"/>
      <c r="AE284" s="215"/>
      <c r="AF284" s="215"/>
      <c r="AG284" s="215"/>
      <c r="AH284" s="215"/>
      <c r="AI284" s="215"/>
      <c r="AJ284" s="215"/>
      <c r="AK284" s="215"/>
      <c r="AL284" s="215"/>
      <c r="AM284" s="215"/>
      <c r="AN284" s="215"/>
      <c r="AO284" s="215"/>
      <c r="AP284" s="215"/>
      <c r="AQ284" s="215"/>
      <c r="AR284" s="215"/>
      <c r="AS284" s="215"/>
      <c r="AT284" s="215"/>
      <c r="AU284" s="215"/>
      <c r="AV284" s="215"/>
      <c r="AW284" s="215"/>
      <c r="AX284" s="215"/>
      <c r="AY284" s="215"/>
      <c r="AZ284" s="215"/>
      <c r="BA284" s="215"/>
      <c r="BB284" s="215"/>
      <c r="BC284" s="215"/>
      <c r="BD284" s="215"/>
      <c r="BE284" s="215"/>
      <c r="BF284" s="215"/>
      <c r="BG284" s="215"/>
      <c r="BH284" s="215"/>
      <c r="BI284" s="215"/>
      <c r="BJ284" s="215"/>
      <c r="BK284" s="215"/>
      <c r="BL284" s="215"/>
      <c r="BM284" s="215"/>
      <c r="BN284" s="215"/>
      <c r="BO284" s="215"/>
      <c r="BP284" s="215"/>
      <c r="BQ284" s="215"/>
      <c r="BR284" s="215"/>
      <c r="BS284" s="215"/>
      <c r="BT284" s="215"/>
      <c r="BU284" s="215"/>
      <c r="BV284" s="215"/>
      <c r="BW284" s="215"/>
      <c r="BX284" s="215"/>
      <c r="BY284" s="215"/>
      <c r="BZ284" s="215"/>
    </row>
    <row r="285" spans="1:78" x14ac:dyDescent="0.2">
      <c r="A285" s="26"/>
      <c r="B285" s="26"/>
      <c r="C285" s="26"/>
      <c r="D285" s="27" t="str">
        <f>'Language Index'!A102</f>
        <v>Supplemental Items</v>
      </c>
      <c r="E285" s="2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215"/>
      <c r="R285" s="215"/>
      <c r="S285" s="215"/>
      <c r="T285" s="215"/>
      <c r="U285" s="215"/>
      <c r="V285" s="222"/>
      <c r="W285" s="222"/>
      <c r="X285" s="222"/>
      <c r="Y285" s="215"/>
      <c r="Z285" s="215"/>
      <c r="AA285" s="215"/>
      <c r="AB285" s="215"/>
      <c r="AC285" s="215"/>
      <c r="AD285" s="215"/>
      <c r="AE285" s="215"/>
      <c r="AF285" s="215"/>
      <c r="AG285" s="215"/>
      <c r="AH285" s="215"/>
      <c r="AI285" s="215"/>
      <c r="AJ285" s="215"/>
      <c r="AK285" s="215"/>
      <c r="AL285" s="215"/>
      <c r="AM285" s="215"/>
      <c r="AN285" s="215"/>
      <c r="AO285" s="215"/>
      <c r="AP285" s="215"/>
      <c r="AQ285" s="215"/>
      <c r="AR285" s="215"/>
      <c r="AS285" s="215"/>
      <c r="AT285" s="215"/>
      <c r="AU285" s="215"/>
      <c r="AV285" s="215"/>
      <c r="AW285" s="215"/>
      <c r="AX285" s="215"/>
      <c r="AY285" s="215"/>
      <c r="AZ285" s="215"/>
      <c r="BA285" s="215"/>
      <c r="BB285" s="215"/>
      <c r="BC285" s="215"/>
      <c r="BD285" s="215"/>
      <c r="BE285" s="215"/>
      <c r="BF285" s="215"/>
      <c r="BG285" s="215"/>
      <c r="BH285" s="215"/>
      <c r="BI285" s="215"/>
      <c r="BJ285" s="215"/>
      <c r="BK285" s="215"/>
      <c r="BL285" s="215"/>
      <c r="BM285" s="215"/>
      <c r="BN285" s="215"/>
      <c r="BO285" s="215"/>
      <c r="BP285" s="215"/>
      <c r="BQ285" s="215"/>
      <c r="BR285" s="215"/>
      <c r="BS285" s="215"/>
      <c r="BT285" s="215"/>
      <c r="BU285" s="215"/>
      <c r="BV285" s="215"/>
      <c r="BW285" s="215"/>
      <c r="BX285" s="215"/>
      <c r="BY285" s="215"/>
      <c r="BZ285" s="215"/>
    </row>
    <row r="286" spans="1:78" x14ac:dyDescent="0.2">
      <c r="A286" s="2" t="str">
        <f>'Language Index'!A265</f>
        <v>Period Date</v>
      </c>
      <c r="B286" s="26"/>
      <c r="C286" s="26"/>
      <c r="D286" s="35">
        <f>_xll.ciqfunctions.udf.CIQ($C$2, "IQ_PERIODDATE",D$6,$F$2)</f>
        <v>45107</v>
      </c>
      <c r="E286" s="35">
        <f>_xll.ciqfunctions.udf.CIQ($C$2, "IQ_PERIODDATE",E$6,$F$2)</f>
        <v>45199</v>
      </c>
      <c r="F286" s="35">
        <f>_xll.ciqfunctions.udf.CIQ($C$2, "IQ_PERIODDATE",F$6,$F$2)</f>
        <v>45291</v>
      </c>
      <c r="G286" s="35">
        <f>_xll.ciqfunctions.udf.CIQ($C$2, "IQ_PERIODDATE",G$6,$F$2)</f>
        <v>45382</v>
      </c>
      <c r="H286" s="35">
        <f>_xll.ciqfunctions.udf.CIQ($C$2, "IQ_PERIODDATE",H$6,$F$2)</f>
        <v>45473</v>
      </c>
      <c r="I286" s="35">
        <f>_xll.ciqfunctions.udf.CIQ($C$2, "IQ_PERIODDATE",I$6,$F$2)</f>
        <v>45565</v>
      </c>
      <c r="J286" s="35">
        <f>_xll.ciqfunctions.udf.CIQ($C$2, "IQ_PERIODDATE",J$6,$F$2)</f>
        <v>45657</v>
      </c>
      <c r="K286" s="35">
        <f>_xll.ciqfunctions.udf.CIQ($C$2, "IQ_PERIODDATE",K$6,$F$2)</f>
        <v>45747</v>
      </c>
      <c r="L286" s="35">
        <f>_xll.ciqfunctions.udf.CIQ($C$2, "IQ_PERIODDATE",L$6,$F$2)</f>
        <v>45838</v>
      </c>
      <c r="M286" s="35">
        <f>_xll.ciqfunctions.udf.CIQ($C$2, "IQ_PERIODDATE",M$6,$F$2)</f>
        <v>45930</v>
      </c>
      <c r="N286" s="35">
        <f>_xll.ciqfunctions.udf.CIQ($C$2, "IQ_PERIODDATE",N$6,$F$2)</f>
        <v>46022</v>
      </c>
      <c r="O286" s="18"/>
      <c r="P286" s="35">
        <f>_xll.ciqfunctions.udf.CIQ($C$2, "IQ_PERIODDATE",P$6,$F$2)</f>
        <v>46022</v>
      </c>
      <c r="Q286" s="238"/>
      <c r="R286" s="215"/>
      <c r="S286" s="215"/>
      <c r="T286" s="215"/>
      <c r="U286" s="215"/>
      <c r="V286" s="222"/>
      <c r="W286" s="222"/>
      <c r="X286" s="222"/>
      <c r="Y286" s="215"/>
      <c r="Z286" s="215"/>
      <c r="AA286" s="215"/>
      <c r="AB286" s="215"/>
      <c r="AC286" s="215"/>
      <c r="AD286" s="215"/>
      <c r="AE286" s="215"/>
      <c r="AF286" s="215"/>
      <c r="AG286" s="215"/>
      <c r="AH286" s="215"/>
      <c r="AI286" s="215"/>
      <c r="AJ286" s="215"/>
      <c r="AK286" s="215"/>
      <c r="AL286" s="215"/>
      <c r="AM286" s="215"/>
      <c r="AN286" s="215"/>
      <c r="AO286" s="215"/>
      <c r="AP286" s="215"/>
      <c r="AQ286" s="215"/>
      <c r="AR286" s="215"/>
      <c r="AS286" s="215"/>
      <c r="AT286" s="215"/>
      <c r="AU286" s="215"/>
      <c r="AV286" s="215"/>
      <c r="AW286" s="215"/>
      <c r="AX286" s="215"/>
      <c r="AY286" s="215"/>
      <c r="AZ286" s="215"/>
      <c r="BA286" s="215"/>
      <c r="BB286" s="215"/>
      <c r="BC286" s="215"/>
      <c r="BD286" s="215"/>
      <c r="BE286" s="215"/>
      <c r="BF286" s="215"/>
      <c r="BG286" s="215"/>
      <c r="BH286" s="215"/>
      <c r="BI286" s="215"/>
      <c r="BJ286" s="215"/>
      <c r="BK286" s="215"/>
      <c r="BL286" s="215"/>
      <c r="BM286" s="215"/>
      <c r="BN286" s="215"/>
      <c r="BO286" s="215"/>
      <c r="BP286" s="215"/>
      <c r="BQ286" s="215"/>
      <c r="BR286" s="215"/>
      <c r="BS286" s="215"/>
      <c r="BT286" s="215"/>
      <c r="BU286" s="215"/>
      <c r="BV286" s="215"/>
      <c r="BW286" s="215"/>
      <c r="BX286" s="215"/>
      <c r="BY286" s="215"/>
      <c r="BZ286" s="215"/>
    </row>
    <row r="287" spans="1:78" x14ac:dyDescent="0.2">
      <c r="A287" s="2" t="str">
        <f>'Language Index'!A103</f>
        <v>Filing Date</v>
      </c>
      <c r="B287" s="17"/>
      <c r="C287" s="17"/>
      <c r="D287" s="35">
        <f>_xll.ciqfunctions.udf.CIQ($C$2, "IQ_FILINGDATE_CF",D$6,$F$2)</f>
        <v>45503</v>
      </c>
      <c r="E287" s="35">
        <f>_xll.ciqfunctions.udf.CIQ($C$2, "IQ_FILINGDATE_CF",E$6,$F$2)</f>
        <v>45595</v>
      </c>
      <c r="F287" s="35">
        <f>_xll.ciqfunctions.udf.CIQ($C$2, "IQ_FILINGDATE_CF",F$6,$F$2)</f>
        <v>46077</v>
      </c>
      <c r="G287" s="35">
        <f>_xll.ciqfunctions.udf.CIQ($C$2, "IQ_FILINGDATE_CF",G$6,$F$2)</f>
        <v>45771</v>
      </c>
      <c r="H287" s="35">
        <f>_xll.ciqfunctions.udf.CIQ($C$2, "IQ_FILINGDATE_CF",H$6,$F$2)</f>
        <v>45953</v>
      </c>
      <c r="I287" s="35">
        <f>_xll.ciqfunctions.udf.CIQ($C$2, "IQ_FILINGDATE_CF",I$6,$F$2)</f>
        <v>45953</v>
      </c>
      <c r="J287" s="35">
        <f>_xll.ciqfunctions.udf.CIQ($C$2, "IQ_FILINGDATE_CF",J$6,$F$2)</f>
        <v>46077</v>
      </c>
      <c r="K287" s="35">
        <f>_xll.ciqfunctions.udf.CIQ($C$2, "IQ_FILINGDATE_CF",K$6,$F$2)</f>
        <v>45771</v>
      </c>
      <c r="L287" s="35">
        <f>_xll.ciqfunctions.udf.CIQ($C$2, "IQ_FILINGDATE_CF",L$6,$F$2)</f>
        <v>45862</v>
      </c>
      <c r="M287" s="35">
        <f>_xll.ciqfunctions.udf.CIQ($C$2, "IQ_FILINGDATE_CF",M$6,$F$2)</f>
        <v>45953</v>
      </c>
      <c r="N287" s="35">
        <f>_xll.ciqfunctions.udf.CIQ($C$2, "IQ_FILINGDATE_CF",N$6,$F$2)</f>
        <v>46077</v>
      </c>
      <c r="O287" s="18"/>
      <c r="P287" s="35">
        <f>_xll.ciqfunctions.udf.CIQ($C$2, "IQ_FILINGDATE_CF",P$6,$F$2)</f>
        <v>46077</v>
      </c>
      <c r="Q287" s="238"/>
      <c r="R287" s="215"/>
      <c r="S287" s="215"/>
      <c r="T287" s="215"/>
      <c r="U287" s="215"/>
      <c r="V287" s="222"/>
      <c r="W287" s="222"/>
      <c r="X287" s="222"/>
      <c r="Y287" s="215"/>
      <c r="Z287" s="215"/>
      <c r="AA287" s="215"/>
      <c r="AB287" s="215"/>
      <c r="AC287" s="215"/>
      <c r="AD287" s="215"/>
      <c r="AE287" s="215"/>
      <c r="AF287" s="215"/>
      <c r="AG287" s="215"/>
      <c r="AH287" s="215"/>
      <c r="AI287" s="215"/>
      <c r="AJ287" s="215"/>
      <c r="AK287" s="215"/>
      <c r="AL287" s="215"/>
      <c r="AM287" s="215"/>
      <c r="AN287" s="215"/>
      <c r="AO287" s="215"/>
      <c r="AP287" s="215"/>
      <c r="AQ287" s="215"/>
      <c r="AR287" s="215"/>
      <c r="AS287" s="215"/>
      <c r="AT287" s="215"/>
      <c r="AU287" s="215"/>
      <c r="AV287" s="215"/>
      <c r="AW287" s="215"/>
      <c r="AX287" s="215"/>
      <c r="AY287" s="215"/>
      <c r="AZ287" s="215"/>
      <c r="BA287" s="215"/>
      <c r="BB287" s="215"/>
      <c r="BC287" s="215"/>
      <c r="BD287" s="215"/>
      <c r="BE287" s="215"/>
      <c r="BF287" s="215"/>
      <c r="BG287" s="215"/>
      <c r="BH287" s="215"/>
      <c r="BI287" s="215"/>
      <c r="BJ287" s="215"/>
      <c r="BK287" s="215"/>
      <c r="BL287" s="215"/>
      <c r="BM287" s="215"/>
      <c r="BN287" s="215"/>
      <c r="BO287" s="215"/>
      <c r="BP287" s="215"/>
      <c r="BQ287" s="215"/>
      <c r="BR287" s="215"/>
      <c r="BS287" s="215"/>
      <c r="BT287" s="215"/>
      <c r="BU287" s="215"/>
      <c r="BV287" s="215"/>
      <c r="BW287" s="215"/>
      <c r="BX287" s="215"/>
      <c r="BY287" s="215"/>
      <c r="BZ287" s="215"/>
    </row>
    <row r="288" spans="1:78" x14ac:dyDescent="0.2">
      <c r="A288" s="2" t="str">
        <f>'Language Index'!A104</f>
        <v>Period Length in Months</v>
      </c>
      <c r="B288" s="17"/>
      <c r="C288" s="17"/>
      <c r="D288" s="49">
        <f>_xll.ciqfunctions.udf.CIQ($C$2,"IQ_PERIODLENGTH_CF", D$6,$F$2)</f>
        <v>12</v>
      </c>
      <c r="E288" s="49">
        <f>_xll.ciqfunctions.udf.CIQ($C$2,"IQ_PERIODLENGTH_CF", E$6,$F$2)</f>
        <v>12</v>
      </c>
      <c r="F288" s="49">
        <f>_xll.ciqfunctions.udf.CIQ($C$2,"IQ_PERIODLENGTH_CF", F$6,$F$2)</f>
        <v>12</v>
      </c>
      <c r="G288" s="49">
        <f>_xll.ciqfunctions.udf.CIQ($C$2,"IQ_PERIODLENGTH_CF", G$6,$F$2)</f>
        <v>12</v>
      </c>
      <c r="H288" s="49">
        <f>_xll.ciqfunctions.udf.CIQ($C$2,"IQ_PERIODLENGTH_CF", H$6,$F$2)</f>
        <v>12</v>
      </c>
      <c r="I288" s="49">
        <f>_xll.ciqfunctions.udf.CIQ($C$2,"IQ_PERIODLENGTH_CF", I$6,$F$2)</f>
        <v>12</v>
      </c>
      <c r="J288" s="49">
        <f>_xll.ciqfunctions.udf.CIQ($C$2,"IQ_PERIODLENGTH_CF", J$6,$F$2)</f>
        <v>12</v>
      </c>
      <c r="K288" s="49">
        <f>_xll.ciqfunctions.udf.CIQ($C$2,"IQ_PERIODLENGTH_CF", K$6,$F$2)</f>
        <v>12</v>
      </c>
      <c r="L288" s="49">
        <f>_xll.ciqfunctions.udf.CIQ($C$2,"IQ_PERIODLENGTH_CF", L$6,$F$2)</f>
        <v>12</v>
      </c>
      <c r="M288" s="49">
        <f>_xll.ciqfunctions.udf.CIQ($C$2,"IQ_PERIODLENGTH_CF", M$6,$F$2)</f>
        <v>12</v>
      </c>
      <c r="N288" s="49">
        <f>_xll.ciqfunctions.udf.CIQ($C$2,"IQ_PERIODLENGTH_CF", N$6,$F$2)</f>
        <v>12</v>
      </c>
      <c r="O288" s="49"/>
      <c r="P288" s="49">
        <f>_xll.ciqfunctions.udf.CIQ($C$2,"IQ_PERIODLENGTH_CF", P$6,$F$2)</f>
        <v>12</v>
      </c>
      <c r="Q288" s="238"/>
      <c r="R288" s="215"/>
      <c r="S288" s="215"/>
      <c r="T288" s="215"/>
      <c r="U288" s="215"/>
      <c r="V288" s="222"/>
      <c r="W288" s="222"/>
      <c r="X288" s="222"/>
      <c r="Y288" s="215"/>
      <c r="Z288" s="215"/>
      <c r="AA288" s="215"/>
      <c r="AB288" s="215"/>
      <c r="AC288" s="215"/>
      <c r="AD288" s="215"/>
      <c r="AE288" s="215"/>
      <c r="AF288" s="215"/>
      <c r="AG288" s="215"/>
      <c r="AH288" s="215"/>
      <c r="AI288" s="215"/>
      <c r="AJ288" s="215"/>
      <c r="AK288" s="215"/>
      <c r="AL288" s="215"/>
      <c r="AM288" s="215"/>
      <c r="AN288" s="215"/>
      <c r="AO288" s="215"/>
      <c r="AP288" s="215"/>
      <c r="AQ288" s="215"/>
      <c r="AR288" s="215"/>
      <c r="AS288" s="215"/>
      <c r="AT288" s="215"/>
      <c r="AU288" s="215"/>
      <c r="AV288" s="215"/>
      <c r="AW288" s="215"/>
      <c r="AX288" s="215"/>
      <c r="AY288" s="215"/>
      <c r="AZ288" s="215"/>
      <c r="BA288" s="215"/>
      <c r="BB288" s="215"/>
      <c r="BC288" s="215"/>
      <c r="BD288" s="215"/>
      <c r="BE288" s="215"/>
      <c r="BF288" s="215"/>
      <c r="BG288" s="215"/>
      <c r="BH288" s="215"/>
      <c r="BI288" s="215"/>
      <c r="BJ288" s="215"/>
      <c r="BK288" s="215"/>
      <c r="BL288" s="215"/>
      <c r="BM288" s="215"/>
      <c r="BN288" s="215"/>
      <c r="BO288" s="215"/>
      <c r="BP288" s="215"/>
      <c r="BQ288" s="215"/>
      <c r="BR288" s="215"/>
      <c r="BS288" s="215"/>
      <c r="BT288" s="215"/>
      <c r="BU288" s="215"/>
      <c r="BV288" s="215"/>
      <c r="BW288" s="215"/>
      <c r="BX288" s="215"/>
      <c r="BY288" s="215"/>
      <c r="BZ288" s="215"/>
    </row>
    <row r="289" spans="1:78" x14ac:dyDescent="0.2">
      <c r="A289" s="2" t="str">
        <f>'Language Index'!A266</f>
        <v>Depreciation And Amortization Notes for Partial CF</v>
      </c>
      <c r="B289" s="17"/>
      <c r="C289" s="17"/>
      <c r="D289" s="18">
        <f>_xll.ciqfunctions.udf.CIQ($C$2, "IQ_DA_SUPPL_PARTIAL_CF", D$6,$F$2,,,Ccy,Conv)</f>
        <v>0</v>
      </c>
      <c r="E289" s="18">
        <f>_xll.ciqfunctions.udf.CIQ($C$2, "IQ_DA_SUPPL_PARTIAL_CF", E$6,$F$2,,,Ccy,Conv)</f>
        <v>0</v>
      </c>
      <c r="F289" s="18">
        <f>_xll.ciqfunctions.udf.CIQ($C$2, "IQ_DA_SUPPL_PARTIAL_CF", F$6,$F$2,,,Ccy,Conv)</f>
        <v>0</v>
      </c>
      <c r="G289" s="18">
        <f>_xll.ciqfunctions.udf.CIQ($C$2, "IQ_DA_SUPPL_PARTIAL_CF", G$6,$F$2,,,Ccy,Conv)</f>
        <v>0</v>
      </c>
      <c r="H289" s="18">
        <f>_xll.ciqfunctions.udf.CIQ($C$2, "IQ_DA_SUPPL_PARTIAL_CF", H$6,$F$2,,,Ccy,Conv)</f>
        <v>0</v>
      </c>
      <c r="I289" s="18">
        <f>_xll.ciqfunctions.udf.CIQ($C$2, "IQ_DA_SUPPL_PARTIAL_CF", I$6,$F$2,,,Ccy,Conv)</f>
        <v>0</v>
      </c>
      <c r="J289" s="18">
        <f>_xll.ciqfunctions.udf.CIQ($C$2, "IQ_DA_SUPPL_PARTIAL_CF", J$6,$F$2,,,Ccy,Conv)</f>
        <v>0</v>
      </c>
      <c r="K289" s="18">
        <f>_xll.ciqfunctions.udf.CIQ($C$2, "IQ_DA_SUPPL_PARTIAL_CF", K$6,$F$2,,,Ccy,Conv)</f>
        <v>0</v>
      </c>
      <c r="L289" s="18">
        <f>_xll.ciqfunctions.udf.CIQ($C$2, "IQ_DA_SUPPL_PARTIAL_CF", L$6,$F$2,,,Ccy,Conv)</f>
        <v>0</v>
      </c>
      <c r="M289" s="18">
        <f>_xll.ciqfunctions.udf.CIQ($C$2, "IQ_DA_SUPPL_PARTIAL_CF", M$6,$F$2,,,Ccy,Conv)</f>
        <v>0</v>
      </c>
      <c r="N289" s="18">
        <f>_xll.ciqfunctions.udf.CIQ($C$2, "IQ_DA_SUPPL_PARTIAL_CF", N$6,$F$2,,,Ccy,Conv)</f>
        <v>0</v>
      </c>
      <c r="O289" s="49"/>
      <c r="P289" s="18">
        <f>_xll.ciqfunctions.udf.CIQ($C$2, "IQ_DA_SUPPL_PARTIAL_CF", P$6,$F$2,,,Ccy,Conv)</f>
        <v>0</v>
      </c>
      <c r="Q289" s="238"/>
      <c r="R289" s="215"/>
      <c r="S289" s="215"/>
      <c r="T289" s="215"/>
      <c r="U289" s="215"/>
      <c r="V289" s="222"/>
      <c r="W289" s="222"/>
      <c r="X289" s="222"/>
      <c r="Y289" s="215"/>
      <c r="Z289" s="215"/>
      <c r="AA289" s="215"/>
      <c r="AB289" s="215"/>
      <c r="AC289" s="215"/>
      <c r="AD289" s="215"/>
      <c r="AE289" s="215"/>
      <c r="AF289" s="215"/>
      <c r="AG289" s="215"/>
      <c r="AH289" s="215"/>
      <c r="AI289" s="215"/>
      <c r="AJ289" s="215"/>
      <c r="AK289" s="215"/>
      <c r="AL289" s="215"/>
      <c r="AM289" s="215"/>
      <c r="AN289" s="215"/>
      <c r="AO289" s="215"/>
      <c r="AP289" s="215"/>
      <c r="AQ289" s="215"/>
      <c r="AR289" s="215"/>
      <c r="AS289" s="215"/>
      <c r="AT289" s="215"/>
      <c r="AU289" s="215"/>
      <c r="AV289" s="215"/>
      <c r="AW289" s="215"/>
      <c r="AX289" s="215"/>
      <c r="AY289" s="215"/>
      <c r="AZ289" s="215"/>
      <c r="BA289" s="215"/>
      <c r="BB289" s="215"/>
      <c r="BC289" s="215"/>
      <c r="BD289" s="215"/>
      <c r="BE289" s="215"/>
      <c r="BF289" s="215"/>
      <c r="BG289" s="215"/>
      <c r="BH289" s="215"/>
      <c r="BI289" s="215"/>
      <c r="BJ289" s="215"/>
      <c r="BK289" s="215"/>
      <c r="BL289" s="215"/>
      <c r="BM289" s="215"/>
      <c r="BN289" s="215"/>
      <c r="BO289" s="215"/>
      <c r="BP289" s="215"/>
      <c r="BQ289" s="215"/>
      <c r="BR289" s="215"/>
      <c r="BS289" s="215"/>
      <c r="BT289" s="215"/>
      <c r="BU289" s="215"/>
      <c r="BV289" s="215"/>
      <c r="BW289" s="215"/>
      <c r="BX289" s="215"/>
      <c r="BY289" s="215"/>
      <c r="BZ289" s="215"/>
    </row>
    <row r="290" spans="1:78" x14ac:dyDescent="0.2">
      <c r="A290" s="2" t="str">
        <f>'Language Index'!A267</f>
        <v>Amortization Of Goodwill Notes for Partial CF</v>
      </c>
      <c r="B290" s="17"/>
      <c r="C290" s="17"/>
      <c r="D290" s="18">
        <f>_xll.ciqfunctions.udf.CIQ($C$2, "IQ_GW_INTAN_AMORT_PARTIAL_CF", D$6,$F$2,,,Ccy,Conv)</f>
        <v>0</v>
      </c>
      <c r="E290" s="18">
        <f>_xll.ciqfunctions.udf.CIQ($C$2, "IQ_GW_INTAN_AMORT_PARTIAL_CF", E$6,$F$2,,,Ccy,Conv)</f>
        <v>0</v>
      </c>
      <c r="F290" s="18">
        <f>_xll.ciqfunctions.udf.CIQ($C$2, "IQ_GW_INTAN_AMORT_PARTIAL_CF", F$6,$F$2,,,Ccy,Conv)</f>
        <v>0</v>
      </c>
      <c r="G290" s="18">
        <f>_xll.ciqfunctions.udf.CIQ($C$2, "IQ_GW_INTAN_AMORT_PARTIAL_CF", G$6,$F$2,,,Ccy,Conv)</f>
        <v>0</v>
      </c>
      <c r="H290" s="18">
        <f>_xll.ciqfunctions.udf.CIQ($C$2, "IQ_GW_INTAN_AMORT_PARTIAL_CF", H$6,$F$2,,,Ccy,Conv)</f>
        <v>0</v>
      </c>
      <c r="I290" s="18">
        <f>_xll.ciqfunctions.udf.CIQ($C$2, "IQ_GW_INTAN_AMORT_PARTIAL_CF", I$6,$F$2,,,Ccy,Conv)</f>
        <v>0</v>
      </c>
      <c r="J290" s="18">
        <f>_xll.ciqfunctions.udf.CIQ($C$2, "IQ_GW_INTAN_AMORT_PARTIAL_CF", J$6,$F$2,,,Ccy,Conv)</f>
        <v>0</v>
      </c>
      <c r="K290" s="18">
        <f>_xll.ciqfunctions.udf.CIQ($C$2, "IQ_GW_INTAN_AMORT_PARTIAL_CF", K$6,$F$2,,,Ccy,Conv)</f>
        <v>0</v>
      </c>
      <c r="L290" s="18">
        <f>_xll.ciqfunctions.udf.CIQ($C$2, "IQ_GW_INTAN_AMORT_PARTIAL_CF", L$6,$F$2,,,Ccy,Conv)</f>
        <v>0</v>
      </c>
      <c r="M290" s="18">
        <f>_xll.ciqfunctions.udf.CIQ($C$2, "IQ_GW_INTAN_AMORT_PARTIAL_CF", M$6,$F$2,,,Ccy,Conv)</f>
        <v>0</v>
      </c>
      <c r="N290" s="18">
        <f>_xll.ciqfunctions.udf.CIQ($C$2, "IQ_GW_INTAN_AMORT_PARTIAL_CF", N$6,$F$2,,,Ccy,Conv)</f>
        <v>0</v>
      </c>
      <c r="O290" s="49"/>
      <c r="P290" s="18">
        <f>_xll.ciqfunctions.udf.CIQ($C$2, "IQ_GW_INTAN_AMORT_PARTIAL_CF", P$6,$F$2,,,Ccy,Conv)</f>
        <v>0</v>
      </c>
      <c r="Q290" s="238"/>
      <c r="R290" s="215"/>
      <c r="S290" s="215"/>
      <c r="T290" s="215"/>
      <c r="U290" s="215"/>
      <c r="V290" s="222"/>
      <c r="W290" s="222"/>
      <c r="X290" s="222"/>
      <c r="Y290" s="215"/>
      <c r="Z290" s="215"/>
      <c r="AA290" s="215"/>
      <c r="AB290" s="215"/>
      <c r="AC290" s="215"/>
      <c r="AD290" s="215"/>
      <c r="AE290" s="215"/>
      <c r="AF290" s="215"/>
      <c r="AG290" s="215"/>
      <c r="AH290" s="215"/>
      <c r="AI290" s="215"/>
      <c r="AJ290" s="215"/>
      <c r="AK290" s="215"/>
      <c r="AL290" s="215"/>
      <c r="AM290" s="215"/>
      <c r="AN290" s="215"/>
      <c r="AO290" s="215"/>
      <c r="AP290" s="215"/>
      <c r="AQ290" s="215"/>
      <c r="AR290" s="215"/>
      <c r="AS290" s="215"/>
      <c r="AT290" s="215"/>
      <c r="AU290" s="215"/>
      <c r="AV290" s="215"/>
      <c r="AW290" s="215"/>
      <c r="AX290" s="215"/>
      <c r="AY290" s="215"/>
      <c r="AZ290" s="215"/>
      <c r="BA290" s="215"/>
      <c r="BB290" s="215"/>
      <c r="BC290" s="215"/>
      <c r="BD290" s="215"/>
      <c r="BE290" s="215"/>
      <c r="BF290" s="215"/>
      <c r="BG290" s="215"/>
      <c r="BH290" s="215"/>
      <c r="BI290" s="215"/>
      <c r="BJ290" s="215"/>
      <c r="BK290" s="215"/>
      <c r="BL290" s="215"/>
      <c r="BM290" s="215"/>
      <c r="BN290" s="215"/>
      <c r="BO290" s="215"/>
      <c r="BP290" s="215"/>
      <c r="BQ290" s="215"/>
      <c r="BR290" s="215"/>
      <c r="BS290" s="215"/>
      <c r="BT290" s="215"/>
      <c r="BU290" s="215"/>
      <c r="BV290" s="215"/>
      <c r="BW290" s="215"/>
      <c r="BX290" s="215"/>
      <c r="BY290" s="215"/>
      <c r="BZ290" s="215"/>
    </row>
    <row r="291" spans="1:78" x14ac:dyDescent="0.2">
      <c r="A291" s="2" t="str">
        <f>'Language Index'!A268</f>
        <v>Depreciation (From Notes)</v>
      </c>
      <c r="B291" s="17"/>
      <c r="C291" s="17"/>
      <c r="D291" s="18">
        <f>_xll.ciqfunctions.udf.CIQ($C$2, "IQ_DEPRE_SUPP", D$6,$F$2,,,Ccy,Conv)</f>
        <v>0</v>
      </c>
      <c r="E291" s="18">
        <f>_xll.ciqfunctions.udf.CIQ($C$2, "IQ_DEPRE_SUPP", E$6,$F$2,,,Ccy,Conv)</f>
        <v>0</v>
      </c>
      <c r="F291" s="18">
        <f>_xll.ciqfunctions.udf.CIQ($C$2, "IQ_DEPRE_SUPP", F$6,$F$2,,,Ccy,Conv)</f>
        <v>0</v>
      </c>
      <c r="G291" s="18">
        <f>_xll.ciqfunctions.udf.CIQ($C$2, "IQ_DEPRE_SUPP", G$6,$F$2,,,Ccy,Conv)</f>
        <v>0</v>
      </c>
      <c r="H291" s="18">
        <f>_xll.ciqfunctions.udf.CIQ($C$2, "IQ_DEPRE_SUPP", H$6,$F$2,,,Ccy,Conv)</f>
        <v>0</v>
      </c>
      <c r="I291" s="18">
        <f>_xll.ciqfunctions.udf.CIQ($C$2, "IQ_DEPRE_SUPP", I$6,$F$2,,,Ccy,Conv)</f>
        <v>0</v>
      </c>
      <c r="J291" s="18">
        <f>_xll.ciqfunctions.udf.CIQ($C$2, "IQ_DEPRE_SUPP", J$6,$F$2,,,Ccy,Conv)</f>
        <v>0</v>
      </c>
      <c r="K291" s="18">
        <f>_xll.ciqfunctions.udf.CIQ($C$2, "IQ_DEPRE_SUPP", K$6,$F$2,,,Ccy,Conv)</f>
        <v>0</v>
      </c>
      <c r="L291" s="18">
        <f>_xll.ciqfunctions.udf.CIQ($C$2, "IQ_DEPRE_SUPP", L$6,$F$2,,,Ccy,Conv)</f>
        <v>0</v>
      </c>
      <c r="M291" s="18">
        <f>_xll.ciqfunctions.udf.CIQ($C$2, "IQ_DEPRE_SUPP", M$6,$F$2,,,Ccy,Conv)</f>
        <v>0</v>
      </c>
      <c r="N291" s="18">
        <f>_xll.ciqfunctions.udf.CIQ($C$2, "IQ_DEPRE_SUPP", N$6,$F$2,,,Ccy,Conv)</f>
        <v>0</v>
      </c>
      <c r="O291" s="18"/>
      <c r="P291" s="18">
        <f>_xll.ciqfunctions.udf.CIQ($C$2, "IQ_DEPRE_SUPP", P$6,$F$2,,,Ccy,Conv)</f>
        <v>0</v>
      </c>
      <c r="Q291" s="238"/>
      <c r="R291" s="215"/>
      <c r="S291" s="215"/>
      <c r="T291" s="215"/>
      <c r="U291" s="215"/>
      <c r="V291" s="222"/>
      <c r="W291" s="222"/>
      <c r="X291" s="222"/>
      <c r="Y291" s="215"/>
      <c r="Z291" s="215"/>
      <c r="AA291" s="215"/>
      <c r="AB291" s="215"/>
      <c r="AC291" s="215"/>
      <c r="AD291" s="215"/>
      <c r="AE291" s="215"/>
      <c r="AF291" s="215"/>
      <c r="AG291" s="215"/>
      <c r="AH291" s="215"/>
      <c r="AI291" s="215"/>
      <c r="AJ291" s="215"/>
      <c r="AK291" s="215"/>
      <c r="AL291" s="215"/>
      <c r="AM291" s="215"/>
      <c r="AN291" s="215"/>
      <c r="AO291" s="215"/>
      <c r="AP291" s="215"/>
      <c r="AQ291" s="215"/>
      <c r="AR291" s="215"/>
      <c r="AS291" s="215"/>
      <c r="AT291" s="215"/>
      <c r="AU291" s="215"/>
      <c r="AV291" s="215"/>
      <c r="AW291" s="215"/>
      <c r="AX291" s="215"/>
      <c r="AY291" s="215"/>
      <c r="AZ291" s="215"/>
      <c r="BA291" s="215"/>
      <c r="BB291" s="215"/>
      <c r="BC291" s="215"/>
      <c r="BD291" s="215"/>
      <c r="BE291" s="215"/>
      <c r="BF291" s="215"/>
      <c r="BG291" s="215"/>
      <c r="BH291" s="215"/>
      <c r="BI291" s="215"/>
      <c r="BJ291" s="215"/>
      <c r="BK291" s="215"/>
      <c r="BL291" s="215"/>
      <c r="BM291" s="215"/>
      <c r="BN291" s="215"/>
      <c r="BO291" s="215"/>
      <c r="BP291" s="215"/>
      <c r="BQ291" s="215"/>
      <c r="BR291" s="215"/>
      <c r="BS291" s="215"/>
      <c r="BT291" s="215"/>
      <c r="BU291" s="215"/>
      <c r="BV291" s="215"/>
      <c r="BW291" s="215"/>
      <c r="BX291" s="215"/>
      <c r="BY291" s="215"/>
      <c r="BZ291" s="215"/>
    </row>
    <row r="292" spans="1:78" x14ac:dyDescent="0.2">
      <c r="A292" s="2" t="str">
        <f>'Language Index'!A176</f>
        <v>Depreciation of Rental Assets</v>
      </c>
      <c r="B292" s="17"/>
      <c r="C292" s="17"/>
      <c r="D292" s="18">
        <f>_xll.ciqfunctions.udf.CIQ($C$2, "IQ_DEPRECIATION_RENTAL_ASSETS_CF", D$6,$F$2,,,Ccy,Conv)</f>
        <v>0</v>
      </c>
      <c r="E292" s="18">
        <f>_xll.ciqfunctions.udf.CIQ($C$2, "IQ_DEPRECIATION_RENTAL_ASSETS_CF", E$6,$F$2,,,Ccy,Conv)</f>
        <v>0</v>
      </c>
      <c r="F292" s="18">
        <f>_xll.ciqfunctions.udf.CIQ($C$2, "IQ_DEPRECIATION_RENTAL_ASSETS_CF", F$6,$F$2,,,Ccy,Conv)</f>
        <v>0</v>
      </c>
      <c r="G292" s="18">
        <f>_xll.ciqfunctions.udf.CIQ($C$2, "IQ_DEPRECIATION_RENTAL_ASSETS_CF", G$6,$F$2,,,Ccy,Conv)</f>
        <v>0</v>
      </c>
      <c r="H292" s="18">
        <f>_xll.ciqfunctions.udf.CIQ($C$2, "IQ_DEPRECIATION_RENTAL_ASSETS_CF", H$6,$F$2,,,Ccy,Conv)</f>
        <v>0</v>
      </c>
      <c r="I292" s="18">
        <f>_xll.ciqfunctions.udf.CIQ($C$2, "IQ_DEPRECIATION_RENTAL_ASSETS_CF", I$6,$F$2,,,Ccy,Conv)</f>
        <v>0</v>
      </c>
      <c r="J292" s="18">
        <f>_xll.ciqfunctions.udf.CIQ($C$2, "IQ_DEPRECIATION_RENTAL_ASSETS_CF", J$6,$F$2,,,Ccy,Conv)</f>
        <v>0</v>
      </c>
      <c r="K292" s="18">
        <f>_xll.ciqfunctions.udf.CIQ($C$2, "IQ_DEPRECIATION_RENTAL_ASSETS_CF", K$6,$F$2,,,Ccy,Conv)</f>
        <v>0</v>
      </c>
      <c r="L292" s="18">
        <f>_xll.ciqfunctions.udf.CIQ($C$2, "IQ_DEPRECIATION_RENTAL_ASSETS_CF", L$6,$F$2,,,Ccy,Conv)</f>
        <v>0</v>
      </c>
      <c r="M292" s="18">
        <f>_xll.ciqfunctions.udf.CIQ($C$2, "IQ_DEPRECIATION_RENTAL_ASSETS_CF", M$6,$F$2,,,Ccy,Conv)</f>
        <v>0</v>
      </c>
      <c r="N292" s="18">
        <f>_xll.ciqfunctions.udf.CIQ($C$2, "IQ_DEPRECIATION_RENTAL_ASSETS_CF", N$6,$F$2,,,Ccy,Conv)</f>
        <v>0</v>
      </c>
      <c r="O292" s="18"/>
      <c r="P292" s="18">
        <f>_xll.ciqfunctions.udf.CIQ($C$2, "IQ_DEPRECIATION_RENTAL_ASSETS_CF", P$6,$F$2,,,Ccy,Conv)</f>
        <v>0</v>
      </c>
      <c r="Q292" s="238"/>
      <c r="R292" s="215"/>
      <c r="S292" s="215"/>
      <c r="T292" s="215"/>
      <c r="U292" s="215"/>
      <c r="V292" s="222"/>
      <c r="W292" s="222"/>
      <c r="X292" s="222"/>
      <c r="Y292" s="215"/>
      <c r="Z292" s="215"/>
      <c r="AA292" s="215"/>
      <c r="AB292" s="215"/>
      <c r="AC292" s="215"/>
      <c r="AD292" s="215"/>
      <c r="AE292" s="215"/>
      <c r="AF292" s="215"/>
      <c r="AG292" s="215"/>
      <c r="AH292" s="215"/>
      <c r="AI292" s="215"/>
      <c r="AJ292" s="215"/>
      <c r="AK292" s="215"/>
      <c r="AL292" s="215"/>
      <c r="AM292" s="215"/>
      <c r="AN292" s="215"/>
      <c r="AO292" s="215"/>
      <c r="AP292" s="215"/>
      <c r="AQ292" s="215"/>
      <c r="AR292" s="215"/>
      <c r="AS292" s="215"/>
      <c r="AT292" s="215"/>
      <c r="AU292" s="215"/>
      <c r="AV292" s="215"/>
      <c r="AW292" s="215"/>
      <c r="AX292" s="215"/>
      <c r="AY292" s="215"/>
      <c r="AZ292" s="215"/>
      <c r="BA292" s="215"/>
      <c r="BB292" s="215"/>
      <c r="BC292" s="215"/>
      <c r="BD292" s="215"/>
      <c r="BE292" s="215"/>
      <c r="BF292" s="215"/>
      <c r="BG292" s="215"/>
      <c r="BH292" s="215"/>
      <c r="BI292" s="215"/>
      <c r="BJ292" s="215"/>
      <c r="BK292" s="215"/>
      <c r="BL292" s="215"/>
      <c r="BM292" s="215"/>
      <c r="BN292" s="215"/>
      <c r="BO292" s="215"/>
      <c r="BP292" s="215"/>
      <c r="BQ292" s="215"/>
      <c r="BR292" s="215"/>
      <c r="BS292" s="215"/>
      <c r="BT292" s="215"/>
      <c r="BU292" s="215"/>
      <c r="BV292" s="215"/>
      <c r="BW292" s="215"/>
      <c r="BX292" s="215"/>
      <c r="BY292" s="215"/>
      <c r="BZ292" s="215"/>
    </row>
    <row r="293" spans="1:78" x14ac:dyDescent="0.2">
      <c r="A293" s="2" t="str">
        <f>'Language Index'!A269</f>
        <v>Depreciation on Right of Use Assets</v>
      </c>
      <c r="B293" s="17"/>
      <c r="C293" s="17"/>
      <c r="D293" s="18">
        <f>_xll.ciqfunctions.udf.CIQ($C$2, "IQ_DEP_RUA", D$6,$F$2,,,Ccy,Conv)</f>
        <v>500</v>
      </c>
      <c r="E293" s="18">
        <f>_xll.ciqfunctions.udf.CIQ($C$2, "IQ_DEP_RUA", E$6,$F$2,,,Ccy,Conv)</f>
        <v>700</v>
      </c>
      <c r="F293" s="18">
        <f>_xll.ciqfunctions.udf.CIQ($C$2, "IQ_DEP_RUA", F$6,$F$2,,,Ccy,Conv)</f>
        <v>900</v>
      </c>
      <c r="G293" s="18">
        <f>_xll.ciqfunctions.udf.CIQ($C$2, "IQ_DEP_RUA", G$6,$F$2,,,Ccy,Conv)</f>
        <v>900</v>
      </c>
      <c r="H293" s="18">
        <f>_xll.ciqfunctions.udf.CIQ($C$2, "IQ_DEP_RUA", H$6,$F$2,,,Ccy,Conv)</f>
        <v>800</v>
      </c>
      <c r="I293" s="18">
        <f>_xll.ciqfunctions.udf.CIQ($C$2, "IQ_DEP_RUA", I$6,$F$2,,,Ccy,Conv)</f>
        <v>900</v>
      </c>
      <c r="J293" s="18">
        <f>_xll.ciqfunctions.udf.CIQ($C$2, "IQ_DEP_RUA", J$6,$F$2,,,Ccy,Conv)</f>
        <v>900</v>
      </c>
      <c r="K293" s="18">
        <f>_xll.ciqfunctions.udf.CIQ($C$2, "IQ_DEP_RUA", K$6,$F$2,,,Ccy,Conv)</f>
        <v>900</v>
      </c>
      <c r="L293" s="18">
        <f>_xll.ciqfunctions.udf.CIQ($C$2, "IQ_DEP_RUA", L$6,$F$2,,,Ccy,Conv)</f>
        <v>900</v>
      </c>
      <c r="M293" s="18">
        <f>_xll.ciqfunctions.udf.CIQ($C$2, "IQ_DEP_RUA", M$6,$F$2,,,Ccy,Conv)</f>
        <v>800</v>
      </c>
      <c r="N293" s="18">
        <f>_xll.ciqfunctions.udf.CIQ($C$2, "IQ_DEP_RUA", N$6,$F$2,,,Ccy,Conv)</f>
        <v>900</v>
      </c>
      <c r="O293" s="18"/>
      <c r="P293" s="18">
        <f>_xll.ciqfunctions.udf.CIQ($C$2, "IQ_DEP_RUA", P$6,$F$2,,,Ccy,Conv)</f>
        <v>900</v>
      </c>
      <c r="Q293" s="238"/>
      <c r="R293" s="215"/>
      <c r="S293" s="215"/>
      <c r="T293" s="215"/>
      <c r="U293" s="215"/>
      <c r="V293" s="222"/>
      <c r="W293" s="222"/>
      <c r="X293" s="222"/>
      <c r="Y293" s="215"/>
      <c r="Z293" s="215"/>
      <c r="AA293" s="215"/>
      <c r="AB293" s="215"/>
      <c r="AC293" s="215"/>
      <c r="AD293" s="215"/>
      <c r="AE293" s="215"/>
      <c r="AF293" s="215"/>
      <c r="AG293" s="215"/>
      <c r="AH293" s="215"/>
      <c r="AI293" s="215"/>
      <c r="AJ293" s="215"/>
      <c r="AK293" s="215"/>
      <c r="AL293" s="215"/>
      <c r="AM293" s="215"/>
      <c r="AN293" s="215"/>
      <c r="AO293" s="215"/>
      <c r="AP293" s="215"/>
      <c r="AQ293" s="215"/>
      <c r="AR293" s="215"/>
      <c r="AS293" s="215"/>
      <c r="AT293" s="215"/>
      <c r="AU293" s="215"/>
      <c r="AV293" s="215"/>
      <c r="AW293" s="215"/>
      <c r="AX293" s="215"/>
      <c r="AY293" s="215"/>
      <c r="AZ293" s="215"/>
      <c r="BA293" s="215"/>
      <c r="BB293" s="215"/>
      <c r="BC293" s="215"/>
      <c r="BD293" s="215"/>
      <c r="BE293" s="215"/>
      <c r="BF293" s="215"/>
      <c r="BG293" s="215"/>
      <c r="BH293" s="215"/>
      <c r="BI293" s="215"/>
      <c r="BJ293" s="215"/>
      <c r="BK293" s="215"/>
      <c r="BL293" s="215"/>
      <c r="BM293" s="215"/>
      <c r="BN293" s="215"/>
      <c r="BO293" s="215"/>
      <c r="BP293" s="215"/>
      <c r="BQ293" s="215"/>
      <c r="BR293" s="215"/>
      <c r="BS293" s="215"/>
      <c r="BT293" s="215"/>
      <c r="BU293" s="215"/>
      <c r="BV293" s="215"/>
      <c r="BW293" s="215"/>
      <c r="BX293" s="215"/>
      <c r="BY293" s="215"/>
      <c r="BZ293" s="215"/>
    </row>
    <row r="294" spans="1:78" x14ac:dyDescent="0.2">
      <c r="A294" s="2" t="str">
        <f>'Language Index'!A270</f>
        <v>Depreciation &amp; Amortization - CF, Excl. Operating Leases</v>
      </c>
      <c r="B294" s="17"/>
      <c r="C294" s="17"/>
      <c r="D294" s="18">
        <f>_xll.ciqfunctions.udf.CIQ($C$2, "IQ_DA_SUPPL_CF_EXCL_OPER_LEASES", D$6,$F$2,,,Ccy,Conv)</f>
        <v>1703</v>
      </c>
      <c r="E294" s="18">
        <f>_xll.ciqfunctions.udf.CIQ($C$2, "IQ_DA_SUPPL_CF_EXCL_OPER_LEASES", E$6,$F$2,,,Ccy,Conv)</f>
        <v>1438</v>
      </c>
      <c r="F294" s="18">
        <f>_xll.ciqfunctions.udf.CIQ($C$2, "IQ_DA_SUPPL_CF_EXCL_OPER_LEASES", F$6,$F$2,,,Ccy,Conv)</f>
        <v>1209</v>
      </c>
      <c r="G294" s="18">
        <f>_xll.ciqfunctions.udf.CIQ($C$2, "IQ_DA_SUPPL_CF_EXCL_OPER_LEASES", G$6,$F$2,,,Ccy,Conv)</f>
        <v>1215</v>
      </c>
      <c r="H294" s="18">
        <f>_xll.ciqfunctions.udf.CIQ($C$2, "IQ_DA_SUPPL_CF_EXCL_OPER_LEASES", H$6,$F$2,,,Ccy,Conv)</f>
        <v>1343</v>
      </c>
      <c r="I294" s="18">
        <f>_xll.ciqfunctions.udf.CIQ($C$2, "IQ_DA_SUPPL_CF_EXCL_OPER_LEASES", I$6,$F$2,,,Ccy,Conv)</f>
        <v>1285</v>
      </c>
      <c r="J294" s="18">
        <f>_xll.ciqfunctions.udf.CIQ($C$2, "IQ_DA_SUPPL_CF_EXCL_OPER_LEASES", J$6,$F$2,,,Ccy,Conv)</f>
        <v>1268</v>
      </c>
      <c r="K294" s="18">
        <f>_xll.ciqfunctions.udf.CIQ($C$2, "IQ_DA_SUPPL_CF_EXCL_OPER_LEASES", K$6,$F$2,,,Ccy,Conv)</f>
        <v>1271</v>
      </c>
      <c r="L294" s="18">
        <f>_xll.ciqfunctions.udf.CIQ($C$2, "IQ_DA_SUPPL_CF_EXCL_OPER_LEASES", L$6,$F$2,,,Ccy,Conv)</f>
        <v>1301</v>
      </c>
      <c r="M294" s="18">
        <f>_xll.ciqfunctions.udf.CIQ($C$2, "IQ_DA_SUPPL_CF_EXCL_OPER_LEASES", M$6,$F$2,,,Ccy,Conv)</f>
        <v>1422</v>
      </c>
      <c r="N294" s="18">
        <f>_xll.ciqfunctions.udf.CIQ($C$2, "IQ_DA_SUPPL_CF_EXCL_OPER_LEASES", N$6,$F$2,,,Ccy,Conv)</f>
        <v>1384</v>
      </c>
      <c r="O294" s="18"/>
      <c r="P294" s="18">
        <f>_xll.ciqfunctions.udf.CIQ($C$2, "IQ_DA_SUPPL_CF_EXCL_OPER_LEASES", P$6,$F$2,,,Ccy,Conv)</f>
        <v>1384</v>
      </c>
      <c r="Q294" s="238"/>
      <c r="R294" s="215"/>
      <c r="S294" s="215"/>
      <c r="T294" s="215"/>
      <c r="U294" s="215"/>
      <c r="V294" s="222"/>
      <c r="W294" s="222"/>
      <c r="X294" s="222"/>
      <c r="Y294" s="215"/>
      <c r="Z294" s="215"/>
      <c r="AA294" s="215"/>
      <c r="AB294" s="215"/>
      <c r="AC294" s="215"/>
      <c r="AD294" s="215"/>
      <c r="AE294" s="215"/>
      <c r="AF294" s="215"/>
      <c r="AG294" s="215"/>
      <c r="AH294" s="215"/>
      <c r="AI294" s="215"/>
      <c r="AJ294" s="215"/>
      <c r="AK294" s="215"/>
      <c r="AL294" s="215"/>
      <c r="AM294" s="215"/>
      <c r="AN294" s="215"/>
      <c r="AO294" s="215"/>
      <c r="AP294" s="215"/>
      <c r="AQ294" s="215"/>
      <c r="AR294" s="215"/>
      <c r="AS294" s="215"/>
      <c r="AT294" s="215"/>
      <c r="AU294" s="215"/>
      <c r="AV294" s="215"/>
      <c r="AW294" s="215"/>
      <c r="AX294" s="215"/>
      <c r="AY294" s="215"/>
      <c r="AZ294" s="215"/>
      <c r="BA294" s="215"/>
      <c r="BB294" s="215"/>
      <c r="BC294" s="215"/>
      <c r="BD294" s="215"/>
      <c r="BE294" s="215"/>
      <c r="BF294" s="215"/>
      <c r="BG294" s="215"/>
      <c r="BH294" s="215"/>
      <c r="BI294" s="215"/>
      <c r="BJ294" s="215"/>
      <c r="BK294" s="215"/>
      <c r="BL294" s="215"/>
      <c r="BM294" s="215"/>
      <c r="BN294" s="215"/>
      <c r="BO294" s="215"/>
      <c r="BP294" s="215"/>
      <c r="BQ294" s="215"/>
      <c r="BR294" s="215"/>
      <c r="BS294" s="215"/>
      <c r="BT294" s="215"/>
      <c r="BU294" s="215"/>
      <c r="BV294" s="215"/>
      <c r="BW294" s="215"/>
      <c r="BX294" s="215"/>
      <c r="BY294" s="215"/>
      <c r="BZ294" s="215"/>
    </row>
    <row r="295" spans="1:78" x14ac:dyDescent="0.2">
      <c r="A295" s="2" t="str">
        <f>'Language Index'!A271</f>
        <v>Depreciation &amp; Amort., Total, Excl. Operating Leases</v>
      </c>
      <c r="B295" s="17"/>
      <c r="C295" s="17"/>
      <c r="D295" s="18">
        <f>_xll.ciqfunctions.udf.CIQ($C$2, "IQ_DA_CF_EXCL_OPER_LEASES", D$6,$F$2,,,Ccy,Conv)</f>
        <v>3303</v>
      </c>
      <c r="E295" s="18">
        <f>_xll.ciqfunctions.udf.CIQ($C$2, "IQ_DA_CF_EXCL_OPER_LEASES", E$6,$F$2,,,Ccy,Conv)</f>
        <v>2551</v>
      </c>
      <c r="F295" s="18">
        <f>_xll.ciqfunctions.udf.CIQ($C$2, "IQ_DA_CF_EXCL_OPER_LEASES", F$6,$F$2,,,Ccy,Conv)</f>
        <v>2836</v>
      </c>
      <c r="G295" s="18">
        <f>_xll.ciqfunctions.udf.CIQ($C$2, "IQ_DA_CF_EXCL_OPER_LEASES", G$6,$F$2,,,Ccy,Conv)</f>
        <v>2723</v>
      </c>
      <c r="H295" s="18">
        <f>_xll.ciqfunctions.udf.CIQ($C$2, "IQ_DA_CF_EXCL_OPER_LEASES", H$6,$F$2,,,Ccy,Conv)</f>
        <v>2732</v>
      </c>
      <c r="I295" s="18">
        <f>_xll.ciqfunctions.udf.CIQ($C$2, "IQ_DA_CF_EXCL_OPER_LEASES", I$6,$F$2,,,Ccy,Conv)</f>
        <v>3066</v>
      </c>
      <c r="J295" s="18">
        <f>_xll.ciqfunctions.udf.CIQ($C$2, "IQ_DA_CF_EXCL_OPER_LEASES", J$6,$F$2,,,Ccy,Conv)</f>
        <v>3098</v>
      </c>
      <c r="K295" s="18">
        <f>_xll.ciqfunctions.udf.CIQ($C$2, "IQ_DA_CF_EXCL_OPER_LEASES", K$6,$F$2,,,Ccy,Conv)</f>
        <v>3168</v>
      </c>
      <c r="L295" s="18">
        <f>_xll.ciqfunctions.udf.CIQ($C$2, "IQ_DA_CF_EXCL_OPER_LEASES", L$6,$F$2,,,Ccy,Conv)</f>
        <v>3309</v>
      </c>
      <c r="M295" s="18">
        <f>_xll.ciqfunctions.udf.CIQ($C$2, "IQ_DA_CF_EXCL_OPER_LEASES", M$6,$F$2,,,Ccy,Conv)</f>
        <v>3509</v>
      </c>
      <c r="N295" s="18">
        <f>_xll.ciqfunctions.udf.CIQ($C$2, "IQ_DA_CF_EXCL_OPER_LEASES", N$6,$F$2,,,Ccy,Conv)</f>
        <v>3550</v>
      </c>
      <c r="O295" s="18"/>
      <c r="P295" s="18">
        <f>_xll.ciqfunctions.udf.CIQ($C$2, "IQ_DA_CF_EXCL_OPER_LEASES", P$6,$F$2,,,Ccy,Conv)</f>
        <v>3550</v>
      </c>
      <c r="Q295" s="238"/>
      <c r="R295" s="215"/>
      <c r="S295" s="215"/>
      <c r="T295" s="215"/>
      <c r="U295" s="215"/>
      <c r="V295" s="222"/>
      <c r="W295" s="222"/>
      <c r="X295" s="222"/>
      <c r="Y295" s="215"/>
      <c r="Z295" s="215"/>
      <c r="AA295" s="215"/>
      <c r="AB295" s="215"/>
      <c r="AC295" s="215"/>
      <c r="AD295" s="215"/>
      <c r="AE295" s="215"/>
      <c r="AF295" s="215"/>
      <c r="AG295" s="215"/>
      <c r="AH295" s="215"/>
      <c r="AI295" s="215"/>
      <c r="AJ295" s="215"/>
      <c r="AK295" s="215"/>
      <c r="AL295" s="215"/>
      <c r="AM295" s="215"/>
      <c r="AN295" s="215"/>
      <c r="AO295" s="215"/>
      <c r="AP295" s="215"/>
      <c r="AQ295" s="215"/>
      <c r="AR295" s="215"/>
      <c r="AS295" s="215"/>
      <c r="AT295" s="215"/>
      <c r="AU295" s="215"/>
      <c r="AV295" s="215"/>
      <c r="AW295" s="215"/>
      <c r="AX295" s="215"/>
      <c r="AY295" s="215"/>
      <c r="AZ295" s="215"/>
      <c r="BA295" s="215"/>
      <c r="BB295" s="215"/>
      <c r="BC295" s="215"/>
      <c r="BD295" s="215"/>
      <c r="BE295" s="215"/>
      <c r="BF295" s="215"/>
      <c r="BG295" s="215"/>
      <c r="BH295" s="215"/>
      <c r="BI295" s="215"/>
      <c r="BJ295" s="215"/>
      <c r="BK295" s="215"/>
      <c r="BL295" s="215"/>
      <c r="BM295" s="215"/>
      <c r="BN295" s="215"/>
      <c r="BO295" s="215"/>
      <c r="BP295" s="215"/>
      <c r="BQ295" s="215"/>
      <c r="BR295" s="215"/>
      <c r="BS295" s="215"/>
      <c r="BT295" s="215"/>
      <c r="BU295" s="215"/>
      <c r="BV295" s="215"/>
      <c r="BW295" s="215"/>
      <c r="BX295" s="215"/>
      <c r="BY295" s="215"/>
      <c r="BZ295" s="215"/>
    </row>
    <row r="296" spans="1:78" x14ac:dyDescent="0.2">
      <c r="A296" s="2" t="str">
        <f>'Language Index'!A193</f>
        <v>Amortization of Negative Goodwill</v>
      </c>
      <c r="B296" s="17"/>
      <c r="C296" s="17"/>
      <c r="D296" s="18">
        <f>_xll.ciqfunctions.udf.CIQ($C$2, "IQ_NEGATIVE_GW_AMORT_CF", D$6,$F$2,,,Ccy,Conv)</f>
        <v>0</v>
      </c>
      <c r="E296" s="18">
        <f>_xll.ciqfunctions.udf.CIQ($C$2, "IQ_NEGATIVE_GW_AMORT_CF", E$6,$F$2,,,Ccy,Conv)</f>
        <v>0</v>
      </c>
      <c r="F296" s="18">
        <f>_xll.ciqfunctions.udf.CIQ($C$2, "IQ_NEGATIVE_GW_AMORT_CF", F$6,$F$2,,,Ccy,Conv)</f>
        <v>0</v>
      </c>
      <c r="G296" s="18">
        <f>_xll.ciqfunctions.udf.CIQ($C$2, "IQ_NEGATIVE_GW_AMORT_CF", G$6,$F$2,,,Ccy,Conv)</f>
        <v>0</v>
      </c>
      <c r="H296" s="18">
        <f>_xll.ciqfunctions.udf.CIQ($C$2, "IQ_NEGATIVE_GW_AMORT_CF", H$6,$F$2,,,Ccy,Conv)</f>
        <v>0</v>
      </c>
      <c r="I296" s="18">
        <f>_xll.ciqfunctions.udf.CIQ($C$2, "IQ_NEGATIVE_GW_AMORT_CF", I$6,$F$2,,,Ccy,Conv)</f>
        <v>0</v>
      </c>
      <c r="J296" s="18">
        <f>_xll.ciqfunctions.udf.CIQ($C$2, "IQ_NEGATIVE_GW_AMORT_CF", J$6,$F$2,,,Ccy,Conv)</f>
        <v>0</v>
      </c>
      <c r="K296" s="18">
        <f>_xll.ciqfunctions.udf.CIQ($C$2, "IQ_NEGATIVE_GW_AMORT_CF", K$6,$F$2,,,Ccy,Conv)</f>
        <v>0</v>
      </c>
      <c r="L296" s="18">
        <f>_xll.ciqfunctions.udf.CIQ($C$2, "IQ_NEGATIVE_GW_AMORT_CF", L$6,$F$2,,,Ccy,Conv)</f>
        <v>0</v>
      </c>
      <c r="M296" s="18">
        <f>_xll.ciqfunctions.udf.CIQ($C$2, "IQ_NEGATIVE_GW_AMORT_CF", M$6,$F$2,,,Ccy,Conv)</f>
        <v>0</v>
      </c>
      <c r="N296" s="18">
        <f>_xll.ciqfunctions.udf.CIQ($C$2, "IQ_NEGATIVE_GW_AMORT_CF", N$6,$F$2,,,Ccy,Conv)</f>
        <v>0</v>
      </c>
      <c r="O296" s="18"/>
      <c r="P296" s="18">
        <f>_xll.ciqfunctions.udf.CIQ($C$2, "IQ_NEGATIVE_GW_AMORT_CF", P$6,$F$2,,,Ccy,Conv)</f>
        <v>0</v>
      </c>
      <c r="Q296" s="238"/>
      <c r="R296" s="215"/>
      <c r="S296" s="215"/>
      <c r="T296" s="215"/>
      <c r="U296" s="215"/>
      <c r="V296" s="222"/>
      <c r="W296" s="222"/>
      <c r="X296" s="222"/>
      <c r="Y296" s="215"/>
      <c r="Z296" s="215"/>
      <c r="AA296" s="215"/>
      <c r="AB296" s="215"/>
      <c r="AC296" s="215"/>
      <c r="AD296" s="215"/>
      <c r="AE296" s="215"/>
      <c r="AF296" s="215"/>
      <c r="AG296" s="215"/>
      <c r="AH296" s="215"/>
      <c r="AI296" s="215"/>
      <c r="AJ296" s="215"/>
      <c r="AK296" s="215"/>
      <c r="AL296" s="215"/>
      <c r="AM296" s="215"/>
      <c r="AN296" s="215"/>
      <c r="AO296" s="215"/>
      <c r="AP296" s="215"/>
      <c r="AQ296" s="215"/>
      <c r="AR296" s="215"/>
      <c r="AS296" s="215"/>
      <c r="AT296" s="215"/>
      <c r="AU296" s="215"/>
      <c r="AV296" s="215"/>
      <c r="AW296" s="215"/>
      <c r="AX296" s="215"/>
      <c r="AY296" s="215"/>
      <c r="AZ296" s="215"/>
      <c r="BA296" s="215"/>
      <c r="BB296" s="215"/>
      <c r="BC296" s="215"/>
      <c r="BD296" s="215"/>
      <c r="BE296" s="215"/>
      <c r="BF296" s="215"/>
      <c r="BG296" s="215"/>
      <c r="BH296" s="215"/>
      <c r="BI296" s="215"/>
      <c r="BJ296" s="215"/>
      <c r="BK296" s="215"/>
      <c r="BL296" s="215"/>
      <c r="BM296" s="215"/>
      <c r="BN296" s="215"/>
      <c r="BO296" s="215"/>
      <c r="BP296" s="215"/>
      <c r="BQ296" s="215"/>
      <c r="BR296" s="215"/>
      <c r="BS296" s="215"/>
      <c r="BT296" s="215"/>
      <c r="BU296" s="215"/>
      <c r="BV296" s="215"/>
      <c r="BW296" s="215"/>
      <c r="BX296" s="215"/>
      <c r="BY296" s="215"/>
      <c r="BZ296" s="215"/>
    </row>
    <row r="297" spans="1:78" x14ac:dyDescent="0.2">
      <c r="A297" s="2" t="str">
        <f>'Language Index'!A272</f>
        <v>Amortization of Debt Issuance Costs</v>
      </c>
      <c r="B297" s="17"/>
      <c r="C297" s="17"/>
      <c r="D297" s="18">
        <f>_xll.ciqfunctions.udf.CIQ($C$2, "IQ_AMORT_DIC_CF", D$6,$F$2,,,Ccy,Conv)</f>
        <v>0</v>
      </c>
      <c r="E297" s="18">
        <f>_xll.ciqfunctions.udf.CIQ($C$2, "IQ_AMORT_DIC_CF", E$6,$F$2,,,Ccy,Conv)</f>
        <v>0</v>
      </c>
      <c r="F297" s="18">
        <f>_xll.ciqfunctions.udf.CIQ($C$2, "IQ_AMORT_DIC_CF", F$6,$F$2,,,Ccy,Conv)</f>
        <v>0</v>
      </c>
      <c r="G297" s="18">
        <f>_xll.ciqfunctions.udf.CIQ($C$2, "IQ_AMORT_DIC_CF", G$6,$F$2,,,Ccy,Conv)</f>
        <v>0</v>
      </c>
      <c r="H297" s="18">
        <f>_xll.ciqfunctions.udf.CIQ($C$2, "IQ_AMORT_DIC_CF", H$6,$F$2,,,Ccy,Conv)</f>
        <v>0</v>
      </c>
      <c r="I297" s="18">
        <f>_xll.ciqfunctions.udf.CIQ($C$2, "IQ_AMORT_DIC_CF", I$6,$F$2,,,Ccy,Conv)</f>
        <v>0</v>
      </c>
      <c r="J297" s="18">
        <f>_xll.ciqfunctions.udf.CIQ($C$2, "IQ_AMORT_DIC_CF", J$6,$F$2,,,Ccy,Conv)</f>
        <v>0</v>
      </c>
      <c r="K297" s="18">
        <f>_xll.ciqfunctions.udf.CIQ($C$2, "IQ_AMORT_DIC_CF", K$6,$F$2,,,Ccy,Conv)</f>
        <v>0</v>
      </c>
      <c r="L297" s="18">
        <f>_xll.ciqfunctions.udf.CIQ($C$2, "IQ_AMORT_DIC_CF", L$6,$F$2,,,Ccy,Conv)</f>
        <v>0</v>
      </c>
      <c r="M297" s="18">
        <f>_xll.ciqfunctions.udf.CIQ($C$2, "IQ_AMORT_DIC_CF", M$6,$F$2,,,Ccy,Conv)</f>
        <v>0</v>
      </c>
      <c r="N297" s="18">
        <f>_xll.ciqfunctions.udf.CIQ($C$2, "IQ_AMORT_DIC_CF", N$6,$F$2,,,Ccy,Conv)</f>
        <v>0</v>
      </c>
      <c r="O297" s="18"/>
      <c r="P297" s="18">
        <f>_xll.ciqfunctions.udf.CIQ($C$2, "IQ_AMORT_DIC_CF", P$6,$F$2,,,Ccy,Conv)</f>
        <v>0</v>
      </c>
      <c r="Q297" s="238"/>
      <c r="R297" s="215"/>
      <c r="S297" s="215"/>
      <c r="T297" s="215"/>
      <c r="U297" s="215"/>
      <c r="V297" s="222"/>
      <c r="W297" s="222"/>
      <c r="X297" s="222"/>
      <c r="Y297" s="215"/>
      <c r="Z297" s="215"/>
      <c r="AA297" s="215"/>
      <c r="AB297" s="215"/>
      <c r="AC297" s="215"/>
      <c r="AD297" s="215"/>
      <c r="AE297" s="215"/>
      <c r="AF297" s="215"/>
      <c r="AG297" s="215"/>
      <c r="AH297" s="215"/>
      <c r="AI297" s="215"/>
      <c r="AJ297" s="215"/>
      <c r="AK297" s="215"/>
      <c r="AL297" s="215"/>
      <c r="AM297" s="215"/>
      <c r="AN297" s="215"/>
      <c r="AO297" s="215"/>
      <c r="AP297" s="215"/>
      <c r="AQ297" s="215"/>
      <c r="AR297" s="215"/>
      <c r="AS297" s="215"/>
      <c r="AT297" s="215"/>
      <c r="AU297" s="215"/>
      <c r="AV297" s="215"/>
      <c r="AW297" s="215"/>
      <c r="AX297" s="215"/>
      <c r="AY297" s="215"/>
      <c r="AZ297" s="215"/>
      <c r="BA297" s="215"/>
      <c r="BB297" s="215"/>
      <c r="BC297" s="215"/>
      <c r="BD297" s="215"/>
      <c r="BE297" s="215"/>
      <c r="BF297" s="215"/>
      <c r="BG297" s="215"/>
      <c r="BH297" s="215"/>
      <c r="BI297" s="215"/>
      <c r="BJ297" s="215"/>
      <c r="BK297" s="215"/>
      <c r="BL297" s="215"/>
      <c r="BM297" s="215"/>
      <c r="BN297" s="215"/>
      <c r="BO297" s="215"/>
      <c r="BP297" s="215"/>
      <c r="BQ297" s="215"/>
      <c r="BR297" s="215"/>
      <c r="BS297" s="215"/>
      <c r="BT297" s="215"/>
      <c r="BU297" s="215"/>
      <c r="BV297" s="215"/>
      <c r="BW297" s="215"/>
      <c r="BX297" s="215"/>
      <c r="BY297" s="215"/>
      <c r="BZ297" s="215"/>
    </row>
    <row r="298" spans="1:78" x14ac:dyDescent="0.2">
      <c r="A298" s="2" t="str">
        <f>'Language Index'!A273</f>
        <v>Amortization of Software Assets</v>
      </c>
      <c r="B298" s="17"/>
      <c r="C298" s="17"/>
      <c r="D298" s="18">
        <f>_xll.ciqfunctions.udf.CIQ($C$2, "IQ_AMORT_SOFTWARE_ASSETS_CF", D$6,$F$2,,,Ccy,Conv)</f>
        <v>648</v>
      </c>
      <c r="E298" s="18">
        <f>_xll.ciqfunctions.udf.CIQ($C$2, "IQ_AMORT_SOFTWARE_ASSETS_CF", E$6,$F$2,,,Ccy,Conv)</f>
        <v>1130</v>
      </c>
      <c r="F298" s="18">
        <f>_xll.ciqfunctions.udf.CIQ($C$2, "IQ_AMORT_SOFTWARE_ASSETS_CF", F$6,$F$2,,,Ccy,Conv)</f>
        <v>660</v>
      </c>
      <c r="G298" s="18">
        <f>_xll.ciqfunctions.udf.CIQ($C$2, "IQ_AMORT_SOFTWARE_ASSETS_CF", G$6,$F$2,,,Ccy,Conv)</f>
        <v>830</v>
      </c>
      <c r="H298" s="18">
        <f>_xll.ciqfunctions.udf.CIQ($C$2, "IQ_AMORT_SOFTWARE_ASSETS_CF", H$6,$F$2,,,Ccy,Conv)</f>
        <v>999</v>
      </c>
      <c r="I298" s="18">
        <f>_xll.ciqfunctions.udf.CIQ($C$2, "IQ_AMORT_SOFTWARE_ASSETS_CF", I$6,$F$2,,,Ccy,Conv)</f>
        <v>740</v>
      </c>
      <c r="J298" s="18">
        <f>_xll.ciqfunctions.udf.CIQ($C$2, "IQ_AMORT_SOFTWARE_ASSETS_CF", J$6,$F$2,,,Ccy,Conv)</f>
        <v>669</v>
      </c>
      <c r="K298" s="18">
        <f>_xll.ciqfunctions.udf.CIQ($C$2, "IQ_AMORT_SOFTWARE_ASSETS_CF", K$6,$F$2,,,Ccy,Conv)</f>
        <v>645</v>
      </c>
      <c r="L298" s="18">
        <f>_xll.ciqfunctions.udf.CIQ($C$2, "IQ_AMORT_SOFTWARE_ASSETS_CF", L$6,$F$2,,,Ccy,Conv)</f>
        <v>614</v>
      </c>
      <c r="M298" s="18">
        <f>_xll.ciqfunctions.udf.CIQ($C$2, "IQ_AMORT_SOFTWARE_ASSETS_CF", M$6,$F$2,,,Ccy,Conv)</f>
        <v>529</v>
      </c>
      <c r="N298" s="18">
        <f>_xll.ciqfunctions.udf.CIQ($C$2, "IQ_AMORT_SOFTWARE_ASSETS_CF", N$6,$F$2,,,Ccy,Conv)</f>
        <v>571</v>
      </c>
      <c r="O298" s="18"/>
      <c r="P298" s="18">
        <f>_xll.ciqfunctions.udf.CIQ($C$2, "IQ_AMORT_SOFTWARE_ASSETS_CF", P$6,$F$2,,,Ccy,Conv)</f>
        <v>571</v>
      </c>
      <c r="Q298" s="238"/>
      <c r="R298" s="215"/>
      <c r="S298" s="215"/>
      <c r="T298" s="215"/>
      <c r="U298" s="215"/>
      <c r="V298" s="222"/>
      <c r="W298" s="222"/>
      <c r="X298" s="222"/>
      <c r="Y298" s="215"/>
      <c r="Z298" s="215"/>
      <c r="AA298" s="215"/>
      <c r="AB298" s="215"/>
      <c r="AC298" s="215"/>
      <c r="AD298" s="215"/>
      <c r="AE298" s="215"/>
      <c r="AF298" s="215"/>
      <c r="AG298" s="215"/>
      <c r="AH298" s="215"/>
      <c r="AI298" s="215"/>
      <c r="AJ298" s="215"/>
      <c r="AK298" s="215"/>
      <c r="AL298" s="215"/>
      <c r="AM298" s="215"/>
      <c r="AN298" s="215"/>
      <c r="AO298" s="215"/>
      <c r="AP298" s="215"/>
      <c r="AQ298" s="215"/>
      <c r="AR298" s="215"/>
      <c r="AS298" s="215"/>
      <c r="AT298" s="215"/>
      <c r="AU298" s="215"/>
      <c r="AV298" s="215"/>
      <c r="AW298" s="215"/>
      <c r="AX298" s="215"/>
      <c r="AY298" s="215"/>
      <c r="AZ298" s="215"/>
      <c r="BA298" s="215"/>
      <c r="BB298" s="215"/>
      <c r="BC298" s="215"/>
      <c r="BD298" s="215"/>
      <c r="BE298" s="215"/>
      <c r="BF298" s="215"/>
      <c r="BG298" s="215"/>
      <c r="BH298" s="215"/>
      <c r="BI298" s="215"/>
      <c r="BJ298" s="215"/>
      <c r="BK298" s="215"/>
      <c r="BL298" s="215"/>
      <c r="BM298" s="215"/>
      <c r="BN298" s="215"/>
      <c r="BO298" s="215"/>
      <c r="BP298" s="215"/>
      <c r="BQ298" s="215"/>
      <c r="BR298" s="215"/>
      <c r="BS298" s="215"/>
      <c r="BT298" s="215"/>
      <c r="BU298" s="215"/>
      <c r="BV298" s="215"/>
      <c r="BW298" s="215"/>
      <c r="BX298" s="215"/>
      <c r="BY298" s="215"/>
      <c r="BZ298" s="215"/>
    </row>
    <row r="299" spans="1:78" x14ac:dyDescent="0.2">
      <c r="A299" s="2" t="str">
        <f>'Language Index'!A274</f>
        <v>Sale Proceeds from Rental Assets</v>
      </c>
      <c r="B299" s="17"/>
      <c r="C299" s="17"/>
      <c r="D299" s="18">
        <f>_xll.ciqfunctions.udf.CIQ($C$2, "IQ_SALE_PROCEEDS_RENTAL_ASSETS", D$6,$F$2,,,Ccy,Conv)</f>
        <v>0</v>
      </c>
      <c r="E299" s="18">
        <f>_xll.ciqfunctions.udf.CIQ($C$2, "IQ_SALE_PROCEEDS_RENTAL_ASSETS", E$6,$F$2,,,Ccy,Conv)</f>
        <v>0</v>
      </c>
      <c r="F299" s="18">
        <f>_xll.ciqfunctions.udf.CIQ($C$2, "IQ_SALE_PROCEEDS_RENTAL_ASSETS", F$6,$F$2,,,Ccy,Conv)</f>
        <v>0</v>
      </c>
      <c r="G299" s="18">
        <f>_xll.ciqfunctions.udf.CIQ($C$2, "IQ_SALE_PROCEEDS_RENTAL_ASSETS", G$6,$F$2,,,Ccy,Conv)</f>
        <v>0</v>
      </c>
      <c r="H299" s="18">
        <f>_xll.ciqfunctions.udf.CIQ($C$2, "IQ_SALE_PROCEEDS_RENTAL_ASSETS", H$6,$F$2,,,Ccy,Conv)</f>
        <v>0</v>
      </c>
      <c r="I299" s="18">
        <f>_xll.ciqfunctions.udf.CIQ($C$2, "IQ_SALE_PROCEEDS_RENTAL_ASSETS", I$6,$F$2,,,Ccy,Conv)</f>
        <v>0</v>
      </c>
      <c r="J299" s="18">
        <f>_xll.ciqfunctions.udf.CIQ($C$2, "IQ_SALE_PROCEEDS_RENTAL_ASSETS", J$6,$F$2,,,Ccy,Conv)</f>
        <v>0</v>
      </c>
      <c r="K299" s="18">
        <f>_xll.ciqfunctions.udf.CIQ($C$2, "IQ_SALE_PROCEEDS_RENTAL_ASSETS", K$6,$F$2,,,Ccy,Conv)</f>
        <v>0</v>
      </c>
      <c r="L299" s="18">
        <f>_xll.ciqfunctions.udf.CIQ($C$2, "IQ_SALE_PROCEEDS_RENTAL_ASSETS", L$6,$F$2,,,Ccy,Conv)</f>
        <v>0</v>
      </c>
      <c r="M299" s="18">
        <f>_xll.ciqfunctions.udf.CIQ($C$2, "IQ_SALE_PROCEEDS_RENTAL_ASSETS", M$6,$F$2,,,Ccy,Conv)</f>
        <v>0</v>
      </c>
      <c r="N299" s="18">
        <f>_xll.ciqfunctions.udf.CIQ($C$2, "IQ_SALE_PROCEEDS_RENTAL_ASSETS", N$6,$F$2,,,Ccy,Conv)</f>
        <v>0</v>
      </c>
      <c r="O299" s="18"/>
      <c r="P299" s="18">
        <f>_xll.ciqfunctions.udf.CIQ($C$2, "IQ_SALE_PROCEEDS_RENTAL_ASSETS", P$6,$F$2,,,Ccy,Conv)</f>
        <v>0</v>
      </c>
      <c r="Q299" s="238"/>
      <c r="R299" s="215"/>
      <c r="S299" s="215"/>
      <c r="T299" s="215"/>
      <c r="U299" s="215"/>
      <c r="V299" s="222"/>
      <c r="W299" s="222"/>
      <c r="X299" s="222"/>
      <c r="Y299" s="215"/>
      <c r="Z299" s="215"/>
      <c r="AA299" s="215"/>
      <c r="AB299" s="215"/>
      <c r="AC299" s="215"/>
      <c r="AD299" s="215"/>
      <c r="AE299" s="215"/>
      <c r="AF299" s="215"/>
      <c r="AG299" s="215"/>
      <c r="AH299" s="215"/>
      <c r="AI299" s="215"/>
      <c r="AJ299" s="215"/>
      <c r="AK299" s="215"/>
      <c r="AL299" s="215"/>
      <c r="AM299" s="215"/>
      <c r="AN299" s="215"/>
      <c r="AO299" s="215"/>
      <c r="AP299" s="215"/>
      <c r="AQ299" s="215"/>
      <c r="AR299" s="215"/>
      <c r="AS299" s="215"/>
      <c r="AT299" s="215"/>
      <c r="AU299" s="215"/>
      <c r="AV299" s="215"/>
      <c r="AW299" s="215"/>
      <c r="AX299" s="215"/>
      <c r="AY299" s="215"/>
      <c r="AZ299" s="215"/>
      <c r="BA299" s="215"/>
      <c r="BB299" s="215"/>
      <c r="BC299" s="215"/>
      <c r="BD299" s="215"/>
      <c r="BE299" s="215"/>
      <c r="BF299" s="215"/>
      <c r="BG299" s="215"/>
      <c r="BH299" s="215"/>
      <c r="BI299" s="215"/>
      <c r="BJ299" s="215"/>
      <c r="BK299" s="215"/>
      <c r="BL299" s="215"/>
      <c r="BM299" s="215"/>
      <c r="BN299" s="215"/>
      <c r="BO299" s="215"/>
      <c r="BP299" s="215"/>
      <c r="BQ299" s="215"/>
      <c r="BR299" s="215"/>
      <c r="BS299" s="215"/>
      <c r="BT299" s="215"/>
      <c r="BU299" s="215"/>
      <c r="BV299" s="215"/>
      <c r="BW299" s="215"/>
      <c r="BX299" s="215"/>
      <c r="BY299" s="215"/>
      <c r="BZ299" s="215"/>
    </row>
    <row r="300" spans="1:78" x14ac:dyDescent="0.2">
      <c r="A300" s="2" t="str">
        <f>'Language Index'!A275</f>
        <v>Cash Interest Paid</v>
      </c>
      <c r="B300" s="17"/>
      <c r="C300" s="17"/>
      <c r="D300" s="18">
        <f>_xll.ciqfunctions.udf.CIQ($C$2, "IQ_CASH_INTEREST", D$6,$F$2,,,Ccy,Conv)</f>
        <v>1592</v>
      </c>
      <c r="E300" s="18">
        <f>_xll.ciqfunctions.udf.CIQ($C$2, "IQ_CASH_INTEREST", E$6,$F$2,,,Ccy,Conv)</f>
        <v>1691</v>
      </c>
      <c r="F300" s="18">
        <f>_xll.ciqfunctions.udf.CIQ($C$2, "IQ_CASH_INTEREST", F$6,$F$2,,,Ccy,Conv)</f>
        <v>1668</v>
      </c>
      <c r="G300" s="18">
        <f>_xll.ciqfunctions.udf.CIQ($C$2, "IQ_CASH_INTEREST", G$6,$F$2,,,Ccy,Conv)</f>
        <v>1728</v>
      </c>
      <c r="H300" s="18">
        <f>_xll.ciqfunctions.udf.CIQ($C$2, "IQ_CASH_INTEREST", H$6,$F$2,,,Ccy,Conv)</f>
        <v>1731</v>
      </c>
      <c r="I300" s="18">
        <f>_xll.ciqfunctions.udf.CIQ($C$2, "IQ_CASH_INTEREST", I$6,$F$2,,,Ccy,Conv)</f>
        <v>1753</v>
      </c>
      <c r="J300" s="18">
        <f>_xll.ciqfunctions.udf.CIQ($C$2, "IQ_CASH_INTEREST", J$6,$F$2,,,Ccy,Conv)</f>
        <v>1978</v>
      </c>
      <c r="K300" s="18">
        <f>_xll.ciqfunctions.udf.CIQ($C$2, "IQ_CASH_INTEREST", K$6,$F$2,,,Ccy,Conv)</f>
        <v>2003</v>
      </c>
      <c r="L300" s="18">
        <f>_xll.ciqfunctions.udf.CIQ($C$2, "IQ_CASH_INTEREST", L$6,$F$2,,,Ccy,Conv)</f>
        <v>2090</v>
      </c>
      <c r="M300" s="18">
        <f>_xll.ciqfunctions.udf.CIQ($C$2, "IQ_CASH_INTEREST", M$6,$F$2,,,Ccy,Conv)</f>
        <v>2161</v>
      </c>
      <c r="N300" s="18">
        <f>_xll.ciqfunctions.udf.CIQ($C$2, "IQ_CASH_INTEREST", N$6,$F$2,,,Ccy,Conv)</f>
        <v>2042</v>
      </c>
      <c r="O300" s="18"/>
      <c r="P300" s="18">
        <f>_xll.ciqfunctions.udf.CIQ($C$2, "IQ_CASH_INTEREST", P$6,$F$2,,,Ccy,Conv)</f>
        <v>2042</v>
      </c>
      <c r="Q300" s="238"/>
      <c r="R300" s="215"/>
      <c r="S300" s="215"/>
      <c r="T300" s="215"/>
      <c r="U300" s="215"/>
      <c r="V300" s="222"/>
      <c r="W300" s="222"/>
      <c r="X300" s="222"/>
      <c r="Y300" s="215"/>
      <c r="Z300" s="215"/>
      <c r="AA300" s="215"/>
      <c r="AB300" s="215"/>
      <c r="AC300" s="215"/>
      <c r="AD300" s="215"/>
      <c r="AE300" s="215"/>
      <c r="AF300" s="215"/>
      <c r="AG300" s="215"/>
      <c r="AH300" s="215"/>
      <c r="AI300" s="215"/>
      <c r="AJ300" s="215"/>
      <c r="AK300" s="215"/>
      <c r="AL300" s="215"/>
      <c r="AM300" s="215"/>
      <c r="AN300" s="215"/>
      <c r="AO300" s="215"/>
      <c r="AP300" s="215"/>
      <c r="AQ300" s="215"/>
      <c r="AR300" s="215"/>
      <c r="AS300" s="215"/>
      <c r="AT300" s="215"/>
      <c r="AU300" s="215"/>
      <c r="AV300" s="215"/>
      <c r="AW300" s="215"/>
      <c r="AX300" s="215"/>
      <c r="AY300" s="215"/>
      <c r="AZ300" s="215"/>
      <c r="BA300" s="215"/>
      <c r="BB300" s="215"/>
      <c r="BC300" s="215"/>
      <c r="BD300" s="215"/>
      <c r="BE300" s="215"/>
      <c r="BF300" s="215"/>
      <c r="BG300" s="215"/>
      <c r="BH300" s="215"/>
      <c r="BI300" s="215"/>
      <c r="BJ300" s="215"/>
      <c r="BK300" s="215"/>
      <c r="BL300" s="215"/>
      <c r="BM300" s="215"/>
      <c r="BN300" s="215"/>
      <c r="BO300" s="215"/>
      <c r="BP300" s="215"/>
      <c r="BQ300" s="215"/>
      <c r="BR300" s="215"/>
      <c r="BS300" s="215"/>
      <c r="BT300" s="215"/>
      <c r="BU300" s="215"/>
      <c r="BV300" s="215"/>
      <c r="BW300" s="215"/>
      <c r="BX300" s="215"/>
      <c r="BY300" s="215"/>
      <c r="BZ300" s="215"/>
    </row>
    <row r="301" spans="1:78" x14ac:dyDescent="0.2">
      <c r="A301" s="2" t="str">
        <f>'Language Index'!A276</f>
        <v>Cash Interest Paid Net of Interest Received</v>
      </c>
      <c r="B301" s="17"/>
      <c r="C301" s="17"/>
      <c r="D301" s="18">
        <f>_xll.ciqfunctions.udf.CIQ($C$2, "IQ_CASH_INTEREST_NET", D$6,$F$2,,,Ccy,Conv)</f>
        <v>0</v>
      </c>
      <c r="E301" s="18">
        <f>_xll.ciqfunctions.udf.CIQ($C$2, "IQ_CASH_INTEREST_NET", E$6,$F$2,,,Ccy,Conv)</f>
        <v>0</v>
      </c>
      <c r="F301" s="18">
        <f>_xll.ciqfunctions.udf.CIQ($C$2, "IQ_CASH_INTEREST_NET", F$6,$F$2,,,Ccy,Conv)</f>
        <v>0</v>
      </c>
      <c r="G301" s="18">
        <f>_xll.ciqfunctions.udf.CIQ($C$2, "IQ_CASH_INTEREST_NET", G$6,$F$2,,,Ccy,Conv)</f>
        <v>0</v>
      </c>
      <c r="H301" s="18">
        <f>_xll.ciqfunctions.udf.CIQ($C$2, "IQ_CASH_INTEREST_NET", H$6,$F$2,,,Ccy,Conv)</f>
        <v>0</v>
      </c>
      <c r="I301" s="18">
        <f>_xll.ciqfunctions.udf.CIQ($C$2, "IQ_CASH_INTEREST_NET", I$6,$F$2,,,Ccy,Conv)</f>
        <v>0</v>
      </c>
      <c r="J301" s="18">
        <f>_xll.ciqfunctions.udf.CIQ($C$2, "IQ_CASH_INTEREST_NET", J$6,$F$2,,,Ccy,Conv)</f>
        <v>0</v>
      </c>
      <c r="K301" s="18">
        <f>_xll.ciqfunctions.udf.CIQ($C$2, "IQ_CASH_INTEREST_NET", K$6,$F$2,,,Ccy,Conv)</f>
        <v>0</v>
      </c>
      <c r="L301" s="18">
        <f>_xll.ciqfunctions.udf.CIQ($C$2, "IQ_CASH_INTEREST_NET", L$6,$F$2,,,Ccy,Conv)</f>
        <v>0</v>
      </c>
      <c r="M301" s="18">
        <f>_xll.ciqfunctions.udf.CIQ($C$2, "IQ_CASH_INTEREST_NET", M$6,$F$2,,,Ccy,Conv)</f>
        <v>0</v>
      </c>
      <c r="N301" s="18">
        <f>_xll.ciqfunctions.udf.CIQ($C$2, "IQ_CASH_INTEREST_NET", N$6,$F$2,,,Ccy,Conv)</f>
        <v>0</v>
      </c>
      <c r="O301" s="18"/>
      <c r="P301" s="18">
        <f>_xll.ciqfunctions.udf.CIQ($C$2, "IQ_CASH_INTEREST_NET", P$6,$F$2,,,Ccy,Conv)</f>
        <v>0</v>
      </c>
      <c r="Q301" s="238"/>
      <c r="R301" s="215"/>
      <c r="S301" s="215"/>
      <c r="T301" s="215"/>
      <c r="U301" s="215"/>
      <c r="V301" s="222"/>
      <c r="W301" s="222"/>
      <c r="X301" s="222"/>
      <c r="Y301" s="215"/>
      <c r="Z301" s="215"/>
      <c r="AA301" s="215"/>
      <c r="AB301" s="215"/>
      <c r="AC301" s="215"/>
      <c r="AD301" s="215"/>
      <c r="AE301" s="215"/>
      <c r="AF301" s="215"/>
      <c r="AG301" s="215"/>
      <c r="AH301" s="215"/>
      <c r="AI301" s="215"/>
      <c r="AJ301" s="215"/>
      <c r="AK301" s="215"/>
      <c r="AL301" s="215"/>
      <c r="AM301" s="215"/>
      <c r="AN301" s="215"/>
      <c r="AO301" s="215"/>
      <c r="AP301" s="215"/>
      <c r="AQ301" s="215"/>
      <c r="AR301" s="215"/>
      <c r="AS301" s="215"/>
      <c r="AT301" s="215"/>
      <c r="AU301" s="215"/>
      <c r="AV301" s="215"/>
      <c r="AW301" s="215"/>
      <c r="AX301" s="215"/>
      <c r="AY301" s="215"/>
      <c r="AZ301" s="215"/>
      <c r="BA301" s="215"/>
      <c r="BB301" s="215"/>
      <c r="BC301" s="215"/>
      <c r="BD301" s="215"/>
      <c r="BE301" s="215"/>
      <c r="BF301" s="215"/>
      <c r="BG301" s="215"/>
      <c r="BH301" s="215"/>
      <c r="BI301" s="215"/>
      <c r="BJ301" s="215"/>
      <c r="BK301" s="215"/>
      <c r="BL301" s="215"/>
      <c r="BM301" s="215"/>
      <c r="BN301" s="215"/>
      <c r="BO301" s="215"/>
      <c r="BP301" s="215"/>
      <c r="BQ301" s="215"/>
      <c r="BR301" s="215"/>
      <c r="BS301" s="215"/>
      <c r="BT301" s="215"/>
      <c r="BU301" s="215"/>
      <c r="BV301" s="215"/>
      <c r="BW301" s="215"/>
      <c r="BX301" s="215"/>
      <c r="BY301" s="215"/>
      <c r="BZ301" s="215"/>
    </row>
    <row r="302" spans="1:78" x14ac:dyDescent="0.2">
      <c r="A302" s="2" t="str">
        <f>'Language Index'!A277</f>
        <v>Cash Dividend and Interest Received</v>
      </c>
      <c r="B302" s="17"/>
      <c r="C302" s="17"/>
      <c r="D302" s="18">
        <f>_xll.ciqfunctions.udf.CIQ($C$2, "IQ_CASH_INTEREST_RECEIVED", D$6,$F$2,,,Ccy,Conv)</f>
        <v>0</v>
      </c>
      <c r="E302" s="18">
        <f>_xll.ciqfunctions.udf.CIQ($C$2, "IQ_CASH_INTEREST_RECEIVED", E$6,$F$2,,,Ccy,Conv)</f>
        <v>0</v>
      </c>
      <c r="F302" s="18">
        <f>_xll.ciqfunctions.udf.CIQ($C$2, "IQ_CASH_INTEREST_RECEIVED", F$6,$F$2,,,Ccy,Conv)</f>
        <v>0</v>
      </c>
      <c r="G302" s="18">
        <f>_xll.ciqfunctions.udf.CIQ($C$2, "IQ_CASH_INTEREST_RECEIVED", G$6,$F$2,,,Ccy,Conv)</f>
        <v>0</v>
      </c>
      <c r="H302" s="18">
        <f>_xll.ciqfunctions.udf.CIQ($C$2, "IQ_CASH_INTEREST_RECEIVED", H$6,$F$2,,,Ccy,Conv)</f>
        <v>0</v>
      </c>
      <c r="I302" s="18">
        <f>_xll.ciqfunctions.udf.CIQ($C$2, "IQ_CASH_INTEREST_RECEIVED", I$6,$F$2,,,Ccy,Conv)</f>
        <v>0</v>
      </c>
      <c r="J302" s="18">
        <f>_xll.ciqfunctions.udf.CIQ($C$2, "IQ_CASH_INTEREST_RECEIVED", J$6,$F$2,,,Ccy,Conv)</f>
        <v>0</v>
      </c>
      <c r="K302" s="18">
        <f>_xll.ciqfunctions.udf.CIQ($C$2, "IQ_CASH_INTEREST_RECEIVED", K$6,$F$2,,,Ccy,Conv)</f>
        <v>0</v>
      </c>
      <c r="L302" s="18">
        <f>_xll.ciqfunctions.udf.CIQ($C$2, "IQ_CASH_INTEREST_RECEIVED", L$6,$F$2,,,Ccy,Conv)</f>
        <v>0</v>
      </c>
      <c r="M302" s="18">
        <f>_xll.ciqfunctions.udf.CIQ($C$2, "IQ_CASH_INTEREST_RECEIVED", M$6,$F$2,,,Ccy,Conv)</f>
        <v>0</v>
      </c>
      <c r="N302" s="18">
        <f>_xll.ciqfunctions.udf.CIQ($C$2, "IQ_CASH_INTEREST_RECEIVED", N$6,$F$2,,,Ccy,Conv)</f>
        <v>0</v>
      </c>
      <c r="O302" s="18"/>
      <c r="P302" s="18">
        <f>_xll.ciqfunctions.udf.CIQ($C$2, "IQ_CASH_INTEREST_RECEIVED", P$6,$F$2,,,Ccy,Conv)</f>
        <v>0</v>
      </c>
      <c r="Q302" s="238"/>
      <c r="R302" s="215"/>
      <c r="S302" s="215"/>
      <c r="T302" s="215"/>
      <c r="U302" s="215"/>
      <c r="V302" s="222"/>
      <c r="W302" s="222"/>
      <c r="X302" s="222"/>
      <c r="Y302" s="215"/>
      <c r="Z302" s="215"/>
      <c r="AA302" s="215"/>
      <c r="AB302" s="215"/>
      <c r="AC302" s="215"/>
      <c r="AD302" s="215"/>
      <c r="AE302" s="215"/>
      <c r="AF302" s="215"/>
      <c r="AG302" s="215"/>
      <c r="AH302" s="215"/>
      <c r="AI302" s="215"/>
      <c r="AJ302" s="215"/>
      <c r="AK302" s="215"/>
      <c r="AL302" s="215"/>
      <c r="AM302" s="215"/>
      <c r="AN302" s="215"/>
      <c r="AO302" s="215"/>
      <c r="AP302" s="215"/>
      <c r="AQ302" s="215"/>
      <c r="AR302" s="215"/>
      <c r="AS302" s="215"/>
      <c r="AT302" s="215"/>
      <c r="AU302" s="215"/>
      <c r="AV302" s="215"/>
      <c r="AW302" s="215"/>
      <c r="AX302" s="215"/>
      <c r="AY302" s="215"/>
      <c r="AZ302" s="215"/>
      <c r="BA302" s="215"/>
      <c r="BB302" s="215"/>
      <c r="BC302" s="215"/>
      <c r="BD302" s="215"/>
      <c r="BE302" s="215"/>
      <c r="BF302" s="215"/>
      <c r="BG302" s="215"/>
      <c r="BH302" s="215"/>
      <c r="BI302" s="215"/>
      <c r="BJ302" s="215"/>
      <c r="BK302" s="215"/>
      <c r="BL302" s="215"/>
      <c r="BM302" s="215"/>
      <c r="BN302" s="215"/>
      <c r="BO302" s="215"/>
      <c r="BP302" s="215"/>
      <c r="BQ302" s="215"/>
      <c r="BR302" s="215"/>
      <c r="BS302" s="215"/>
      <c r="BT302" s="215"/>
      <c r="BU302" s="215"/>
      <c r="BV302" s="215"/>
      <c r="BW302" s="215"/>
      <c r="BX302" s="215"/>
      <c r="BY302" s="215"/>
      <c r="BZ302" s="215"/>
    </row>
    <row r="303" spans="1:78" x14ac:dyDescent="0.2">
      <c r="A303" s="2" t="str">
        <f>'Language Index'!A278</f>
        <v>Cash Interest Paid - Operating Activities</v>
      </c>
      <c r="B303" s="17"/>
      <c r="C303" s="17"/>
      <c r="D303" s="18">
        <f>_xll.ciqfunctions.udf.CIQ($C$2, "IQ_CASH_INTEREST_OPER", D$6,$F$2,,,Ccy,Conv)</f>
        <v>0</v>
      </c>
      <c r="E303" s="18">
        <f>_xll.ciqfunctions.udf.CIQ($C$2, "IQ_CASH_INTEREST_OPER", E$6,$F$2,,,Ccy,Conv)</f>
        <v>0</v>
      </c>
      <c r="F303" s="18">
        <f>_xll.ciqfunctions.udf.CIQ($C$2, "IQ_CASH_INTEREST_OPER", F$6,$F$2,,,Ccy,Conv)</f>
        <v>0</v>
      </c>
      <c r="G303" s="18">
        <f>_xll.ciqfunctions.udf.CIQ($C$2, "IQ_CASH_INTEREST_OPER", G$6,$F$2,,,Ccy,Conv)</f>
        <v>0</v>
      </c>
      <c r="H303" s="18">
        <f>_xll.ciqfunctions.udf.CIQ($C$2, "IQ_CASH_INTEREST_OPER", H$6,$F$2,,,Ccy,Conv)</f>
        <v>0</v>
      </c>
      <c r="I303" s="18">
        <f>_xll.ciqfunctions.udf.CIQ($C$2, "IQ_CASH_INTEREST_OPER", I$6,$F$2,,,Ccy,Conv)</f>
        <v>0</v>
      </c>
      <c r="J303" s="18">
        <f>_xll.ciqfunctions.udf.CIQ($C$2, "IQ_CASH_INTEREST_OPER", J$6,$F$2,,,Ccy,Conv)</f>
        <v>0</v>
      </c>
      <c r="K303" s="18">
        <f>_xll.ciqfunctions.udf.CIQ($C$2, "IQ_CASH_INTEREST_OPER", K$6,$F$2,,,Ccy,Conv)</f>
        <v>0</v>
      </c>
      <c r="L303" s="18">
        <f>_xll.ciqfunctions.udf.CIQ($C$2, "IQ_CASH_INTEREST_OPER", L$6,$F$2,,,Ccy,Conv)</f>
        <v>0</v>
      </c>
      <c r="M303" s="18">
        <f>_xll.ciqfunctions.udf.CIQ($C$2, "IQ_CASH_INTEREST_OPER", M$6,$F$2,,,Ccy,Conv)</f>
        <v>0</v>
      </c>
      <c r="N303" s="18">
        <f>_xll.ciqfunctions.udf.CIQ($C$2, "IQ_CASH_INTEREST_OPER", N$6,$F$2,,,Ccy,Conv)</f>
        <v>0</v>
      </c>
      <c r="O303" s="18"/>
      <c r="P303" s="18">
        <f>_xll.ciqfunctions.udf.CIQ($C$2, "IQ_CASH_INTEREST_OPER", P$6,$F$2,,,Ccy,Conv)</f>
        <v>0</v>
      </c>
      <c r="Q303" s="238"/>
      <c r="R303" s="215"/>
      <c r="S303" s="215"/>
      <c r="T303" s="215"/>
      <c r="U303" s="215"/>
      <c r="V303" s="222"/>
      <c r="W303" s="222"/>
      <c r="X303" s="222"/>
      <c r="Y303" s="215"/>
      <c r="Z303" s="215"/>
      <c r="AA303" s="215"/>
      <c r="AB303" s="215"/>
      <c r="AC303" s="215"/>
      <c r="AD303" s="215"/>
      <c r="AE303" s="215"/>
      <c r="AF303" s="215"/>
      <c r="AG303" s="215"/>
      <c r="AH303" s="215"/>
      <c r="AI303" s="215"/>
      <c r="AJ303" s="215"/>
      <c r="AK303" s="215"/>
      <c r="AL303" s="215"/>
      <c r="AM303" s="215"/>
      <c r="AN303" s="215"/>
      <c r="AO303" s="215"/>
      <c r="AP303" s="215"/>
      <c r="AQ303" s="215"/>
      <c r="AR303" s="215"/>
      <c r="AS303" s="215"/>
      <c r="AT303" s="215"/>
      <c r="AU303" s="215"/>
      <c r="AV303" s="215"/>
      <c r="AW303" s="215"/>
      <c r="AX303" s="215"/>
      <c r="AY303" s="215"/>
      <c r="AZ303" s="215"/>
      <c r="BA303" s="215"/>
      <c r="BB303" s="215"/>
      <c r="BC303" s="215"/>
      <c r="BD303" s="215"/>
      <c r="BE303" s="215"/>
      <c r="BF303" s="215"/>
      <c r="BG303" s="215"/>
      <c r="BH303" s="215"/>
      <c r="BI303" s="215"/>
      <c r="BJ303" s="215"/>
      <c r="BK303" s="215"/>
      <c r="BL303" s="215"/>
      <c r="BM303" s="215"/>
      <c r="BN303" s="215"/>
      <c r="BO303" s="215"/>
      <c r="BP303" s="215"/>
      <c r="BQ303" s="215"/>
      <c r="BR303" s="215"/>
      <c r="BS303" s="215"/>
      <c r="BT303" s="215"/>
      <c r="BU303" s="215"/>
      <c r="BV303" s="215"/>
      <c r="BW303" s="215"/>
      <c r="BX303" s="215"/>
      <c r="BY303" s="215"/>
      <c r="BZ303" s="215"/>
    </row>
    <row r="304" spans="1:78" x14ac:dyDescent="0.2">
      <c r="A304" s="2" t="str">
        <f>'Language Index'!A279</f>
        <v>Cash Interest Paid - Investing Activities</v>
      </c>
      <c r="B304" s="17"/>
      <c r="C304" s="17"/>
      <c r="D304" s="18">
        <f>_xll.ciqfunctions.udf.CIQ($C$2, "IQ_CASH_INTEREST_INVEST", D$6,$F$2,,,Ccy,Conv)</f>
        <v>0</v>
      </c>
      <c r="E304" s="18">
        <f>_xll.ciqfunctions.udf.CIQ($C$2, "IQ_CASH_INTEREST_INVEST", E$6,$F$2,,,Ccy,Conv)</f>
        <v>0</v>
      </c>
      <c r="F304" s="18">
        <f>_xll.ciqfunctions.udf.CIQ($C$2, "IQ_CASH_INTEREST_INVEST", F$6,$F$2,,,Ccy,Conv)</f>
        <v>0</v>
      </c>
      <c r="G304" s="18">
        <f>_xll.ciqfunctions.udf.CIQ($C$2, "IQ_CASH_INTEREST_INVEST", G$6,$F$2,,,Ccy,Conv)</f>
        <v>0</v>
      </c>
      <c r="H304" s="18">
        <f>_xll.ciqfunctions.udf.CIQ($C$2, "IQ_CASH_INTEREST_INVEST", H$6,$F$2,,,Ccy,Conv)</f>
        <v>0</v>
      </c>
      <c r="I304" s="18">
        <f>_xll.ciqfunctions.udf.CIQ($C$2, "IQ_CASH_INTEREST_INVEST", I$6,$F$2,,,Ccy,Conv)</f>
        <v>0</v>
      </c>
      <c r="J304" s="18">
        <f>_xll.ciqfunctions.udf.CIQ($C$2, "IQ_CASH_INTEREST_INVEST", J$6,$F$2,,,Ccy,Conv)</f>
        <v>0</v>
      </c>
      <c r="K304" s="18">
        <f>_xll.ciqfunctions.udf.CIQ($C$2, "IQ_CASH_INTEREST_INVEST", K$6,$F$2,,,Ccy,Conv)</f>
        <v>0</v>
      </c>
      <c r="L304" s="18">
        <f>_xll.ciqfunctions.udf.CIQ($C$2, "IQ_CASH_INTEREST_INVEST", L$6,$F$2,,,Ccy,Conv)</f>
        <v>0</v>
      </c>
      <c r="M304" s="18">
        <f>_xll.ciqfunctions.udf.CIQ($C$2, "IQ_CASH_INTEREST_INVEST", M$6,$F$2,,,Ccy,Conv)</f>
        <v>0</v>
      </c>
      <c r="N304" s="18">
        <f>_xll.ciqfunctions.udf.CIQ($C$2, "IQ_CASH_INTEREST_INVEST", N$6,$F$2,,,Ccy,Conv)</f>
        <v>0</v>
      </c>
      <c r="O304" s="18"/>
      <c r="P304" s="18">
        <f>_xll.ciqfunctions.udf.CIQ($C$2, "IQ_CASH_INTEREST_INVEST", P$6,$F$2,,,Ccy,Conv)</f>
        <v>0</v>
      </c>
      <c r="Q304" s="238"/>
      <c r="R304" s="215"/>
      <c r="S304" s="215"/>
      <c r="T304" s="215"/>
      <c r="U304" s="215"/>
      <c r="V304" s="222"/>
      <c r="W304" s="222"/>
      <c r="X304" s="222"/>
      <c r="Y304" s="215"/>
      <c r="Z304" s="215"/>
      <c r="AA304" s="215"/>
      <c r="AB304" s="215"/>
      <c r="AC304" s="215"/>
      <c r="AD304" s="215"/>
      <c r="AE304" s="215"/>
      <c r="AF304" s="215"/>
      <c r="AG304" s="215"/>
      <c r="AH304" s="215"/>
      <c r="AI304" s="215"/>
      <c r="AJ304" s="215"/>
      <c r="AK304" s="215"/>
      <c r="AL304" s="215"/>
      <c r="AM304" s="215"/>
      <c r="AN304" s="215"/>
      <c r="AO304" s="215"/>
      <c r="AP304" s="215"/>
      <c r="AQ304" s="215"/>
      <c r="AR304" s="215"/>
      <c r="AS304" s="215"/>
      <c r="AT304" s="215"/>
      <c r="AU304" s="215"/>
      <c r="AV304" s="215"/>
      <c r="AW304" s="215"/>
      <c r="AX304" s="215"/>
      <c r="AY304" s="215"/>
      <c r="AZ304" s="215"/>
      <c r="BA304" s="215"/>
      <c r="BB304" s="215"/>
      <c r="BC304" s="215"/>
      <c r="BD304" s="215"/>
      <c r="BE304" s="215"/>
      <c r="BF304" s="215"/>
      <c r="BG304" s="215"/>
      <c r="BH304" s="215"/>
      <c r="BI304" s="215"/>
      <c r="BJ304" s="215"/>
      <c r="BK304" s="215"/>
      <c r="BL304" s="215"/>
      <c r="BM304" s="215"/>
      <c r="BN304" s="215"/>
      <c r="BO304" s="215"/>
      <c r="BP304" s="215"/>
      <c r="BQ304" s="215"/>
      <c r="BR304" s="215"/>
      <c r="BS304" s="215"/>
      <c r="BT304" s="215"/>
      <c r="BU304" s="215"/>
      <c r="BV304" s="215"/>
      <c r="BW304" s="215"/>
      <c r="BX304" s="215"/>
      <c r="BY304" s="215"/>
      <c r="BZ304" s="215"/>
    </row>
    <row r="305" spans="1:78" x14ac:dyDescent="0.2">
      <c r="A305" s="2" t="str">
        <f>'Language Index'!A280</f>
        <v>Cash Interest Paid - Financing Activities</v>
      </c>
      <c r="B305" s="17"/>
      <c r="C305" s="17"/>
      <c r="D305" s="18">
        <f>_xll.ciqfunctions.udf.CIQ($C$2, "IQ_CASH_INTEREST_FINAN", D$6,$F$2,,,Ccy,Conv)</f>
        <v>0</v>
      </c>
      <c r="E305" s="18">
        <f>_xll.ciqfunctions.udf.CIQ($C$2, "IQ_CASH_INTEREST_FINAN", E$6,$F$2,,,Ccy,Conv)</f>
        <v>0</v>
      </c>
      <c r="F305" s="18">
        <f>_xll.ciqfunctions.udf.CIQ($C$2, "IQ_CASH_INTEREST_FINAN", F$6,$F$2,,,Ccy,Conv)</f>
        <v>0</v>
      </c>
      <c r="G305" s="18">
        <f>_xll.ciqfunctions.udf.CIQ($C$2, "IQ_CASH_INTEREST_FINAN", G$6,$F$2,,,Ccy,Conv)</f>
        <v>0</v>
      </c>
      <c r="H305" s="18">
        <f>_xll.ciqfunctions.udf.CIQ($C$2, "IQ_CASH_INTEREST_FINAN", H$6,$F$2,,,Ccy,Conv)</f>
        <v>0</v>
      </c>
      <c r="I305" s="18">
        <f>_xll.ciqfunctions.udf.CIQ($C$2, "IQ_CASH_INTEREST_FINAN", I$6,$F$2,,,Ccy,Conv)</f>
        <v>0</v>
      </c>
      <c r="J305" s="18">
        <f>_xll.ciqfunctions.udf.CIQ($C$2, "IQ_CASH_INTEREST_FINAN", J$6,$F$2,,,Ccy,Conv)</f>
        <v>0</v>
      </c>
      <c r="K305" s="18">
        <f>_xll.ciqfunctions.udf.CIQ($C$2, "IQ_CASH_INTEREST_FINAN", K$6,$F$2,,,Ccy,Conv)</f>
        <v>0</v>
      </c>
      <c r="L305" s="18">
        <f>_xll.ciqfunctions.udf.CIQ($C$2, "IQ_CASH_INTEREST_FINAN", L$6,$F$2,,,Ccy,Conv)</f>
        <v>0</v>
      </c>
      <c r="M305" s="18">
        <f>_xll.ciqfunctions.udf.CIQ($C$2, "IQ_CASH_INTEREST_FINAN", M$6,$F$2,,,Ccy,Conv)</f>
        <v>0</v>
      </c>
      <c r="N305" s="18">
        <f>_xll.ciqfunctions.udf.CIQ($C$2, "IQ_CASH_INTEREST_FINAN", N$6,$F$2,,,Ccy,Conv)</f>
        <v>0</v>
      </c>
      <c r="O305" s="18"/>
      <c r="P305" s="18">
        <f>_xll.ciqfunctions.udf.CIQ($C$2, "IQ_CASH_INTEREST_FINAN", P$6,$F$2,,,Ccy,Conv)</f>
        <v>0</v>
      </c>
      <c r="Q305" s="238"/>
      <c r="R305" s="215"/>
      <c r="S305" s="215"/>
      <c r="T305" s="215"/>
      <c r="U305" s="215"/>
      <c r="V305" s="222"/>
      <c r="W305" s="222"/>
      <c r="X305" s="222"/>
      <c r="Y305" s="215"/>
      <c r="Z305" s="215"/>
      <c r="AA305" s="215"/>
      <c r="AB305" s="215"/>
      <c r="AC305" s="215"/>
      <c r="AD305" s="215"/>
      <c r="AE305" s="215"/>
      <c r="AF305" s="215"/>
      <c r="AG305" s="215"/>
      <c r="AH305" s="215"/>
      <c r="AI305" s="215"/>
      <c r="AJ305" s="215"/>
      <c r="AK305" s="215"/>
      <c r="AL305" s="215"/>
      <c r="AM305" s="215"/>
      <c r="AN305" s="215"/>
      <c r="AO305" s="215"/>
      <c r="AP305" s="215"/>
      <c r="AQ305" s="215"/>
      <c r="AR305" s="215"/>
      <c r="AS305" s="215"/>
      <c r="AT305" s="215"/>
      <c r="AU305" s="215"/>
      <c r="AV305" s="215"/>
      <c r="AW305" s="215"/>
      <c r="AX305" s="215"/>
      <c r="AY305" s="215"/>
      <c r="AZ305" s="215"/>
      <c r="BA305" s="215"/>
      <c r="BB305" s="215"/>
      <c r="BC305" s="215"/>
      <c r="BD305" s="215"/>
      <c r="BE305" s="215"/>
      <c r="BF305" s="215"/>
      <c r="BG305" s="215"/>
      <c r="BH305" s="215"/>
      <c r="BI305" s="215"/>
      <c r="BJ305" s="215"/>
      <c r="BK305" s="215"/>
      <c r="BL305" s="215"/>
      <c r="BM305" s="215"/>
      <c r="BN305" s="215"/>
      <c r="BO305" s="215"/>
      <c r="BP305" s="215"/>
      <c r="BQ305" s="215"/>
      <c r="BR305" s="215"/>
      <c r="BS305" s="215"/>
      <c r="BT305" s="215"/>
      <c r="BU305" s="215"/>
      <c r="BV305" s="215"/>
      <c r="BW305" s="215"/>
      <c r="BX305" s="215"/>
      <c r="BY305" s="215"/>
      <c r="BZ305" s="215"/>
    </row>
    <row r="306" spans="1:78" x14ac:dyDescent="0.2">
      <c r="A306" s="2" t="str">
        <f>'Language Index'!A281</f>
        <v>Cash Taxes Paid</v>
      </c>
      <c r="B306" s="17"/>
      <c r="C306" s="17"/>
      <c r="D306" s="18">
        <f>_xll.ciqfunctions.udf.CIQ($C$2, "IQ_CASH_TAXES", D$6,$F$2,,,Ccy,Conv)</f>
        <v>1865</v>
      </c>
      <c r="E306" s="18">
        <f>_xll.ciqfunctions.udf.CIQ($C$2, "IQ_CASH_TAXES", E$6,$F$2,,,Ccy,Conv)</f>
        <v>1865</v>
      </c>
      <c r="F306" s="18">
        <f>_xll.ciqfunctions.udf.CIQ($C$2, "IQ_CASH_TAXES", F$6,$F$2,,,Ccy,Conv)</f>
        <v>1564</v>
      </c>
      <c r="G306" s="18">
        <f>_xll.ciqfunctions.udf.CIQ($C$2, "IQ_CASH_TAXES", G$6,$F$2,,,Ccy,Conv)</f>
        <v>1564</v>
      </c>
      <c r="H306" s="18">
        <f>_xll.ciqfunctions.udf.CIQ($C$2, "IQ_CASH_TAXES", H$6,$F$2,,,Ccy,Conv)</f>
        <v>1564</v>
      </c>
      <c r="I306" s="18">
        <f>_xll.ciqfunctions.udf.CIQ($C$2, "IQ_CASH_TAXES", I$6,$F$2,,,Ccy,Conv)</f>
        <v>1564</v>
      </c>
      <c r="J306" s="18">
        <f>_xll.ciqfunctions.udf.CIQ($C$2, "IQ_CASH_TAXES", J$6,$F$2,,,Ccy,Conv)</f>
        <v>1723</v>
      </c>
      <c r="K306" s="18">
        <f>_xll.ciqfunctions.udf.CIQ($C$2, "IQ_CASH_TAXES", K$6,$F$2,,,Ccy,Conv)</f>
        <v>1723</v>
      </c>
      <c r="L306" s="18">
        <f>_xll.ciqfunctions.udf.CIQ($C$2, "IQ_CASH_TAXES", L$6,$F$2,,,Ccy,Conv)</f>
        <v>1723</v>
      </c>
      <c r="M306" s="18">
        <f>_xll.ciqfunctions.udf.CIQ($C$2, "IQ_CASH_TAXES", M$6,$F$2,,,Ccy,Conv)</f>
        <v>1723</v>
      </c>
      <c r="N306" s="18">
        <f>_xll.ciqfunctions.udf.CIQ($C$2, "IQ_CASH_TAXES", N$6,$F$2,,,Ccy,Conv)</f>
        <v>1948</v>
      </c>
      <c r="O306" s="18"/>
      <c r="P306" s="18">
        <f>_xll.ciqfunctions.udf.CIQ($C$2, "IQ_CASH_TAXES", P$6,$F$2,,,Ccy,Conv)</f>
        <v>1948</v>
      </c>
      <c r="Q306" s="238"/>
      <c r="R306" s="215"/>
      <c r="S306" s="215"/>
      <c r="T306" s="215"/>
      <c r="U306" s="215"/>
      <c r="V306" s="222"/>
      <c r="W306" s="222"/>
      <c r="X306" s="222"/>
      <c r="Y306" s="215"/>
      <c r="Z306" s="215"/>
      <c r="AA306" s="215"/>
      <c r="AB306" s="215"/>
      <c r="AC306" s="215"/>
      <c r="AD306" s="215"/>
      <c r="AE306" s="215"/>
      <c r="AF306" s="215"/>
      <c r="AG306" s="215"/>
      <c r="AH306" s="215"/>
      <c r="AI306" s="215"/>
      <c r="AJ306" s="215"/>
      <c r="AK306" s="215"/>
      <c r="AL306" s="215"/>
      <c r="AM306" s="215"/>
      <c r="AN306" s="215"/>
      <c r="AO306" s="215"/>
      <c r="AP306" s="215"/>
      <c r="AQ306" s="215"/>
      <c r="AR306" s="215"/>
      <c r="AS306" s="215"/>
      <c r="AT306" s="215"/>
      <c r="AU306" s="215"/>
      <c r="AV306" s="215"/>
      <c r="AW306" s="215"/>
      <c r="AX306" s="215"/>
      <c r="AY306" s="215"/>
      <c r="AZ306" s="215"/>
      <c r="BA306" s="215"/>
      <c r="BB306" s="215"/>
      <c r="BC306" s="215"/>
      <c r="BD306" s="215"/>
      <c r="BE306" s="215"/>
      <c r="BF306" s="215"/>
      <c r="BG306" s="215"/>
      <c r="BH306" s="215"/>
      <c r="BI306" s="215"/>
      <c r="BJ306" s="215"/>
      <c r="BK306" s="215"/>
      <c r="BL306" s="215"/>
      <c r="BM306" s="215"/>
      <c r="BN306" s="215"/>
      <c r="BO306" s="215"/>
      <c r="BP306" s="215"/>
      <c r="BQ306" s="215"/>
      <c r="BR306" s="215"/>
      <c r="BS306" s="215"/>
      <c r="BT306" s="215"/>
      <c r="BU306" s="215"/>
      <c r="BV306" s="215"/>
      <c r="BW306" s="215"/>
      <c r="BX306" s="215"/>
      <c r="BY306" s="215"/>
      <c r="BZ306" s="215"/>
    </row>
    <row r="307" spans="1:78" x14ac:dyDescent="0.2">
      <c r="A307" s="2" t="str">
        <f>'Language Index'!A282</f>
        <v>Cash Taxes Paid - Operating Activities</v>
      </c>
      <c r="B307" s="17"/>
      <c r="C307" s="17"/>
      <c r="D307" s="18">
        <f>_xll.ciqfunctions.udf.CIQ($C$2, "IQ_CASH_TAXES_OPER", D$6,$F$2,,,Ccy,Conv)</f>
        <v>0</v>
      </c>
      <c r="E307" s="18">
        <f>_xll.ciqfunctions.udf.CIQ($C$2, "IQ_CASH_TAXES_OPER", E$6,$F$2,,,Ccy,Conv)</f>
        <v>0</v>
      </c>
      <c r="F307" s="18">
        <f>_xll.ciqfunctions.udf.CIQ($C$2, "IQ_CASH_TAXES_OPER", F$6,$F$2,,,Ccy,Conv)</f>
        <v>0</v>
      </c>
      <c r="G307" s="18">
        <f>_xll.ciqfunctions.udf.CIQ($C$2, "IQ_CASH_TAXES_OPER", G$6,$F$2,,,Ccy,Conv)</f>
        <v>0</v>
      </c>
      <c r="H307" s="18">
        <f>_xll.ciqfunctions.udf.CIQ($C$2, "IQ_CASH_TAXES_OPER", H$6,$F$2,,,Ccy,Conv)</f>
        <v>0</v>
      </c>
      <c r="I307" s="18">
        <f>_xll.ciqfunctions.udf.CIQ($C$2, "IQ_CASH_TAXES_OPER", I$6,$F$2,,,Ccy,Conv)</f>
        <v>0</v>
      </c>
      <c r="J307" s="18">
        <f>_xll.ciqfunctions.udf.CIQ($C$2, "IQ_CASH_TAXES_OPER", J$6,$F$2,,,Ccy,Conv)</f>
        <v>0</v>
      </c>
      <c r="K307" s="18">
        <f>_xll.ciqfunctions.udf.CIQ($C$2, "IQ_CASH_TAXES_OPER", K$6,$F$2,,,Ccy,Conv)</f>
        <v>0</v>
      </c>
      <c r="L307" s="18">
        <f>_xll.ciqfunctions.udf.CIQ($C$2, "IQ_CASH_TAXES_OPER", L$6,$F$2,,,Ccy,Conv)</f>
        <v>0</v>
      </c>
      <c r="M307" s="18">
        <f>_xll.ciqfunctions.udf.CIQ($C$2, "IQ_CASH_TAXES_OPER", M$6,$F$2,,,Ccy,Conv)</f>
        <v>0</v>
      </c>
      <c r="N307" s="18">
        <f>_xll.ciqfunctions.udf.CIQ($C$2, "IQ_CASH_TAXES_OPER", N$6,$F$2,,,Ccy,Conv)</f>
        <v>0</v>
      </c>
      <c r="O307" s="18"/>
      <c r="P307" s="18">
        <f>_xll.ciqfunctions.udf.CIQ($C$2, "IQ_CASH_TAXES_OPER", P$6,$F$2,,,Ccy,Conv)</f>
        <v>0</v>
      </c>
      <c r="Q307" s="238"/>
      <c r="R307" s="215"/>
      <c r="S307" s="215"/>
      <c r="T307" s="215"/>
      <c r="U307" s="215"/>
      <c r="V307" s="222"/>
      <c r="W307" s="222"/>
      <c r="X307" s="222"/>
      <c r="Y307" s="215"/>
      <c r="Z307" s="215"/>
      <c r="AA307" s="215"/>
      <c r="AB307" s="215"/>
      <c r="AC307" s="215"/>
      <c r="AD307" s="215"/>
      <c r="AE307" s="215"/>
      <c r="AF307" s="215"/>
      <c r="AG307" s="215"/>
      <c r="AH307" s="215"/>
      <c r="AI307" s="215"/>
      <c r="AJ307" s="215"/>
      <c r="AK307" s="215"/>
      <c r="AL307" s="215"/>
      <c r="AM307" s="215"/>
      <c r="AN307" s="215"/>
      <c r="AO307" s="215"/>
      <c r="AP307" s="215"/>
      <c r="AQ307" s="215"/>
      <c r="AR307" s="215"/>
      <c r="AS307" s="215"/>
      <c r="AT307" s="215"/>
      <c r="AU307" s="215"/>
      <c r="AV307" s="215"/>
      <c r="AW307" s="215"/>
      <c r="AX307" s="215"/>
      <c r="AY307" s="215"/>
      <c r="AZ307" s="215"/>
      <c r="BA307" s="215"/>
      <c r="BB307" s="215"/>
      <c r="BC307" s="215"/>
      <c r="BD307" s="215"/>
      <c r="BE307" s="215"/>
      <c r="BF307" s="215"/>
      <c r="BG307" s="215"/>
      <c r="BH307" s="215"/>
      <c r="BI307" s="215"/>
      <c r="BJ307" s="215"/>
      <c r="BK307" s="215"/>
      <c r="BL307" s="215"/>
      <c r="BM307" s="215"/>
      <c r="BN307" s="215"/>
      <c r="BO307" s="215"/>
      <c r="BP307" s="215"/>
      <c r="BQ307" s="215"/>
      <c r="BR307" s="215"/>
      <c r="BS307" s="215"/>
      <c r="BT307" s="215"/>
      <c r="BU307" s="215"/>
      <c r="BV307" s="215"/>
      <c r="BW307" s="215"/>
      <c r="BX307" s="215"/>
      <c r="BY307" s="215"/>
      <c r="BZ307" s="215"/>
    </row>
    <row r="308" spans="1:78" x14ac:dyDescent="0.2">
      <c r="A308" s="2" t="str">
        <f>'Language Index'!A283</f>
        <v>Cash Taxes Paid - Investing Activities</v>
      </c>
      <c r="B308" s="17"/>
      <c r="C308" s="17"/>
      <c r="D308" s="18">
        <f>_xll.ciqfunctions.udf.CIQ($C$2, "IQ_CASH_TAXES_INVEST", D$6,$F$2,,,Ccy,Conv)</f>
        <v>0</v>
      </c>
      <c r="E308" s="18">
        <f>_xll.ciqfunctions.udf.CIQ($C$2, "IQ_CASH_TAXES_INVEST", E$6,$F$2,,,Ccy,Conv)</f>
        <v>0</v>
      </c>
      <c r="F308" s="18">
        <f>_xll.ciqfunctions.udf.CIQ($C$2, "IQ_CASH_TAXES_INVEST", F$6,$F$2,,,Ccy,Conv)</f>
        <v>0</v>
      </c>
      <c r="G308" s="18">
        <f>_xll.ciqfunctions.udf.CIQ($C$2, "IQ_CASH_TAXES_INVEST", G$6,$F$2,,,Ccy,Conv)</f>
        <v>0</v>
      </c>
      <c r="H308" s="18">
        <f>_xll.ciqfunctions.udf.CIQ($C$2, "IQ_CASH_TAXES_INVEST", H$6,$F$2,,,Ccy,Conv)</f>
        <v>0</v>
      </c>
      <c r="I308" s="18">
        <f>_xll.ciqfunctions.udf.CIQ($C$2, "IQ_CASH_TAXES_INVEST", I$6,$F$2,,,Ccy,Conv)</f>
        <v>0</v>
      </c>
      <c r="J308" s="18">
        <f>_xll.ciqfunctions.udf.CIQ($C$2, "IQ_CASH_TAXES_INVEST", J$6,$F$2,,,Ccy,Conv)</f>
        <v>0</v>
      </c>
      <c r="K308" s="18">
        <f>_xll.ciqfunctions.udf.CIQ($C$2, "IQ_CASH_TAXES_INVEST", K$6,$F$2,,,Ccy,Conv)</f>
        <v>0</v>
      </c>
      <c r="L308" s="18">
        <f>_xll.ciqfunctions.udf.CIQ($C$2, "IQ_CASH_TAXES_INVEST", L$6,$F$2,,,Ccy,Conv)</f>
        <v>0</v>
      </c>
      <c r="M308" s="18">
        <f>_xll.ciqfunctions.udf.CIQ($C$2, "IQ_CASH_TAXES_INVEST", M$6,$F$2,,,Ccy,Conv)</f>
        <v>0</v>
      </c>
      <c r="N308" s="18">
        <f>_xll.ciqfunctions.udf.CIQ($C$2, "IQ_CASH_TAXES_INVEST", N$6,$F$2,,,Ccy,Conv)</f>
        <v>0</v>
      </c>
      <c r="O308" s="18"/>
      <c r="P308" s="18">
        <f>_xll.ciqfunctions.udf.CIQ($C$2, "IQ_CASH_TAXES_INVEST", P$6,$F$2,,,Ccy,Conv)</f>
        <v>0</v>
      </c>
      <c r="Q308" s="238"/>
      <c r="R308" s="215"/>
      <c r="S308" s="215"/>
      <c r="T308" s="215"/>
      <c r="U308" s="215"/>
      <c r="V308" s="222"/>
      <c r="W308" s="222"/>
      <c r="X308" s="222"/>
      <c r="Y308" s="215"/>
      <c r="Z308" s="215"/>
      <c r="AA308" s="215"/>
      <c r="AB308" s="215"/>
      <c r="AC308" s="215"/>
      <c r="AD308" s="215"/>
      <c r="AE308" s="215"/>
      <c r="AF308" s="215"/>
      <c r="AG308" s="215"/>
      <c r="AH308" s="215"/>
      <c r="AI308" s="215"/>
      <c r="AJ308" s="215"/>
      <c r="AK308" s="215"/>
      <c r="AL308" s="215"/>
      <c r="AM308" s="215"/>
      <c r="AN308" s="215"/>
      <c r="AO308" s="215"/>
      <c r="AP308" s="215"/>
      <c r="AQ308" s="215"/>
      <c r="AR308" s="215"/>
      <c r="AS308" s="215"/>
      <c r="AT308" s="215"/>
      <c r="AU308" s="215"/>
      <c r="AV308" s="215"/>
      <c r="AW308" s="215"/>
      <c r="AX308" s="215"/>
      <c r="AY308" s="215"/>
      <c r="AZ308" s="215"/>
      <c r="BA308" s="215"/>
      <c r="BB308" s="215"/>
      <c r="BC308" s="215"/>
      <c r="BD308" s="215"/>
      <c r="BE308" s="215"/>
      <c r="BF308" s="215"/>
      <c r="BG308" s="215"/>
      <c r="BH308" s="215"/>
      <c r="BI308" s="215"/>
      <c r="BJ308" s="215"/>
      <c r="BK308" s="215"/>
      <c r="BL308" s="215"/>
      <c r="BM308" s="215"/>
      <c r="BN308" s="215"/>
      <c r="BO308" s="215"/>
      <c r="BP308" s="215"/>
      <c r="BQ308" s="215"/>
      <c r="BR308" s="215"/>
      <c r="BS308" s="215"/>
      <c r="BT308" s="215"/>
      <c r="BU308" s="215"/>
      <c r="BV308" s="215"/>
      <c r="BW308" s="215"/>
      <c r="BX308" s="215"/>
      <c r="BY308" s="215"/>
      <c r="BZ308" s="215"/>
    </row>
    <row r="309" spans="1:78" x14ac:dyDescent="0.2">
      <c r="A309" s="2" t="str">
        <f>'Language Index'!A284</f>
        <v>Cash Taxes Paid - Financing Activities</v>
      </c>
      <c r="B309" s="17"/>
      <c r="C309" s="17"/>
      <c r="D309" s="18">
        <f>_xll.ciqfunctions.udf.CIQ($C$2, "IQ_CASH_TAXES_FINAN", D$6,$F$2,,,Ccy,Conv)</f>
        <v>0</v>
      </c>
      <c r="E309" s="18">
        <f>_xll.ciqfunctions.udf.CIQ($C$2, "IQ_CASH_TAXES_FINAN", E$6,$F$2,,,Ccy,Conv)</f>
        <v>0</v>
      </c>
      <c r="F309" s="18">
        <f>_xll.ciqfunctions.udf.CIQ($C$2, "IQ_CASH_TAXES_FINAN", F$6,$F$2,,,Ccy,Conv)</f>
        <v>0</v>
      </c>
      <c r="G309" s="18">
        <f>_xll.ciqfunctions.udf.CIQ($C$2, "IQ_CASH_TAXES_FINAN", G$6,$F$2,,,Ccy,Conv)</f>
        <v>0</v>
      </c>
      <c r="H309" s="18">
        <f>_xll.ciqfunctions.udf.CIQ($C$2, "IQ_CASH_TAXES_FINAN", H$6,$F$2,,,Ccy,Conv)</f>
        <v>0</v>
      </c>
      <c r="I309" s="18">
        <f>_xll.ciqfunctions.udf.CIQ($C$2, "IQ_CASH_TAXES_FINAN", I$6,$F$2,,,Ccy,Conv)</f>
        <v>0</v>
      </c>
      <c r="J309" s="18">
        <f>_xll.ciqfunctions.udf.CIQ($C$2, "IQ_CASH_TAXES_FINAN", J$6,$F$2,,,Ccy,Conv)</f>
        <v>0</v>
      </c>
      <c r="K309" s="18">
        <f>_xll.ciqfunctions.udf.CIQ($C$2, "IQ_CASH_TAXES_FINAN", K$6,$F$2,,,Ccy,Conv)</f>
        <v>0</v>
      </c>
      <c r="L309" s="18">
        <f>_xll.ciqfunctions.udf.CIQ($C$2, "IQ_CASH_TAXES_FINAN", L$6,$F$2,,,Ccy,Conv)</f>
        <v>0</v>
      </c>
      <c r="M309" s="18">
        <f>_xll.ciqfunctions.udf.CIQ($C$2, "IQ_CASH_TAXES_FINAN", M$6,$F$2,,,Ccy,Conv)</f>
        <v>0</v>
      </c>
      <c r="N309" s="18">
        <f>_xll.ciqfunctions.udf.CIQ($C$2, "IQ_CASH_TAXES_FINAN", N$6,$F$2,,,Ccy,Conv)</f>
        <v>0</v>
      </c>
      <c r="O309" s="18"/>
      <c r="P309" s="18">
        <f>_xll.ciqfunctions.udf.CIQ($C$2, "IQ_CASH_TAXES_FINAN", P$6,$F$2,,,Ccy,Conv)</f>
        <v>0</v>
      </c>
      <c r="Q309" s="238"/>
      <c r="R309" s="215"/>
      <c r="S309" s="215"/>
      <c r="T309" s="215"/>
      <c r="U309" s="215"/>
      <c r="V309" s="222"/>
      <c r="W309" s="222"/>
      <c r="X309" s="222"/>
      <c r="Y309" s="215"/>
      <c r="Z309" s="215"/>
      <c r="AA309" s="215"/>
      <c r="AB309" s="215"/>
      <c r="AC309" s="215"/>
      <c r="AD309" s="215"/>
      <c r="AE309" s="215"/>
      <c r="AF309" s="215"/>
      <c r="AG309" s="215"/>
      <c r="AH309" s="215"/>
      <c r="AI309" s="215"/>
      <c r="AJ309" s="215"/>
      <c r="AK309" s="215"/>
      <c r="AL309" s="215"/>
      <c r="AM309" s="215"/>
      <c r="AN309" s="215"/>
      <c r="AO309" s="215"/>
      <c r="AP309" s="215"/>
      <c r="AQ309" s="215"/>
      <c r="AR309" s="215"/>
      <c r="AS309" s="215"/>
      <c r="AT309" s="215"/>
      <c r="AU309" s="215"/>
      <c r="AV309" s="215"/>
      <c r="AW309" s="215"/>
      <c r="AX309" s="215"/>
      <c r="AY309" s="215"/>
      <c r="AZ309" s="215"/>
      <c r="BA309" s="215"/>
      <c r="BB309" s="215"/>
      <c r="BC309" s="215"/>
      <c r="BD309" s="215"/>
      <c r="BE309" s="215"/>
      <c r="BF309" s="215"/>
      <c r="BG309" s="215"/>
      <c r="BH309" s="215"/>
      <c r="BI309" s="215"/>
      <c r="BJ309" s="215"/>
      <c r="BK309" s="215"/>
      <c r="BL309" s="215"/>
      <c r="BM309" s="215"/>
      <c r="BN309" s="215"/>
      <c r="BO309" s="215"/>
      <c r="BP309" s="215"/>
      <c r="BQ309" s="215"/>
      <c r="BR309" s="215"/>
      <c r="BS309" s="215"/>
      <c r="BT309" s="215"/>
      <c r="BU309" s="215"/>
      <c r="BV309" s="215"/>
      <c r="BW309" s="215"/>
      <c r="BX309" s="215"/>
      <c r="BY309" s="215"/>
      <c r="BZ309" s="215"/>
    </row>
    <row r="310" spans="1:78" x14ac:dyDescent="0.2">
      <c r="A310" s="2" t="str">
        <f>'Language Index'!A285</f>
        <v>Deferred Income Taxes, Total</v>
      </c>
      <c r="B310" s="17"/>
      <c r="C310" s="17"/>
      <c r="D310" s="18">
        <f>_xll.ciqfunctions.udf.CIQ($C$2, "IQ_CHANGE_DEF_TAX_TOTAL", D$6,$F$2,,,Ccy,Conv)</f>
        <v>-2726</v>
      </c>
      <c r="E310" s="18">
        <f>_xll.ciqfunctions.udf.CIQ($C$2, "IQ_CHANGE_DEF_TAX_TOTAL", E$6,$F$2,,,Ccy,Conv)</f>
        <v>-2726</v>
      </c>
      <c r="F310" s="18">
        <f>_xll.ciqfunctions.udf.CIQ($C$2, "IQ_CHANGE_DEF_TAX_TOTAL", F$6,$F$2,,,Ccy,Conv)</f>
        <v>-1114</v>
      </c>
      <c r="G310" s="18">
        <f>_xll.ciqfunctions.udf.CIQ($C$2, "IQ_CHANGE_DEF_TAX_TOTAL", G$6,$F$2,,,Ccy,Conv)</f>
        <v>-1114</v>
      </c>
      <c r="H310" s="18">
        <f>_xll.ciqfunctions.udf.CIQ($C$2, "IQ_CHANGE_DEF_TAX_TOTAL", H$6,$F$2,,,Ccy,Conv)</f>
        <v>-1114</v>
      </c>
      <c r="I310" s="18">
        <f>_xll.ciqfunctions.udf.CIQ($C$2, "IQ_CHANGE_DEF_TAX_TOTAL", I$6,$F$2,,,Ccy,Conv)</f>
        <v>-1114</v>
      </c>
      <c r="J310" s="18">
        <f>_xll.ciqfunctions.udf.CIQ($C$2, "IQ_CHANGE_DEF_TAX_TOTAL", J$6,$F$2,,,Ccy,Conv)</f>
        <v>-2330</v>
      </c>
      <c r="K310" s="18">
        <f>_xll.ciqfunctions.udf.CIQ($C$2, "IQ_CHANGE_DEF_TAX_TOTAL", K$6,$F$2,,,Ccy,Conv)</f>
        <v>-2330</v>
      </c>
      <c r="L310" s="18">
        <f>_xll.ciqfunctions.udf.CIQ($C$2, "IQ_CHANGE_DEF_TAX_TOTAL", L$6,$F$2,,,Ccy,Conv)</f>
        <v>-2330</v>
      </c>
      <c r="M310" s="18">
        <f>_xll.ciqfunctions.udf.CIQ($C$2, "IQ_CHANGE_DEF_TAX_TOTAL", M$6,$F$2,,,Ccy,Conv)</f>
        <v>-2330</v>
      </c>
      <c r="N310" s="18">
        <f>_xll.ciqfunctions.udf.CIQ($C$2, "IQ_CHANGE_DEF_TAX_TOTAL", N$6,$F$2,,,Ccy,Conv)</f>
        <v>-957</v>
      </c>
      <c r="O310" s="18"/>
      <c r="P310" s="18">
        <f>_xll.ciqfunctions.udf.CIQ($C$2, "IQ_CHANGE_DEF_TAX_TOTAL", P$6,$F$2,,,Ccy,Conv)</f>
        <v>-957</v>
      </c>
      <c r="Q310" s="238"/>
      <c r="R310" s="215"/>
      <c r="S310" s="215"/>
      <c r="T310" s="215"/>
      <c r="U310" s="215"/>
      <c r="V310" s="222"/>
      <c r="W310" s="222"/>
      <c r="X310" s="222"/>
      <c r="Y310" s="215"/>
      <c r="Z310" s="215"/>
      <c r="AA310" s="215"/>
      <c r="AB310" s="215"/>
      <c r="AC310" s="215"/>
      <c r="AD310" s="215"/>
      <c r="AE310" s="215"/>
      <c r="AF310" s="215"/>
      <c r="AG310" s="215"/>
      <c r="AH310" s="215"/>
      <c r="AI310" s="215"/>
      <c r="AJ310" s="215"/>
      <c r="AK310" s="215"/>
      <c r="AL310" s="215"/>
      <c r="AM310" s="215"/>
      <c r="AN310" s="215"/>
      <c r="AO310" s="215"/>
      <c r="AP310" s="215"/>
      <c r="AQ310" s="215"/>
      <c r="AR310" s="215"/>
      <c r="AS310" s="215"/>
      <c r="AT310" s="215"/>
      <c r="AU310" s="215"/>
      <c r="AV310" s="215"/>
      <c r="AW310" s="215"/>
      <c r="AX310" s="215"/>
      <c r="AY310" s="215"/>
      <c r="AZ310" s="215"/>
      <c r="BA310" s="215"/>
      <c r="BB310" s="215"/>
      <c r="BC310" s="215"/>
      <c r="BD310" s="215"/>
      <c r="BE310" s="215"/>
      <c r="BF310" s="215"/>
      <c r="BG310" s="215"/>
      <c r="BH310" s="215"/>
      <c r="BI310" s="215"/>
      <c r="BJ310" s="215"/>
      <c r="BK310" s="215"/>
      <c r="BL310" s="215"/>
      <c r="BM310" s="215"/>
      <c r="BN310" s="215"/>
      <c r="BO310" s="215"/>
      <c r="BP310" s="215"/>
      <c r="BQ310" s="215"/>
      <c r="BR310" s="215"/>
      <c r="BS310" s="215"/>
      <c r="BT310" s="215"/>
      <c r="BU310" s="215"/>
      <c r="BV310" s="215"/>
      <c r="BW310" s="215"/>
      <c r="BX310" s="215"/>
      <c r="BY310" s="215"/>
      <c r="BZ310" s="215"/>
    </row>
    <row r="311" spans="1:78" x14ac:dyDescent="0.2">
      <c r="A311" s="2" t="str">
        <f>'Language Index'!A286</f>
        <v>Change in Net Working Capital</v>
      </c>
      <c r="B311" s="17"/>
      <c r="C311" s="17"/>
      <c r="D311" s="18">
        <f>_xll.ciqfunctions.udf.CIQ($C$2, "IQ_CHANGE_NET_WORKING_CAPITAL", D$6,$F$2,,,Ccy,Conv)</f>
        <v>-2085</v>
      </c>
      <c r="E311" s="18">
        <f>_xll.ciqfunctions.udf.CIQ($C$2, "IQ_CHANGE_NET_WORKING_CAPITAL", E$6,$F$2,,,Ccy,Conv)</f>
        <v>-2403</v>
      </c>
      <c r="F311" s="18">
        <f>_xll.ciqfunctions.udf.CIQ($C$2, "IQ_CHANGE_NET_WORKING_CAPITAL", F$6,$F$2,,,Ccy,Conv)</f>
        <v>-1918</v>
      </c>
      <c r="G311" s="18">
        <f>_xll.ciqfunctions.udf.CIQ($C$2, "IQ_CHANGE_NET_WORKING_CAPITAL", G$6,$F$2,,,Ccy,Conv)</f>
        <v>-1945</v>
      </c>
      <c r="H311" s="18">
        <f>_xll.ciqfunctions.udf.CIQ($C$2, "IQ_CHANGE_NET_WORKING_CAPITAL", H$6,$F$2,,,Ccy,Conv)</f>
        <v>1050</v>
      </c>
      <c r="I311" s="18">
        <f>_xll.ciqfunctions.udf.CIQ($C$2, "IQ_CHANGE_NET_WORKING_CAPITAL", I$6,$F$2,,,Ccy,Conv)</f>
        <v>-965</v>
      </c>
      <c r="J311" s="18">
        <f>_xll.ciqfunctions.udf.CIQ($C$2, "IQ_CHANGE_NET_WORKING_CAPITAL", J$6,$F$2,,,Ccy,Conv)</f>
        <v>15</v>
      </c>
      <c r="K311" s="18">
        <f>_xll.ciqfunctions.udf.CIQ($C$2, "IQ_CHANGE_NET_WORKING_CAPITAL", K$6,$F$2,,,Ccy,Conv)</f>
        <v>-930</v>
      </c>
      <c r="L311" s="18">
        <f>_xll.ciqfunctions.udf.CIQ($C$2, "IQ_CHANGE_NET_WORKING_CAPITAL", L$6,$F$2,,,Ccy,Conv)</f>
        <v>-3479</v>
      </c>
      <c r="M311" s="18">
        <f>_xll.ciqfunctions.udf.CIQ($C$2, "IQ_CHANGE_NET_WORKING_CAPITAL", M$6,$F$2,,,Ccy,Conv)</f>
        <v>-885</v>
      </c>
      <c r="N311" s="18">
        <f>_xll.ciqfunctions.udf.CIQ($C$2, "IQ_CHANGE_NET_WORKING_CAPITAL", N$6,$F$2,,,Ccy,Conv)</f>
        <v>-1513</v>
      </c>
      <c r="O311" s="18"/>
      <c r="P311" s="18">
        <f>_xll.ciqfunctions.udf.CIQ($C$2, "IQ_CHANGE_NET_WORKING_CAPITAL", P$6,$F$2,,,Ccy,Conv)</f>
        <v>-1513</v>
      </c>
      <c r="Q311" s="238"/>
      <c r="R311" s="215"/>
      <c r="S311" s="215"/>
      <c r="T311" s="215"/>
      <c r="U311" s="215"/>
      <c r="V311" s="222"/>
      <c r="W311" s="222"/>
      <c r="X311" s="222"/>
      <c r="Y311" s="215"/>
      <c r="Z311" s="215"/>
      <c r="AA311" s="215"/>
      <c r="AB311" s="215"/>
      <c r="AC311" s="215"/>
      <c r="AD311" s="215"/>
      <c r="AE311" s="215"/>
      <c r="AF311" s="215"/>
      <c r="AG311" s="215"/>
      <c r="AH311" s="215"/>
      <c r="AI311" s="215"/>
      <c r="AJ311" s="215"/>
      <c r="AK311" s="215"/>
      <c r="AL311" s="215"/>
      <c r="AM311" s="215"/>
      <c r="AN311" s="215"/>
      <c r="AO311" s="215"/>
      <c r="AP311" s="215"/>
      <c r="AQ311" s="215"/>
      <c r="AR311" s="215"/>
      <c r="AS311" s="215"/>
      <c r="AT311" s="215"/>
      <c r="AU311" s="215"/>
      <c r="AV311" s="215"/>
      <c r="AW311" s="215"/>
      <c r="AX311" s="215"/>
      <c r="AY311" s="215"/>
      <c r="AZ311" s="215"/>
      <c r="BA311" s="215"/>
      <c r="BB311" s="215"/>
      <c r="BC311" s="215"/>
      <c r="BD311" s="215"/>
      <c r="BE311" s="215"/>
      <c r="BF311" s="215"/>
      <c r="BG311" s="215"/>
      <c r="BH311" s="215"/>
      <c r="BI311" s="215"/>
      <c r="BJ311" s="215"/>
      <c r="BK311" s="215"/>
      <c r="BL311" s="215"/>
      <c r="BM311" s="215"/>
      <c r="BN311" s="215"/>
      <c r="BO311" s="215"/>
      <c r="BP311" s="215"/>
      <c r="BQ311" s="215"/>
      <c r="BR311" s="215"/>
      <c r="BS311" s="215"/>
      <c r="BT311" s="215"/>
      <c r="BU311" s="215"/>
      <c r="BV311" s="215"/>
      <c r="BW311" s="215"/>
      <c r="BX311" s="215"/>
      <c r="BY311" s="215"/>
      <c r="BZ311" s="215"/>
    </row>
    <row r="312" spans="1:78" x14ac:dyDescent="0.2">
      <c r="A312" s="2" t="str">
        <f>'Language Index'!A287</f>
        <v>Levered Free Cash Flow</v>
      </c>
      <c r="B312" s="17"/>
      <c r="C312" s="17"/>
      <c r="D312" s="18">
        <f>_xll.ciqfunctions.udf.CIQ($C$2, "IQ_LEVERED_FCF", D$6,$F$2,,,Ccy,Conv)</f>
        <v>10074.5</v>
      </c>
      <c r="E312" s="18">
        <f>_xll.ciqfunctions.udf.CIQ($C$2, "IQ_LEVERED_FCF", E$6,$F$2,,,Ccy,Conv)</f>
        <v>10814.875</v>
      </c>
      <c r="F312" s="18">
        <f>_xll.ciqfunctions.udf.CIQ($C$2, "IQ_LEVERED_FCF", F$6,$F$2,,,Ccy,Conv)</f>
        <v>10521.75</v>
      </c>
      <c r="G312" s="18">
        <f>_xll.ciqfunctions.udf.CIQ($C$2, "IQ_LEVERED_FCF", G$6,$F$2,,,Ccy,Conv)</f>
        <v>11033</v>
      </c>
      <c r="H312" s="18">
        <f>_xll.ciqfunctions.udf.CIQ($C$2, "IQ_LEVERED_FCF", H$6,$F$2,,,Ccy,Conv)</f>
        <v>8242</v>
      </c>
      <c r="I312" s="18">
        <f>_xll.ciqfunctions.udf.CIQ($C$2, "IQ_LEVERED_FCF", I$6,$F$2,,,Ccy,Conv)</f>
        <v>10417.125</v>
      </c>
      <c r="J312" s="18">
        <f>_xll.ciqfunctions.udf.CIQ($C$2, "IQ_LEVERED_FCF", J$6,$F$2,,,Ccy,Conv)</f>
        <v>9325.5</v>
      </c>
      <c r="K312" s="18">
        <f>_xll.ciqfunctions.udf.CIQ($C$2, "IQ_LEVERED_FCF", K$6,$F$2,,,Ccy,Conv)</f>
        <v>10564.25</v>
      </c>
      <c r="L312" s="18">
        <f>_xll.ciqfunctions.udf.CIQ($C$2, "IQ_LEVERED_FCF", L$6,$F$2,,,Ccy,Conv)</f>
        <v>13860</v>
      </c>
      <c r="M312" s="18">
        <f>_xll.ciqfunctions.udf.CIQ($C$2, "IQ_LEVERED_FCF", M$6,$F$2,,,Ccy,Conv)</f>
        <v>11757.5</v>
      </c>
      <c r="N312" s="18">
        <f>_xll.ciqfunctions.udf.CIQ($C$2, "IQ_LEVERED_FCF", N$6,$F$2,,,Ccy,Conv)</f>
        <v>13156.625</v>
      </c>
      <c r="O312" s="18"/>
      <c r="P312" s="18">
        <f>_xll.ciqfunctions.udf.CIQ($C$2, "IQ_LEVERED_FCF", P$6,$F$2,,,Ccy,Conv)</f>
        <v>13156.625</v>
      </c>
      <c r="Q312" s="238"/>
      <c r="R312" s="215"/>
      <c r="S312" s="215"/>
      <c r="T312" s="215"/>
      <c r="U312" s="215"/>
      <c r="V312" s="222"/>
      <c r="W312" s="222"/>
      <c r="X312" s="222"/>
      <c r="Y312" s="215"/>
      <c r="Z312" s="215"/>
      <c r="AA312" s="215"/>
      <c r="AB312" s="215"/>
      <c r="AC312" s="215"/>
      <c r="AD312" s="215"/>
      <c r="AE312" s="215"/>
      <c r="AF312" s="215"/>
      <c r="AG312" s="215"/>
      <c r="AH312" s="215"/>
      <c r="AI312" s="215"/>
      <c r="AJ312" s="215"/>
      <c r="AK312" s="215"/>
      <c r="AL312" s="215"/>
      <c r="AM312" s="215"/>
      <c r="AN312" s="215"/>
      <c r="AO312" s="215"/>
      <c r="AP312" s="215"/>
      <c r="AQ312" s="215"/>
      <c r="AR312" s="215"/>
      <c r="AS312" s="215"/>
      <c r="AT312" s="215"/>
      <c r="AU312" s="215"/>
      <c r="AV312" s="215"/>
      <c r="AW312" s="215"/>
      <c r="AX312" s="215"/>
      <c r="AY312" s="215"/>
      <c r="AZ312" s="215"/>
      <c r="BA312" s="215"/>
      <c r="BB312" s="215"/>
      <c r="BC312" s="215"/>
      <c r="BD312" s="215"/>
      <c r="BE312" s="215"/>
      <c r="BF312" s="215"/>
      <c r="BG312" s="215"/>
      <c r="BH312" s="215"/>
      <c r="BI312" s="215"/>
      <c r="BJ312" s="215"/>
      <c r="BK312" s="215"/>
      <c r="BL312" s="215"/>
      <c r="BM312" s="215"/>
      <c r="BN312" s="215"/>
      <c r="BO312" s="215"/>
      <c r="BP312" s="215"/>
      <c r="BQ312" s="215"/>
      <c r="BR312" s="215"/>
      <c r="BS312" s="215"/>
      <c r="BT312" s="215"/>
      <c r="BU312" s="215"/>
      <c r="BV312" s="215"/>
      <c r="BW312" s="215"/>
      <c r="BX312" s="215"/>
      <c r="BY312" s="215"/>
      <c r="BZ312" s="215"/>
    </row>
    <row r="313" spans="1:78" x14ac:dyDescent="0.2">
      <c r="A313" s="2" t="str">
        <f>'Language Index'!A288</f>
        <v>Unlevered Free Cash Flow</v>
      </c>
      <c r="B313" s="17"/>
      <c r="C313" s="17"/>
      <c r="D313" s="18">
        <f>_xll.ciqfunctions.udf.CIQ($C$2, "IQ_UNLEVERED_FCF", D$6,$F$2,,,Ccy,Conv)</f>
        <v>10948.875</v>
      </c>
      <c r="E313" s="18">
        <f>_xll.ciqfunctions.udf.CIQ($C$2, "IQ_UNLEVERED_FCF", E$6,$F$2,,,Ccy,Conv)</f>
        <v>11761.75</v>
      </c>
      <c r="F313" s="18">
        <f>_xll.ciqfunctions.udf.CIQ($C$2, "IQ_UNLEVERED_FCF", F$6,$F$2,,,Ccy,Conv)</f>
        <v>11526.125</v>
      </c>
      <c r="G313" s="18">
        <f>_xll.ciqfunctions.udf.CIQ($C$2, "IQ_UNLEVERED_FCF", G$6,$F$2,,,Ccy,Conv)</f>
        <v>12078</v>
      </c>
      <c r="H313" s="18">
        <f>_xll.ciqfunctions.udf.CIQ($C$2, "IQ_UNLEVERED_FCF", H$6,$F$2,,,Ccy,Conv)</f>
        <v>9289.5</v>
      </c>
      <c r="I313" s="18">
        <f>_xll.ciqfunctions.udf.CIQ($C$2, "IQ_UNLEVERED_FCF", I$6,$F$2,,,Ccy,Conv)</f>
        <v>11475.25</v>
      </c>
      <c r="J313" s="18">
        <f>_xll.ciqfunctions.udf.CIQ($C$2, "IQ_UNLEVERED_FCF", J$6,$F$2,,,Ccy,Conv)</f>
        <v>10395.5</v>
      </c>
      <c r="K313" s="18">
        <f>_xll.ciqfunctions.udf.CIQ($C$2, "IQ_UNLEVERED_FCF", K$6,$F$2,,,Ccy,Conv)</f>
        <v>11648.625</v>
      </c>
      <c r="L313" s="18">
        <f>_xll.ciqfunctions.udf.CIQ($C$2, "IQ_UNLEVERED_FCF", L$6,$F$2,,,Ccy,Conv)</f>
        <v>14996.25</v>
      </c>
      <c r="M313" s="18">
        <f>_xll.ciqfunctions.udf.CIQ($C$2, "IQ_UNLEVERED_FCF", M$6,$F$2,,,Ccy,Conv)</f>
        <v>12933.125</v>
      </c>
      <c r="N313" s="18">
        <f>_xll.ciqfunctions.udf.CIQ($C$2, "IQ_UNLEVERED_FCF", N$6,$F$2,,,Ccy,Conv)</f>
        <v>14366</v>
      </c>
      <c r="O313" s="18"/>
      <c r="P313" s="18">
        <f>_xll.ciqfunctions.udf.CIQ($C$2, "IQ_UNLEVERED_FCF", P$6,$F$2,,,Ccy,Conv)</f>
        <v>14366</v>
      </c>
      <c r="Q313" s="238"/>
      <c r="R313" s="215"/>
      <c r="S313" s="215"/>
      <c r="T313" s="215"/>
      <c r="U313" s="215"/>
      <c r="V313" s="222"/>
      <c r="W313" s="222"/>
      <c r="X313" s="222"/>
      <c r="Y313" s="215"/>
      <c r="Z313" s="215"/>
      <c r="AA313" s="215"/>
      <c r="AB313" s="215"/>
      <c r="AC313" s="215"/>
      <c r="AD313" s="215"/>
      <c r="AE313" s="215"/>
      <c r="AF313" s="215"/>
      <c r="AG313" s="215"/>
      <c r="AH313" s="215"/>
      <c r="AI313" s="215"/>
      <c r="AJ313" s="215"/>
      <c r="AK313" s="215"/>
      <c r="AL313" s="215"/>
      <c r="AM313" s="215"/>
      <c r="AN313" s="215"/>
      <c r="AO313" s="215"/>
      <c r="AP313" s="215"/>
      <c r="AQ313" s="215"/>
      <c r="AR313" s="215"/>
      <c r="AS313" s="215"/>
      <c r="AT313" s="215"/>
      <c r="AU313" s="215"/>
      <c r="AV313" s="215"/>
      <c r="AW313" s="215"/>
      <c r="AX313" s="215"/>
      <c r="AY313" s="215"/>
      <c r="AZ313" s="215"/>
      <c r="BA313" s="215"/>
      <c r="BB313" s="215"/>
      <c r="BC313" s="215"/>
      <c r="BD313" s="215"/>
      <c r="BE313" s="215"/>
      <c r="BF313" s="215"/>
      <c r="BG313" s="215"/>
      <c r="BH313" s="215"/>
      <c r="BI313" s="215"/>
      <c r="BJ313" s="215"/>
      <c r="BK313" s="215"/>
      <c r="BL313" s="215"/>
      <c r="BM313" s="215"/>
      <c r="BN313" s="215"/>
      <c r="BO313" s="215"/>
      <c r="BP313" s="215"/>
      <c r="BQ313" s="215"/>
      <c r="BR313" s="215"/>
      <c r="BS313" s="215"/>
      <c r="BT313" s="215"/>
      <c r="BU313" s="215"/>
      <c r="BV313" s="215"/>
      <c r="BW313" s="215"/>
      <c r="BX313" s="215"/>
      <c r="BY313" s="215"/>
      <c r="BZ313" s="215"/>
    </row>
    <row r="314" spans="1:78" x14ac:dyDescent="0.2">
      <c r="A314" s="2" t="str">
        <f>'Language Index'!A289</f>
        <v>Cash Flow per Share</v>
      </c>
      <c r="B314" s="17"/>
      <c r="C314" s="17"/>
      <c r="D314" s="29">
        <f>_xll.ciqfunctions.udf.CIQ($C$2, "IQ_CF_SHARE", D$6,$F$2,,,Ccy,Conv)</f>
        <v>11.356249999999999</v>
      </c>
      <c r="E314" s="29">
        <f>_xll.ciqfunctions.udf.CIQ($C$2, "IQ_CF_SHARE", E$6,$F$2,,,Ccy,Conv)</f>
        <v>12.667439999999999</v>
      </c>
      <c r="F314" s="29">
        <f>_xll.ciqfunctions.udf.CIQ($C$2, "IQ_CF_SHARE", F$6,$F$2,,,Ccy,Conv)</f>
        <v>13.30209</v>
      </c>
      <c r="G314" s="29">
        <f>_xll.ciqfunctions.udf.CIQ($C$2, "IQ_CF_SHARE", G$6,$F$2,,,Ccy,Conv)</f>
        <v>13.80219</v>
      </c>
      <c r="H314" s="29">
        <f>_xll.ciqfunctions.udf.CIQ($C$2, "IQ_CF_SHARE", H$6,$F$2,,,Ccy,Conv)</f>
        <v>13.201420000000001</v>
      </c>
      <c r="I314" s="29">
        <f>_xll.ciqfunctions.udf.CIQ($C$2, "IQ_CF_SHARE", I$6,$F$2,,,Ccy,Conv)</f>
        <v>12.93885</v>
      </c>
      <c r="J314" s="29">
        <f>_xll.ciqfunctions.udf.CIQ($C$2, "IQ_CF_SHARE", J$6,$F$2,,,Ccy,Conv)</f>
        <v>12.758089999999999</v>
      </c>
      <c r="K314" s="29">
        <f>_xll.ciqfunctions.udf.CIQ($C$2, "IQ_CF_SHARE", K$6,$F$2,,,Ccy,Conv)</f>
        <v>12.91544</v>
      </c>
      <c r="L314" s="29">
        <f>_xll.ciqfunctions.udf.CIQ($C$2, "IQ_CF_SHARE", L$6,$F$2,,,Ccy,Conv)</f>
        <v>12.56151</v>
      </c>
      <c r="M314" s="29">
        <f>_xll.ciqfunctions.udf.CIQ($C$2, "IQ_CF_SHARE", M$6,$F$2,,,Ccy,Conv)</f>
        <v>12.7501</v>
      </c>
      <c r="N314" s="29">
        <f>_xll.ciqfunctions.udf.CIQ($C$2, "IQ_CF_SHARE", N$6,$F$2,,,Ccy,Conv)</f>
        <v>12.286899999999999</v>
      </c>
      <c r="O314" s="18"/>
      <c r="P314" s="29">
        <f>_xll.ciqfunctions.udf.CIQ($C$2, "IQ_CF_SHARE", P$6,$F$2,,,Ccy,Conv)</f>
        <v>12.286899999999999</v>
      </c>
      <c r="Q314" s="238"/>
      <c r="R314" s="215"/>
      <c r="S314" s="215"/>
      <c r="T314" s="215"/>
      <c r="U314" s="215"/>
      <c r="V314" s="222"/>
      <c r="W314" s="222"/>
      <c r="X314" s="222"/>
      <c r="Y314" s="215"/>
      <c r="Z314" s="215"/>
      <c r="AA314" s="215"/>
      <c r="AB314" s="215"/>
      <c r="AC314" s="215"/>
      <c r="AD314" s="215"/>
      <c r="AE314" s="215"/>
      <c r="AF314" s="215"/>
      <c r="AG314" s="215"/>
      <c r="AH314" s="215"/>
      <c r="AI314" s="215"/>
      <c r="AJ314" s="215"/>
      <c r="AK314" s="215"/>
      <c r="AL314" s="215"/>
      <c r="AM314" s="215"/>
      <c r="AN314" s="215"/>
      <c r="AO314" s="215"/>
      <c r="AP314" s="215"/>
      <c r="AQ314" s="215"/>
      <c r="AR314" s="215"/>
      <c r="AS314" s="215"/>
      <c r="AT314" s="215"/>
      <c r="AU314" s="215"/>
      <c r="AV314" s="215"/>
      <c r="AW314" s="215"/>
      <c r="AX314" s="215"/>
      <c r="AY314" s="215"/>
      <c r="AZ314" s="215"/>
      <c r="BA314" s="215"/>
      <c r="BB314" s="215"/>
      <c r="BC314" s="215"/>
      <c r="BD314" s="215"/>
      <c r="BE314" s="215"/>
      <c r="BF314" s="215"/>
      <c r="BG314" s="215"/>
      <c r="BH314" s="215"/>
      <c r="BI314" s="215"/>
      <c r="BJ314" s="215"/>
      <c r="BK314" s="215"/>
      <c r="BL314" s="215"/>
      <c r="BM314" s="215"/>
      <c r="BN314" s="215"/>
      <c r="BO314" s="215"/>
      <c r="BP314" s="215"/>
      <c r="BQ314" s="215"/>
      <c r="BR314" s="215"/>
      <c r="BS314" s="215"/>
      <c r="BT314" s="215"/>
      <c r="BU314" s="215"/>
      <c r="BV314" s="215"/>
      <c r="BW314" s="215"/>
      <c r="BX314" s="215"/>
      <c r="BY314" s="215"/>
      <c r="BZ314" s="215"/>
    </row>
    <row r="315" spans="1:78" x14ac:dyDescent="0.2">
      <c r="A315" s="2" t="str">
        <f>'Language Index'!A290</f>
        <v>Net Debt Issued</v>
      </c>
      <c r="B315" s="17"/>
      <c r="C315" s="17"/>
      <c r="D315" s="18">
        <f>_xll.ciqfunctions.udf.CIQ($C$2, "IQ_NET_DEBT_ISSUED",D$6,$F$2,,,Ccy,Conv)</f>
        <v>6956</v>
      </c>
      <c r="E315" s="18">
        <f>_xll.ciqfunctions.udf.CIQ($C$2, "IQ_NET_DEBT_ISSUED",E$6,$F$2,,,Ccy,Conv)</f>
        <v>3268</v>
      </c>
      <c r="F315" s="18">
        <f>_xll.ciqfunctions.udf.CIQ($C$2, "IQ_NET_DEBT_ISSUED",F$6,$F$2,,,Ccy,Conv)</f>
        <v>4497</v>
      </c>
      <c r="G315" s="18">
        <f>_xll.ciqfunctions.udf.CIQ($C$2, "IQ_NET_DEBT_ISSUED",G$6,$F$2,,,Ccy,Conv)</f>
        <v>574</v>
      </c>
      <c r="H315" s="18">
        <f>_xll.ciqfunctions.udf.CIQ($C$2, "IQ_NET_DEBT_ISSUED",H$6,$F$2,,,Ccy,Conv)</f>
        <v>-1191</v>
      </c>
      <c r="I315" s="18">
        <f>_xll.ciqfunctions.udf.CIQ($C$2, "IQ_NET_DEBT_ISSUED",I$6,$F$2,,,Ccy,Conv)</f>
        <v>-899</v>
      </c>
      <c r="J315" s="18">
        <f>_xll.ciqfunctions.udf.CIQ($C$2, "IQ_NET_DEBT_ISSUED",J$6,$F$2,,,Ccy,Conv)</f>
        <v>-880</v>
      </c>
      <c r="K315" s="18">
        <f>_xll.ciqfunctions.udf.CIQ($C$2, "IQ_NET_DEBT_ISSUED",K$6,$F$2,,,Ccy,Conv)</f>
        <v>2831</v>
      </c>
      <c r="L315" s="18">
        <f>_xll.ciqfunctions.udf.CIQ($C$2, "IQ_NET_DEBT_ISSUED",L$6,$F$2,,,Ccy,Conv)</f>
        <v>4430</v>
      </c>
      <c r="M315" s="18">
        <f>_xll.ciqfunctions.udf.CIQ($C$2, "IQ_NET_DEBT_ISSUED",M$6,$F$2,,,Ccy,Conv)</f>
        <v>4580</v>
      </c>
      <c r="N315" s="18">
        <f>_xll.ciqfunctions.udf.CIQ($C$2, "IQ_NET_DEBT_ISSUED",N$6,$F$2,,,Ccy,Conv)</f>
        <v>2873</v>
      </c>
      <c r="O315" s="18"/>
      <c r="P315" s="18">
        <f>_xll.ciqfunctions.udf.CIQ($C$2, "IQ_NET_DEBT_ISSUED",P$6,$F$2,,,Ccy,Conv)</f>
        <v>2873</v>
      </c>
      <c r="Q315" s="238"/>
      <c r="R315" s="215"/>
      <c r="S315" s="215"/>
      <c r="T315" s="215"/>
      <c r="U315" s="215"/>
      <c r="V315" s="222"/>
      <c r="W315" s="222"/>
      <c r="X315" s="222"/>
      <c r="Y315" s="215"/>
      <c r="Z315" s="215"/>
      <c r="AA315" s="215"/>
      <c r="AB315" s="215"/>
      <c r="AC315" s="215"/>
      <c r="AD315" s="215"/>
      <c r="AE315" s="215"/>
      <c r="AF315" s="215"/>
      <c r="AG315" s="215"/>
      <c r="AH315" s="215"/>
      <c r="AI315" s="215"/>
      <c r="AJ315" s="215"/>
      <c r="AK315" s="215"/>
      <c r="AL315" s="215"/>
      <c r="AM315" s="215"/>
      <c r="AN315" s="215"/>
      <c r="AO315" s="215"/>
      <c r="AP315" s="215"/>
      <c r="AQ315" s="215"/>
      <c r="AR315" s="215"/>
      <c r="AS315" s="215"/>
      <c r="AT315" s="215"/>
      <c r="AU315" s="215"/>
      <c r="AV315" s="215"/>
      <c r="AW315" s="215"/>
      <c r="AX315" s="215"/>
      <c r="AY315" s="215"/>
      <c r="AZ315" s="215"/>
      <c r="BA315" s="215"/>
      <c r="BB315" s="215"/>
      <c r="BC315" s="215"/>
      <c r="BD315" s="215"/>
      <c r="BE315" s="215"/>
      <c r="BF315" s="215"/>
      <c r="BG315" s="215"/>
      <c r="BH315" s="215"/>
      <c r="BI315" s="215"/>
      <c r="BJ315" s="215"/>
      <c r="BK315" s="215"/>
      <c r="BL315" s="215"/>
      <c r="BM315" s="215"/>
      <c r="BN315" s="215"/>
      <c r="BO315" s="215"/>
      <c r="BP315" s="215"/>
      <c r="BQ315" s="215"/>
      <c r="BR315" s="215"/>
      <c r="BS315" s="215"/>
      <c r="BT315" s="215"/>
      <c r="BU315" s="215"/>
      <c r="BV315" s="215"/>
      <c r="BW315" s="215"/>
      <c r="BX315" s="215"/>
      <c r="BY315" s="215"/>
      <c r="BZ315" s="215"/>
    </row>
    <row r="316" spans="1:78" x14ac:dyDescent="0.2">
      <c r="A316" s="2" t="str">
        <f>'Language Index'!A291</f>
        <v>Maintenance CAPEX</v>
      </c>
      <c r="B316" s="17"/>
      <c r="C316" s="17"/>
      <c r="D316" s="18">
        <f>_xll.ciqfunctions.udf.CIQ($C$2, "IQ_MAINT_CAPEX", D$6,$F$2,,,Ccy,Conv)</f>
        <v>0</v>
      </c>
      <c r="E316" s="18">
        <f>_xll.ciqfunctions.udf.CIQ($C$2, "IQ_MAINT_CAPEX", E$6,$F$2,,,Ccy,Conv)</f>
        <v>0</v>
      </c>
      <c r="F316" s="18">
        <f>_xll.ciqfunctions.udf.CIQ($C$2, "IQ_MAINT_CAPEX", F$6,$F$2,,,Ccy,Conv)</f>
        <v>0</v>
      </c>
      <c r="G316" s="18">
        <f>_xll.ciqfunctions.udf.CIQ($C$2, "IQ_MAINT_CAPEX", G$6,$F$2,,,Ccy,Conv)</f>
        <v>0</v>
      </c>
      <c r="H316" s="18">
        <f>_xll.ciqfunctions.udf.CIQ($C$2, "IQ_MAINT_CAPEX", H$6,$F$2,,,Ccy,Conv)</f>
        <v>0</v>
      </c>
      <c r="I316" s="18">
        <f>_xll.ciqfunctions.udf.CIQ($C$2, "IQ_MAINT_CAPEX", I$6,$F$2,,,Ccy,Conv)</f>
        <v>0</v>
      </c>
      <c r="J316" s="18">
        <f>_xll.ciqfunctions.udf.CIQ($C$2, "IQ_MAINT_CAPEX", J$6,$F$2,,,Ccy,Conv)</f>
        <v>0</v>
      </c>
      <c r="K316" s="18">
        <f>_xll.ciqfunctions.udf.CIQ($C$2, "IQ_MAINT_CAPEX", K$6,$F$2,,,Ccy,Conv)</f>
        <v>0</v>
      </c>
      <c r="L316" s="18">
        <f>_xll.ciqfunctions.udf.CIQ($C$2, "IQ_MAINT_CAPEX", L$6,$F$2,,,Ccy,Conv)</f>
        <v>0</v>
      </c>
      <c r="M316" s="18">
        <f>_xll.ciqfunctions.udf.CIQ($C$2, "IQ_MAINT_CAPEX", M$6,$F$2,,,Ccy,Conv)</f>
        <v>0</v>
      </c>
      <c r="N316" s="18">
        <f>_xll.ciqfunctions.udf.CIQ($C$2, "IQ_MAINT_CAPEX", N$6,$F$2,,,Ccy,Conv)</f>
        <v>0</v>
      </c>
      <c r="O316" s="18"/>
      <c r="P316" s="18">
        <f>_xll.ciqfunctions.udf.CIQ($C$2, "IQ_MAINT_CAPEX", P$6,$F$2,,,Ccy,Conv)</f>
        <v>0</v>
      </c>
      <c r="Q316" s="238"/>
      <c r="R316" s="215"/>
      <c r="S316" s="215"/>
      <c r="T316" s="215"/>
      <c r="U316" s="215"/>
      <c r="V316" s="222"/>
      <c r="W316" s="222"/>
      <c r="X316" s="222"/>
      <c r="Y316" s="215"/>
      <c r="Z316" s="215"/>
      <c r="AA316" s="215"/>
      <c r="AB316" s="215"/>
      <c r="AC316" s="215"/>
      <c r="AD316" s="215"/>
      <c r="AE316" s="215"/>
      <c r="AF316" s="215"/>
      <c r="AG316" s="215"/>
      <c r="AH316" s="215"/>
      <c r="AI316" s="215"/>
      <c r="AJ316" s="215"/>
      <c r="AK316" s="215"/>
      <c r="AL316" s="215"/>
      <c r="AM316" s="215"/>
      <c r="AN316" s="215"/>
      <c r="AO316" s="215"/>
      <c r="AP316" s="215"/>
      <c r="AQ316" s="215"/>
      <c r="AR316" s="215"/>
      <c r="AS316" s="215"/>
      <c r="AT316" s="215"/>
      <c r="AU316" s="215"/>
      <c r="AV316" s="215"/>
      <c r="AW316" s="215"/>
      <c r="AX316" s="215"/>
      <c r="AY316" s="215"/>
      <c r="AZ316" s="215"/>
      <c r="BA316" s="215"/>
      <c r="BB316" s="215"/>
      <c r="BC316" s="215"/>
      <c r="BD316" s="215"/>
      <c r="BE316" s="215"/>
      <c r="BF316" s="215"/>
      <c r="BG316" s="215"/>
      <c r="BH316" s="215"/>
      <c r="BI316" s="215"/>
      <c r="BJ316" s="215"/>
      <c r="BK316" s="215"/>
      <c r="BL316" s="215"/>
      <c r="BM316" s="215"/>
      <c r="BN316" s="215"/>
      <c r="BO316" s="215"/>
      <c r="BP316" s="215"/>
      <c r="BQ316" s="215"/>
      <c r="BR316" s="215"/>
      <c r="BS316" s="215"/>
      <c r="BT316" s="215"/>
      <c r="BU316" s="215"/>
      <c r="BV316" s="215"/>
      <c r="BW316" s="215"/>
      <c r="BX316" s="215"/>
      <c r="BY316" s="215"/>
      <c r="BZ316" s="215"/>
    </row>
    <row r="317" spans="1:78" x14ac:dyDescent="0.2">
      <c r="A317" s="2" t="str">
        <f>'Language Index'!A292</f>
        <v>Net Cash from Discontinued Ops. - Investing</v>
      </c>
      <c r="B317" s="17"/>
      <c r="C317" s="17"/>
      <c r="D317" s="18">
        <f>_xll.ciqfunctions.udf.CIQ($C$2, "IQ_DO_INVEST_CF",D$6,$F$2,,,Ccy,Conv)</f>
        <v>0</v>
      </c>
      <c r="E317" s="18">
        <f>_xll.ciqfunctions.udf.CIQ($C$2, "IQ_DO_INVEST_CF",E$6,$F$2,,,Ccy,Conv)</f>
        <v>0</v>
      </c>
      <c r="F317" s="18">
        <f>_xll.ciqfunctions.udf.CIQ($C$2, "IQ_DO_INVEST_CF",F$6,$F$2,,,Ccy,Conv)</f>
        <v>0</v>
      </c>
      <c r="G317" s="18">
        <f>_xll.ciqfunctions.udf.CIQ($C$2, "IQ_DO_INVEST_CF",G$6,$F$2,,,Ccy,Conv)</f>
        <v>0</v>
      </c>
      <c r="H317" s="18">
        <f>_xll.ciqfunctions.udf.CIQ($C$2, "IQ_DO_INVEST_CF",H$6,$F$2,,,Ccy,Conv)</f>
        <v>0</v>
      </c>
      <c r="I317" s="18">
        <f>_xll.ciqfunctions.udf.CIQ($C$2, "IQ_DO_INVEST_CF",I$6,$F$2,,,Ccy,Conv)</f>
        <v>0</v>
      </c>
      <c r="J317" s="18">
        <f>_xll.ciqfunctions.udf.CIQ($C$2, "IQ_DO_INVEST_CF",J$6,$F$2,,,Ccy,Conv)</f>
        <v>0</v>
      </c>
      <c r="K317" s="18">
        <f>_xll.ciqfunctions.udf.CIQ($C$2, "IQ_DO_INVEST_CF",K$6,$F$2,,,Ccy,Conv)</f>
        <v>0</v>
      </c>
      <c r="L317" s="18">
        <f>_xll.ciqfunctions.udf.CIQ($C$2, "IQ_DO_INVEST_CF",L$6,$F$2,,,Ccy,Conv)</f>
        <v>0</v>
      </c>
      <c r="M317" s="18">
        <f>_xll.ciqfunctions.udf.CIQ($C$2, "IQ_DO_INVEST_CF",M$6,$F$2,,,Ccy,Conv)</f>
        <v>0</v>
      </c>
      <c r="N317" s="18">
        <f>_xll.ciqfunctions.udf.CIQ($C$2, "IQ_DO_INVEST_CF",N$6,$F$2,,,Ccy,Conv)</f>
        <v>0</v>
      </c>
      <c r="O317" s="18"/>
      <c r="P317" s="18">
        <f>_xll.ciqfunctions.udf.CIQ($C$2, "IQ_DO_INVEST_CF",P$6,$F$2,,,Ccy,Conv)</f>
        <v>0</v>
      </c>
      <c r="Q317" s="238"/>
      <c r="R317" s="215"/>
      <c r="S317" s="215"/>
      <c r="T317" s="215"/>
      <c r="U317" s="215"/>
      <c r="V317" s="222"/>
      <c r="W317" s="222"/>
      <c r="X317" s="222"/>
      <c r="Y317" s="215"/>
      <c r="Z317" s="215"/>
      <c r="AA317" s="215"/>
      <c r="AB317" s="215"/>
      <c r="AC317" s="215"/>
      <c r="AD317" s="215"/>
      <c r="AE317" s="215"/>
      <c r="AF317" s="215"/>
      <c r="AG317" s="215"/>
      <c r="AH317" s="215"/>
      <c r="AI317" s="215"/>
      <c r="AJ317" s="215"/>
      <c r="AK317" s="215"/>
      <c r="AL317" s="215"/>
      <c r="AM317" s="215"/>
      <c r="AN317" s="215"/>
      <c r="AO317" s="215"/>
      <c r="AP317" s="215"/>
      <c r="AQ317" s="215"/>
      <c r="AR317" s="215"/>
      <c r="AS317" s="215"/>
      <c r="AT317" s="215"/>
      <c r="AU317" s="215"/>
      <c r="AV317" s="215"/>
      <c r="AW317" s="215"/>
      <c r="AX317" s="215"/>
      <c r="AY317" s="215"/>
      <c r="AZ317" s="215"/>
      <c r="BA317" s="215"/>
      <c r="BB317" s="215"/>
      <c r="BC317" s="215"/>
      <c r="BD317" s="215"/>
      <c r="BE317" s="215"/>
      <c r="BF317" s="215"/>
      <c r="BG317" s="215"/>
      <c r="BH317" s="215"/>
      <c r="BI317" s="215"/>
      <c r="BJ317" s="215"/>
      <c r="BK317" s="215"/>
      <c r="BL317" s="215"/>
      <c r="BM317" s="215"/>
      <c r="BN317" s="215"/>
      <c r="BO317" s="215"/>
      <c r="BP317" s="215"/>
      <c r="BQ317" s="215"/>
      <c r="BR317" s="215"/>
      <c r="BS317" s="215"/>
      <c r="BT317" s="215"/>
      <c r="BU317" s="215"/>
      <c r="BV317" s="215"/>
      <c r="BW317" s="215"/>
      <c r="BX317" s="215"/>
      <c r="BY317" s="215"/>
      <c r="BZ317" s="215"/>
    </row>
    <row r="318" spans="1:78" x14ac:dyDescent="0.2">
      <c r="A318" s="2" t="str">
        <f>'Language Index'!A293</f>
        <v>Net Cash from Discontinued Ops. - Financing</v>
      </c>
      <c r="B318" s="17"/>
      <c r="C318" s="17"/>
      <c r="D318" s="18">
        <f>_xll.ciqfunctions.udf.CIQ($C$2, "IQ_DO_FINANCE_CF",D$6,$F$2,,,Ccy,Conv)</f>
        <v>0</v>
      </c>
      <c r="E318" s="18">
        <f>_xll.ciqfunctions.udf.CIQ($C$2, "IQ_DO_FINANCE_CF",E$6,$F$2,,,Ccy,Conv)</f>
        <v>0</v>
      </c>
      <c r="F318" s="18">
        <f>_xll.ciqfunctions.udf.CIQ($C$2, "IQ_DO_FINANCE_CF",F$6,$F$2,,,Ccy,Conv)</f>
        <v>0</v>
      </c>
      <c r="G318" s="18">
        <f>_xll.ciqfunctions.udf.CIQ($C$2, "IQ_DO_FINANCE_CF",G$6,$F$2,,,Ccy,Conv)</f>
        <v>0</v>
      </c>
      <c r="H318" s="18">
        <f>_xll.ciqfunctions.udf.CIQ($C$2, "IQ_DO_FINANCE_CF",H$6,$F$2,,,Ccy,Conv)</f>
        <v>0</v>
      </c>
      <c r="I318" s="18">
        <f>_xll.ciqfunctions.udf.CIQ($C$2, "IQ_DO_FINANCE_CF",I$6,$F$2,,,Ccy,Conv)</f>
        <v>0</v>
      </c>
      <c r="J318" s="18">
        <f>_xll.ciqfunctions.udf.CIQ($C$2, "IQ_DO_FINANCE_CF",J$6,$F$2,,,Ccy,Conv)</f>
        <v>0</v>
      </c>
      <c r="K318" s="18">
        <f>_xll.ciqfunctions.udf.CIQ($C$2, "IQ_DO_FINANCE_CF",K$6,$F$2,,,Ccy,Conv)</f>
        <v>0</v>
      </c>
      <c r="L318" s="18">
        <f>_xll.ciqfunctions.udf.CIQ($C$2, "IQ_DO_FINANCE_CF",L$6,$F$2,,,Ccy,Conv)</f>
        <v>0</v>
      </c>
      <c r="M318" s="18">
        <f>_xll.ciqfunctions.udf.CIQ($C$2, "IQ_DO_FINANCE_CF",M$6,$F$2,,,Ccy,Conv)</f>
        <v>0</v>
      </c>
      <c r="N318" s="18">
        <f>_xll.ciqfunctions.udf.CIQ($C$2, "IQ_DO_FINANCE_CF",N$6,$F$2,,,Ccy,Conv)</f>
        <v>0</v>
      </c>
      <c r="O318" s="18"/>
      <c r="P318" s="18">
        <f>_xll.ciqfunctions.udf.CIQ($C$2, "IQ_DO_FINANCE_CF",P$6,$F$2,,,Ccy,Conv)</f>
        <v>0</v>
      </c>
      <c r="Q318" s="238"/>
      <c r="R318" s="215"/>
      <c r="S318" s="215"/>
      <c r="T318" s="215"/>
      <c r="U318" s="215"/>
      <c r="V318" s="222"/>
      <c r="W318" s="222"/>
      <c r="X318" s="222"/>
      <c r="Y318" s="215"/>
      <c r="Z318" s="215"/>
      <c r="AA318" s="215"/>
      <c r="AB318" s="215"/>
      <c r="AC318" s="215"/>
      <c r="AD318" s="215"/>
      <c r="AE318" s="215"/>
      <c r="AF318" s="232"/>
      <c r="AG318" s="232"/>
      <c r="AH318" s="215"/>
      <c r="AI318" s="215"/>
      <c r="AJ318" s="215"/>
      <c r="AK318" s="215"/>
      <c r="AL318" s="215"/>
      <c r="AM318" s="215"/>
      <c r="AN318" s="215"/>
      <c r="AO318" s="215"/>
      <c r="AP318" s="215"/>
      <c r="AQ318" s="215"/>
      <c r="AR318" s="215"/>
      <c r="AS318" s="215"/>
      <c r="AT318" s="215"/>
      <c r="AU318" s="215"/>
      <c r="AV318" s="215"/>
      <c r="AW318" s="215"/>
      <c r="AX318" s="215"/>
      <c r="AY318" s="215"/>
      <c r="AZ318" s="215"/>
      <c r="BA318" s="215"/>
      <c r="BB318" s="215"/>
      <c r="BC318" s="215"/>
      <c r="BD318" s="215"/>
      <c r="BE318" s="215"/>
      <c r="BF318" s="215"/>
      <c r="BG318" s="215"/>
      <c r="BH318" s="215"/>
      <c r="BI318" s="215"/>
      <c r="BJ318" s="215"/>
      <c r="BK318" s="215"/>
      <c r="BL318" s="215"/>
      <c r="BM318" s="215"/>
      <c r="BN318" s="215"/>
      <c r="BO318" s="215"/>
      <c r="BP318" s="215"/>
      <c r="BQ318" s="215"/>
      <c r="BR318" s="215"/>
      <c r="BS318" s="215"/>
      <c r="BT318" s="215"/>
      <c r="BU318" s="215"/>
      <c r="BV318" s="215"/>
      <c r="BW318" s="215"/>
      <c r="BX318" s="215"/>
      <c r="BY318" s="215"/>
      <c r="BZ318" s="215"/>
    </row>
    <row r="319" spans="1:78" x14ac:dyDescent="0.2">
      <c r="A319" s="2" t="str">
        <f>'Language Index'!A294</f>
        <v>Operating Lease Payments</v>
      </c>
      <c r="B319" s="17"/>
      <c r="C319" s="17"/>
      <c r="D319" s="18">
        <f>_xll.ciqfunctions.udf.CIQ($C$2, "IQ_OPERATING_LEASE_PAYMENTS",D$6,$F$2,,,Ccy,Conv)</f>
        <v>0</v>
      </c>
      <c r="E319" s="18">
        <f>_xll.ciqfunctions.udf.CIQ($C$2, "IQ_OPERATING_LEASE_PAYMENTS",E$6,$F$2,,,Ccy,Conv)</f>
        <v>0</v>
      </c>
      <c r="F319" s="18">
        <f>_xll.ciqfunctions.udf.CIQ($C$2, "IQ_OPERATING_LEASE_PAYMENTS",F$6,$F$2,,,Ccy,Conv)</f>
        <v>0</v>
      </c>
      <c r="G319" s="18">
        <f>_xll.ciqfunctions.udf.CIQ($C$2, "IQ_OPERATING_LEASE_PAYMENTS",G$6,$F$2,,,Ccy,Conv)</f>
        <v>0</v>
      </c>
      <c r="H319" s="18">
        <f>_xll.ciqfunctions.udf.CIQ($C$2, "IQ_OPERATING_LEASE_PAYMENTS",H$6,$F$2,,,Ccy,Conv)</f>
        <v>0</v>
      </c>
      <c r="I319" s="18">
        <f>_xll.ciqfunctions.udf.CIQ($C$2, "IQ_OPERATING_LEASE_PAYMENTS",I$6,$F$2,,,Ccy,Conv)</f>
        <v>0</v>
      </c>
      <c r="J319" s="18">
        <f>_xll.ciqfunctions.udf.CIQ($C$2, "IQ_OPERATING_LEASE_PAYMENTS",J$6,$F$2,,,Ccy,Conv)</f>
        <v>0</v>
      </c>
      <c r="K319" s="18">
        <f>_xll.ciqfunctions.udf.CIQ($C$2, "IQ_OPERATING_LEASE_PAYMENTS",K$6,$F$2,,,Ccy,Conv)</f>
        <v>0</v>
      </c>
      <c r="L319" s="18">
        <f>_xll.ciqfunctions.udf.CIQ($C$2, "IQ_OPERATING_LEASE_PAYMENTS",L$6,$F$2,,,Ccy,Conv)</f>
        <v>0</v>
      </c>
      <c r="M319" s="18">
        <f>_xll.ciqfunctions.udf.CIQ($C$2, "IQ_OPERATING_LEASE_PAYMENTS",M$6,$F$2,,,Ccy,Conv)</f>
        <v>0</v>
      </c>
      <c r="N319" s="18">
        <f>_xll.ciqfunctions.udf.CIQ($C$2, "IQ_OPERATING_LEASE_PAYMENTS",N$6,$F$2,,,Ccy,Conv)</f>
        <v>0</v>
      </c>
      <c r="O319" s="18"/>
      <c r="P319" s="18">
        <f>_xll.ciqfunctions.udf.CIQ($C$2, "IQ_OPERATING_LEASE_PAYMENTS",P$6,$F$2,,,Ccy,Conv)</f>
        <v>0</v>
      </c>
      <c r="Q319" s="242"/>
      <c r="R319" s="215"/>
      <c r="S319" s="215"/>
      <c r="T319" s="215"/>
      <c r="U319" s="215"/>
      <c r="V319" s="222"/>
      <c r="W319" s="222"/>
      <c r="X319" s="222"/>
      <c r="Y319" s="215"/>
      <c r="Z319" s="215"/>
      <c r="AA319" s="215"/>
      <c r="AB319" s="215"/>
      <c r="AC319" s="215"/>
      <c r="AD319" s="215"/>
      <c r="AE319" s="215"/>
      <c r="AF319" s="215"/>
      <c r="AG319" s="215"/>
      <c r="AH319" s="215"/>
      <c r="AI319" s="215"/>
      <c r="AJ319" s="215"/>
      <c r="AK319" s="215"/>
      <c r="AL319" s="215"/>
      <c r="AM319" s="215"/>
      <c r="AN319" s="215"/>
      <c r="AO319" s="215"/>
      <c r="AP319" s="215"/>
      <c r="AQ319" s="215"/>
      <c r="AR319" s="215"/>
      <c r="AS319" s="215"/>
      <c r="AT319" s="215"/>
      <c r="AU319" s="215"/>
      <c r="AV319" s="215"/>
      <c r="AW319" s="215"/>
      <c r="AX319" s="215"/>
      <c r="AY319" s="215"/>
      <c r="AZ319" s="215"/>
      <c r="BA319" s="215"/>
      <c r="BB319" s="215"/>
      <c r="BC319" s="215"/>
      <c r="BD319" s="215"/>
      <c r="BE319" s="215"/>
      <c r="BF319" s="215"/>
      <c r="BG319" s="215"/>
      <c r="BH319" s="215"/>
      <c r="BI319" s="215"/>
      <c r="BJ319" s="215"/>
      <c r="BK319" s="215"/>
      <c r="BL319" s="215"/>
      <c r="BM319" s="215"/>
      <c r="BN319" s="215"/>
      <c r="BO319" s="215"/>
      <c r="BP319" s="215"/>
      <c r="BQ319" s="215"/>
      <c r="BR319" s="215"/>
      <c r="BS319" s="215"/>
      <c r="BT319" s="215"/>
      <c r="BU319" s="215"/>
      <c r="BV319" s="215"/>
      <c r="BW319" s="215"/>
      <c r="BX319" s="215"/>
      <c r="BY319" s="215"/>
      <c r="BZ319" s="215"/>
    </row>
    <row r="320" spans="1:78" x14ac:dyDescent="0.2">
      <c r="A320" s="2" t="str">
        <f>'Language Index'!A295</f>
        <v>Change in Operating Lease Liabilities</v>
      </c>
      <c r="B320" s="17"/>
      <c r="C320" s="17"/>
      <c r="D320" s="18">
        <f>_xll.ciqfunctions.udf.CIQ($C$2, "IQ_OPERATING_LEASE_LIABILITIES",D$6,$F$2,,,Ccy,Conv)</f>
        <v>0</v>
      </c>
      <c r="E320" s="18">
        <f>_xll.ciqfunctions.udf.CIQ($C$2, "IQ_OPERATING_LEASE_LIABILITIES",E$6,$F$2,,,Ccy,Conv)</f>
        <v>0</v>
      </c>
      <c r="F320" s="18">
        <f>_xll.ciqfunctions.udf.CIQ($C$2, "IQ_OPERATING_LEASE_LIABILITIES",F$6,$F$2,,,Ccy,Conv)</f>
        <v>0</v>
      </c>
      <c r="G320" s="18">
        <f>_xll.ciqfunctions.udf.CIQ($C$2, "IQ_OPERATING_LEASE_LIABILITIES",G$6,$F$2,,,Ccy,Conv)</f>
        <v>0</v>
      </c>
      <c r="H320" s="18">
        <f>_xll.ciqfunctions.udf.CIQ($C$2, "IQ_OPERATING_LEASE_LIABILITIES",H$6,$F$2,,,Ccy,Conv)</f>
        <v>0</v>
      </c>
      <c r="I320" s="18">
        <f>_xll.ciqfunctions.udf.CIQ($C$2, "IQ_OPERATING_LEASE_LIABILITIES",I$6,$F$2,,,Ccy,Conv)</f>
        <v>0</v>
      </c>
      <c r="J320" s="18">
        <f>_xll.ciqfunctions.udf.CIQ($C$2, "IQ_OPERATING_LEASE_LIABILITIES",J$6,$F$2,,,Ccy,Conv)</f>
        <v>0</v>
      </c>
      <c r="K320" s="18">
        <f>_xll.ciqfunctions.udf.CIQ($C$2, "IQ_OPERATING_LEASE_LIABILITIES",K$6,$F$2,,,Ccy,Conv)</f>
        <v>0</v>
      </c>
      <c r="L320" s="18">
        <f>_xll.ciqfunctions.udf.CIQ($C$2, "IQ_OPERATING_LEASE_LIABILITIES",L$6,$F$2,,,Ccy,Conv)</f>
        <v>0</v>
      </c>
      <c r="M320" s="18">
        <f>_xll.ciqfunctions.udf.CIQ($C$2, "IQ_OPERATING_LEASE_LIABILITIES",M$6,$F$2,,,Ccy,Conv)</f>
        <v>0</v>
      </c>
      <c r="N320" s="18">
        <f>_xll.ciqfunctions.udf.CIQ($C$2, "IQ_OPERATING_LEASE_LIABILITIES",N$6,$F$2,,,Ccy,Conv)</f>
        <v>0</v>
      </c>
      <c r="O320" s="18"/>
      <c r="P320" s="18">
        <f>_xll.ciqfunctions.udf.CIQ($C$2, "IQ_OPERATING_LEASE_LIABILITIES",P$6,$F$2,,,Ccy,Conv)</f>
        <v>0</v>
      </c>
      <c r="Q320" s="215"/>
      <c r="R320" s="215"/>
      <c r="S320" s="215"/>
      <c r="T320" s="215"/>
      <c r="U320" s="215"/>
      <c r="V320" s="233"/>
      <c r="W320" s="233"/>
      <c r="X320" s="233"/>
      <c r="Y320" s="232"/>
      <c r="Z320" s="232"/>
      <c r="AA320" s="232"/>
      <c r="AB320" s="215"/>
      <c r="AC320" s="215"/>
      <c r="AD320" s="215"/>
      <c r="AE320" s="215"/>
      <c r="AF320" s="215"/>
      <c r="AG320" s="215"/>
      <c r="AH320" s="215"/>
      <c r="AI320" s="215"/>
      <c r="AJ320" s="215"/>
      <c r="AK320" s="215"/>
      <c r="AL320" s="215"/>
      <c r="AM320" s="215"/>
      <c r="AN320" s="215"/>
      <c r="AO320" s="215"/>
      <c r="AP320" s="215"/>
      <c r="AQ320" s="215"/>
      <c r="AR320" s="215"/>
      <c r="AS320" s="215"/>
      <c r="AT320" s="215"/>
      <c r="AU320" s="215"/>
      <c r="AV320" s="215"/>
      <c r="AW320" s="215"/>
      <c r="AX320" s="215"/>
      <c r="AY320" s="215"/>
      <c r="AZ320" s="215"/>
      <c r="BA320" s="215"/>
      <c r="BB320" s="215"/>
      <c r="BC320" s="215"/>
      <c r="BD320" s="215"/>
      <c r="BE320" s="215"/>
      <c r="BF320" s="215"/>
      <c r="BG320" s="215"/>
      <c r="BH320" s="215"/>
      <c r="BI320" s="215"/>
      <c r="BJ320" s="215"/>
      <c r="BK320" s="215"/>
      <c r="BL320" s="215"/>
      <c r="BM320" s="215"/>
      <c r="BN320" s="215"/>
      <c r="BO320" s="215"/>
      <c r="BP320" s="215"/>
      <c r="BQ320" s="215"/>
      <c r="BR320" s="215"/>
      <c r="BS320" s="215"/>
      <c r="BT320" s="215"/>
      <c r="BU320" s="215"/>
      <c r="BV320" s="215"/>
      <c r="BW320" s="215"/>
      <c r="BX320" s="215"/>
      <c r="BY320" s="215"/>
      <c r="BZ320" s="215"/>
    </row>
    <row r="321" spans="1:78" x14ac:dyDescent="0.2">
      <c r="A321" s="2" t="str">
        <f>'Language Index'!A296</f>
        <v>Change in Operating Lease Liabilities Non-Cash</v>
      </c>
      <c r="B321" s="17"/>
      <c r="C321" s="17"/>
      <c r="D321" s="18">
        <f>_xll.ciqfunctions.udf.CIQ($C$2, "IQ_OPERATING_LEASE_LIABILITIES_NONCASH",D$6,$F$2,,,Ccy,Conv)</f>
        <v>0</v>
      </c>
      <c r="E321" s="18">
        <f>_xll.ciqfunctions.udf.CIQ($C$2, "IQ_OPERATING_LEASE_LIABILITIES_NONCASH",E$6,$F$2,,,Ccy,Conv)</f>
        <v>0</v>
      </c>
      <c r="F321" s="18">
        <f>_xll.ciqfunctions.udf.CIQ($C$2, "IQ_OPERATING_LEASE_LIABILITIES_NONCASH",F$6,$F$2,,,Ccy,Conv)</f>
        <v>0</v>
      </c>
      <c r="G321" s="18">
        <f>_xll.ciqfunctions.udf.CIQ($C$2, "IQ_OPERATING_LEASE_LIABILITIES_NONCASH",G$6,$F$2,,,Ccy,Conv)</f>
        <v>0</v>
      </c>
      <c r="H321" s="18">
        <f>_xll.ciqfunctions.udf.CIQ($C$2, "IQ_OPERATING_LEASE_LIABILITIES_NONCASH",H$6,$F$2,,,Ccy,Conv)</f>
        <v>0</v>
      </c>
      <c r="I321" s="18">
        <f>_xll.ciqfunctions.udf.CIQ($C$2, "IQ_OPERATING_LEASE_LIABILITIES_NONCASH",I$6,$F$2,,,Ccy,Conv)</f>
        <v>0</v>
      </c>
      <c r="J321" s="18">
        <f>_xll.ciqfunctions.udf.CIQ($C$2, "IQ_OPERATING_LEASE_LIABILITIES_NONCASH",J$6,$F$2,,,Ccy,Conv)</f>
        <v>0</v>
      </c>
      <c r="K321" s="18">
        <f>_xll.ciqfunctions.udf.CIQ($C$2, "IQ_OPERATING_LEASE_LIABILITIES_NONCASH",K$6,$F$2,,,Ccy,Conv)</f>
        <v>0</v>
      </c>
      <c r="L321" s="18">
        <f>_xll.ciqfunctions.udf.CIQ($C$2, "IQ_OPERATING_LEASE_LIABILITIES_NONCASH",L$6,$F$2,,,Ccy,Conv)</f>
        <v>0</v>
      </c>
      <c r="M321" s="18">
        <f>_xll.ciqfunctions.udf.CIQ($C$2, "IQ_OPERATING_LEASE_LIABILITIES_NONCASH",M$6,$F$2,,,Ccy,Conv)</f>
        <v>0</v>
      </c>
      <c r="N321" s="18">
        <f>_xll.ciqfunctions.udf.CIQ($C$2, "IQ_OPERATING_LEASE_LIABILITIES_NONCASH",N$6,$F$2,,,Ccy,Conv)</f>
        <v>0</v>
      </c>
      <c r="O321" s="18"/>
      <c r="P321" s="18">
        <f>_xll.ciqfunctions.udf.CIQ($C$2, "IQ_OPERATING_LEASE_LIABILITIES_NONCASH",P$6,$F$2,,,Ccy,Conv)</f>
        <v>0</v>
      </c>
      <c r="Q321" s="215"/>
      <c r="R321" s="215"/>
      <c r="S321" s="215"/>
      <c r="T321" s="215"/>
      <c r="U321" s="215"/>
      <c r="V321" s="233"/>
      <c r="W321" s="233"/>
      <c r="X321" s="233"/>
      <c r="Y321" s="232"/>
      <c r="Z321" s="232"/>
      <c r="AA321" s="232"/>
      <c r="AB321" s="215"/>
      <c r="AC321" s="215"/>
      <c r="AD321" s="215"/>
      <c r="AE321" s="215"/>
      <c r="AF321" s="215"/>
      <c r="AG321" s="215"/>
      <c r="AH321" s="215"/>
      <c r="AI321" s="215"/>
      <c r="AJ321" s="215"/>
      <c r="AK321" s="215"/>
      <c r="AL321" s="215"/>
      <c r="AM321" s="215"/>
      <c r="AN321" s="215"/>
      <c r="AO321" s="215"/>
      <c r="AP321" s="215"/>
      <c r="AQ321" s="215"/>
      <c r="AR321" s="215"/>
      <c r="AS321" s="215"/>
      <c r="AT321" s="215"/>
      <c r="AU321" s="215"/>
      <c r="AV321" s="215"/>
      <c r="AW321" s="215"/>
      <c r="AX321" s="215"/>
      <c r="AY321" s="215"/>
      <c r="AZ321" s="215"/>
      <c r="BA321" s="215"/>
      <c r="BB321" s="215"/>
      <c r="BC321" s="215"/>
      <c r="BD321" s="215"/>
      <c r="BE321" s="215"/>
      <c r="BF321" s="215"/>
      <c r="BG321" s="215"/>
      <c r="BH321" s="215"/>
      <c r="BI321" s="215"/>
      <c r="BJ321" s="215"/>
      <c r="BK321" s="215"/>
      <c r="BL321" s="215"/>
      <c r="BM321" s="215"/>
      <c r="BN321" s="215"/>
      <c r="BO321" s="215"/>
      <c r="BP321" s="215"/>
      <c r="BQ321" s="215"/>
      <c r="BR321" s="215"/>
      <c r="BS321" s="215"/>
      <c r="BT321" s="215"/>
      <c r="BU321" s="215"/>
      <c r="BV321" s="215"/>
      <c r="BW321" s="215"/>
      <c r="BX321" s="215"/>
      <c r="BY321" s="215"/>
      <c r="BZ321" s="215"/>
    </row>
    <row r="322" spans="1:78" x14ac:dyDescent="0.2">
      <c r="A322" s="2" t="str">
        <f>'Language Index'!A297</f>
        <v>Long-Term Debt Repaid, Excl. Leases</v>
      </c>
      <c r="B322" s="17"/>
      <c r="C322" s="17"/>
      <c r="D322" s="18">
        <f>_xll.ciqfunctions.udf.CIQ($C$2, "IQ_LONG_TERM_DEBT_REPAID_EXCL_LEASES",D$6,$F$2,,,Ccy,Conv)</f>
        <v>-6101</v>
      </c>
      <c r="E322" s="18">
        <f>_xll.ciqfunctions.udf.CIQ($C$2, "IQ_LONG_TERM_DEBT_REPAID_EXCL_LEASES",E$6,$F$2,,,Ccy,Conv)</f>
        <v>-6327</v>
      </c>
      <c r="F322" s="18">
        <f>_xll.ciqfunctions.udf.CIQ($C$2, "IQ_LONG_TERM_DEBT_REPAID_EXCL_LEASES",F$6,$F$2,,,Ccy,Conv)</f>
        <v>-5082</v>
      </c>
      <c r="G322" s="18">
        <f>_xll.ciqfunctions.udf.CIQ($C$2, "IQ_LONG_TERM_DEBT_REPAID_EXCL_LEASES",G$6,$F$2,,,Ccy,Conv)</f>
        <v>-5063</v>
      </c>
      <c r="H322" s="18">
        <f>_xll.ciqfunctions.udf.CIQ($C$2, "IQ_LONG_TERM_DEBT_REPAID_EXCL_LEASES",H$6,$F$2,,,Ccy,Conv)</f>
        <v>-7046</v>
      </c>
      <c r="I322" s="18">
        <f>_xll.ciqfunctions.udf.CIQ($C$2, "IQ_LONG_TERM_DEBT_REPAID_EXCL_LEASES",I$6,$F$2,,,Ccy,Conv)</f>
        <v>-6600</v>
      </c>
      <c r="J322" s="18">
        <f>_xll.ciqfunctions.udf.CIQ($C$2, "IQ_LONG_TERM_DEBT_REPAID_EXCL_LEASES",J$6,$F$2,,,Ccy,Conv)</f>
        <v>-6615</v>
      </c>
      <c r="K322" s="18">
        <f>_xll.ciqfunctions.udf.CIQ($C$2, "IQ_LONG_TERM_DEBT_REPAID_EXCL_LEASES",K$6,$F$2,,,Ccy,Conv)</f>
        <v>-5766</v>
      </c>
      <c r="L322" s="18">
        <f>_xll.ciqfunctions.udf.CIQ($C$2, "IQ_LONG_TERM_DEBT_REPAID_EXCL_LEASES",L$6,$F$2,,,Ccy,Conv)</f>
        <v>-3956</v>
      </c>
      <c r="M322" s="18">
        <f>_xll.ciqfunctions.udf.CIQ($C$2, "IQ_LONG_TERM_DEBT_REPAID_EXCL_LEASES",M$6,$F$2,,,Ccy,Conv)</f>
        <v>-3803</v>
      </c>
      <c r="N322" s="18">
        <f>_xll.ciqfunctions.udf.CIQ($C$2, "IQ_LONG_TERM_DEBT_REPAID_EXCL_LEASES",N$6,$F$2,,,Ccy,Conv)</f>
        <v>-5489</v>
      </c>
      <c r="O322" s="18"/>
      <c r="P322" s="18">
        <f>_xll.ciqfunctions.udf.CIQ($C$2, "IQ_LONG_TERM_DEBT_REPAID_EXCL_LEASES",P$6,$F$2,,,Ccy,Conv)</f>
        <v>-5489</v>
      </c>
      <c r="Q322" s="215"/>
      <c r="R322" s="215"/>
      <c r="S322" s="215"/>
      <c r="T322" s="215"/>
      <c r="U322" s="215"/>
      <c r="V322" s="233"/>
      <c r="W322" s="233"/>
      <c r="X322" s="233"/>
      <c r="Y322" s="232"/>
      <c r="Z322" s="232"/>
      <c r="AA322" s="232"/>
      <c r="AB322" s="215"/>
      <c r="AC322" s="215"/>
      <c r="AD322" s="215"/>
      <c r="AE322" s="215"/>
      <c r="AF322" s="215"/>
      <c r="AG322" s="215"/>
      <c r="AH322" s="215"/>
      <c r="AI322" s="215"/>
      <c r="AJ322" s="215"/>
      <c r="AK322" s="215"/>
      <c r="AL322" s="215"/>
      <c r="AM322" s="215"/>
      <c r="AN322" s="215"/>
      <c r="AO322" s="215"/>
      <c r="AP322" s="215"/>
      <c r="AQ322" s="215"/>
      <c r="AR322" s="215"/>
      <c r="AS322" s="215"/>
      <c r="AT322" s="215"/>
      <c r="AU322" s="215"/>
      <c r="AV322" s="215"/>
      <c r="AW322" s="215"/>
      <c r="AX322" s="215"/>
      <c r="AY322" s="215"/>
      <c r="AZ322" s="215"/>
      <c r="BA322" s="215"/>
      <c r="BB322" s="215"/>
      <c r="BC322" s="215"/>
      <c r="BD322" s="215"/>
      <c r="BE322" s="215"/>
      <c r="BF322" s="215"/>
      <c r="BG322" s="215"/>
      <c r="BH322" s="215"/>
      <c r="BI322" s="215"/>
      <c r="BJ322" s="215"/>
      <c r="BK322" s="215"/>
      <c r="BL322" s="215"/>
      <c r="BM322" s="215"/>
      <c r="BN322" s="215"/>
      <c r="BO322" s="215"/>
      <c r="BP322" s="215"/>
      <c r="BQ322" s="215"/>
      <c r="BR322" s="215"/>
      <c r="BS322" s="215"/>
      <c r="BT322" s="215"/>
      <c r="BU322" s="215"/>
      <c r="BV322" s="215"/>
      <c r="BW322" s="215"/>
      <c r="BX322" s="215"/>
      <c r="BY322" s="215"/>
      <c r="BZ322" s="215"/>
    </row>
    <row r="323" spans="1:78" x14ac:dyDescent="0.2">
      <c r="A323" s="2" t="str">
        <f>'Language Index'!A298</f>
        <v>Total Debt Repaid, Excl. Leases</v>
      </c>
      <c r="B323" s="17"/>
      <c r="C323" s="17"/>
      <c r="D323" s="18">
        <f>_xll.ciqfunctions.udf.CIQ($C$2, "IQ_TOTAL_DEBT_REPAID_EXCL_LEASES",D$6,$F$2,,,Ccy,Conv)</f>
        <v>-6095</v>
      </c>
      <c r="E323" s="18">
        <f>_xll.ciqfunctions.udf.CIQ($C$2, "IQ_TOTAL_DEBT_REPAID_EXCL_LEASES",E$6,$F$2,,,Ccy,Conv)</f>
        <v>-6327</v>
      </c>
      <c r="F323" s="18">
        <f>_xll.ciqfunctions.udf.CIQ($C$2, "IQ_TOTAL_DEBT_REPAID_EXCL_LEASES",F$6,$F$2,,,Ccy,Conv)</f>
        <v>-5089</v>
      </c>
      <c r="G323" s="18">
        <f>_xll.ciqfunctions.udf.CIQ($C$2, "IQ_TOTAL_DEBT_REPAID_EXCL_LEASES",G$6,$F$2,,,Ccy,Conv)</f>
        <v>-5067</v>
      </c>
      <c r="H323" s="18">
        <f>_xll.ciqfunctions.udf.CIQ($C$2, "IQ_TOTAL_DEBT_REPAID_EXCL_LEASES",H$6,$F$2,,,Ccy,Conv)</f>
        <v>-7050</v>
      </c>
      <c r="I323" s="18">
        <f>_xll.ciqfunctions.udf.CIQ($C$2, "IQ_TOTAL_DEBT_REPAID_EXCL_LEASES",I$6,$F$2,,,Ccy,Conv)</f>
        <v>-6607</v>
      </c>
      <c r="J323" s="18">
        <f>_xll.ciqfunctions.udf.CIQ($C$2, "IQ_TOTAL_DEBT_REPAID_EXCL_LEASES",J$6,$F$2,,,Ccy,Conv)</f>
        <v>-6615</v>
      </c>
      <c r="K323" s="18">
        <f>_xll.ciqfunctions.udf.CIQ($C$2, "IQ_TOTAL_DEBT_REPAID_EXCL_LEASES",K$6,$F$2,,,Ccy,Conv)</f>
        <v>-5795</v>
      </c>
      <c r="L323" s="18">
        <f>_xll.ciqfunctions.udf.CIQ($C$2, "IQ_TOTAL_DEBT_REPAID_EXCL_LEASES",L$6,$F$2,,,Ccy,Conv)</f>
        <v>-3985</v>
      </c>
      <c r="M323" s="18">
        <f>_xll.ciqfunctions.udf.CIQ($C$2, "IQ_TOTAL_DEBT_REPAID_EXCL_LEASES",M$6,$F$2,,,Ccy,Conv)</f>
        <v>-3832</v>
      </c>
      <c r="N323" s="18">
        <f>_xll.ciqfunctions.udf.CIQ($C$2, "IQ_TOTAL_DEBT_REPAID_EXCL_LEASES",N$6,$F$2,,,Ccy,Conv)</f>
        <v>-5518</v>
      </c>
      <c r="O323" s="18"/>
      <c r="P323" s="18">
        <f>_xll.ciqfunctions.udf.CIQ($C$2, "IQ_TOTAL_DEBT_REPAID_EXCL_LEASES",P$6,$F$2,,,Ccy,Conv)</f>
        <v>-5518</v>
      </c>
      <c r="Q323" s="215"/>
      <c r="R323" s="215"/>
      <c r="S323" s="215"/>
      <c r="T323" s="215"/>
      <c r="U323" s="215"/>
      <c r="V323" s="233"/>
      <c r="W323" s="233"/>
      <c r="X323" s="233"/>
      <c r="Y323" s="232"/>
      <c r="Z323" s="232"/>
      <c r="AA323" s="232"/>
      <c r="AB323" s="215"/>
      <c r="AC323" s="215"/>
      <c r="AD323" s="215"/>
      <c r="AE323" s="215"/>
      <c r="AF323" s="215"/>
      <c r="AG323" s="215"/>
      <c r="AH323" s="215"/>
      <c r="AI323" s="215"/>
      <c r="AJ323" s="215"/>
      <c r="AK323" s="215"/>
      <c r="AL323" s="215"/>
      <c r="AM323" s="215"/>
      <c r="AN323" s="215"/>
      <c r="AO323" s="215"/>
      <c r="AP323" s="215"/>
      <c r="AQ323" s="215"/>
      <c r="AR323" s="215"/>
      <c r="AS323" s="215"/>
      <c r="AT323" s="215"/>
      <c r="AU323" s="215"/>
      <c r="AV323" s="215"/>
      <c r="AW323" s="215"/>
      <c r="AX323" s="215"/>
      <c r="AY323" s="215"/>
      <c r="AZ323" s="215"/>
      <c r="BA323" s="215"/>
      <c r="BB323" s="215"/>
      <c r="BC323" s="215"/>
      <c r="BD323" s="215"/>
      <c r="BE323" s="215"/>
      <c r="BF323" s="215"/>
      <c r="BG323" s="215"/>
      <c r="BH323" s="215"/>
      <c r="BI323" s="215"/>
      <c r="BJ323" s="215"/>
      <c r="BK323" s="215"/>
      <c r="BL323" s="215"/>
      <c r="BM323" s="215"/>
      <c r="BN323" s="215"/>
      <c r="BO323" s="215"/>
      <c r="BP323" s="215"/>
      <c r="BQ323" s="215"/>
      <c r="BR323" s="215"/>
      <c r="BS323" s="215"/>
      <c r="BT323" s="215"/>
      <c r="BU323" s="215"/>
      <c r="BV323" s="215"/>
      <c r="BW323" s="215"/>
      <c r="BX323" s="215"/>
      <c r="BY323" s="215"/>
      <c r="BZ323" s="215"/>
    </row>
    <row r="324" spans="1:78" x14ac:dyDescent="0.2">
      <c r="A324" s="2" t="str">
        <f>'Language Index'!A299</f>
        <v>Gain on Bargain Acquisition - (CF)</v>
      </c>
      <c r="B324" s="17"/>
      <c r="C324" s="17"/>
      <c r="D324" s="18">
        <f>_xll.ciqfunctions.udf.CIQ($C$2, "IQ_GAIN_BARGAIN_ACQ_CF",D$6,$F$2,,,Ccy,Conv)</f>
        <v>0</v>
      </c>
      <c r="E324" s="18">
        <f>_xll.ciqfunctions.udf.CIQ($C$2, "IQ_GAIN_BARGAIN_ACQ_CF",E$6,$F$2,,,Ccy,Conv)</f>
        <v>0</v>
      </c>
      <c r="F324" s="18">
        <f>_xll.ciqfunctions.udf.CIQ($C$2, "IQ_GAIN_BARGAIN_ACQ_CF",F$6,$F$2,,,Ccy,Conv)</f>
        <v>0</v>
      </c>
      <c r="G324" s="18">
        <f>_xll.ciqfunctions.udf.CIQ($C$2, "IQ_GAIN_BARGAIN_ACQ_CF",G$6,$F$2,,,Ccy,Conv)</f>
        <v>0</v>
      </c>
      <c r="H324" s="18">
        <f>_xll.ciqfunctions.udf.CIQ($C$2, "IQ_GAIN_BARGAIN_ACQ_CF",H$6,$F$2,,,Ccy,Conv)</f>
        <v>0</v>
      </c>
      <c r="I324" s="18">
        <f>_xll.ciqfunctions.udf.CIQ($C$2, "IQ_GAIN_BARGAIN_ACQ_CF",I$6,$F$2,,,Ccy,Conv)</f>
        <v>0</v>
      </c>
      <c r="J324" s="18">
        <f>_xll.ciqfunctions.udf.CIQ($C$2, "IQ_GAIN_BARGAIN_ACQ_CF",J$6,$F$2,,,Ccy,Conv)</f>
        <v>0</v>
      </c>
      <c r="K324" s="18">
        <f>_xll.ciqfunctions.udf.CIQ($C$2, "IQ_GAIN_BARGAIN_ACQ_CF",K$6,$F$2,,,Ccy,Conv)</f>
        <v>0</v>
      </c>
      <c r="L324" s="18">
        <f>_xll.ciqfunctions.udf.CIQ($C$2, "IQ_GAIN_BARGAIN_ACQ_CF",L$6,$F$2,,,Ccy,Conv)</f>
        <v>0</v>
      </c>
      <c r="M324" s="18">
        <f>_xll.ciqfunctions.udf.CIQ($C$2, "IQ_GAIN_BARGAIN_ACQ_CF",M$6,$F$2,,,Ccy,Conv)</f>
        <v>0</v>
      </c>
      <c r="N324" s="18">
        <f>_xll.ciqfunctions.udf.CIQ($C$2, "IQ_GAIN_BARGAIN_ACQ_CF",N$6,$F$2,,,Ccy,Conv)</f>
        <v>0</v>
      </c>
      <c r="O324" s="18"/>
      <c r="P324" s="18">
        <f>_xll.ciqfunctions.udf.CIQ($C$2, "IQ_GAIN_BARGAIN_ACQ_CF",P$6,$F$2,,,Ccy,Conv)</f>
        <v>0</v>
      </c>
      <c r="Q324" s="215"/>
      <c r="R324" s="215"/>
      <c r="S324" s="215"/>
      <c r="T324" s="215"/>
      <c r="U324" s="215"/>
      <c r="V324" s="233"/>
      <c r="W324" s="233"/>
      <c r="X324" s="233"/>
      <c r="Y324" s="232"/>
      <c r="Z324" s="232"/>
      <c r="AA324" s="232"/>
      <c r="AB324" s="215"/>
      <c r="AC324" s="215"/>
      <c r="AD324" s="215"/>
      <c r="AE324" s="215"/>
      <c r="AF324" s="215"/>
      <c r="AG324" s="215"/>
      <c r="AH324" s="215"/>
      <c r="AI324" s="215"/>
      <c r="AJ324" s="215"/>
      <c r="AK324" s="215"/>
      <c r="AL324" s="215"/>
      <c r="AM324" s="215"/>
      <c r="AN324" s="215"/>
      <c r="AO324" s="215"/>
      <c r="AP324" s="215"/>
      <c r="AQ324" s="215"/>
      <c r="AR324" s="215"/>
      <c r="AS324" s="215"/>
      <c r="AT324" s="215"/>
      <c r="AU324" s="215"/>
      <c r="AV324" s="215"/>
      <c r="AW324" s="215"/>
      <c r="AX324" s="215"/>
      <c r="AY324" s="215"/>
      <c r="AZ324" s="215"/>
      <c r="BA324" s="215"/>
      <c r="BB324" s="215"/>
      <c r="BC324" s="215"/>
      <c r="BD324" s="215"/>
      <c r="BE324" s="215"/>
      <c r="BF324" s="215"/>
      <c r="BG324" s="215"/>
      <c r="BH324" s="215"/>
      <c r="BI324" s="215"/>
      <c r="BJ324" s="215"/>
      <c r="BK324" s="215"/>
      <c r="BL324" s="215"/>
      <c r="BM324" s="215"/>
      <c r="BN324" s="215"/>
      <c r="BO324" s="215"/>
      <c r="BP324" s="215"/>
      <c r="BQ324" s="215"/>
      <c r="BR324" s="215"/>
      <c r="BS324" s="215"/>
      <c r="BT324" s="215"/>
      <c r="BU324" s="215"/>
      <c r="BV324" s="215"/>
      <c r="BW324" s="215"/>
      <c r="BX324" s="215"/>
      <c r="BY324" s="215"/>
      <c r="BZ324" s="215"/>
    </row>
    <row r="325" spans="1:78" x14ac:dyDescent="0.2">
      <c r="A325" s="2" t="str">
        <f>'Language Index'!A159</f>
        <v>Filing Currency</v>
      </c>
      <c r="B325" s="38"/>
      <c r="C325" s="38"/>
      <c r="D325" s="40" t="str">
        <f>_xll.ciqfunctions.udf.CIQ($C$2, "IQ_FILING_CURRENCY", D$6,$F$2)</f>
        <v>USD</v>
      </c>
      <c r="E325" s="40" t="str">
        <f>_xll.ciqfunctions.udf.CIQ($C$2, "IQ_FILING_CURRENCY", E$6,$F$2)</f>
        <v>USD</v>
      </c>
      <c r="F325" s="40" t="str">
        <f>_xll.ciqfunctions.udf.CIQ($C$2, "IQ_FILING_CURRENCY", F$6,$F$2)</f>
        <v>USD</v>
      </c>
      <c r="G325" s="40" t="str">
        <f>_xll.ciqfunctions.udf.CIQ($C$2, "IQ_FILING_CURRENCY", G$6,$F$2)</f>
        <v>USD</v>
      </c>
      <c r="H325" s="40" t="str">
        <f>_xll.ciqfunctions.udf.CIQ($C$2, "IQ_FILING_CURRENCY", H$6,$F$2)</f>
        <v>USD</v>
      </c>
      <c r="I325" s="40" t="str">
        <f>_xll.ciqfunctions.udf.CIQ($C$2, "IQ_FILING_CURRENCY", I$6,$F$2)</f>
        <v>USD</v>
      </c>
      <c r="J325" s="40" t="str">
        <f>_xll.ciqfunctions.udf.CIQ($C$2, "IQ_FILING_CURRENCY", J$6,$F$2)</f>
        <v>USD</v>
      </c>
      <c r="K325" s="40" t="str">
        <f>_xll.ciqfunctions.udf.CIQ($C$2, "IQ_FILING_CURRENCY", K$6,$F$2)</f>
        <v>USD</v>
      </c>
      <c r="L325" s="40" t="str">
        <f>_xll.ciqfunctions.udf.CIQ($C$2, "IQ_FILING_CURRENCY", L$6,$F$2)</f>
        <v>USD</v>
      </c>
      <c r="M325" s="40" t="str">
        <f>_xll.ciqfunctions.udf.CIQ($C$2, "IQ_FILING_CURRENCY", M$6,$F$2)</f>
        <v>USD</v>
      </c>
      <c r="N325" s="40" t="str">
        <f>_xll.ciqfunctions.udf.CIQ($C$2, "IQ_FILING_CURRENCY", N$6,$F$2)</f>
        <v>USD</v>
      </c>
      <c r="O325" s="40"/>
      <c r="P325" s="40" t="str">
        <f>_xll.ciqfunctions.udf.CIQ($C$2, "IQ_FILING_CURRENCY", P$6,$F$2)</f>
        <v>USD</v>
      </c>
      <c r="Q325" s="215"/>
      <c r="R325" s="215"/>
      <c r="S325" s="215"/>
      <c r="T325" s="215"/>
      <c r="U325" s="215"/>
      <c r="V325" s="233"/>
      <c r="W325" s="233"/>
      <c r="X325" s="233"/>
      <c r="Y325" s="232"/>
      <c r="Z325" s="232"/>
      <c r="AA325" s="232"/>
      <c r="AB325" s="232"/>
      <c r="AC325" s="232"/>
      <c r="AD325" s="232"/>
      <c r="AE325" s="232"/>
      <c r="AF325" s="215"/>
      <c r="AG325" s="215"/>
      <c r="AH325" s="232"/>
      <c r="AI325" s="215"/>
      <c r="AJ325" s="215"/>
      <c r="AK325" s="215"/>
      <c r="AL325" s="215"/>
      <c r="AM325" s="215"/>
      <c r="AN325" s="215"/>
      <c r="AO325" s="215"/>
      <c r="AP325" s="215"/>
      <c r="AQ325" s="215"/>
      <c r="AR325" s="215"/>
      <c r="AS325" s="215"/>
      <c r="AT325" s="215"/>
      <c r="AU325" s="215"/>
      <c r="AV325" s="215"/>
      <c r="AW325" s="215"/>
      <c r="AX325" s="215"/>
      <c r="AY325" s="215"/>
      <c r="AZ325" s="215"/>
      <c r="BA325" s="215"/>
      <c r="BB325" s="215"/>
      <c r="BC325" s="215"/>
      <c r="BD325" s="215"/>
      <c r="BE325" s="215"/>
      <c r="BF325" s="215"/>
      <c r="BG325" s="215"/>
      <c r="BH325" s="215"/>
      <c r="BI325" s="215"/>
      <c r="BJ325" s="215"/>
      <c r="BK325" s="215"/>
      <c r="BL325" s="215"/>
      <c r="BM325" s="215"/>
      <c r="BN325" s="215"/>
      <c r="BO325" s="215"/>
      <c r="BP325" s="215"/>
      <c r="BQ325" s="215"/>
      <c r="BR325" s="215"/>
      <c r="BS325" s="215"/>
      <c r="BT325" s="215"/>
      <c r="BU325" s="215"/>
      <c r="BV325" s="215"/>
      <c r="BW325" s="215"/>
      <c r="BX325" s="215"/>
      <c r="BY325" s="215"/>
      <c r="BZ325" s="215"/>
    </row>
    <row r="326" spans="1:78" x14ac:dyDescent="0.2">
      <c r="A326" s="2" t="str">
        <f>'Language Index'!A160</f>
        <v>Restatement Type</v>
      </c>
      <c r="B326" s="38"/>
      <c r="C326" s="38"/>
      <c r="D326" s="40" t="str">
        <f>_xll.ciqfunctions.udf.CIQ($C$2, "IQ_RESTATEMENT_CF",D$6,$F$2)</f>
        <v>RS</v>
      </c>
      <c r="E326" s="40" t="str">
        <f>_xll.ciqfunctions.udf.CIQ($C$2, "IQ_RESTATEMENT_CF",E$6,$F$2)</f>
        <v>RS</v>
      </c>
      <c r="F326" s="40" t="str">
        <f>_xll.ciqfunctions.udf.CIQ($C$2, "IQ_RESTATEMENT_CF",F$6,$F$2)</f>
        <v>NC</v>
      </c>
      <c r="G326" s="40" t="str">
        <f>_xll.ciqfunctions.udf.CIQ($C$2, "IQ_RESTATEMENT_CF",G$6,$F$2)</f>
        <v>NC</v>
      </c>
      <c r="H326" s="40" t="str">
        <f>_xll.ciqfunctions.udf.CIQ($C$2, "IQ_RESTATEMENT_CF",H$6,$F$2)</f>
        <v>NC</v>
      </c>
      <c r="I326" s="40" t="str">
        <f>_xll.ciqfunctions.udf.CIQ($C$2, "IQ_RESTATEMENT_CF",I$6,$F$2)</f>
        <v>NC</v>
      </c>
      <c r="J326" s="40" t="str">
        <f>_xll.ciqfunctions.udf.CIQ($C$2, "IQ_RESTATEMENT_CF",J$6,$F$2)</f>
        <v>NC</v>
      </c>
      <c r="K326" s="40" t="str">
        <f>_xll.ciqfunctions.udf.CIQ($C$2, "IQ_RESTATEMENT_CF",K$6,$F$2)</f>
        <v>O</v>
      </c>
      <c r="L326" s="40" t="str">
        <f>_xll.ciqfunctions.udf.CIQ($C$2, "IQ_RESTATEMENT_CF",L$6,$F$2)</f>
        <v>O</v>
      </c>
      <c r="M326" s="40" t="str">
        <f>_xll.ciqfunctions.udf.CIQ($C$2, "IQ_RESTATEMENT_CF",M$6,$F$2)</f>
        <v>O</v>
      </c>
      <c r="N326" s="40" t="str">
        <f>_xll.ciqfunctions.udf.CIQ($C$2, "IQ_RESTATEMENT_CF",N$6,$F$2)</f>
        <v>O</v>
      </c>
      <c r="O326" s="40"/>
      <c r="P326" s="40" t="str">
        <f>_xll.ciqfunctions.udf.CIQ($C$2, "IQ_RESTATEMENT_CF",P$6,$F$2)</f>
        <v>O</v>
      </c>
      <c r="Q326" s="215"/>
      <c r="R326" s="215"/>
      <c r="S326" s="215"/>
      <c r="T326" s="215"/>
      <c r="U326" s="215"/>
      <c r="V326" s="222"/>
      <c r="W326" s="222"/>
      <c r="X326" s="222"/>
      <c r="Y326" s="215"/>
      <c r="Z326" s="215"/>
      <c r="AA326" s="215"/>
      <c r="AB326" s="215"/>
      <c r="AC326" s="215"/>
      <c r="AD326" s="215"/>
      <c r="AE326" s="215"/>
      <c r="AF326" s="232"/>
      <c r="AG326" s="232"/>
      <c r="AH326" s="215"/>
      <c r="AI326" s="215"/>
      <c r="AJ326" s="215"/>
      <c r="AK326" s="215"/>
      <c r="AL326" s="215"/>
      <c r="AM326" s="215"/>
      <c r="AN326" s="215"/>
      <c r="AO326" s="215"/>
      <c r="AP326" s="215"/>
      <c r="AQ326" s="215"/>
      <c r="AR326" s="215"/>
      <c r="AS326" s="215"/>
      <c r="AT326" s="215"/>
      <c r="AU326" s="215"/>
      <c r="AV326" s="215"/>
      <c r="AW326" s="215"/>
      <c r="AX326" s="215"/>
      <c r="AY326" s="215"/>
      <c r="AZ326" s="215"/>
      <c r="BA326" s="215"/>
      <c r="BB326" s="215"/>
      <c r="BC326" s="215"/>
      <c r="BD326" s="215"/>
      <c r="BE326" s="215"/>
      <c r="BF326" s="215"/>
      <c r="BG326" s="215"/>
      <c r="BH326" s="215"/>
      <c r="BI326" s="215"/>
      <c r="BJ326" s="215"/>
      <c r="BK326" s="215"/>
      <c r="BL326" s="215"/>
      <c r="BM326" s="215"/>
      <c r="BN326" s="215"/>
      <c r="BO326" s="215"/>
      <c r="BP326" s="215"/>
      <c r="BQ326" s="215"/>
      <c r="BR326" s="215"/>
      <c r="BS326" s="215"/>
      <c r="BT326" s="215"/>
      <c r="BU326" s="215"/>
      <c r="BV326" s="215"/>
      <c r="BW326" s="215"/>
      <c r="BX326" s="215"/>
      <c r="BY326" s="215"/>
      <c r="BZ326" s="215"/>
    </row>
    <row r="327" spans="1:78" x14ac:dyDescent="0.2">
      <c r="A327" s="2" t="str">
        <f>'Language Index'!A161</f>
        <v>Calculation Type</v>
      </c>
      <c r="B327" s="38"/>
      <c r="C327" s="38"/>
      <c r="D327" s="40" t="str">
        <f>_xll.ciqfunctions.udf.CIQ($C$2, "IQ_CALC_TYPE_CF",D$6,$F$2)</f>
        <v>LTM</v>
      </c>
      <c r="E327" s="40" t="str">
        <f>_xll.ciqfunctions.udf.CIQ($C$2, "IQ_CALC_TYPE_CF",E$6,$F$2)</f>
        <v>LTM</v>
      </c>
      <c r="F327" s="40" t="str">
        <f>_xll.ciqfunctions.udf.CIQ($C$2, "IQ_CALC_TYPE_CF",F$6,$F$2)</f>
        <v>REP</v>
      </c>
      <c r="G327" s="40" t="str">
        <f>_xll.ciqfunctions.udf.CIQ($C$2, "IQ_CALC_TYPE_CF",G$6,$F$2)</f>
        <v>LTM</v>
      </c>
      <c r="H327" s="40" t="str">
        <f>_xll.ciqfunctions.udf.CIQ($C$2, "IQ_CALC_TYPE_CF",H$6,$F$2)</f>
        <v>LTM</v>
      </c>
      <c r="I327" s="40" t="str">
        <f>_xll.ciqfunctions.udf.CIQ($C$2, "IQ_CALC_TYPE_CF",I$6,$F$2)</f>
        <v>LTM</v>
      </c>
      <c r="J327" s="40" t="str">
        <f>_xll.ciqfunctions.udf.CIQ($C$2, "IQ_CALC_TYPE_CF",J$6,$F$2)</f>
        <v>REP</v>
      </c>
      <c r="K327" s="40" t="str">
        <f>_xll.ciqfunctions.udf.CIQ($C$2, "IQ_CALC_TYPE_CF",K$6,$F$2)</f>
        <v>LTM</v>
      </c>
      <c r="L327" s="40" t="str">
        <f>_xll.ciqfunctions.udf.CIQ($C$2, "IQ_CALC_TYPE_CF",L$6,$F$2)</f>
        <v>LTM</v>
      </c>
      <c r="M327" s="40" t="str">
        <f>_xll.ciqfunctions.udf.CIQ($C$2, "IQ_CALC_TYPE_CF",M$6,$F$2)</f>
        <v>LTM</v>
      </c>
      <c r="N327" s="40" t="str">
        <f>_xll.ciqfunctions.udf.CIQ($C$2, "IQ_CALC_TYPE_CF",N$6,$F$2)</f>
        <v>REP</v>
      </c>
      <c r="O327" s="40"/>
      <c r="P327" s="40" t="str">
        <f>_xll.ciqfunctions.udf.CIQ($C$2, "IQ_CALC_TYPE_CF",P$6,$F$2)</f>
        <v>REP</v>
      </c>
      <c r="Q327" s="215"/>
      <c r="R327" s="215"/>
      <c r="S327" s="215"/>
      <c r="T327" s="215"/>
      <c r="U327" s="215"/>
      <c r="V327" s="222"/>
      <c r="W327" s="222"/>
      <c r="X327" s="222"/>
      <c r="Y327" s="215"/>
      <c r="Z327" s="215"/>
      <c r="AA327" s="215"/>
      <c r="AB327" s="215"/>
      <c r="AC327" s="215"/>
      <c r="AD327" s="215"/>
      <c r="AE327" s="232"/>
      <c r="AF327" s="215"/>
      <c r="AG327" s="215"/>
      <c r="AH327" s="215"/>
      <c r="AI327" s="215"/>
      <c r="AJ327" s="215"/>
      <c r="AK327" s="215"/>
      <c r="AL327" s="215"/>
      <c r="AM327" s="215"/>
      <c r="AN327" s="215"/>
      <c r="AO327" s="215"/>
      <c r="AP327" s="215"/>
      <c r="AQ327" s="215"/>
      <c r="AR327" s="215"/>
      <c r="AS327" s="215"/>
      <c r="AT327" s="215"/>
      <c r="AU327" s="215"/>
      <c r="AV327" s="215"/>
      <c r="AW327" s="215"/>
      <c r="AX327" s="215"/>
      <c r="AY327" s="215"/>
      <c r="AZ327" s="215"/>
      <c r="BA327" s="215"/>
      <c r="BB327" s="215"/>
      <c r="BC327" s="215"/>
      <c r="BD327" s="215"/>
      <c r="BE327" s="215"/>
      <c r="BF327" s="215"/>
      <c r="BG327" s="215"/>
      <c r="BH327" s="215"/>
      <c r="BI327" s="215"/>
      <c r="BJ327" s="215"/>
      <c r="BK327" s="215"/>
      <c r="BL327" s="215"/>
      <c r="BM327" s="215"/>
      <c r="BN327" s="215"/>
      <c r="BO327" s="215"/>
      <c r="BP327" s="215"/>
      <c r="BQ327" s="215"/>
      <c r="BR327" s="215"/>
      <c r="BS327" s="215"/>
      <c r="BT327" s="215"/>
      <c r="BU327" s="215"/>
      <c r="BV327" s="215"/>
      <c r="BW327" s="215"/>
      <c r="BX327" s="215"/>
      <c r="BY327" s="215"/>
      <c r="BZ327" s="215"/>
    </row>
    <row r="328" spans="1:78" x14ac:dyDescent="0.2">
      <c r="A328" s="2" t="str">
        <f>'Language Index'!A162</f>
        <v>Financial Accounting Standard</v>
      </c>
      <c r="B328" s="38"/>
      <c r="C328" s="38"/>
      <c r="D328" s="40">
        <f>_xll.ciqfunctions.udf.CIQ($C$2, "IQ_GAAP_CF",D$6,$F$2)</f>
        <v>0</v>
      </c>
      <c r="E328" s="40">
        <f>_xll.ciqfunctions.udf.CIQ($C$2, "IQ_GAAP_CF",E$6,$F$2)</f>
        <v>0</v>
      </c>
      <c r="F328" s="40" t="str">
        <f>_xll.ciqfunctions.udf.CIQ($C$2, "IQ_GAAP_CF",F$6,$F$2)</f>
        <v>US GAAP</v>
      </c>
      <c r="G328" s="40">
        <f>_xll.ciqfunctions.udf.CIQ($C$2, "IQ_GAAP_CF",G$6,$F$2)</f>
        <v>0</v>
      </c>
      <c r="H328" s="40">
        <f>_xll.ciqfunctions.udf.CIQ($C$2, "IQ_GAAP_CF",H$6,$F$2)</f>
        <v>0</v>
      </c>
      <c r="I328" s="40">
        <f>_xll.ciqfunctions.udf.CIQ($C$2, "IQ_GAAP_CF",I$6,$F$2)</f>
        <v>0</v>
      </c>
      <c r="J328" s="40" t="str">
        <f>_xll.ciqfunctions.udf.CIQ($C$2, "IQ_GAAP_CF",J$6,$F$2)</f>
        <v>US GAAP</v>
      </c>
      <c r="K328" s="40">
        <f>_xll.ciqfunctions.udf.CIQ($C$2, "IQ_GAAP_CF",K$6,$F$2)</f>
        <v>0</v>
      </c>
      <c r="L328" s="40">
        <f>_xll.ciqfunctions.udf.CIQ($C$2, "IQ_GAAP_CF",L$6,$F$2)</f>
        <v>0</v>
      </c>
      <c r="M328" s="40">
        <f>_xll.ciqfunctions.udf.CIQ($C$2, "IQ_GAAP_CF",M$6,$F$2)</f>
        <v>0</v>
      </c>
      <c r="N328" s="40" t="str">
        <f>_xll.ciqfunctions.udf.CIQ($C$2, "IQ_GAAP_CF",N$6,$F$2)</f>
        <v>US GAAP</v>
      </c>
      <c r="O328" s="40"/>
      <c r="P328" s="40" t="str">
        <f>_xll.ciqfunctions.udf.CIQ($C$2, "IQ_GAAP_CF",P$6,$F$2)</f>
        <v>US GAAP</v>
      </c>
      <c r="Q328" s="215"/>
      <c r="R328" s="215"/>
      <c r="S328" s="215"/>
      <c r="T328" s="215"/>
      <c r="U328" s="215"/>
      <c r="V328" s="233"/>
      <c r="W328" s="233"/>
      <c r="X328" s="233"/>
      <c r="Y328" s="232"/>
      <c r="Z328" s="232"/>
      <c r="AA328" s="232"/>
      <c r="AB328" s="232"/>
      <c r="AC328" s="232"/>
      <c r="AD328" s="232"/>
      <c r="AE328" s="215"/>
      <c r="AF328" s="232"/>
      <c r="AG328" s="232"/>
      <c r="AH328" s="232"/>
      <c r="AI328" s="215"/>
      <c r="AJ328" s="215"/>
      <c r="AK328" s="215"/>
      <c r="AL328" s="215"/>
      <c r="AM328" s="215"/>
      <c r="AN328" s="215"/>
      <c r="AO328" s="215"/>
      <c r="AP328" s="215"/>
      <c r="AQ328" s="215"/>
      <c r="AR328" s="215"/>
      <c r="AS328" s="215"/>
      <c r="AT328" s="215"/>
      <c r="AU328" s="215"/>
      <c r="AV328" s="215"/>
      <c r="AW328" s="215"/>
      <c r="AX328" s="215"/>
      <c r="AY328" s="215"/>
      <c r="AZ328" s="215"/>
      <c r="BA328" s="215"/>
      <c r="BB328" s="215"/>
      <c r="BC328" s="215"/>
      <c r="BD328" s="215"/>
      <c r="BE328" s="215"/>
      <c r="BF328" s="215"/>
      <c r="BG328" s="215"/>
      <c r="BH328" s="215"/>
      <c r="BI328" s="215"/>
      <c r="BJ328" s="215"/>
      <c r="BK328" s="215"/>
      <c r="BL328" s="215"/>
      <c r="BM328" s="215"/>
      <c r="BN328" s="215"/>
      <c r="BO328" s="215"/>
      <c r="BP328" s="215"/>
      <c r="BQ328" s="215"/>
      <c r="BR328" s="215"/>
      <c r="BS328" s="215"/>
      <c r="BT328" s="215"/>
      <c r="BU328" s="215"/>
      <c r="BV328" s="215"/>
      <c r="BW328" s="215"/>
      <c r="BX328" s="215"/>
      <c r="BY328" s="215"/>
      <c r="BZ328" s="215"/>
    </row>
    <row r="329" spans="1:78" x14ac:dyDescent="0.2">
      <c r="A329" s="17"/>
      <c r="B329" s="17"/>
      <c r="C329" s="17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232"/>
      <c r="R329" s="215"/>
      <c r="S329" s="215"/>
      <c r="T329" s="215"/>
      <c r="U329" s="215"/>
      <c r="V329" s="222"/>
      <c r="W329" s="222"/>
      <c r="X329" s="222"/>
      <c r="Y329" s="215"/>
      <c r="Z329" s="215"/>
      <c r="AA329" s="215"/>
      <c r="AB329" s="215"/>
      <c r="AC329" s="215"/>
      <c r="AD329" s="215"/>
      <c r="AE329" s="215"/>
      <c r="AF329" s="215"/>
      <c r="AG329" s="215"/>
      <c r="AH329" s="215"/>
      <c r="AI329" s="215"/>
      <c r="AJ329" s="215"/>
      <c r="AK329" s="215"/>
      <c r="AL329" s="215"/>
      <c r="AM329" s="215"/>
      <c r="AN329" s="215"/>
      <c r="AO329" s="215"/>
      <c r="AP329" s="215"/>
      <c r="AQ329" s="215"/>
      <c r="AR329" s="215"/>
      <c r="AS329" s="215"/>
      <c r="AT329" s="215"/>
      <c r="AU329" s="215"/>
      <c r="AV329" s="215"/>
      <c r="AW329" s="215"/>
      <c r="AX329" s="215"/>
      <c r="AY329" s="215"/>
      <c r="AZ329" s="215"/>
      <c r="BA329" s="215"/>
      <c r="BB329" s="215"/>
      <c r="BC329" s="215"/>
      <c r="BD329" s="215"/>
      <c r="BE329" s="215"/>
      <c r="BF329" s="215"/>
      <c r="BG329" s="215"/>
      <c r="BH329" s="215"/>
      <c r="BI329" s="215"/>
      <c r="BJ329" s="215"/>
      <c r="BK329" s="215"/>
      <c r="BL329" s="215"/>
      <c r="BM329" s="215"/>
      <c r="BN329" s="215"/>
      <c r="BO329" s="215"/>
      <c r="BP329" s="215"/>
      <c r="BQ329" s="215"/>
      <c r="BR329" s="215"/>
      <c r="BS329" s="215"/>
      <c r="BT329" s="215"/>
      <c r="BU329" s="215"/>
      <c r="BV329" s="215"/>
      <c r="BW329" s="215"/>
      <c r="BX329" s="215"/>
      <c r="BY329" s="215"/>
      <c r="BZ329" s="215"/>
    </row>
    <row r="330" spans="1:78" x14ac:dyDescent="0.2">
      <c r="A330" s="17"/>
      <c r="B330" s="17"/>
      <c r="C330" s="17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215"/>
      <c r="R330" s="215"/>
      <c r="S330" s="215"/>
      <c r="T330" s="215"/>
      <c r="U330" s="215"/>
      <c r="V330" s="233"/>
      <c r="W330" s="233"/>
      <c r="X330" s="233"/>
      <c r="Y330" s="232"/>
      <c r="Z330" s="232"/>
      <c r="AA330" s="232"/>
      <c r="AB330" s="232"/>
      <c r="AC330" s="232"/>
      <c r="AD330" s="232"/>
      <c r="AE330" s="215"/>
      <c r="AF330" s="232"/>
      <c r="AG330" s="232"/>
      <c r="AH330" s="232"/>
      <c r="AI330" s="215"/>
      <c r="AJ330" s="215"/>
      <c r="AK330" s="215"/>
      <c r="AL330" s="215"/>
      <c r="AM330" s="215"/>
      <c r="AN330" s="215"/>
      <c r="AO330" s="215"/>
      <c r="AP330" s="215"/>
      <c r="AQ330" s="215"/>
      <c r="AR330" s="215"/>
      <c r="AS330" s="215"/>
      <c r="AT330" s="215"/>
      <c r="AU330" s="215"/>
      <c r="AV330" s="215"/>
      <c r="AW330" s="215"/>
      <c r="AX330" s="215"/>
      <c r="AY330" s="215"/>
      <c r="AZ330" s="215"/>
      <c r="BA330" s="215"/>
      <c r="BB330" s="215"/>
      <c r="BC330" s="215"/>
      <c r="BD330" s="215"/>
      <c r="BE330" s="215"/>
      <c r="BF330" s="215"/>
      <c r="BG330" s="215"/>
      <c r="BH330" s="215"/>
      <c r="BI330" s="215"/>
      <c r="BJ330" s="215"/>
      <c r="BK330" s="215"/>
      <c r="BL330" s="215"/>
      <c r="BM330" s="215"/>
      <c r="BN330" s="215"/>
      <c r="BO330" s="215"/>
      <c r="BP330" s="215"/>
      <c r="BQ330" s="215"/>
      <c r="BR330" s="215"/>
      <c r="BS330" s="215"/>
      <c r="BT330" s="215"/>
      <c r="BU330" s="215"/>
      <c r="BV330" s="215"/>
      <c r="BW330" s="215"/>
      <c r="BX330" s="215"/>
      <c r="BY330" s="215"/>
      <c r="BZ330" s="215"/>
    </row>
    <row r="331" spans="1:78" x14ac:dyDescent="0.2">
      <c r="A331" s="9" t="str">
        <f>UPPER('Language Index'!A30)&amp;" - "&amp;IF($F$3='Language Index'!$A$159,_xll.ciqfunctions.udf.CIQ($C$2,"IQ_FILING_CURRENCY",,$F$2 ),IF($F$3='Language Index'!$A$867,_xll.ciqfunctions.udf.CIQ($C$2,"IQ_TRADING_CURRENCY",$F$2 ),Ccy))&amp;" "&amp;UPPER('Language Index'!A32)</f>
        <v>BALANCE SHEET - USD IN MILLIONS</v>
      </c>
      <c r="B331" s="1"/>
      <c r="C331" s="1"/>
      <c r="D331" s="14" t="str">
        <f>$T$2&amp; " "&amp;'Language Index'!A31&amp;","</f>
        <v>Last Twelve Months Ended,</v>
      </c>
      <c r="E331" s="14"/>
      <c r="F331" s="15"/>
      <c r="G331" s="15"/>
      <c r="H331" s="15"/>
      <c r="I331" s="15"/>
      <c r="J331" s="15"/>
      <c r="K331" s="15"/>
      <c r="L331" s="15"/>
      <c r="M331" s="15"/>
      <c r="N331" s="15"/>
      <c r="O331" s="4"/>
      <c r="P331" s="14" t="str">
        <f>'Language Index'!A14</f>
        <v>LTM</v>
      </c>
      <c r="Q331" s="215"/>
      <c r="R331" s="215"/>
      <c r="S331" s="215"/>
      <c r="T331" s="215"/>
      <c r="U331" s="215"/>
      <c r="V331" s="222"/>
      <c r="W331" s="222"/>
      <c r="X331" s="222"/>
      <c r="Y331" s="215"/>
      <c r="Z331" s="215"/>
      <c r="AA331" s="215"/>
      <c r="AB331" s="215"/>
      <c r="AC331" s="215"/>
      <c r="AD331" s="215"/>
      <c r="AE331" s="215"/>
      <c r="AF331" s="215"/>
      <c r="AG331" s="215"/>
      <c r="AH331" s="215"/>
      <c r="AI331" s="215"/>
      <c r="AJ331" s="215"/>
      <c r="AK331" s="215"/>
      <c r="AL331" s="215"/>
      <c r="AM331" s="215"/>
      <c r="AN331" s="215"/>
      <c r="AO331" s="215"/>
      <c r="AP331" s="215"/>
      <c r="AQ331" s="215"/>
      <c r="AR331" s="215"/>
      <c r="AS331" s="215"/>
      <c r="AT331" s="215"/>
      <c r="AU331" s="215"/>
      <c r="AV331" s="215"/>
      <c r="AW331" s="215"/>
      <c r="AX331" s="215"/>
      <c r="AY331" s="215"/>
      <c r="AZ331" s="215"/>
      <c r="BA331" s="215"/>
      <c r="BB331" s="215"/>
      <c r="BC331" s="215"/>
      <c r="BD331" s="215"/>
      <c r="BE331" s="215"/>
      <c r="BF331" s="215"/>
      <c r="BG331" s="215"/>
      <c r="BH331" s="215"/>
      <c r="BI331" s="215"/>
      <c r="BJ331" s="215"/>
      <c r="BK331" s="215"/>
      <c r="BL331" s="215"/>
      <c r="BM331" s="215"/>
      <c r="BN331" s="215"/>
      <c r="BO331" s="215"/>
      <c r="BP331" s="215"/>
      <c r="BQ331" s="215"/>
      <c r="BR331" s="215"/>
      <c r="BS331" s="215"/>
      <c r="BT331" s="215"/>
      <c r="BU331" s="215"/>
      <c r="BV331" s="215"/>
      <c r="BW331" s="215"/>
      <c r="BX331" s="215"/>
      <c r="BY331" s="215"/>
      <c r="BZ331" s="215"/>
    </row>
    <row r="332" spans="1:78" x14ac:dyDescent="0.2">
      <c r="A332" s="9" t="str">
        <f>'Language Index'!A265</f>
        <v>Period Date</v>
      </c>
      <c r="B332" s="2"/>
      <c r="C332" s="2"/>
      <c r="D332" s="64">
        <f>_xll.ciqfunctions.udf.CIQ($C$2, "IQ_PERIODDATE", D$6,$F$2)</f>
        <v>45107</v>
      </c>
      <c r="E332" s="64">
        <f>_xll.ciqfunctions.udf.CIQ($C$2, "IQ_PERIODDATE", E$6,$F$2)</f>
        <v>45199</v>
      </c>
      <c r="F332" s="64">
        <f>_xll.ciqfunctions.udf.CIQ($C$2, "IQ_PERIODDATE", F$6,$F$2)</f>
        <v>45291</v>
      </c>
      <c r="G332" s="64">
        <f>_xll.ciqfunctions.udf.CIQ($C$2, "IQ_PERIODDATE", G$6,$F$2)</f>
        <v>45382</v>
      </c>
      <c r="H332" s="64">
        <f>_xll.ciqfunctions.udf.CIQ($C$2, "IQ_PERIODDATE", H$6,$F$2)</f>
        <v>45473</v>
      </c>
      <c r="I332" s="64">
        <f>_xll.ciqfunctions.udf.CIQ($C$2, "IQ_PERIODDATE", I$6,$F$2)</f>
        <v>45565</v>
      </c>
      <c r="J332" s="64">
        <f>_xll.ciqfunctions.udf.CIQ($C$2, "IQ_PERIODDATE", J$6,$F$2)</f>
        <v>45657</v>
      </c>
      <c r="K332" s="64">
        <f>_xll.ciqfunctions.udf.CIQ($C$2, "IQ_PERIODDATE", K$6,$F$2)</f>
        <v>45747</v>
      </c>
      <c r="L332" s="64">
        <f>_xll.ciqfunctions.udf.CIQ($C$2, "IQ_PERIODDATE", L$6,$F$2)</f>
        <v>45838</v>
      </c>
      <c r="M332" s="64">
        <f>_xll.ciqfunctions.udf.CIQ($C$2, "IQ_PERIODDATE", M$6,$F$2)</f>
        <v>45930</v>
      </c>
      <c r="N332" s="64">
        <f>_xll.ciqfunctions.udf.CIQ($C$2, "IQ_PERIODDATE", N$6,$F$2)</f>
        <v>46022</v>
      </c>
      <c r="O332" s="65"/>
      <c r="P332" s="64">
        <f>_xll.ciqfunctions.udf.CIQ($C$2, "IQ_PERIODDATE", P$6,$F$2)</f>
        <v>46022</v>
      </c>
      <c r="Q332" s="232"/>
      <c r="R332" s="215"/>
      <c r="S332" s="215"/>
      <c r="T332" s="215"/>
      <c r="U332" s="215"/>
      <c r="V332" s="222"/>
      <c r="W332" s="222"/>
      <c r="X332" s="222"/>
      <c r="Y332" s="215"/>
      <c r="Z332" s="215"/>
      <c r="AA332" s="215"/>
      <c r="AB332" s="215"/>
      <c r="AC332" s="215"/>
      <c r="AD332" s="215"/>
      <c r="AE332" s="215"/>
      <c r="AF332" s="215"/>
      <c r="AG332" s="215"/>
      <c r="AH332" s="215"/>
      <c r="AI332" s="215"/>
      <c r="AJ332" s="215"/>
      <c r="AK332" s="215"/>
      <c r="AL332" s="215"/>
      <c r="AM332" s="215"/>
      <c r="AN332" s="215"/>
      <c r="AO332" s="215"/>
      <c r="AP332" s="215"/>
      <c r="AQ332" s="215"/>
      <c r="AR332" s="215"/>
      <c r="AS332" s="215"/>
      <c r="AT332" s="215"/>
      <c r="AU332" s="215"/>
      <c r="AV332" s="215"/>
      <c r="AW332" s="215"/>
      <c r="AX332" s="215"/>
      <c r="AY332" s="215"/>
      <c r="AZ332" s="215"/>
      <c r="BA332" s="215"/>
      <c r="BB332" s="215"/>
      <c r="BC332" s="215"/>
      <c r="BD332" s="215"/>
      <c r="BE332" s="215"/>
      <c r="BF332" s="215"/>
      <c r="BG332" s="215"/>
      <c r="BH332" s="215"/>
      <c r="BI332" s="215"/>
      <c r="BJ332" s="215"/>
      <c r="BK332" s="215"/>
      <c r="BL332" s="215"/>
      <c r="BM332" s="215"/>
      <c r="BN332" s="215"/>
      <c r="BO332" s="215"/>
      <c r="BP332" s="215"/>
      <c r="BQ332" s="215"/>
      <c r="BR332" s="215"/>
      <c r="BS332" s="215"/>
      <c r="BT332" s="215"/>
      <c r="BU332" s="215"/>
      <c r="BV332" s="215"/>
      <c r="BW332" s="215"/>
      <c r="BX332" s="215"/>
      <c r="BY332" s="215"/>
      <c r="BZ332" s="215"/>
    </row>
    <row r="333" spans="1:78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232"/>
      <c r="R333" s="215"/>
      <c r="S333" s="215"/>
      <c r="T333" s="215"/>
      <c r="U333" s="215"/>
      <c r="V333" s="222"/>
      <c r="W333" s="222"/>
      <c r="X333" s="222"/>
      <c r="Y333" s="215"/>
      <c r="Z333" s="215"/>
      <c r="AA333" s="215"/>
      <c r="AB333" s="215"/>
      <c r="AC333" s="215"/>
      <c r="AD333" s="215"/>
      <c r="AE333" s="215"/>
      <c r="AF333" s="215"/>
      <c r="AG333" s="215"/>
      <c r="AH333" s="215"/>
      <c r="AI333" s="215"/>
      <c r="AJ333" s="215"/>
      <c r="AK333" s="215"/>
      <c r="AL333" s="215"/>
      <c r="AM333" s="215"/>
      <c r="AN333" s="215"/>
      <c r="AO333" s="215"/>
      <c r="AP333" s="215"/>
      <c r="AQ333" s="215"/>
      <c r="AR333" s="215"/>
      <c r="AS333" s="215"/>
      <c r="AT333" s="215"/>
      <c r="AU333" s="215"/>
      <c r="AV333" s="215"/>
      <c r="AW333" s="215"/>
      <c r="AX333" s="215"/>
      <c r="AY333" s="215"/>
      <c r="AZ333" s="215"/>
      <c r="BA333" s="215"/>
      <c r="BB333" s="215"/>
      <c r="BC333" s="215"/>
      <c r="BD333" s="215"/>
      <c r="BE333" s="215"/>
      <c r="BF333" s="215"/>
      <c r="BG333" s="215"/>
      <c r="BH333" s="215"/>
      <c r="BI333" s="215"/>
      <c r="BJ333" s="215"/>
      <c r="BK333" s="215"/>
      <c r="BL333" s="215"/>
      <c r="BM333" s="215"/>
      <c r="BN333" s="215"/>
      <c r="BO333" s="215"/>
      <c r="BP333" s="215"/>
      <c r="BQ333" s="215"/>
      <c r="BR333" s="215"/>
      <c r="BS333" s="215"/>
      <c r="BT333" s="215"/>
      <c r="BU333" s="215"/>
      <c r="BV333" s="215"/>
      <c r="BW333" s="215"/>
      <c r="BX333" s="215"/>
      <c r="BY333" s="215"/>
      <c r="BZ333" s="215"/>
    </row>
    <row r="334" spans="1:78" x14ac:dyDescent="0.2">
      <c r="A334" s="9" t="str">
        <f>'Language Index'!A300</f>
        <v>ASSETS</v>
      </c>
      <c r="B334" s="44"/>
      <c r="C334" s="4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32"/>
      <c r="R334" s="215"/>
      <c r="S334" s="215"/>
      <c r="T334" s="215"/>
      <c r="U334" s="215"/>
      <c r="V334" s="222"/>
      <c r="W334" s="222"/>
      <c r="X334" s="222"/>
      <c r="Y334" s="215"/>
      <c r="Z334" s="215"/>
      <c r="AA334" s="215"/>
      <c r="AB334" s="215"/>
      <c r="AC334" s="215"/>
      <c r="AD334" s="215"/>
      <c r="AE334" s="215"/>
      <c r="AF334" s="215"/>
      <c r="AG334" s="215"/>
      <c r="AH334" s="215"/>
      <c r="AI334" s="215"/>
      <c r="AJ334" s="215"/>
      <c r="AK334" s="215"/>
      <c r="AL334" s="215"/>
      <c r="AM334" s="215"/>
      <c r="AN334" s="215"/>
      <c r="AO334" s="215"/>
      <c r="AP334" s="215"/>
      <c r="AQ334" s="215"/>
      <c r="AR334" s="215"/>
      <c r="AS334" s="215"/>
      <c r="AT334" s="215"/>
      <c r="AU334" s="215"/>
      <c r="AV334" s="215"/>
      <c r="AW334" s="215"/>
      <c r="AX334" s="215"/>
      <c r="AY334" s="215"/>
      <c r="AZ334" s="215"/>
      <c r="BA334" s="215"/>
      <c r="BB334" s="215"/>
      <c r="BC334" s="215"/>
      <c r="BD334" s="215"/>
      <c r="BE334" s="215"/>
      <c r="BF334" s="215"/>
      <c r="BG334" s="215"/>
      <c r="BH334" s="215"/>
      <c r="BI334" s="215"/>
      <c r="BJ334" s="215"/>
      <c r="BK334" s="215"/>
      <c r="BL334" s="215"/>
      <c r="BM334" s="215"/>
      <c r="BN334" s="215"/>
      <c r="BO334" s="215"/>
      <c r="BP334" s="215"/>
      <c r="BQ334" s="215"/>
      <c r="BR334" s="215"/>
      <c r="BS334" s="215"/>
      <c r="BT334" s="215"/>
      <c r="BU334" s="215"/>
      <c r="BV334" s="215"/>
      <c r="BW334" s="215"/>
      <c r="BX334" s="215"/>
      <c r="BY334" s="215"/>
      <c r="BZ334" s="215"/>
    </row>
    <row r="335" spans="1:78" x14ac:dyDescent="0.2">
      <c r="A335" s="2" t="str">
        <f>'Language Index'!A301</f>
        <v>Cash And Equivalents</v>
      </c>
      <c r="B335" s="17"/>
      <c r="C335" s="17"/>
      <c r="D335" s="18">
        <f>_xll.ciqfunctions.udf.CIQ($C$2, "IQ_CASH_EQUIV", D$6,$F$2,,,Ccy,Conv)</f>
        <v>9394</v>
      </c>
      <c r="E335" s="18">
        <f>_xll.ciqfunctions.udf.CIQ($C$2, "IQ_CASH_EQUIV", E$6,$F$2,,,Ccy,Conv)</f>
        <v>7257</v>
      </c>
      <c r="F335" s="18">
        <f>_xll.ciqfunctions.udf.CIQ($C$2, "IQ_CASH_EQUIV", F$6,$F$2,,,Ccy,Conv)</f>
        <v>13068</v>
      </c>
      <c r="G335" s="18">
        <f>_xll.ciqfunctions.udf.CIQ($C$2, "IQ_CASH_EQUIV", G$6,$F$2,,,Ccy,Conv)</f>
        <v>14603</v>
      </c>
      <c r="H335" s="18">
        <f>_xll.ciqfunctions.udf.CIQ($C$2, "IQ_CASH_EQUIV", H$6,$F$2,,,Ccy,Conv)</f>
        <v>12210</v>
      </c>
      <c r="I335" s="18">
        <f>_xll.ciqfunctions.udf.CIQ($C$2, "IQ_CASH_EQUIV", I$6,$F$2,,,Ccy,Conv)</f>
        <v>13197</v>
      </c>
      <c r="J335" s="18">
        <f>_xll.ciqfunctions.udf.CIQ($C$2, "IQ_CASH_EQUIV", J$6,$F$2,,,Ccy,Conv)</f>
        <v>13947</v>
      </c>
      <c r="K335" s="18">
        <f>_xll.ciqfunctions.udf.CIQ($C$2, "IQ_CASH_EQUIV", K$6,$F$2,,,Ccy,Conv)</f>
        <v>11035</v>
      </c>
      <c r="L335" s="18">
        <f>_xll.ciqfunctions.udf.CIQ($C$2, "IQ_CASH_EQUIV", L$6,$F$2,,,Ccy,Conv)</f>
        <v>11943</v>
      </c>
      <c r="M335" s="18">
        <f>_xll.ciqfunctions.udf.CIQ($C$2, "IQ_CASH_EQUIV", M$6,$F$2,,,Ccy,Conv)</f>
        <v>11569</v>
      </c>
      <c r="N335" s="18">
        <f>_xll.ciqfunctions.udf.CIQ($C$2, "IQ_CASH_EQUIV", N$6,$F$2,,,Ccy,Conv)</f>
        <v>13587</v>
      </c>
      <c r="O335" s="18"/>
      <c r="P335" s="18">
        <f>_xll.ciqfunctions.udf.CIQ($C$2, "IQ_CASH_EQUIV", P$6,$F$2,,,Ccy,Conv)</f>
        <v>13587</v>
      </c>
      <c r="Q335" s="215"/>
      <c r="R335" s="215"/>
      <c r="S335" s="215"/>
      <c r="T335" s="215"/>
      <c r="U335" s="215"/>
      <c r="V335" s="222"/>
      <c r="W335" s="222"/>
      <c r="X335" s="222"/>
      <c r="Y335" s="215"/>
      <c r="Z335" s="215"/>
      <c r="AA335" s="215"/>
      <c r="AB335" s="215"/>
      <c r="AC335" s="215"/>
      <c r="AD335" s="215"/>
      <c r="AE335" s="232"/>
      <c r="AF335" s="215"/>
      <c r="AG335" s="215"/>
      <c r="AH335" s="215"/>
      <c r="AI335" s="215"/>
      <c r="AJ335" s="215"/>
      <c r="AK335" s="215"/>
      <c r="AL335" s="215"/>
      <c r="AM335" s="215"/>
      <c r="AN335" s="215"/>
      <c r="AO335" s="215"/>
      <c r="AP335" s="215"/>
      <c r="AQ335" s="215"/>
      <c r="AR335" s="215"/>
      <c r="AS335" s="215"/>
      <c r="AT335" s="215"/>
      <c r="AU335" s="215"/>
      <c r="AV335" s="215"/>
      <c r="AW335" s="215"/>
      <c r="AX335" s="215"/>
      <c r="AY335" s="215"/>
      <c r="AZ335" s="215"/>
      <c r="BA335" s="215"/>
      <c r="BB335" s="215"/>
      <c r="BC335" s="215"/>
      <c r="BD335" s="215"/>
      <c r="BE335" s="215"/>
      <c r="BF335" s="215"/>
      <c r="BG335" s="215"/>
      <c r="BH335" s="215"/>
      <c r="BI335" s="215"/>
      <c r="BJ335" s="215"/>
      <c r="BK335" s="215"/>
      <c r="BL335" s="215"/>
      <c r="BM335" s="215"/>
      <c r="BN335" s="215"/>
      <c r="BO335" s="215"/>
      <c r="BP335" s="215"/>
      <c r="BQ335" s="215"/>
      <c r="BR335" s="215"/>
      <c r="BS335" s="215"/>
      <c r="BT335" s="215"/>
      <c r="BU335" s="215"/>
      <c r="BV335" s="215"/>
      <c r="BW335" s="215"/>
      <c r="BX335" s="215"/>
      <c r="BY335" s="215"/>
      <c r="BZ335" s="215"/>
    </row>
    <row r="336" spans="1:78" x14ac:dyDescent="0.2">
      <c r="A336" s="2" t="str">
        <f>'Language Index'!A302</f>
        <v>Short Term Investments</v>
      </c>
      <c r="B336" s="17"/>
      <c r="C336" s="17"/>
      <c r="D336" s="18">
        <f>_xll.ciqfunctions.udf.CIQ($C$2, "IQ_ST_INVEST", D$6,$F$2,,,Ccy,Conv)</f>
        <v>6904</v>
      </c>
      <c r="E336" s="18">
        <f>_xll.ciqfunctions.udf.CIQ($C$2, "IQ_ST_INVEST", E$6,$F$2,,,Ccy,Conv)</f>
        <v>3721</v>
      </c>
      <c r="F336" s="18">
        <f>_xll.ciqfunctions.udf.CIQ($C$2, "IQ_ST_INVEST", F$6,$F$2,,,Ccy,Conv)</f>
        <v>373</v>
      </c>
      <c r="G336" s="18">
        <f>_xll.ciqfunctions.udf.CIQ($C$2, "IQ_ST_INVEST", G$6,$F$2,,,Ccy,Conv)</f>
        <v>4512</v>
      </c>
      <c r="H336" s="18">
        <f>_xll.ciqfunctions.udf.CIQ($C$2, "IQ_ST_INVEST", H$6,$F$2,,,Ccy,Conv)</f>
        <v>1481</v>
      </c>
      <c r="I336" s="18">
        <f>_xll.ciqfunctions.udf.CIQ($C$2, "IQ_ST_INVEST", I$6,$F$2,,,Ccy,Conv)</f>
        <v>505</v>
      </c>
      <c r="J336" s="18">
        <f>_xll.ciqfunctions.udf.CIQ($C$2, "IQ_ST_INVEST", J$6,$F$2,,,Ccy,Conv)</f>
        <v>644</v>
      </c>
      <c r="K336" s="18">
        <f>_xll.ciqfunctions.udf.CIQ($C$2, "IQ_ST_INVEST", K$6,$F$2,,,Ccy,Conv)</f>
        <v>6430</v>
      </c>
      <c r="L336" s="18">
        <f>_xll.ciqfunctions.udf.CIQ($C$2, "IQ_ST_INVEST", L$6,$F$2,,,Ccy,Conv)</f>
        <v>3504</v>
      </c>
      <c r="M336" s="18">
        <f>_xll.ciqfunctions.udf.CIQ($C$2, "IQ_ST_INVEST", M$6,$F$2,,,Ccy,Conv)</f>
        <v>3286</v>
      </c>
      <c r="N336" s="18">
        <f>_xll.ciqfunctions.udf.CIQ($C$2, "IQ_ST_INVEST", N$6,$F$2,,,Ccy,Conv)</f>
        <v>830</v>
      </c>
      <c r="O336" s="18"/>
      <c r="P336" s="18">
        <f>_xll.ciqfunctions.udf.CIQ($C$2, "IQ_ST_INVEST", P$6,$F$2,,,Ccy,Conv)</f>
        <v>830</v>
      </c>
      <c r="Q336" s="215"/>
      <c r="R336" s="215"/>
      <c r="S336" s="215"/>
      <c r="T336" s="215"/>
      <c r="U336" s="215"/>
      <c r="V336" s="222"/>
      <c r="W336" s="222"/>
      <c r="X336" s="222"/>
      <c r="Y336" s="215"/>
      <c r="Z336" s="215"/>
      <c r="AA336" s="215"/>
      <c r="AB336" s="215"/>
      <c r="AC336" s="215"/>
      <c r="AD336" s="215"/>
      <c r="AE336" s="215"/>
      <c r="AF336" s="215"/>
      <c r="AG336" s="215"/>
      <c r="AH336" s="215"/>
      <c r="AI336" s="215"/>
      <c r="AJ336" s="215"/>
      <c r="AK336" s="215"/>
      <c r="AL336" s="215"/>
      <c r="AM336" s="215"/>
      <c r="AN336" s="215"/>
      <c r="AO336" s="215"/>
      <c r="AP336" s="215"/>
      <c r="AQ336" s="215"/>
      <c r="AR336" s="215"/>
      <c r="AS336" s="215"/>
      <c r="AT336" s="215"/>
      <c r="AU336" s="215"/>
      <c r="AV336" s="215"/>
      <c r="AW336" s="215"/>
      <c r="AX336" s="215"/>
      <c r="AY336" s="215"/>
      <c r="AZ336" s="215"/>
      <c r="BA336" s="215"/>
      <c r="BB336" s="215"/>
      <c r="BC336" s="215"/>
      <c r="BD336" s="215"/>
      <c r="BE336" s="215"/>
      <c r="BF336" s="215"/>
      <c r="BG336" s="215"/>
      <c r="BH336" s="215"/>
      <c r="BI336" s="215"/>
      <c r="BJ336" s="215"/>
      <c r="BK336" s="215"/>
      <c r="BL336" s="215"/>
      <c r="BM336" s="215"/>
      <c r="BN336" s="215"/>
      <c r="BO336" s="215"/>
      <c r="BP336" s="215"/>
      <c r="BQ336" s="215"/>
      <c r="BR336" s="215"/>
      <c r="BS336" s="215"/>
      <c r="BT336" s="215"/>
      <c r="BU336" s="215"/>
      <c r="BV336" s="215"/>
      <c r="BW336" s="215"/>
      <c r="BX336" s="215"/>
      <c r="BY336" s="215"/>
      <c r="BZ336" s="215"/>
    </row>
    <row r="337" spans="1:78" x14ac:dyDescent="0.2">
      <c r="A337" s="2" t="str">
        <f>'Language Index'!A303</f>
        <v>Trading Asset Securities</v>
      </c>
      <c r="B337" s="17"/>
      <c r="C337" s="17"/>
      <c r="D337" s="18">
        <f>_xll.ciqfunctions.udf.CIQ($C$2, "IQ_TRADING_ASSETS", D$6,$F$2,,,Ccy,Conv)</f>
        <v>0</v>
      </c>
      <c r="E337" s="18">
        <f>_xll.ciqfunctions.udf.CIQ($C$2, "IQ_TRADING_ASSETS", E$6,$F$2,,,Ccy,Conv)</f>
        <v>0</v>
      </c>
      <c r="F337" s="18">
        <f>_xll.ciqfunctions.udf.CIQ($C$2, "IQ_TRADING_ASSETS", F$6,$F$2,,,Ccy,Conv)</f>
        <v>0</v>
      </c>
      <c r="G337" s="18">
        <f>_xll.ciqfunctions.udf.CIQ($C$2, "IQ_TRADING_ASSETS", G$6,$F$2,,,Ccy,Conv)</f>
        <v>0</v>
      </c>
      <c r="H337" s="18">
        <f>_xll.ciqfunctions.udf.CIQ($C$2, "IQ_TRADING_ASSETS", H$6,$F$2,,,Ccy,Conv)</f>
        <v>0</v>
      </c>
      <c r="I337" s="18">
        <f>_xll.ciqfunctions.udf.CIQ($C$2, "IQ_TRADING_ASSETS", I$6,$F$2,,,Ccy,Conv)</f>
        <v>0</v>
      </c>
      <c r="J337" s="18">
        <f>_xll.ciqfunctions.udf.CIQ($C$2, "IQ_TRADING_ASSETS", J$6,$F$2,,,Ccy,Conv)</f>
        <v>0</v>
      </c>
      <c r="K337" s="18">
        <f>_xll.ciqfunctions.udf.CIQ($C$2, "IQ_TRADING_ASSETS", K$6,$F$2,,,Ccy,Conv)</f>
        <v>0</v>
      </c>
      <c r="L337" s="18">
        <f>_xll.ciqfunctions.udf.CIQ($C$2, "IQ_TRADING_ASSETS", L$6,$F$2,,,Ccy,Conv)</f>
        <v>0</v>
      </c>
      <c r="M337" s="18">
        <f>_xll.ciqfunctions.udf.CIQ($C$2, "IQ_TRADING_ASSETS", M$6,$F$2,,,Ccy,Conv)</f>
        <v>0</v>
      </c>
      <c r="N337" s="18">
        <f>_xll.ciqfunctions.udf.CIQ($C$2, "IQ_TRADING_ASSETS", N$6,$F$2,,,Ccy,Conv)</f>
        <v>0</v>
      </c>
      <c r="O337" s="18"/>
      <c r="P337" s="18">
        <f>_xll.ciqfunctions.udf.CIQ($C$2, "IQ_TRADING_ASSETS", P$6,$F$2,,,Ccy,Conv)</f>
        <v>0</v>
      </c>
      <c r="Q337" s="232"/>
      <c r="R337" s="215"/>
      <c r="S337" s="215"/>
      <c r="T337" s="215"/>
      <c r="U337" s="215"/>
      <c r="V337" s="222"/>
      <c r="W337" s="222"/>
      <c r="X337" s="222"/>
      <c r="Y337" s="215"/>
      <c r="Z337" s="215"/>
      <c r="AA337" s="215"/>
      <c r="AB337" s="215"/>
      <c r="AC337" s="215"/>
      <c r="AD337" s="215"/>
      <c r="AE337" s="232"/>
      <c r="AF337" s="215"/>
      <c r="AG337" s="215"/>
      <c r="AH337" s="215"/>
      <c r="AI337" s="215"/>
      <c r="AJ337" s="215"/>
      <c r="AK337" s="215"/>
      <c r="AL337" s="215"/>
      <c r="AM337" s="215"/>
      <c r="AN337" s="215"/>
      <c r="AO337" s="215"/>
      <c r="AP337" s="215"/>
      <c r="AQ337" s="215"/>
      <c r="AR337" s="215"/>
      <c r="AS337" s="215"/>
      <c r="AT337" s="215"/>
      <c r="AU337" s="215"/>
      <c r="AV337" s="215"/>
      <c r="AW337" s="215"/>
      <c r="AX337" s="215"/>
      <c r="AY337" s="215"/>
      <c r="AZ337" s="215"/>
      <c r="BA337" s="215"/>
      <c r="BB337" s="215"/>
      <c r="BC337" s="215"/>
      <c r="BD337" s="215"/>
      <c r="BE337" s="215"/>
      <c r="BF337" s="215"/>
      <c r="BG337" s="215"/>
      <c r="BH337" s="215"/>
      <c r="BI337" s="215"/>
      <c r="BJ337" s="215"/>
      <c r="BK337" s="215"/>
      <c r="BL337" s="215"/>
      <c r="BM337" s="215"/>
      <c r="BN337" s="215"/>
      <c r="BO337" s="215"/>
      <c r="BP337" s="215"/>
      <c r="BQ337" s="215"/>
      <c r="BR337" s="215"/>
      <c r="BS337" s="215"/>
      <c r="BT337" s="215"/>
      <c r="BU337" s="215"/>
      <c r="BV337" s="215"/>
      <c r="BW337" s="215"/>
      <c r="BX337" s="215"/>
      <c r="BY337" s="215"/>
      <c r="BZ337" s="215"/>
    </row>
    <row r="338" spans="1:78" x14ac:dyDescent="0.2">
      <c r="A338" s="20" t="str">
        <f>'Language Index'!A304</f>
        <v>Total Cash &amp; ST Investments</v>
      </c>
      <c r="B338" s="20"/>
      <c r="C338" s="20"/>
      <c r="D338" s="21">
        <f>_xll.ciqfunctions.udf.CIQ($C$2, "IQ_CASH_ST_INVEST", D$6,$F$2,,,Ccy,Conv)</f>
        <v>16298</v>
      </c>
      <c r="E338" s="21">
        <f>_xll.ciqfunctions.udf.CIQ($C$2, "IQ_CASH_ST_INVEST", E$6,$F$2,,,Ccy,Conv)</f>
        <v>10978</v>
      </c>
      <c r="F338" s="21">
        <f>_xll.ciqfunctions.udf.CIQ($C$2, "IQ_CASH_ST_INVEST", F$6,$F$2,,,Ccy,Conv)</f>
        <v>13441</v>
      </c>
      <c r="G338" s="21">
        <f>_xll.ciqfunctions.udf.CIQ($C$2, "IQ_CASH_ST_INVEST", G$6,$F$2,,,Ccy,Conv)</f>
        <v>19115</v>
      </c>
      <c r="H338" s="21">
        <f>_xll.ciqfunctions.udf.CIQ($C$2, "IQ_CASH_ST_INVEST", H$6,$F$2,,,Ccy,Conv)</f>
        <v>13691</v>
      </c>
      <c r="I338" s="21">
        <f>_xll.ciqfunctions.udf.CIQ($C$2, "IQ_CASH_ST_INVEST", I$6,$F$2,,,Ccy,Conv)</f>
        <v>13702</v>
      </c>
      <c r="J338" s="21">
        <f>_xll.ciqfunctions.udf.CIQ($C$2, "IQ_CASH_ST_INVEST", J$6,$F$2,,,Ccy,Conv)</f>
        <v>14591</v>
      </c>
      <c r="K338" s="21">
        <f>_xll.ciqfunctions.udf.CIQ($C$2, "IQ_CASH_ST_INVEST", K$6,$F$2,,,Ccy,Conv)</f>
        <v>17465</v>
      </c>
      <c r="L338" s="21">
        <f>_xll.ciqfunctions.udf.CIQ($C$2, "IQ_CASH_ST_INVEST", L$6,$F$2,,,Ccy,Conv)</f>
        <v>15447</v>
      </c>
      <c r="M338" s="21">
        <f>_xll.ciqfunctions.udf.CIQ($C$2, "IQ_CASH_ST_INVEST", M$6,$F$2,,,Ccy,Conv)</f>
        <v>14855</v>
      </c>
      <c r="N338" s="21">
        <f>_xll.ciqfunctions.udf.CIQ($C$2, "IQ_CASH_ST_INVEST", N$6,$F$2,,,Ccy,Conv)</f>
        <v>14417</v>
      </c>
      <c r="O338" s="22"/>
      <c r="P338" s="21">
        <f>_xll.ciqfunctions.udf.CIQ($C$2, "IQ_CASH_ST_INVEST", P$6,$F$2,,,Ccy,Conv)</f>
        <v>14417</v>
      </c>
      <c r="Q338" s="215"/>
      <c r="R338" s="215"/>
      <c r="S338" s="215"/>
      <c r="T338" s="215"/>
      <c r="U338" s="215"/>
      <c r="V338" s="233"/>
      <c r="W338" s="233"/>
      <c r="X338" s="233"/>
      <c r="Y338" s="232"/>
      <c r="Z338" s="232"/>
      <c r="AA338" s="232"/>
      <c r="AB338" s="232"/>
      <c r="AC338" s="232"/>
      <c r="AD338" s="232"/>
      <c r="AE338" s="215"/>
      <c r="AF338" s="215"/>
      <c r="AG338" s="215"/>
      <c r="AH338" s="232"/>
      <c r="AI338" s="215"/>
      <c r="AJ338" s="215"/>
      <c r="AK338" s="215"/>
      <c r="AL338" s="215"/>
      <c r="AM338" s="215"/>
      <c r="AN338" s="215"/>
      <c r="AO338" s="215"/>
      <c r="AP338" s="215"/>
      <c r="AQ338" s="215"/>
      <c r="AR338" s="215"/>
      <c r="AS338" s="215"/>
      <c r="AT338" s="215"/>
      <c r="AU338" s="215"/>
      <c r="AV338" s="215"/>
      <c r="AW338" s="215"/>
      <c r="AX338" s="215"/>
      <c r="AY338" s="215"/>
      <c r="AZ338" s="215"/>
      <c r="BA338" s="215"/>
      <c r="BB338" s="215"/>
      <c r="BC338" s="215"/>
      <c r="BD338" s="215"/>
      <c r="BE338" s="215"/>
      <c r="BF338" s="215"/>
      <c r="BG338" s="215"/>
      <c r="BH338" s="215"/>
      <c r="BI338" s="215"/>
      <c r="BJ338" s="215"/>
      <c r="BK338" s="215"/>
      <c r="BL338" s="215"/>
      <c r="BM338" s="215"/>
      <c r="BN338" s="215"/>
      <c r="BO338" s="215"/>
      <c r="BP338" s="215"/>
      <c r="BQ338" s="215"/>
      <c r="BR338" s="215"/>
      <c r="BS338" s="215"/>
      <c r="BT338" s="215"/>
      <c r="BU338" s="215"/>
      <c r="BV338" s="215"/>
      <c r="BW338" s="215"/>
      <c r="BX338" s="215"/>
      <c r="BY338" s="215"/>
      <c r="BZ338" s="215"/>
    </row>
    <row r="339" spans="1:78" x14ac:dyDescent="0.2">
      <c r="A339" s="16"/>
      <c r="B339" s="16"/>
      <c r="C339" s="16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232"/>
      <c r="R339" s="215"/>
      <c r="S339" s="215"/>
      <c r="T339" s="215"/>
      <c r="U339" s="215"/>
      <c r="V339" s="222"/>
      <c r="W339" s="222"/>
      <c r="X339" s="222"/>
      <c r="Y339" s="215"/>
      <c r="Z339" s="215"/>
      <c r="AA339" s="215"/>
      <c r="AB339" s="215"/>
      <c r="AC339" s="215"/>
      <c r="AD339" s="215"/>
      <c r="AE339" s="232"/>
      <c r="AF339" s="215"/>
      <c r="AG339" s="215"/>
      <c r="AH339" s="215"/>
      <c r="AI339" s="215"/>
      <c r="AJ339" s="215"/>
      <c r="AK339" s="215"/>
      <c r="AL339" s="215"/>
      <c r="AM339" s="215"/>
      <c r="AN339" s="215"/>
      <c r="AO339" s="215"/>
      <c r="AP339" s="215"/>
      <c r="AQ339" s="215"/>
      <c r="AR339" s="215"/>
      <c r="AS339" s="215"/>
      <c r="AT339" s="215"/>
      <c r="AU339" s="215"/>
      <c r="AV339" s="215"/>
      <c r="AW339" s="215"/>
      <c r="AX339" s="215"/>
      <c r="AY339" s="215"/>
      <c r="AZ339" s="215"/>
      <c r="BA339" s="215"/>
      <c r="BB339" s="215"/>
      <c r="BC339" s="215"/>
      <c r="BD339" s="215"/>
      <c r="BE339" s="215"/>
      <c r="BF339" s="215"/>
      <c r="BG339" s="215"/>
      <c r="BH339" s="215"/>
      <c r="BI339" s="215"/>
      <c r="BJ339" s="215"/>
      <c r="BK339" s="215"/>
      <c r="BL339" s="215"/>
      <c r="BM339" s="215"/>
      <c r="BN339" s="215"/>
      <c r="BO339" s="215"/>
      <c r="BP339" s="215"/>
      <c r="BQ339" s="215"/>
      <c r="BR339" s="215"/>
      <c r="BS339" s="215"/>
      <c r="BT339" s="215"/>
      <c r="BU339" s="215"/>
      <c r="BV339" s="215"/>
      <c r="BW339" s="215"/>
      <c r="BX339" s="215"/>
      <c r="BY339" s="215"/>
      <c r="BZ339" s="215"/>
    </row>
    <row r="340" spans="1:78" x14ac:dyDescent="0.2">
      <c r="A340" s="2" t="str">
        <f>'Language Index'!A305</f>
        <v>Accounts Receivable</v>
      </c>
      <c r="B340" s="17"/>
      <c r="C340" s="17"/>
      <c r="D340" s="18">
        <f>_xll.ciqfunctions.udf.CIQ($C$2, "IQ_AR", D$6,$F$2,,,Ccy,Conv)</f>
        <v>6120</v>
      </c>
      <c r="E340" s="18">
        <f>_xll.ciqfunctions.udf.CIQ($C$2, "IQ_AR", E$6,$F$2,,,Ccy,Conv)</f>
        <v>5784</v>
      </c>
      <c r="F340" s="18">
        <f>_xll.ciqfunctions.udf.CIQ($C$2, "IQ_AR", F$6,$F$2,,,Ccy,Conv)</f>
        <v>7719</v>
      </c>
      <c r="G340" s="18">
        <f>_xll.ciqfunctions.udf.CIQ($C$2, "IQ_AR", G$6,$F$2,,,Ccy,Conv)</f>
        <v>6568</v>
      </c>
      <c r="H340" s="18">
        <f>_xll.ciqfunctions.udf.CIQ($C$2, "IQ_AR", H$6,$F$2,,,Ccy,Conv)</f>
        <v>6309</v>
      </c>
      <c r="I340" s="18">
        <f>_xll.ciqfunctions.udf.CIQ($C$2, "IQ_AR", I$6,$F$2,,,Ccy,Conv)</f>
        <v>5962</v>
      </c>
      <c r="J340" s="18">
        <f>_xll.ciqfunctions.udf.CIQ($C$2, "IQ_AR", J$6,$F$2,,,Ccy,Conv)</f>
        <v>7237</v>
      </c>
      <c r="K340" s="18">
        <f>_xll.ciqfunctions.udf.CIQ($C$2, "IQ_AR", K$6,$F$2,,,Ccy,Conv)</f>
        <v>6322</v>
      </c>
      <c r="L340" s="18">
        <f>_xll.ciqfunctions.udf.CIQ($C$2, "IQ_AR", L$6,$F$2,,,Ccy,Conv)</f>
        <v>6469</v>
      </c>
      <c r="M340" s="18">
        <f>_xll.ciqfunctions.udf.CIQ($C$2, "IQ_AR", M$6,$F$2,,,Ccy,Conv)</f>
        <v>6065</v>
      </c>
      <c r="N340" s="18">
        <f>_xll.ciqfunctions.udf.CIQ($C$2, "IQ_AR", N$6,$F$2,,,Ccy,Conv)</f>
        <v>8594</v>
      </c>
      <c r="O340" s="18"/>
      <c r="P340" s="18">
        <f>_xll.ciqfunctions.udf.CIQ($C$2, "IQ_AR", P$6,$F$2,,,Ccy,Conv)</f>
        <v>8594</v>
      </c>
      <c r="Q340" s="215"/>
      <c r="R340" s="215"/>
      <c r="S340" s="215"/>
      <c r="T340" s="215"/>
      <c r="U340" s="215"/>
      <c r="V340" s="233"/>
      <c r="W340" s="233"/>
      <c r="X340" s="233"/>
      <c r="Y340" s="232"/>
      <c r="Z340" s="232"/>
      <c r="AA340" s="232"/>
      <c r="AB340" s="232"/>
      <c r="AC340" s="232"/>
      <c r="AD340" s="232"/>
      <c r="AE340" s="215"/>
      <c r="AF340" s="215"/>
      <c r="AG340" s="215"/>
      <c r="AH340" s="232"/>
      <c r="AI340" s="215"/>
      <c r="AJ340" s="215"/>
      <c r="AK340" s="215"/>
      <c r="AL340" s="215"/>
      <c r="AM340" s="215"/>
      <c r="AN340" s="215"/>
      <c r="AO340" s="215"/>
      <c r="AP340" s="215"/>
      <c r="AQ340" s="215"/>
      <c r="AR340" s="215"/>
      <c r="AS340" s="215"/>
      <c r="AT340" s="215"/>
      <c r="AU340" s="215"/>
      <c r="AV340" s="215"/>
      <c r="AW340" s="215"/>
      <c r="AX340" s="215"/>
      <c r="AY340" s="215"/>
      <c r="AZ340" s="215"/>
      <c r="BA340" s="215"/>
      <c r="BB340" s="215"/>
      <c r="BC340" s="215"/>
      <c r="BD340" s="215"/>
      <c r="BE340" s="215"/>
      <c r="BF340" s="215"/>
      <c r="BG340" s="215"/>
      <c r="BH340" s="215"/>
      <c r="BI340" s="215"/>
      <c r="BJ340" s="215"/>
      <c r="BK340" s="215"/>
      <c r="BL340" s="215"/>
      <c r="BM340" s="215"/>
      <c r="BN340" s="215"/>
      <c r="BO340" s="215"/>
      <c r="BP340" s="215"/>
      <c r="BQ340" s="215"/>
      <c r="BR340" s="215"/>
      <c r="BS340" s="215"/>
      <c r="BT340" s="215"/>
      <c r="BU340" s="215"/>
      <c r="BV340" s="215"/>
      <c r="BW340" s="215"/>
      <c r="BX340" s="215"/>
      <c r="BY340" s="215"/>
      <c r="BZ340" s="215"/>
    </row>
    <row r="341" spans="1:78" x14ac:dyDescent="0.2">
      <c r="A341" s="2" t="str">
        <f>'Language Index'!A306</f>
        <v>Other Receivables</v>
      </c>
      <c r="B341" s="17"/>
      <c r="C341" s="17"/>
      <c r="D341" s="18">
        <f>_xll.ciqfunctions.udf.CIQ($C$2, "IQ_OTHER_RECEIV", D$6,$F$2,,,Ccy,Conv)</f>
        <v>792</v>
      </c>
      <c r="E341" s="18">
        <f>_xll.ciqfunctions.udf.CIQ($C$2, "IQ_OTHER_RECEIV", E$6,$F$2,,,Ccy,Conv)</f>
        <v>730</v>
      </c>
      <c r="F341" s="18">
        <f>_xll.ciqfunctions.udf.CIQ($C$2, "IQ_OTHER_RECEIV", F$6,$F$2,,,Ccy,Conv)</f>
        <v>629</v>
      </c>
      <c r="G341" s="18">
        <f>_xll.ciqfunctions.udf.CIQ($C$2, "IQ_OTHER_RECEIV", G$6,$F$2,,,Ccy,Conv)</f>
        <v>692</v>
      </c>
      <c r="H341" s="18">
        <f>_xll.ciqfunctions.udf.CIQ($C$2, "IQ_OTHER_RECEIV", H$6,$F$2,,,Ccy,Conv)</f>
        <v>701</v>
      </c>
      <c r="I341" s="18">
        <f>_xll.ciqfunctions.udf.CIQ($C$2, "IQ_OTHER_RECEIV", I$6,$F$2,,,Ccy,Conv)</f>
        <v>923</v>
      </c>
      <c r="J341" s="18">
        <f>_xll.ciqfunctions.udf.CIQ($C$2, "IQ_OTHER_RECEIV", J$6,$F$2,,,Ccy,Conv)</f>
        <v>947</v>
      </c>
      <c r="K341" s="18">
        <f>_xll.ciqfunctions.udf.CIQ($C$2, "IQ_OTHER_RECEIV", K$6,$F$2,,,Ccy,Conv)</f>
        <v>893</v>
      </c>
      <c r="L341" s="18">
        <f>_xll.ciqfunctions.udf.CIQ($C$2, "IQ_OTHER_RECEIV", L$6,$F$2,,,Ccy,Conv)</f>
        <v>1162</v>
      </c>
      <c r="M341" s="18">
        <f>_xll.ciqfunctions.udf.CIQ($C$2, "IQ_OTHER_RECEIV", M$6,$F$2,,,Ccy,Conv)</f>
        <v>1160</v>
      </c>
      <c r="N341" s="18">
        <f>_xll.ciqfunctions.udf.CIQ($C$2, "IQ_OTHER_RECEIV", N$6,$F$2,,,Ccy,Conv)</f>
        <v>1052</v>
      </c>
      <c r="O341" s="18"/>
      <c r="P341" s="18">
        <f>_xll.ciqfunctions.udf.CIQ($C$2, "IQ_OTHER_RECEIV", P$6,$F$2,,,Ccy,Conv)</f>
        <v>1052</v>
      </c>
      <c r="Q341" s="215"/>
      <c r="R341" s="215"/>
      <c r="S341" s="215"/>
      <c r="T341" s="215"/>
      <c r="U341" s="215"/>
      <c r="V341" s="222"/>
      <c r="W341" s="222"/>
      <c r="X341" s="222"/>
      <c r="Y341" s="215"/>
      <c r="Z341" s="215"/>
      <c r="AA341" s="215"/>
      <c r="AB341" s="215"/>
      <c r="AC341" s="215"/>
      <c r="AD341" s="215"/>
      <c r="AE341" s="215"/>
      <c r="AF341" s="215"/>
      <c r="AG341" s="215"/>
      <c r="AH341" s="215"/>
      <c r="AI341" s="215"/>
      <c r="AJ341" s="215"/>
      <c r="AK341" s="215"/>
      <c r="AL341" s="215"/>
      <c r="AM341" s="215"/>
      <c r="AN341" s="215"/>
      <c r="AO341" s="215"/>
      <c r="AP341" s="215"/>
      <c r="AQ341" s="215"/>
      <c r="AR341" s="215"/>
      <c r="AS341" s="215"/>
      <c r="AT341" s="215"/>
      <c r="AU341" s="215"/>
      <c r="AV341" s="215"/>
      <c r="AW341" s="215"/>
      <c r="AX341" s="215"/>
      <c r="AY341" s="215"/>
      <c r="AZ341" s="215"/>
      <c r="BA341" s="215"/>
      <c r="BB341" s="215"/>
      <c r="BC341" s="215"/>
      <c r="BD341" s="215"/>
      <c r="BE341" s="215"/>
      <c r="BF341" s="215"/>
      <c r="BG341" s="215"/>
      <c r="BH341" s="215"/>
      <c r="BI341" s="215"/>
      <c r="BJ341" s="215"/>
      <c r="BK341" s="215"/>
      <c r="BL341" s="215"/>
      <c r="BM341" s="215"/>
      <c r="BN341" s="215"/>
      <c r="BO341" s="215"/>
      <c r="BP341" s="215"/>
      <c r="BQ341" s="215"/>
      <c r="BR341" s="215"/>
      <c r="BS341" s="215"/>
      <c r="BT341" s="215"/>
      <c r="BU341" s="215"/>
      <c r="BV341" s="215"/>
      <c r="BW341" s="215"/>
      <c r="BX341" s="215"/>
      <c r="BY341" s="215"/>
      <c r="BZ341" s="215"/>
    </row>
    <row r="342" spans="1:78" x14ac:dyDescent="0.2">
      <c r="A342" s="2" t="str">
        <f>'Language Index'!A307</f>
        <v>Notes Receivable</v>
      </c>
      <c r="B342" s="17"/>
      <c r="C342" s="17"/>
      <c r="D342" s="18">
        <f>_xll.ciqfunctions.udf.CIQ($C$2, "IQ_ST_NOTE_RECEIV", D$6,$F$2,,,Ccy,Conv)</f>
        <v>0</v>
      </c>
      <c r="E342" s="18">
        <f>_xll.ciqfunctions.udf.CIQ($C$2, "IQ_ST_NOTE_RECEIV", E$6,$F$2,,,Ccy,Conv)</f>
        <v>0</v>
      </c>
      <c r="F342" s="18">
        <f>_xll.ciqfunctions.udf.CIQ($C$2, "IQ_ST_NOTE_RECEIV", F$6,$F$2,,,Ccy,Conv)</f>
        <v>0</v>
      </c>
      <c r="G342" s="18">
        <f>_xll.ciqfunctions.udf.CIQ($C$2, "IQ_ST_NOTE_RECEIV", G$6,$F$2,,,Ccy,Conv)</f>
        <v>0</v>
      </c>
      <c r="H342" s="18">
        <f>_xll.ciqfunctions.udf.CIQ($C$2, "IQ_ST_NOTE_RECEIV", H$6,$F$2,,,Ccy,Conv)</f>
        <v>0</v>
      </c>
      <c r="I342" s="18">
        <f>_xll.ciqfunctions.udf.CIQ($C$2, "IQ_ST_NOTE_RECEIV", I$6,$F$2,,,Ccy,Conv)</f>
        <v>0</v>
      </c>
      <c r="J342" s="18">
        <f>_xll.ciqfunctions.udf.CIQ($C$2, "IQ_ST_NOTE_RECEIV", J$6,$F$2,,,Ccy,Conv)</f>
        <v>0</v>
      </c>
      <c r="K342" s="18">
        <f>_xll.ciqfunctions.udf.CIQ($C$2, "IQ_ST_NOTE_RECEIV", K$6,$F$2,,,Ccy,Conv)</f>
        <v>0</v>
      </c>
      <c r="L342" s="18">
        <f>_xll.ciqfunctions.udf.CIQ($C$2, "IQ_ST_NOTE_RECEIV", L$6,$F$2,,,Ccy,Conv)</f>
        <v>0</v>
      </c>
      <c r="M342" s="18">
        <f>_xll.ciqfunctions.udf.CIQ($C$2, "IQ_ST_NOTE_RECEIV", M$6,$F$2,,,Ccy,Conv)</f>
        <v>0</v>
      </c>
      <c r="N342" s="18">
        <f>_xll.ciqfunctions.udf.CIQ($C$2, "IQ_ST_NOTE_RECEIV", N$6,$F$2,,,Ccy,Conv)</f>
        <v>0</v>
      </c>
      <c r="O342" s="18"/>
      <c r="P342" s="18">
        <f>_xll.ciqfunctions.udf.CIQ($C$2, "IQ_ST_NOTE_RECEIV", P$6,$F$2,,,Ccy,Conv)</f>
        <v>0</v>
      </c>
      <c r="Q342" s="215"/>
      <c r="R342" s="215"/>
      <c r="S342" s="215"/>
      <c r="T342" s="215"/>
      <c r="U342" s="215"/>
      <c r="V342" s="233"/>
      <c r="W342" s="233"/>
      <c r="X342" s="233"/>
      <c r="Y342" s="232"/>
      <c r="Z342" s="232"/>
      <c r="AA342" s="232"/>
      <c r="AB342" s="232"/>
      <c r="AC342" s="232"/>
      <c r="AD342" s="232"/>
      <c r="AE342" s="215"/>
      <c r="AF342" s="215"/>
      <c r="AG342" s="215"/>
      <c r="AH342" s="232"/>
      <c r="AI342" s="215"/>
      <c r="AJ342" s="215"/>
      <c r="AK342" s="215"/>
      <c r="AL342" s="215"/>
      <c r="AM342" s="215"/>
      <c r="AN342" s="215"/>
      <c r="AO342" s="215"/>
      <c r="AP342" s="215"/>
      <c r="AQ342" s="215"/>
      <c r="AR342" s="215"/>
      <c r="AS342" s="215"/>
      <c r="AT342" s="215"/>
      <c r="AU342" s="215"/>
      <c r="AV342" s="215"/>
      <c r="AW342" s="215"/>
      <c r="AX342" s="215"/>
      <c r="AY342" s="215"/>
      <c r="AZ342" s="215"/>
      <c r="BA342" s="215"/>
      <c r="BB342" s="215"/>
      <c r="BC342" s="215"/>
      <c r="BD342" s="215"/>
      <c r="BE342" s="215"/>
      <c r="BF342" s="215"/>
      <c r="BG342" s="215"/>
      <c r="BH342" s="215"/>
      <c r="BI342" s="215"/>
      <c r="BJ342" s="215"/>
      <c r="BK342" s="215"/>
      <c r="BL342" s="215"/>
      <c r="BM342" s="215"/>
      <c r="BN342" s="215"/>
      <c r="BO342" s="215"/>
      <c r="BP342" s="215"/>
      <c r="BQ342" s="215"/>
      <c r="BR342" s="215"/>
      <c r="BS342" s="215"/>
      <c r="BT342" s="215"/>
      <c r="BU342" s="215"/>
      <c r="BV342" s="215"/>
      <c r="BW342" s="215"/>
      <c r="BX342" s="215"/>
      <c r="BY342" s="215"/>
      <c r="BZ342" s="215"/>
    </row>
    <row r="343" spans="1:78" x14ac:dyDescent="0.2">
      <c r="A343" s="20" t="str">
        <f>'Language Index'!A308</f>
        <v>Total Receivables</v>
      </c>
      <c r="B343" s="20"/>
      <c r="C343" s="20"/>
      <c r="D343" s="21">
        <f>_xll.ciqfunctions.udf.CIQ($C$2, "IQ_TOTAL_RECEIV", D$6,$F$2,,,Ccy,Conv)</f>
        <v>6912</v>
      </c>
      <c r="E343" s="21">
        <f>_xll.ciqfunctions.udf.CIQ($C$2, "IQ_TOTAL_RECEIV", E$6,$F$2,,,Ccy,Conv)</f>
        <v>6514</v>
      </c>
      <c r="F343" s="21">
        <f>_xll.ciqfunctions.udf.CIQ($C$2, "IQ_TOTAL_RECEIV", F$6,$F$2,,,Ccy,Conv)</f>
        <v>8348</v>
      </c>
      <c r="G343" s="21">
        <f>_xll.ciqfunctions.udf.CIQ($C$2, "IQ_TOTAL_RECEIV", G$6,$F$2,,,Ccy,Conv)</f>
        <v>7260</v>
      </c>
      <c r="H343" s="21">
        <f>_xll.ciqfunctions.udf.CIQ($C$2, "IQ_TOTAL_RECEIV", H$6,$F$2,,,Ccy,Conv)</f>
        <v>7010</v>
      </c>
      <c r="I343" s="21">
        <f>_xll.ciqfunctions.udf.CIQ($C$2, "IQ_TOTAL_RECEIV", I$6,$F$2,,,Ccy,Conv)</f>
        <v>6885</v>
      </c>
      <c r="J343" s="21">
        <f>_xll.ciqfunctions.udf.CIQ($C$2, "IQ_TOTAL_RECEIV", J$6,$F$2,,,Ccy,Conv)</f>
        <v>8184</v>
      </c>
      <c r="K343" s="21">
        <f>_xll.ciqfunctions.udf.CIQ($C$2, "IQ_TOTAL_RECEIV", K$6,$F$2,,,Ccy,Conv)</f>
        <v>7215</v>
      </c>
      <c r="L343" s="21">
        <f>_xll.ciqfunctions.udf.CIQ($C$2, "IQ_TOTAL_RECEIV", L$6,$F$2,,,Ccy,Conv)</f>
        <v>7631</v>
      </c>
      <c r="M343" s="21">
        <f>_xll.ciqfunctions.udf.CIQ($C$2, "IQ_TOTAL_RECEIV", M$6,$F$2,,,Ccy,Conv)</f>
        <v>7225</v>
      </c>
      <c r="N343" s="21">
        <f>_xll.ciqfunctions.udf.CIQ($C$2, "IQ_TOTAL_RECEIV", N$6,$F$2,,,Ccy,Conv)</f>
        <v>9646</v>
      </c>
      <c r="O343" s="22"/>
      <c r="P343" s="21">
        <f>_xll.ciqfunctions.udf.CIQ($C$2, "IQ_TOTAL_RECEIV", P$6,$F$2,,,Ccy,Conv)</f>
        <v>9646</v>
      </c>
      <c r="Q343" s="215"/>
      <c r="R343" s="215"/>
      <c r="S343" s="215"/>
      <c r="T343" s="215"/>
      <c r="U343" s="215"/>
      <c r="V343" s="222"/>
      <c r="W343" s="222"/>
      <c r="X343" s="222"/>
      <c r="Y343" s="215"/>
      <c r="Z343" s="215"/>
      <c r="AA343" s="215"/>
      <c r="AB343" s="215"/>
      <c r="AC343" s="215"/>
      <c r="AD343" s="215"/>
      <c r="AE343" s="215"/>
      <c r="AF343" s="215"/>
      <c r="AG343" s="215"/>
      <c r="AH343" s="215"/>
      <c r="AI343" s="215"/>
      <c r="AJ343" s="215"/>
      <c r="AK343" s="215"/>
      <c r="AL343" s="215"/>
      <c r="AM343" s="215"/>
      <c r="AN343" s="215"/>
      <c r="AO343" s="215"/>
      <c r="AP343" s="215"/>
      <c r="AQ343" s="215"/>
      <c r="AR343" s="215"/>
      <c r="AS343" s="215"/>
      <c r="AT343" s="215"/>
      <c r="AU343" s="215"/>
      <c r="AV343" s="215"/>
      <c r="AW343" s="215"/>
      <c r="AX343" s="215"/>
      <c r="AY343" s="215"/>
      <c r="AZ343" s="215"/>
      <c r="BA343" s="215"/>
      <c r="BB343" s="215"/>
      <c r="BC343" s="215"/>
      <c r="BD343" s="215"/>
      <c r="BE343" s="215"/>
      <c r="BF343" s="215"/>
      <c r="BG343" s="215"/>
      <c r="BH343" s="215"/>
      <c r="BI343" s="215"/>
      <c r="BJ343" s="215"/>
      <c r="BK343" s="215"/>
      <c r="BL343" s="215"/>
      <c r="BM343" s="215"/>
      <c r="BN343" s="215"/>
      <c r="BO343" s="215"/>
      <c r="BP343" s="215"/>
      <c r="BQ343" s="215"/>
      <c r="BR343" s="215"/>
      <c r="BS343" s="215"/>
      <c r="BT343" s="215"/>
      <c r="BU343" s="215"/>
      <c r="BV343" s="215"/>
      <c r="BW343" s="215"/>
      <c r="BX343" s="215"/>
      <c r="BY343" s="215"/>
      <c r="BZ343" s="215"/>
    </row>
    <row r="344" spans="1:78" x14ac:dyDescent="0.2">
      <c r="A344" s="16"/>
      <c r="B344" s="16"/>
      <c r="C344" s="1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215"/>
      <c r="R344" s="215"/>
      <c r="S344" s="215"/>
      <c r="T344" s="215"/>
      <c r="U344" s="215"/>
      <c r="V344" s="233"/>
      <c r="W344" s="233"/>
      <c r="X344" s="233"/>
      <c r="Y344" s="232"/>
      <c r="Z344" s="215"/>
      <c r="AA344" s="215"/>
      <c r="AB344" s="215"/>
      <c r="AC344" s="215"/>
      <c r="AD344" s="215"/>
      <c r="AE344" s="215"/>
      <c r="AF344" s="215"/>
      <c r="AG344" s="215"/>
      <c r="AH344" s="215"/>
      <c r="AI344" s="215"/>
      <c r="AJ344" s="215"/>
      <c r="AK344" s="215"/>
      <c r="AL344" s="215"/>
      <c r="AM344" s="215"/>
      <c r="AN344" s="215"/>
      <c r="AO344" s="215"/>
      <c r="AP344" s="215"/>
      <c r="AQ344" s="215"/>
      <c r="AR344" s="215"/>
      <c r="AS344" s="215"/>
      <c r="AT344" s="215"/>
      <c r="AU344" s="215"/>
      <c r="AV344" s="215"/>
      <c r="AW344" s="215"/>
      <c r="AX344" s="215"/>
      <c r="AY344" s="215"/>
      <c r="AZ344" s="215"/>
      <c r="BA344" s="215"/>
      <c r="BB344" s="215"/>
      <c r="BC344" s="215"/>
      <c r="BD344" s="215"/>
      <c r="BE344" s="215"/>
      <c r="BF344" s="215"/>
      <c r="BG344" s="215"/>
      <c r="BH344" s="215"/>
      <c r="BI344" s="215"/>
      <c r="BJ344" s="215"/>
      <c r="BK344" s="215"/>
      <c r="BL344" s="215"/>
      <c r="BM344" s="215"/>
      <c r="BN344" s="215"/>
      <c r="BO344" s="215"/>
      <c r="BP344" s="215"/>
      <c r="BQ344" s="215"/>
      <c r="BR344" s="215"/>
      <c r="BS344" s="215"/>
      <c r="BT344" s="215"/>
      <c r="BU344" s="215"/>
      <c r="BV344" s="215"/>
      <c r="BW344" s="215"/>
      <c r="BX344" s="215"/>
      <c r="BY344" s="215"/>
      <c r="BZ344" s="215"/>
    </row>
    <row r="345" spans="1:78" x14ac:dyDescent="0.2">
      <c r="A345" s="2" t="str">
        <f>'Language Index'!A309</f>
        <v>Inventory</v>
      </c>
      <c r="B345" s="17"/>
      <c r="C345" s="17"/>
      <c r="D345" s="18">
        <f>_xll.ciqfunctions.udf.CIQ($C$2, "IQ_INVENTORY", D$6,$F$2,,,Ccy,Conv)</f>
        <v>1501</v>
      </c>
      <c r="E345" s="18">
        <f>_xll.ciqfunctions.udf.CIQ($C$2, "IQ_INVENTORY", E$6,$F$2,,,Ccy,Conv)</f>
        <v>1398</v>
      </c>
      <c r="F345" s="18">
        <f>_xll.ciqfunctions.udf.CIQ($C$2, "IQ_INVENTORY", F$6,$F$2,,,Ccy,Conv)</f>
        <v>1161</v>
      </c>
      <c r="G345" s="18">
        <f>_xll.ciqfunctions.udf.CIQ($C$2, "IQ_INVENTORY", G$6,$F$2,,,Ccy,Conv)</f>
        <v>1212</v>
      </c>
      <c r="H345" s="18">
        <f>_xll.ciqfunctions.udf.CIQ($C$2, "IQ_INVENTORY", H$6,$F$2,,,Ccy,Conv)</f>
        <v>1234</v>
      </c>
      <c r="I345" s="18">
        <f>_xll.ciqfunctions.udf.CIQ($C$2, "IQ_INVENTORY", I$6,$F$2,,,Ccy,Conv)</f>
        <v>1368</v>
      </c>
      <c r="J345" s="18">
        <f>_xll.ciqfunctions.udf.CIQ($C$2, "IQ_INVENTORY", J$6,$F$2,,,Ccy,Conv)</f>
        <v>1289</v>
      </c>
      <c r="K345" s="18">
        <f>_xll.ciqfunctions.udf.CIQ($C$2, "IQ_INVENTORY", K$6,$F$2,,,Ccy,Conv)</f>
        <v>1431</v>
      </c>
      <c r="L345" s="18">
        <f>_xll.ciqfunctions.udf.CIQ($C$2, "IQ_INVENTORY", L$6,$F$2,,,Ccy,Conv)</f>
        <v>1251</v>
      </c>
      <c r="M345" s="18">
        <f>_xll.ciqfunctions.udf.CIQ($C$2, "IQ_INVENTORY", M$6,$F$2,,,Ccy,Conv)</f>
        <v>1397</v>
      </c>
      <c r="N345" s="18">
        <f>_xll.ciqfunctions.udf.CIQ($C$2, "IQ_INVENTORY", N$6,$F$2,,,Ccy,Conv)</f>
        <v>1220</v>
      </c>
      <c r="O345" s="18"/>
      <c r="P345" s="18">
        <f>_xll.ciqfunctions.udf.CIQ($C$2, "IQ_INVENTORY", P$6,$F$2,,,Ccy,Conv)</f>
        <v>1220</v>
      </c>
      <c r="Q345" s="215"/>
      <c r="R345" s="215"/>
      <c r="S345" s="215"/>
      <c r="T345" s="215"/>
      <c r="U345" s="215"/>
      <c r="V345" s="222"/>
      <c r="W345" s="222"/>
      <c r="X345" s="222"/>
      <c r="Y345" s="215"/>
      <c r="Z345" s="215"/>
      <c r="AA345" s="215"/>
      <c r="AB345" s="215"/>
      <c r="AC345" s="215"/>
      <c r="AD345" s="215"/>
      <c r="AE345" s="215"/>
      <c r="AF345" s="232"/>
      <c r="AG345" s="232"/>
      <c r="AH345" s="215"/>
      <c r="AI345" s="215"/>
      <c r="AJ345" s="215"/>
      <c r="AK345" s="215"/>
      <c r="AL345" s="215"/>
      <c r="AM345" s="215"/>
      <c r="AN345" s="215"/>
      <c r="AO345" s="215"/>
      <c r="AP345" s="215"/>
      <c r="AQ345" s="215"/>
      <c r="AR345" s="215"/>
      <c r="AS345" s="215"/>
      <c r="AT345" s="215"/>
      <c r="AU345" s="215"/>
      <c r="AV345" s="215"/>
      <c r="AW345" s="215"/>
      <c r="AX345" s="215"/>
      <c r="AY345" s="215"/>
      <c r="AZ345" s="215"/>
      <c r="BA345" s="215"/>
      <c r="BB345" s="215"/>
      <c r="BC345" s="215"/>
      <c r="BD345" s="215"/>
      <c r="BE345" s="215"/>
      <c r="BF345" s="215"/>
      <c r="BG345" s="215"/>
      <c r="BH345" s="215"/>
      <c r="BI345" s="215"/>
      <c r="BJ345" s="215"/>
      <c r="BK345" s="215"/>
      <c r="BL345" s="215"/>
      <c r="BM345" s="215"/>
      <c r="BN345" s="215"/>
      <c r="BO345" s="215"/>
      <c r="BP345" s="215"/>
      <c r="BQ345" s="215"/>
      <c r="BR345" s="215"/>
      <c r="BS345" s="215"/>
      <c r="BT345" s="215"/>
      <c r="BU345" s="215"/>
      <c r="BV345" s="215"/>
      <c r="BW345" s="215"/>
      <c r="BX345" s="215"/>
      <c r="BY345" s="215"/>
      <c r="BZ345" s="215"/>
    </row>
    <row r="346" spans="1:78" x14ac:dyDescent="0.2">
      <c r="A346" s="2" t="str">
        <f>'Language Index'!A310</f>
        <v>Prepaid Exp.</v>
      </c>
      <c r="B346" s="17"/>
      <c r="C346" s="17"/>
      <c r="D346" s="18">
        <f>_xll.ciqfunctions.udf.CIQ($C$2, "IQ_PREPAID_EXP", D$6,$F$2,,,Ccy,Conv)</f>
        <v>1914</v>
      </c>
      <c r="E346" s="18">
        <f>_xll.ciqfunctions.udf.CIQ($C$2, "IQ_PREPAID_EXP", E$6,$F$2,,,Ccy,Conv)</f>
        <v>1697</v>
      </c>
      <c r="F346" s="18">
        <f>_xll.ciqfunctions.udf.CIQ($C$2, "IQ_PREPAID_EXP", F$6,$F$2,,,Ccy,Conv)</f>
        <v>1830</v>
      </c>
      <c r="G346" s="18">
        <f>_xll.ciqfunctions.udf.CIQ($C$2, "IQ_PREPAID_EXP", G$6,$F$2,,,Ccy,Conv)</f>
        <v>1949</v>
      </c>
      <c r="H346" s="18">
        <f>_xll.ciqfunctions.udf.CIQ($C$2, "IQ_PREPAID_EXP", H$6,$F$2,,,Ccy,Conv)</f>
        <v>1820</v>
      </c>
      <c r="I346" s="18">
        <f>_xll.ciqfunctions.udf.CIQ($C$2, "IQ_PREPAID_EXP", I$6,$F$2,,,Ccy,Conv)</f>
        <v>1752</v>
      </c>
      <c r="J346" s="18">
        <f>_xll.ciqfunctions.udf.CIQ($C$2, "IQ_PREPAID_EXP", J$6,$F$2,,,Ccy,Conv)</f>
        <v>1512</v>
      </c>
      <c r="K346" s="18">
        <f>_xll.ciqfunctions.udf.CIQ($C$2, "IQ_PREPAID_EXP", K$6,$F$2,,,Ccy,Conv)</f>
        <v>2041</v>
      </c>
      <c r="L346" s="18">
        <f>_xll.ciqfunctions.udf.CIQ($C$2, "IQ_PREPAID_EXP", L$6,$F$2,,,Ccy,Conv)</f>
        <v>1972</v>
      </c>
      <c r="M346" s="18">
        <f>_xll.ciqfunctions.udf.CIQ($C$2, "IQ_PREPAID_EXP", M$6,$F$2,,,Ccy,Conv)</f>
        <v>1903</v>
      </c>
      <c r="N346" s="18">
        <f>_xll.ciqfunctions.udf.CIQ($C$2, "IQ_PREPAID_EXP", N$6,$F$2,,,Ccy,Conv)</f>
        <v>1816</v>
      </c>
      <c r="O346" s="18"/>
      <c r="P346" s="18">
        <f>_xll.ciqfunctions.udf.CIQ($C$2, "IQ_PREPAID_EXP", P$6,$F$2,,,Ccy,Conv)</f>
        <v>1816</v>
      </c>
      <c r="Q346" s="215"/>
      <c r="R346" s="215"/>
      <c r="S346" s="215"/>
      <c r="T346" s="215"/>
      <c r="U346" s="215"/>
      <c r="V346" s="222"/>
      <c r="W346" s="222"/>
      <c r="X346" s="222"/>
      <c r="Y346" s="215"/>
      <c r="Z346" s="215"/>
      <c r="AA346" s="215"/>
      <c r="AB346" s="215"/>
      <c r="AC346" s="215"/>
      <c r="AD346" s="215"/>
      <c r="AE346" s="215"/>
      <c r="AF346" s="215"/>
      <c r="AG346" s="215"/>
      <c r="AH346" s="215"/>
      <c r="AI346" s="215"/>
      <c r="AJ346" s="215"/>
      <c r="AK346" s="215"/>
      <c r="AL346" s="215"/>
      <c r="AM346" s="215"/>
      <c r="AN346" s="215"/>
      <c r="AO346" s="215"/>
      <c r="AP346" s="215"/>
      <c r="AQ346" s="215"/>
      <c r="AR346" s="215"/>
      <c r="AS346" s="215"/>
      <c r="AT346" s="215"/>
      <c r="AU346" s="215"/>
      <c r="AV346" s="215"/>
      <c r="AW346" s="215"/>
      <c r="AX346" s="215"/>
      <c r="AY346" s="215"/>
      <c r="AZ346" s="215"/>
      <c r="BA346" s="215"/>
      <c r="BB346" s="215"/>
      <c r="BC346" s="215"/>
      <c r="BD346" s="215"/>
      <c r="BE346" s="215"/>
      <c r="BF346" s="215"/>
      <c r="BG346" s="215"/>
      <c r="BH346" s="215"/>
      <c r="BI346" s="215"/>
      <c r="BJ346" s="215"/>
      <c r="BK346" s="215"/>
      <c r="BL346" s="215"/>
      <c r="BM346" s="215"/>
      <c r="BN346" s="215"/>
      <c r="BO346" s="215"/>
      <c r="BP346" s="215"/>
      <c r="BQ346" s="215"/>
      <c r="BR346" s="215"/>
      <c r="BS346" s="215"/>
      <c r="BT346" s="215"/>
      <c r="BU346" s="215"/>
      <c r="BV346" s="215"/>
      <c r="BW346" s="215"/>
      <c r="BX346" s="215"/>
      <c r="BY346" s="215"/>
      <c r="BZ346" s="215"/>
    </row>
    <row r="347" spans="1:78" x14ac:dyDescent="0.2">
      <c r="A347" s="2" t="str">
        <f>'Language Index'!A311</f>
        <v>Finance Div. Loans and Leases, ST</v>
      </c>
      <c r="B347" s="17"/>
      <c r="C347" s="17"/>
      <c r="D347" s="18">
        <f>_xll.ciqfunctions.udf.CIQ($C$2, "IQ_FIN_DIV_LOANS_CURRENT", D$6,$F$2,,,Ccy,Conv)</f>
        <v>5564</v>
      </c>
      <c r="E347" s="18">
        <f>_xll.ciqfunctions.udf.CIQ($C$2, "IQ_FIN_DIV_LOANS_CURRENT", E$6,$F$2,,,Ccy,Conv)</f>
        <v>5032</v>
      </c>
      <c r="F347" s="18">
        <f>_xll.ciqfunctions.udf.CIQ($C$2, "IQ_FIN_DIV_LOANS_CURRENT", F$6,$F$2,,,Ccy,Conv)</f>
        <v>6102</v>
      </c>
      <c r="G347" s="18">
        <f>_xll.ciqfunctions.udf.CIQ($C$2, "IQ_FIN_DIV_LOANS_CURRENT", G$6,$F$2,,,Ccy,Conv)</f>
        <v>4877</v>
      </c>
      <c r="H347" s="18">
        <f>_xll.ciqfunctions.udf.CIQ($C$2, "IQ_FIN_DIV_LOANS_CURRENT", H$6,$F$2,,,Ccy,Conv)</f>
        <v>5075</v>
      </c>
      <c r="I347" s="18">
        <f>_xll.ciqfunctions.udf.CIQ($C$2, "IQ_FIN_DIV_LOANS_CURRENT", I$6,$F$2,,,Ccy,Conv)</f>
        <v>5256</v>
      </c>
      <c r="J347" s="18">
        <f>_xll.ciqfunctions.udf.CIQ($C$2, "IQ_FIN_DIV_LOANS_CURRENT", J$6,$F$2,,,Ccy,Conv)</f>
        <v>6259</v>
      </c>
      <c r="K347" s="18">
        <f>_xll.ciqfunctions.udf.CIQ($C$2, "IQ_FIN_DIV_LOANS_CURRENT", K$6,$F$2,,,Ccy,Conv)</f>
        <v>5128</v>
      </c>
      <c r="L347" s="18">
        <f>_xll.ciqfunctions.udf.CIQ($C$2, "IQ_FIN_DIV_LOANS_CURRENT", L$6,$F$2,,,Ccy,Conv)</f>
        <v>5586</v>
      </c>
      <c r="M347" s="18">
        <f>_xll.ciqfunctions.udf.CIQ($C$2, "IQ_FIN_DIV_LOANS_CURRENT", M$6,$F$2,,,Ccy,Conv)</f>
        <v>5156</v>
      </c>
      <c r="N347" s="18">
        <f>_xll.ciqfunctions.udf.CIQ($C$2, "IQ_FIN_DIV_LOANS_CURRENT", N$6,$F$2,,,Ccy,Conv)</f>
        <v>7344</v>
      </c>
      <c r="O347" s="18"/>
      <c r="P347" s="18">
        <f>_xll.ciqfunctions.udf.CIQ($C$2, "IQ_FIN_DIV_LOANS_CURRENT", P$6,$F$2,,,Ccy,Conv)</f>
        <v>7344</v>
      </c>
      <c r="Q347" s="232"/>
      <c r="R347" s="215"/>
      <c r="S347" s="215"/>
      <c r="T347" s="215"/>
      <c r="U347" s="215"/>
      <c r="V347" s="222"/>
      <c r="W347" s="222"/>
      <c r="X347" s="222"/>
      <c r="Y347" s="215"/>
      <c r="Z347" s="215"/>
      <c r="AA347" s="215"/>
      <c r="AB347" s="215"/>
      <c r="AC347" s="215"/>
      <c r="AD347" s="215"/>
      <c r="AE347" s="215"/>
      <c r="AF347" s="215"/>
      <c r="AG347" s="215"/>
      <c r="AH347" s="215"/>
      <c r="AI347" s="215"/>
      <c r="AJ347" s="215"/>
      <c r="AK347" s="215"/>
      <c r="AL347" s="215"/>
      <c r="AM347" s="215"/>
      <c r="AN347" s="215"/>
      <c r="AO347" s="215"/>
      <c r="AP347" s="215"/>
      <c r="AQ347" s="215"/>
      <c r="AR347" s="215"/>
      <c r="AS347" s="215"/>
      <c r="AT347" s="215"/>
      <c r="AU347" s="215"/>
      <c r="AV347" s="215"/>
      <c r="AW347" s="215"/>
      <c r="AX347" s="215"/>
      <c r="AY347" s="215"/>
      <c r="AZ347" s="215"/>
      <c r="BA347" s="215"/>
      <c r="BB347" s="215"/>
      <c r="BC347" s="215"/>
      <c r="BD347" s="215"/>
      <c r="BE347" s="215"/>
      <c r="BF347" s="215"/>
      <c r="BG347" s="215"/>
      <c r="BH347" s="215"/>
      <c r="BI347" s="215"/>
      <c r="BJ347" s="215"/>
      <c r="BK347" s="215"/>
      <c r="BL347" s="215"/>
      <c r="BM347" s="215"/>
      <c r="BN347" s="215"/>
      <c r="BO347" s="215"/>
      <c r="BP347" s="215"/>
      <c r="BQ347" s="215"/>
      <c r="BR347" s="215"/>
      <c r="BS347" s="215"/>
      <c r="BT347" s="215"/>
      <c r="BU347" s="215"/>
      <c r="BV347" s="215"/>
      <c r="BW347" s="215"/>
      <c r="BX347" s="215"/>
      <c r="BY347" s="215"/>
      <c r="BZ347" s="215"/>
    </row>
    <row r="348" spans="1:78" x14ac:dyDescent="0.2">
      <c r="A348" s="2" t="str">
        <f>'Language Index'!A312</f>
        <v>Finance Div. Other Curr. Assets</v>
      </c>
      <c r="B348" s="17"/>
      <c r="C348" s="17"/>
      <c r="D348" s="18">
        <f>_xll.ciqfunctions.udf.CIQ($C$2, "IQ_FIN_DIV_ASSETS_CURRENT", D$6,$F$2,,,Ccy,Conv)</f>
        <v>865</v>
      </c>
      <c r="E348" s="18">
        <f>_xll.ciqfunctions.udf.CIQ($C$2, "IQ_FIN_DIV_ASSETS_CURRENT", E$6,$F$2,,,Ccy,Conv)</f>
        <v>593</v>
      </c>
      <c r="F348" s="18">
        <f>_xll.ciqfunctions.udf.CIQ($C$2, "IQ_FIN_DIV_ASSETS_CURRENT", F$6,$F$2,,,Ccy,Conv)</f>
        <v>692</v>
      </c>
      <c r="G348" s="18">
        <f>_xll.ciqfunctions.udf.CIQ($C$2, "IQ_FIN_DIV_ASSETS_CURRENT", G$6,$F$2,,,Ccy,Conv)</f>
        <v>644</v>
      </c>
      <c r="H348" s="18">
        <f>_xll.ciqfunctions.udf.CIQ($C$2, "IQ_FIN_DIV_ASSETS_CURRENT", H$6,$F$2,,,Ccy,Conv)</f>
        <v>723</v>
      </c>
      <c r="I348" s="18">
        <f>_xll.ciqfunctions.udf.CIQ($C$2, "IQ_FIN_DIV_ASSETS_CURRENT", I$6,$F$2,,,Ccy,Conv)</f>
        <v>509</v>
      </c>
      <c r="J348" s="18">
        <f>_xll.ciqfunctions.udf.CIQ($C$2, "IQ_FIN_DIV_ASSETS_CURRENT", J$6,$F$2,,,Ccy,Conv)</f>
        <v>900</v>
      </c>
      <c r="K348" s="18">
        <f>_xll.ciqfunctions.udf.CIQ($C$2, "IQ_FIN_DIV_ASSETS_CURRENT", K$6,$F$2,,,Ccy,Conv)</f>
        <v>588</v>
      </c>
      <c r="L348" s="18">
        <f>_xll.ciqfunctions.udf.CIQ($C$2, "IQ_FIN_DIV_ASSETS_CURRENT", L$6,$F$2,,,Ccy,Conv)</f>
        <v>746</v>
      </c>
      <c r="M348" s="18">
        <f>_xll.ciqfunctions.udf.CIQ($C$2, "IQ_FIN_DIV_ASSETS_CURRENT", M$6,$F$2,,,Ccy,Conv)</f>
        <v>745</v>
      </c>
      <c r="N348" s="18">
        <f>_xll.ciqfunctions.udf.CIQ($C$2, "IQ_FIN_DIV_ASSETS_CURRENT", N$6,$F$2,,,Ccy,Conv)</f>
        <v>1131</v>
      </c>
      <c r="O348" s="18"/>
      <c r="P348" s="18">
        <f>_xll.ciqfunctions.udf.CIQ($C$2, "IQ_FIN_DIV_ASSETS_CURRENT", P$6,$F$2,,,Ccy,Conv)</f>
        <v>1131</v>
      </c>
      <c r="Q348" s="215"/>
      <c r="R348" s="215"/>
      <c r="S348" s="215"/>
      <c r="T348" s="215"/>
      <c r="U348" s="215"/>
      <c r="V348" s="222"/>
      <c r="W348" s="222"/>
      <c r="X348" s="222"/>
      <c r="Y348" s="215"/>
      <c r="Z348" s="215"/>
      <c r="AA348" s="215"/>
      <c r="AB348" s="215"/>
      <c r="AC348" s="215"/>
      <c r="AD348" s="215"/>
      <c r="AE348" s="215"/>
      <c r="AF348" s="215"/>
      <c r="AG348" s="215"/>
      <c r="AH348" s="215"/>
      <c r="AI348" s="215"/>
      <c r="AJ348" s="215"/>
      <c r="AK348" s="215"/>
      <c r="AL348" s="215"/>
      <c r="AM348" s="215"/>
      <c r="AN348" s="215"/>
      <c r="AO348" s="215"/>
      <c r="AP348" s="215"/>
      <c r="AQ348" s="215"/>
      <c r="AR348" s="215"/>
      <c r="AS348" s="215"/>
      <c r="AT348" s="215"/>
      <c r="AU348" s="215"/>
      <c r="AV348" s="215"/>
      <c r="AW348" s="215"/>
      <c r="AX348" s="215"/>
      <c r="AY348" s="215"/>
      <c r="AZ348" s="215"/>
      <c r="BA348" s="215"/>
      <c r="BB348" s="215"/>
      <c r="BC348" s="215"/>
      <c r="BD348" s="215"/>
      <c r="BE348" s="215"/>
      <c r="BF348" s="215"/>
      <c r="BG348" s="215"/>
      <c r="BH348" s="215"/>
      <c r="BI348" s="215"/>
      <c r="BJ348" s="215"/>
      <c r="BK348" s="215"/>
      <c r="BL348" s="215"/>
      <c r="BM348" s="215"/>
      <c r="BN348" s="215"/>
      <c r="BO348" s="215"/>
      <c r="BP348" s="215"/>
      <c r="BQ348" s="215"/>
      <c r="BR348" s="215"/>
      <c r="BS348" s="215"/>
      <c r="BT348" s="215"/>
      <c r="BU348" s="215"/>
      <c r="BV348" s="215"/>
      <c r="BW348" s="215"/>
      <c r="BX348" s="215"/>
      <c r="BY348" s="215"/>
      <c r="BZ348" s="215"/>
    </row>
    <row r="349" spans="1:78" x14ac:dyDescent="0.2">
      <c r="A349" s="2" t="str">
        <f>'Language Index'!A313</f>
        <v>Loans Held For Sale</v>
      </c>
      <c r="B349" s="17"/>
      <c r="C349" s="17"/>
      <c r="D349" s="18">
        <f>_xll.ciqfunctions.udf.CIQ($C$2, "IQ_LOANS_FOR_SALE", D$6,$F$2,,,Ccy,Conv)</f>
        <v>0</v>
      </c>
      <c r="E349" s="18">
        <f>_xll.ciqfunctions.udf.CIQ($C$2, "IQ_LOANS_FOR_SALE", E$6,$F$2,,,Ccy,Conv)</f>
        <v>0</v>
      </c>
      <c r="F349" s="18">
        <f>_xll.ciqfunctions.udf.CIQ($C$2, "IQ_LOANS_FOR_SALE", F$6,$F$2,,,Ccy,Conv)</f>
        <v>0</v>
      </c>
      <c r="G349" s="18">
        <f>_xll.ciqfunctions.udf.CIQ($C$2, "IQ_LOANS_FOR_SALE", G$6,$F$2,,,Ccy,Conv)</f>
        <v>0</v>
      </c>
      <c r="H349" s="18">
        <f>_xll.ciqfunctions.udf.CIQ($C$2, "IQ_LOANS_FOR_SALE", H$6,$F$2,,,Ccy,Conv)</f>
        <v>0</v>
      </c>
      <c r="I349" s="18">
        <f>_xll.ciqfunctions.udf.CIQ($C$2, "IQ_LOANS_FOR_SALE", I$6,$F$2,,,Ccy,Conv)</f>
        <v>0</v>
      </c>
      <c r="J349" s="18">
        <f>_xll.ciqfunctions.udf.CIQ($C$2, "IQ_LOANS_FOR_SALE", J$6,$F$2,,,Ccy,Conv)</f>
        <v>0</v>
      </c>
      <c r="K349" s="18">
        <f>_xll.ciqfunctions.udf.CIQ($C$2, "IQ_LOANS_FOR_SALE", K$6,$F$2,,,Ccy,Conv)</f>
        <v>0</v>
      </c>
      <c r="L349" s="18">
        <f>_xll.ciqfunctions.udf.CIQ($C$2, "IQ_LOANS_FOR_SALE", L$6,$F$2,,,Ccy,Conv)</f>
        <v>0</v>
      </c>
      <c r="M349" s="18">
        <f>_xll.ciqfunctions.udf.CIQ($C$2, "IQ_LOANS_FOR_SALE", M$6,$F$2,,,Ccy,Conv)</f>
        <v>0</v>
      </c>
      <c r="N349" s="18">
        <f>_xll.ciqfunctions.udf.CIQ($C$2, "IQ_LOANS_FOR_SALE", N$6,$F$2,,,Ccy,Conv)</f>
        <v>0</v>
      </c>
      <c r="O349" s="18"/>
      <c r="P349" s="18">
        <f>_xll.ciqfunctions.udf.CIQ($C$2, "IQ_LOANS_FOR_SALE", P$6,$F$2,,,Ccy,Conv)</f>
        <v>0</v>
      </c>
      <c r="Q349" s="232"/>
      <c r="R349" s="215"/>
      <c r="S349" s="215"/>
      <c r="T349" s="215"/>
      <c r="U349" s="215"/>
      <c r="V349" s="222"/>
      <c r="W349" s="222"/>
      <c r="X349" s="222"/>
      <c r="Y349" s="215"/>
      <c r="Z349" s="215"/>
      <c r="AA349" s="215"/>
      <c r="AB349" s="215"/>
      <c r="AC349" s="215"/>
      <c r="AD349" s="215"/>
      <c r="AE349" s="215"/>
      <c r="AF349" s="215"/>
      <c r="AG349" s="215"/>
      <c r="AH349" s="215"/>
      <c r="AI349" s="215"/>
      <c r="AJ349" s="215"/>
      <c r="AK349" s="215"/>
      <c r="AL349" s="215"/>
      <c r="AM349" s="215"/>
      <c r="AN349" s="215"/>
      <c r="AO349" s="215"/>
      <c r="AP349" s="215"/>
      <c r="AQ349" s="215"/>
      <c r="AR349" s="215"/>
      <c r="AS349" s="215"/>
      <c r="AT349" s="215"/>
      <c r="AU349" s="215"/>
      <c r="AV349" s="215"/>
      <c r="AW349" s="215"/>
      <c r="AX349" s="215"/>
      <c r="AY349" s="215"/>
      <c r="AZ349" s="215"/>
      <c r="BA349" s="215"/>
      <c r="BB349" s="215"/>
      <c r="BC349" s="215"/>
      <c r="BD349" s="215"/>
      <c r="BE349" s="215"/>
      <c r="BF349" s="215"/>
      <c r="BG349" s="215"/>
      <c r="BH349" s="215"/>
      <c r="BI349" s="215"/>
      <c r="BJ349" s="215"/>
      <c r="BK349" s="215"/>
      <c r="BL349" s="215"/>
      <c r="BM349" s="215"/>
      <c r="BN349" s="215"/>
      <c r="BO349" s="215"/>
      <c r="BP349" s="215"/>
      <c r="BQ349" s="215"/>
      <c r="BR349" s="215"/>
      <c r="BS349" s="215"/>
      <c r="BT349" s="215"/>
      <c r="BU349" s="215"/>
      <c r="BV349" s="215"/>
      <c r="BW349" s="215"/>
      <c r="BX349" s="215"/>
      <c r="BY349" s="215"/>
      <c r="BZ349" s="215"/>
    </row>
    <row r="350" spans="1:78" x14ac:dyDescent="0.2">
      <c r="A350" s="2" t="str">
        <f>'Language Index'!A314</f>
        <v>Deferred Tax Assets, Curr.</v>
      </c>
      <c r="B350" s="17"/>
      <c r="C350" s="17"/>
      <c r="D350" s="18">
        <f>_xll.ciqfunctions.udf.CIQ($C$2, "IQ_DEF_TAX_ASSETS_CURRENT", D$6,$F$2,,,Ccy,Conv)</f>
        <v>0</v>
      </c>
      <c r="E350" s="18">
        <f>_xll.ciqfunctions.udf.CIQ($C$2, "IQ_DEF_TAX_ASSETS_CURRENT", E$6,$F$2,,,Ccy,Conv)</f>
        <v>0</v>
      </c>
      <c r="F350" s="18">
        <f>_xll.ciqfunctions.udf.CIQ($C$2, "IQ_DEF_TAX_ASSETS_CURRENT", F$6,$F$2,,,Ccy,Conv)</f>
        <v>0</v>
      </c>
      <c r="G350" s="18">
        <f>_xll.ciqfunctions.udf.CIQ($C$2, "IQ_DEF_TAX_ASSETS_CURRENT", G$6,$F$2,,,Ccy,Conv)</f>
        <v>0</v>
      </c>
      <c r="H350" s="18">
        <f>_xll.ciqfunctions.udf.CIQ($C$2, "IQ_DEF_TAX_ASSETS_CURRENT", H$6,$F$2,,,Ccy,Conv)</f>
        <v>0</v>
      </c>
      <c r="I350" s="18">
        <f>_xll.ciqfunctions.udf.CIQ($C$2, "IQ_DEF_TAX_ASSETS_CURRENT", I$6,$F$2,,,Ccy,Conv)</f>
        <v>0</v>
      </c>
      <c r="J350" s="18">
        <f>_xll.ciqfunctions.udf.CIQ($C$2, "IQ_DEF_TAX_ASSETS_CURRENT", J$6,$F$2,,,Ccy,Conv)</f>
        <v>0</v>
      </c>
      <c r="K350" s="18">
        <f>_xll.ciqfunctions.udf.CIQ($C$2, "IQ_DEF_TAX_ASSETS_CURRENT", K$6,$F$2,,,Ccy,Conv)</f>
        <v>0</v>
      </c>
      <c r="L350" s="18">
        <f>_xll.ciqfunctions.udf.CIQ($C$2, "IQ_DEF_TAX_ASSETS_CURRENT", L$6,$F$2,,,Ccy,Conv)</f>
        <v>0</v>
      </c>
      <c r="M350" s="18">
        <f>_xll.ciqfunctions.udf.CIQ($C$2, "IQ_DEF_TAX_ASSETS_CURRENT", M$6,$F$2,,,Ccy,Conv)</f>
        <v>0</v>
      </c>
      <c r="N350" s="18">
        <f>_xll.ciqfunctions.udf.CIQ($C$2, "IQ_DEF_TAX_ASSETS_CURRENT", N$6,$F$2,,,Ccy,Conv)</f>
        <v>0</v>
      </c>
      <c r="O350" s="18"/>
      <c r="P350" s="18">
        <f>_xll.ciqfunctions.udf.CIQ($C$2, "IQ_DEF_TAX_ASSETS_CURRENT", P$6,$F$2,,,Ccy,Conv)</f>
        <v>0</v>
      </c>
      <c r="Q350" s="215"/>
      <c r="R350" s="215"/>
      <c r="S350" s="215"/>
      <c r="T350" s="215"/>
      <c r="U350" s="215"/>
      <c r="V350" s="222"/>
      <c r="W350" s="222"/>
      <c r="X350" s="222"/>
      <c r="Y350" s="215"/>
      <c r="Z350" s="215"/>
      <c r="AA350" s="215"/>
      <c r="AB350" s="215"/>
      <c r="AC350" s="215"/>
      <c r="AD350" s="215"/>
      <c r="AE350" s="215"/>
      <c r="AF350" s="215"/>
      <c r="AG350" s="215"/>
      <c r="AH350" s="215"/>
      <c r="AI350" s="215"/>
      <c r="AJ350" s="215"/>
      <c r="AK350" s="215"/>
      <c r="AL350" s="215"/>
      <c r="AM350" s="215"/>
      <c r="AN350" s="215"/>
      <c r="AO350" s="215"/>
      <c r="AP350" s="215"/>
      <c r="AQ350" s="215"/>
      <c r="AR350" s="215"/>
      <c r="AS350" s="215"/>
      <c r="AT350" s="215"/>
      <c r="AU350" s="215"/>
      <c r="AV350" s="215"/>
      <c r="AW350" s="215"/>
      <c r="AX350" s="215"/>
      <c r="AY350" s="215"/>
      <c r="AZ350" s="215"/>
      <c r="BA350" s="215"/>
      <c r="BB350" s="215"/>
      <c r="BC350" s="215"/>
      <c r="BD350" s="215"/>
      <c r="BE350" s="215"/>
      <c r="BF350" s="215"/>
      <c r="BG350" s="215"/>
      <c r="BH350" s="215"/>
      <c r="BI350" s="215"/>
      <c r="BJ350" s="215"/>
      <c r="BK350" s="215"/>
      <c r="BL350" s="215"/>
      <c r="BM350" s="215"/>
      <c r="BN350" s="215"/>
      <c r="BO350" s="215"/>
      <c r="BP350" s="215"/>
      <c r="BQ350" s="215"/>
      <c r="BR350" s="215"/>
      <c r="BS350" s="215"/>
      <c r="BT350" s="215"/>
      <c r="BU350" s="215"/>
      <c r="BV350" s="215"/>
      <c r="BW350" s="215"/>
      <c r="BX350" s="215"/>
      <c r="BY350" s="215"/>
      <c r="BZ350" s="215"/>
    </row>
    <row r="351" spans="1:78" x14ac:dyDescent="0.2">
      <c r="A351" s="2" t="str">
        <f>'Language Index'!A315</f>
        <v>Restricted Cash</v>
      </c>
      <c r="B351" s="17"/>
      <c r="C351" s="17"/>
      <c r="D351" s="18">
        <f>_xll.ciqfunctions.udf.CIQ($C$2, "IQ_RESTRICTED_CASH", D$6,$F$2,,,Ccy,Conv)</f>
        <v>31</v>
      </c>
      <c r="E351" s="18">
        <f>_xll.ciqfunctions.udf.CIQ($C$2, "IQ_RESTRICTED_CASH", E$6,$F$2,,,Ccy,Conv)</f>
        <v>19</v>
      </c>
      <c r="F351" s="18">
        <f>_xll.ciqfunctions.udf.CIQ($C$2, "IQ_RESTRICTED_CASH", F$6,$F$2,,,Ccy,Conv)</f>
        <v>21</v>
      </c>
      <c r="G351" s="18">
        <f>_xll.ciqfunctions.udf.CIQ($C$2, "IQ_RESTRICTED_CASH", G$6,$F$2,,,Ccy,Conv)</f>
        <v>162</v>
      </c>
      <c r="H351" s="18">
        <f>_xll.ciqfunctions.udf.CIQ($C$2, "IQ_RESTRICTED_CASH", H$6,$F$2,,,Ccy,Conv)</f>
        <v>2268</v>
      </c>
      <c r="I351" s="18">
        <f>_xll.ciqfunctions.udf.CIQ($C$2, "IQ_RESTRICTED_CASH", I$6,$F$2,,,Ccy,Conv)</f>
        <v>17</v>
      </c>
      <c r="J351" s="18">
        <f>_xll.ciqfunctions.udf.CIQ($C$2, "IQ_RESTRICTED_CASH", J$6,$F$2,,,Ccy,Conv)</f>
        <v>214</v>
      </c>
      <c r="K351" s="18">
        <f>_xll.ciqfunctions.udf.CIQ($C$2, "IQ_RESTRICTED_CASH", K$6,$F$2,,,Ccy,Conv)</f>
        <v>126</v>
      </c>
      <c r="L351" s="18">
        <f>_xll.ciqfunctions.udf.CIQ($C$2, "IQ_RESTRICTED_CASH", L$6,$F$2,,,Ccy,Conv)</f>
        <v>83</v>
      </c>
      <c r="M351" s="18">
        <f>_xll.ciqfunctions.udf.CIQ($C$2, "IQ_RESTRICTED_CASH", M$6,$F$2,,,Ccy,Conv)</f>
        <v>30</v>
      </c>
      <c r="N351" s="18">
        <f>_xll.ciqfunctions.udf.CIQ($C$2, "IQ_RESTRICTED_CASH", N$6,$F$2,,,Ccy,Conv)</f>
        <v>54</v>
      </c>
      <c r="O351" s="18"/>
      <c r="P351" s="18">
        <f>_xll.ciqfunctions.udf.CIQ($C$2, "IQ_RESTRICTED_CASH", P$6,$F$2,,,Ccy,Conv)</f>
        <v>54</v>
      </c>
      <c r="Q351" s="232"/>
      <c r="R351" s="215"/>
      <c r="S351" s="215"/>
      <c r="T351" s="215"/>
      <c r="U351" s="215"/>
      <c r="V351" s="222"/>
      <c r="W351" s="222"/>
      <c r="X351" s="222"/>
      <c r="Y351" s="215"/>
      <c r="Z351" s="215"/>
      <c r="AA351" s="215"/>
      <c r="AB351" s="215"/>
      <c r="AC351" s="215"/>
      <c r="AD351" s="215"/>
      <c r="AE351" s="215"/>
      <c r="AF351" s="215"/>
      <c r="AG351" s="215"/>
      <c r="AH351" s="215"/>
      <c r="AI351" s="215"/>
      <c r="AJ351" s="215"/>
      <c r="AK351" s="215"/>
      <c r="AL351" s="215"/>
      <c r="AM351" s="215"/>
      <c r="AN351" s="215"/>
      <c r="AO351" s="215"/>
      <c r="AP351" s="215"/>
      <c r="AQ351" s="215"/>
      <c r="AR351" s="215"/>
      <c r="AS351" s="215"/>
      <c r="AT351" s="215"/>
      <c r="AU351" s="215"/>
      <c r="AV351" s="215"/>
      <c r="AW351" s="215"/>
      <c r="AX351" s="215"/>
      <c r="AY351" s="215"/>
      <c r="AZ351" s="215"/>
      <c r="BA351" s="215"/>
      <c r="BB351" s="215"/>
      <c r="BC351" s="215"/>
      <c r="BD351" s="215"/>
      <c r="BE351" s="215"/>
      <c r="BF351" s="215"/>
      <c r="BG351" s="215"/>
      <c r="BH351" s="215"/>
      <c r="BI351" s="215"/>
      <c r="BJ351" s="215"/>
      <c r="BK351" s="215"/>
      <c r="BL351" s="215"/>
      <c r="BM351" s="215"/>
      <c r="BN351" s="215"/>
      <c r="BO351" s="215"/>
      <c r="BP351" s="215"/>
      <c r="BQ351" s="215"/>
      <c r="BR351" s="215"/>
      <c r="BS351" s="215"/>
      <c r="BT351" s="215"/>
      <c r="BU351" s="215"/>
      <c r="BV351" s="215"/>
      <c r="BW351" s="215"/>
      <c r="BX351" s="215"/>
      <c r="BY351" s="215"/>
      <c r="BZ351" s="215"/>
    </row>
    <row r="352" spans="1:78" x14ac:dyDescent="0.2">
      <c r="A352" s="2" t="str">
        <f>'Language Index'!A316</f>
        <v>Other Current Assets</v>
      </c>
      <c r="B352" s="17"/>
      <c r="C352" s="17"/>
      <c r="D352" s="18">
        <f>_xll.ciqfunctions.udf.CIQ($C$2, "IQ_OTHER_CA_SUPPL", D$6,$F$2,,,Ccy,Conv)</f>
        <v>1373</v>
      </c>
      <c r="E352" s="18">
        <f>_xll.ciqfunctions.udf.CIQ($C$2, "IQ_OTHER_CA_SUPPL", E$6,$F$2,,,Ccy,Conv)</f>
        <v>1474</v>
      </c>
      <c r="F352" s="18">
        <f>_xll.ciqfunctions.udf.CIQ($C$2, "IQ_OTHER_CA_SUPPL", F$6,$F$2,,,Ccy,Conv)</f>
        <v>1313</v>
      </c>
      <c r="G352" s="18">
        <f>_xll.ciqfunctions.udf.CIQ($C$2, "IQ_OTHER_CA_SUPPL", G$6,$F$2,,,Ccy,Conv)</f>
        <v>1444</v>
      </c>
      <c r="H352" s="18">
        <f>_xll.ciqfunctions.udf.CIQ($C$2, "IQ_OTHER_CA_SUPPL", H$6,$F$2,,,Ccy,Conv)</f>
        <v>1478</v>
      </c>
      <c r="I352" s="18">
        <f>_xll.ciqfunctions.udf.CIQ($C$2, "IQ_OTHER_CA_SUPPL", I$6,$F$2,,,Ccy,Conv)</f>
        <v>1054</v>
      </c>
      <c r="J352" s="18">
        <f>_xll.ciqfunctions.udf.CIQ($C$2, "IQ_OTHER_CA_SUPPL", J$6,$F$2,,,Ccy,Conv)</f>
        <v>1533</v>
      </c>
      <c r="K352" s="18">
        <f>_xll.ciqfunctions.udf.CIQ($C$2, "IQ_OTHER_CA_SUPPL", K$6,$F$2,,,Ccy,Conv)</f>
        <v>1342</v>
      </c>
      <c r="L352" s="18">
        <f>_xll.ciqfunctions.udf.CIQ($C$2, "IQ_OTHER_CA_SUPPL", L$6,$F$2,,,Ccy,Conv)</f>
        <v>1537</v>
      </c>
      <c r="M352" s="18">
        <f>_xll.ciqfunctions.udf.CIQ($C$2, "IQ_OTHER_CA_SUPPL", M$6,$F$2,,,Ccy,Conv)</f>
        <v>1429</v>
      </c>
      <c r="N352" s="18">
        <f>_xll.ciqfunctions.udf.CIQ($C$2, "IQ_OTHER_CA_SUPPL", N$6,$F$2,,,Ccy,Conv)</f>
        <v>1316</v>
      </c>
      <c r="O352" s="18"/>
      <c r="P352" s="18">
        <f>_xll.ciqfunctions.udf.CIQ($C$2, "IQ_OTHER_CA_SUPPL", P$6,$F$2,,,Ccy,Conv)</f>
        <v>1316</v>
      </c>
      <c r="Q352" s="215"/>
      <c r="R352" s="215"/>
      <c r="S352" s="215"/>
      <c r="T352" s="215"/>
      <c r="U352" s="215"/>
      <c r="V352" s="222"/>
      <c r="W352" s="222"/>
      <c r="X352" s="222"/>
      <c r="Y352" s="215"/>
      <c r="Z352" s="215"/>
      <c r="AA352" s="215"/>
      <c r="AB352" s="215"/>
      <c r="AC352" s="215"/>
      <c r="AD352" s="215"/>
      <c r="AE352" s="215"/>
      <c r="AF352" s="215"/>
      <c r="AG352" s="215"/>
      <c r="AH352" s="215"/>
      <c r="AI352" s="215"/>
      <c r="AJ352" s="215"/>
      <c r="AK352" s="215"/>
      <c r="AL352" s="215"/>
      <c r="AM352" s="215"/>
      <c r="AN352" s="215"/>
      <c r="AO352" s="215"/>
      <c r="AP352" s="215"/>
      <c r="AQ352" s="215"/>
      <c r="AR352" s="215"/>
      <c r="AS352" s="215"/>
      <c r="AT352" s="215"/>
      <c r="AU352" s="215"/>
      <c r="AV352" s="215"/>
      <c r="AW352" s="215"/>
      <c r="AX352" s="215"/>
      <c r="AY352" s="215"/>
      <c r="AZ352" s="215"/>
      <c r="BA352" s="215"/>
      <c r="BB352" s="215"/>
      <c r="BC352" s="215"/>
      <c r="BD352" s="215"/>
      <c r="BE352" s="215"/>
      <c r="BF352" s="215"/>
      <c r="BG352" s="215"/>
      <c r="BH352" s="215"/>
      <c r="BI352" s="215"/>
      <c r="BJ352" s="215"/>
      <c r="BK352" s="215"/>
      <c r="BL352" s="215"/>
      <c r="BM352" s="215"/>
      <c r="BN352" s="215"/>
      <c r="BO352" s="215"/>
      <c r="BP352" s="215"/>
      <c r="BQ352" s="215"/>
      <c r="BR352" s="215"/>
      <c r="BS352" s="215"/>
      <c r="BT352" s="215"/>
      <c r="BU352" s="215"/>
      <c r="BV352" s="215"/>
      <c r="BW352" s="215"/>
      <c r="BX352" s="215"/>
      <c r="BY352" s="215"/>
      <c r="BZ352" s="215"/>
    </row>
    <row r="353" spans="1:78" x14ac:dyDescent="0.2">
      <c r="A353" s="20" t="str">
        <f>'Language Index'!A317</f>
        <v>Total Current Assets</v>
      </c>
      <c r="B353" s="20"/>
      <c r="C353" s="20"/>
      <c r="D353" s="21">
        <f>_xll.ciqfunctions.udf.CIQ($C$2, "IQ_TOTAL_CA", D$6,$F$2,,,Ccy,Conv)</f>
        <v>34458</v>
      </c>
      <c r="E353" s="21">
        <f>_xll.ciqfunctions.udf.CIQ($C$2, "IQ_TOTAL_CA", E$6,$F$2,,,Ccy,Conv)</f>
        <v>27705</v>
      </c>
      <c r="F353" s="21">
        <f>_xll.ciqfunctions.udf.CIQ($C$2, "IQ_TOTAL_CA", F$6,$F$2,,,Ccy,Conv)</f>
        <v>32908</v>
      </c>
      <c r="G353" s="21">
        <f>_xll.ciqfunctions.udf.CIQ($C$2, "IQ_TOTAL_CA", G$6,$F$2,,,Ccy,Conv)</f>
        <v>36663</v>
      </c>
      <c r="H353" s="21">
        <f>_xll.ciqfunctions.udf.CIQ($C$2, "IQ_TOTAL_CA", H$6,$F$2,,,Ccy,Conv)</f>
        <v>33299</v>
      </c>
      <c r="I353" s="21">
        <f>_xll.ciqfunctions.udf.CIQ($C$2, "IQ_TOTAL_CA", I$6,$F$2,,,Ccy,Conv)</f>
        <v>30543</v>
      </c>
      <c r="J353" s="21">
        <f>_xll.ciqfunctions.udf.CIQ($C$2, "IQ_TOTAL_CA", J$6,$F$2,,,Ccy,Conv)</f>
        <v>34482</v>
      </c>
      <c r="K353" s="21">
        <f>_xll.ciqfunctions.udf.CIQ($C$2, "IQ_TOTAL_CA", K$6,$F$2,,,Ccy,Conv)</f>
        <v>35336</v>
      </c>
      <c r="L353" s="21">
        <f>_xll.ciqfunctions.udf.CIQ($C$2, "IQ_TOTAL_CA", L$6,$F$2,,,Ccy,Conv)</f>
        <v>34253</v>
      </c>
      <c r="M353" s="21">
        <f>_xll.ciqfunctions.udf.CIQ($C$2, "IQ_TOTAL_CA", M$6,$F$2,,,Ccy,Conv)</f>
        <v>32740</v>
      </c>
      <c r="N353" s="21">
        <f>_xll.ciqfunctions.udf.CIQ($C$2, "IQ_TOTAL_CA", N$6,$F$2,,,Ccy,Conv)</f>
        <v>36944</v>
      </c>
      <c r="O353" s="22"/>
      <c r="P353" s="21">
        <f>_xll.ciqfunctions.udf.CIQ($C$2, "IQ_TOTAL_CA", P$6,$F$2,,,Ccy,Conv)</f>
        <v>36944</v>
      </c>
      <c r="Q353" s="232"/>
      <c r="R353" s="215"/>
      <c r="S353" s="215"/>
      <c r="T353" s="215"/>
      <c r="U353" s="215"/>
      <c r="V353" s="222"/>
      <c r="W353" s="222"/>
      <c r="X353" s="222"/>
      <c r="Y353" s="215"/>
      <c r="Z353" s="215"/>
      <c r="AA353" s="215"/>
      <c r="AB353" s="215"/>
      <c r="AC353" s="215"/>
      <c r="AD353" s="215"/>
      <c r="AE353" s="215"/>
      <c r="AF353" s="215"/>
      <c r="AG353" s="215"/>
      <c r="AH353" s="215"/>
      <c r="AI353" s="215"/>
      <c r="AJ353" s="215"/>
      <c r="AK353" s="215"/>
      <c r="AL353" s="215"/>
      <c r="AM353" s="215"/>
      <c r="AN353" s="215"/>
      <c r="AO353" s="215"/>
      <c r="AP353" s="215"/>
      <c r="AQ353" s="215"/>
      <c r="AR353" s="215"/>
      <c r="AS353" s="215"/>
      <c r="AT353" s="215"/>
      <c r="AU353" s="215"/>
      <c r="AV353" s="215"/>
      <c r="AW353" s="215"/>
      <c r="AX353" s="215"/>
      <c r="AY353" s="215"/>
      <c r="AZ353" s="215"/>
      <c r="BA353" s="215"/>
      <c r="BB353" s="215"/>
      <c r="BC353" s="215"/>
      <c r="BD353" s="215"/>
      <c r="BE353" s="215"/>
      <c r="BF353" s="215"/>
      <c r="BG353" s="215"/>
      <c r="BH353" s="215"/>
      <c r="BI353" s="215"/>
      <c r="BJ353" s="215"/>
      <c r="BK353" s="215"/>
      <c r="BL353" s="215"/>
      <c r="BM353" s="215"/>
      <c r="BN353" s="215"/>
      <c r="BO353" s="215"/>
      <c r="BP353" s="215"/>
      <c r="BQ353" s="215"/>
      <c r="BR353" s="215"/>
      <c r="BS353" s="215"/>
      <c r="BT353" s="215"/>
      <c r="BU353" s="215"/>
      <c r="BV353" s="215"/>
      <c r="BW353" s="215"/>
      <c r="BX353" s="215"/>
      <c r="BY353" s="215"/>
      <c r="BZ353" s="215"/>
    </row>
    <row r="354" spans="1:78" x14ac:dyDescent="0.2">
      <c r="A354" s="16"/>
      <c r="B354" s="16"/>
      <c r="C354" s="16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215"/>
      <c r="R354" s="215"/>
      <c r="S354" s="215"/>
      <c r="T354" s="215"/>
      <c r="U354" s="215"/>
      <c r="V354" s="233"/>
      <c r="W354" s="233"/>
      <c r="X354" s="233"/>
      <c r="Y354" s="232"/>
      <c r="Z354" s="232"/>
      <c r="AA354" s="232"/>
      <c r="AB354" s="215"/>
      <c r="AC354" s="215"/>
      <c r="AD354" s="215"/>
      <c r="AE354" s="232"/>
      <c r="AF354" s="215"/>
      <c r="AG354" s="215"/>
      <c r="AH354" s="215"/>
      <c r="AI354" s="215"/>
      <c r="AJ354" s="215"/>
      <c r="AK354" s="215"/>
      <c r="AL354" s="215"/>
      <c r="AM354" s="215"/>
      <c r="AN354" s="215"/>
      <c r="AO354" s="215"/>
      <c r="AP354" s="215"/>
      <c r="AQ354" s="215"/>
      <c r="AR354" s="215"/>
      <c r="AS354" s="215"/>
      <c r="AT354" s="215"/>
      <c r="AU354" s="215"/>
      <c r="AV354" s="215"/>
      <c r="AW354" s="215"/>
      <c r="AX354" s="215"/>
      <c r="AY354" s="215"/>
      <c r="AZ354" s="215"/>
      <c r="BA354" s="215"/>
      <c r="BB354" s="215"/>
      <c r="BC354" s="215"/>
      <c r="BD354" s="215"/>
      <c r="BE354" s="215"/>
      <c r="BF354" s="215"/>
      <c r="BG354" s="215"/>
      <c r="BH354" s="215"/>
      <c r="BI354" s="215"/>
      <c r="BJ354" s="215"/>
      <c r="BK354" s="215"/>
      <c r="BL354" s="215"/>
      <c r="BM354" s="215"/>
      <c r="BN354" s="215"/>
      <c r="BO354" s="215"/>
      <c r="BP354" s="215"/>
      <c r="BQ354" s="215"/>
      <c r="BR354" s="215"/>
      <c r="BS354" s="215"/>
      <c r="BT354" s="215"/>
      <c r="BU354" s="215"/>
      <c r="BV354" s="215"/>
      <c r="BW354" s="215"/>
      <c r="BX354" s="215"/>
      <c r="BY354" s="215"/>
      <c r="BZ354" s="215"/>
    </row>
    <row r="355" spans="1:78" x14ac:dyDescent="0.2">
      <c r="A355" s="2" t="str">
        <f>'Language Index'!A318</f>
        <v>Gross Property, Plant &amp; Equipment</v>
      </c>
      <c r="B355" s="17"/>
      <c r="C355" s="17"/>
      <c r="D355" s="18">
        <f>_xll.ciqfunctions.udf.CIQ($C$2, "IQ_GPPE", D$6,$F$2,,,Ccy,Conv)</f>
        <v>21241</v>
      </c>
      <c r="E355" s="18">
        <f>_xll.ciqfunctions.udf.CIQ($C$2, "IQ_GPPE", E$6,$F$2,,,Ccy,Conv)</f>
        <v>21329</v>
      </c>
      <c r="F355" s="18">
        <f>_xll.ciqfunctions.udf.CIQ($C$2, "IQ_GPPE", F$6,$F$2,,,Ccy,Conv)</f>
        <v>21342</v>
      </c>
      <c r="G355" s="18">
        <f>_xll.ciqfunctions.udf.CIQ($C$2, "IQ_GPPE", G$6,$F$2,,,Ccy,Conv)</f>
        <v>21275</v>
      </c>
      <c r="H355" s="18">
        <f>_xll.ciqfunctions.udf.CIQ($C$2, "IQ_GPPE", H$6,$F$2,,,Ccy,Conv)</f>
        <v>21041</v>
      </c>
      <c r="I355" s="18">
        <f>_xll.ciqfunctions.udf.CIQ($C$2, "IQ_GPPE", I$6,$F$2,,,Ccy,Conv)</f>
        <v>21349</v>
      </c>
      <c r="J355" s="18">
        <f>_xll.ciqfunctions.udf.CIQ($C$2, "IQ_GPPE", J$6,$F$2,,,Ccy,Conv)</f>
        <v>20888</v>
      </c>
      <c r="K355" s="18">
        <f>_xll.ciqfunctions.udf.CIQ($C$2, "IQ_GPPE", K$6,$F$2,,,Ccy,Conv)</f>
        <v>21150</v>
      </c>
      <c r="L355" s="18">
        <f>_xll.ciqfunctions.udf.CIQ($C$2, "IQ_GPPE", L$6,$F$2,,,Ccy,Conv)</f>
        <v>21475</v>
      </c>
      <c r="M355" s="18">
        <f>_xll.ciqfunctions.udf.CIQ($C$2, "IQ_GPPE", M$6,$F$2,,,Ccy,Conv)</f>
        <v>21281</v>
      </c>
      <c r="N355" s="18">
        <f>_xll.ciqfunctions.udf.CIQ($C$2, "IQ_GPPE", N$6,$F$2,,,Ccy,Conv)</f>
        <v>21003</v>
      </c>
      <c r="O355" s="18"/>
      <c r="P355" s="18">
        <f>_xll.ciqfunctions.udf.CIQ($C$2, "IQ_GPPE", P$6,$F$2,,,Ccy,Conv)</f>
        <v>21003</v>
      </c>
      <c r="Q355" s="215"/>
      <c r="R355" s="215"/>
      <c r="S355" s="215"/>
      <c r="T355" s="215"/>
      <c r="U355" s="215"/>
      <c r="V355" s="222"/>
      <c r="W355" s="222"/>
      <c r="X355" s="222"/>
      <c r="Y355" s="215"/>
      <c r="Z355" s="215"/>
      <c r="AA355" s="215"/>
      <c r="AB355" s="215"/>
      <c r="AC355" s="215"/>
      <c r="AD355" s="215"/>
      <c r="AE355" s="215"/>
      <c r="AF355" s="215"/>
      <c r="AG355" s="215"/>
      <c r="AH355" s="215"/>
      <c r="AI355" s="215"/>
      <c r="AJ355" s="215"/>
      <c r="AK355" s="215"/>
      <c r="AL355" s="215"/>
      <c r="AM355" s="215"/>
      <c r="AN355" s="215"/>
      <c r="AO355" s="215"/>
      <c r="AP355" s="215"/>
      <c r="AQ355" s="215"/>
      <c r="AR355" s="215"/>
      <c r="AS355" s="215"/>
      <c r="AT355" s="215"/>
      <c r="AU355" s="215"/>
      <c r="AV355" s="215"/>
      <c r="AW355" s="215"/>
      <c r="AX355" s="215"/>
      <c r="AY355" s="215"/>
      <c r="AZ355" s="215"/>
      <c r="BA355" s="215"/>
      <c r="BB355" s="215"/>
      <c r="BC355" s="215"/>
      <c r="BD355" s="215"/>
      <c r="BE355" s="215"/>
      <c r="BF355" s="215"/>
      <c r="BG355" s="215"/>
      <c r="BH355" s="215"/>
      <c r="BI355" s="215"/>
      <c r="BJ355" s="215"/>
      <c r="BK355" s="215"/>
      <c r="BL355" s="215"/>
      <c r="BM355" s="215"/>
      <c r="BN355" s="215"/>
      <c r="BO355" s="215"/>
      <c r="BP355" s="215"/>
      <c r="BQ355" s="215"/>
      <c r="BR355" s="215"/>
      <c r="BS355" s="215"/>
      <c r="BT355" s="215"/>
      <c r="BU355" s="215"/>
      <c r="BV355" s="215"/>
      <c r="BW355" s="215"/>
      <c r="BX355" s="215"/>
      <c r="BY355" s="215"/>
      <c r="BZ355" s="215"/>
    </row>
    <row r="356" spans="1:78" x14ac:dyDescent="0.2">
      <c r="A356" s="2" t="str">
        <f>'Language Index'!A319</f>
        <v>Accumulated Depreciation</v>
      </c>
      <c r="B356" s="17"/>
      <c r="C356" s="17"/>
      <c r="D356" s="18">
        <f>_xll.ciqfunctions.udf.CIQ($C$2, "IQ_AD", D$6,$F$2,,,Ccy,Conv)</f>
        <v>-13145</v>
      </c>
      <c r="E356" s="18">
        <f>_xll.ciqfunctions.udf.CIQ($C$2, "IQ_AD", E$6,$F$2,,,Ccy,Conv)</f>
        <v>-12848</v>
      </c>
      <c r="F356" s="18">
        <f>_xll.ciqfunctions.udf.CIQ($C$2, "IQ_AD", F$6,$F$2,,,Ccy,Conv)</f>
        <v>-12621</v>
      </c>
      <c r="G356" s="18">
        <f>_xll.ciqfunctions.udf.CIQ($C$2, "IQ_AD", G$6,$F$2,,,Ccy,Conv)</f>
        <v>-12477</v>
      </c>
      <c r="H356" s="18">
        <f>_xll.ciqfunctions.udf.CIQ($C$2, "IQ_AD", H$6,$F$2,,,Ccy,Conv)</f>
        <v>-12311</v>
      </c>
      <c r="I356" s="18">
        <f>_xll.ciqfunctions.udf.CIQ($C$2, "IQ_AD", I$6,$F$2,,,Ccy,Conv)</f>
        <v>-12380</v>
      </c>
      <c r="J356" s="18">
        <f>_xll.ciqfunctions.udf.CIQ($C$2, "IQ_AD", J$6,$F$2,,,Ccy,Conv)</f>
        <v>-11959</v>
      </c>
      <c r="K356" s="18">
        <f>_xll.ciqfunctions.udf.CIQ($C$2, "IQ_AD", K$6,$F$2,,,Ccy,Conv)</f>
        <v>-12085</v>
      </c>
      <c r="L356" s="18">
        <f>_xll.ciqfunctions.udf.CIQ($C$2, "IQ_AD", L$6,$F$2,,,Ccy,Conv)</f>
        <v>-12218</v>
      </c>
      <c r="M356" s="18">
        <f>_xll.ciqfunctions.udf.CIQ($C$2, "IQ_AD", M$6,$F$2,,,Ccy,Conv)</f>
        <v>-12207</v>
      </c>
      <c r="N356" s="18">
        <f>_xll.ciqfunctions.udf.CIQ($C$2, "IQ_AD", N$6,$F$2,,,Ccy,Conv)</f>
        <v>-11975</v>
      </c>
      <c r="O356" s="18"/>
      <c r="P356" s="18">
        <f>_xll.ciqfunctions.udf.CIQ($C$2, "IQ_AD", P$6,$F$2,,,Ccy,Conv)</f>
        <v>-11975</v>
      </c>
      <c r="Q356" s="215"/>
      <c r="R356" s="215"/>
      <c r="S356" s="215"/>
      <c r="T356" s="215"/>
      <c r="U356" s="215"/>
      <c r="V356" s="222"/>
      <c r="W356" s="222"/>
      <c r="X356" s="222"/>
      <c r="Y356" s="215"/>
      <c r="Z356" s="215"/>
      <c r="AA356" s="215"/>
      <c r="AB356" s="215"/>
      <c r="AC356" s="215"/>
      <c r="AD356" s="215"/>
      <c r="AE356" s="215"/>
      <c r="AF356" s="232"/>
      <c r="AG356" s="232"/>
      <c r="AH356" s="215"/>
      <c r="AI356" s="215"/>
      <c r="AJ356" s="215"/>
      <c r="AK356" s="215"/>
      <c r="AL356" s="215"/>
      <c r="AM356" s="215"/>
      <c r="AN356" s="215"/>
      <c r="AO356" s="215"/>
      <c r="AP356" s="215"/>
      <c r="AQ356" s="215"/>
      <c r="AR356" s="215"/>
      <c r="AS356" s="215"/>
      <c r="AT356" s="215"/>
      <c r="AU356" s="215"/>
      <c r="AV356" s="215"/>
      <c r="AW356" s="215"/>
      <c r="AX356" s="215"/>
      <c r="AY356" s="215"/>
      <c r="AZ356" s="215"/>
      <c r="BA356" s="215"/>
      <c r="BB356" s="215"/>
      <c r="BC356" s="215"/>
      <c r="BD356" s="215"/>
      <c r="BE356" s="215"/>
      <c r="BF356" s="215"/>
      <c r="BG356" s="215"/>
      <c r="BH356" s="215"/>
      <c r="BI356" s="215"/>
      <c r="BJ356" s="215"/>
      <c r="BK356" s="215"/>
      <c r="BL356" s="215"/>
      <c r="BM356" s="215"/>
      <c r="BN356" s="215"/>
      <c r="BO356" s="215"/>
      <c r="BP356" s="215"/>
      <c r="BQ356" s="215"/>
      <c r="BR356" s="215"/>
      <c r="BS356" s="215"/>
      <c r="BT356" s="215"/>
      <c r="BU356" s="215"/>
      <c r="BV356" s="215"/>
      <c r="BW356" s="215"/>
      <c r="BX356" s="215"/>
      <c r="BY356" s="215"/>
      <c r="BZ356" s="215"/>
    </row>
    <row r="357" spans="1:78" x14ac:dyDescent="0.2">
      <c r="A357" s="20" t="str">
        <f>'Language Index'!A320</f>
        <v>Net Property, Plant &amp; Equipment</v>
      </c>
      <c r="B357" s="20"/>
      <c r="C357" s="20"/>
      <c r="D357" s="21">
        <f>_xll.ciqfunctions.udf.CIQ($C$2, "IQ_NPPE", D$6,$F$2,,,Ccy,Conv)</f>
        <v>8096</v>
      </c>
      <c r="E357" s="21">
        <f>_xll.ciqfunctions.udf.CIQ($C$2, "IQ_NPPE", E$6,$F$2,,,Ccy,Conv)</f>
        <v>8481</v>
      </c>
      <c r="F357" s="21">
        <f>_xll.ciqfunctions.udf.CIQ($C$2, "IQ_NPPE", F$6,$F$2,,,Ccy,Conv)</f>
        <v>8721</v>
      </c>
      <c r="G357" s="21">
        <f>_xll.ciqfunctions.udf.CIQ($C$2, "IQ_NPPE", G$6,$F$2,,,Ccy,Conv)</f>
        <v>8798</v>
      </c>
      <c r="H357" s="21">
        <f>_xll.ciqfunctions.udf.CIQ($C$2, "IQ_NPPE", H$6,$F$2,,,Ccy,Conv)</f>
        <v>8730</v>
      </c>
      <c r="I357" s="21">
        <f>_xll.ciqfunctions.udf.CIQ($C$2, "IQ_NPPE", I$6,$F$2,,,Ccy,Conv)</f>
        <v>8969</v>
      </c>
      <c r="J357" s="21">
        <f>_xll.ciqfunctions.udf.CIQ($C$2, "IQ_NPPE", J$6,$F$2,,,Ccy,Conv)</f>
        <v>8929</v>
      </c>
      <c r="K357" s="21">
        <f>_xll.ciqfunctions.udf.CIQ($C$2, "IQ_NPPE", K$6,$F$2,,,Ccy,Conv)</f>
        <v>9065</v>
      </c>
      <c r="L357" s="21">
        <f>_xll.ciqfunctions.udf.CIQ($C$2, "IQ_NPPE", L$6,$F$2,,,Ccy,Conv)</f>
        <v>9257</v>
      </c>
      <c r="M357" s="21">
        <f>_xll.ciqfunctions.udf.CIQ($C$2, "IQ_NPPE", M$6,$F$2,,,Ccy,Conv)</f>
        <v>9074</v>
      </c>
      <c r="N357" s="21">
        <f>_xll.ciqfunctions.udf.CIQ($C$2, "IQ_NPPE", N$6,$F$2,,,Ccy,Conv)</f>
        <v>9028</v>
      </c>
      <c r="O357" s="22"/>
      <c r="P357" s="21">
        <f>_xll.ciqfunctions.udf.CIQ($C$2, "IQ_NPPE", P$6,$F$2,,,Ccy,Conv)</f>
        <v>9028</v>
      </c>
      <c r="Q357" s="215"/>
      <c r="R357" s="215"/>
      <c r="S357" s="215"/>
      <c r="T357" s="215"/>
      <c r="U357" s="215"/>
      <c r="V357" s="233"/>
      <c r="W357" s="233"/>
      <c r="X357" s="233"/>
      <c r="Y357" s="232"/>
      <c r="Z357" s="232"/>
      <c r="AA357" s="232"/>
      <c r="AB357" s="232"/>
      <c r="AC357" s="232"/>
      <c r="AD357" s="232"/>
      <c r="AE357" s="215"/>
      <c r="AF357" s="215"/>
      <c r="AG357" s="215"/>
      <c r="AH357" s="232"/>
      <c r="AI357" s="215"/>
      <c r="AJ357" s="215"/>
      <c r="AK357" s="215"/>
      <c r="AL357" s="215"/>
      <c r="AM357" s="215"/>
      <c r="AN357" s="215"/>
      <c r="AO357" s="215"/>
      <c r="AP357" s="215"/>
      <c r="AQ357" s="215"/>
      <c r="AR357" s="215"/>
      <c r="AS357" s="215"/>
      <c r="AT357" s="215"/>
      <c r="AU357" s="215"/>
      <c r="AV357" s="215"/>
      <c r="AW357" s="215"/>
      <c r="AX357" s="215"/>
      <c r="AY357" s="215"/>
      <c r="AZ357" s="215"/>
      <c r="BA357" s="215"/>
      <c r="BB357" s="215"/>
      <c r="BC357" s="215"/>
      <c r="BD357" s="215"/>
      <c r="BE357" s="215"/>
      <c r="BF357" s="215"/>
      <c r="BG357" s="215"/>
      <c r="BH357" s="215"/>
      <c r="BI357" s="215"/>
      <c r="BJ357" s="215"/>
      <c r="BK357" s="215"/>
      <c r="BL357" s="215"/>
      <c r="BM357" s="215"/>
      <c r="BN357" s="215"/>
      <c r="BO357" s="215"/>
      <c r="BP357" s="215"/>
      <c r="BQ357" s="215"/>
      <c r="BR357" s="215"/>
      <c r="BS357" s="215"/>
      <c r="BT357" s="215"/>
      <c r="BU357" s="215"/>
      <c r="BV357" s="215"/>
      <c r="BW357" s="215"/>
      <c r="BX357" s="215"/>
      <c r="BY357" s="215"/>
      <c r="BZ357" s="215"/>
    </row>
    <row r="358" spans="1:78" x14ac:dyDescent="0.2">
      <c r="A358" s="16"/>
      <c r="B358" s="16"/>
      <c r="C358" s="16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215"/>
      <c r="R358" s="215"/>
      <c r="S358" s="215"/>
      <c r="T358" s="215"/>
      <c r="U358" s="215"/>
      <c r="V358" s="222"/>
      <c r="W358" s="222"/>
      <c r="X358" s="222"/>
      <c r="Y358" s="215"/>
      <c r="Z358" s="215"/>
      <c r="AA358" s="215"/>
      <c r="AB358" s="215"/>
      <c r="AC358" s="215"/>
      <c r="AD358" s="215"/>
      <c r="AE358" s="215"/>
      <c r="AF358" s="232"/>
      <c r="AG358" s="232"/>
      <c r="AH358" s="215"/>
      <c r="AI358" s="215"/>
      <c r="AJ358" s="215"/>
      <c r="AK358" s="215"/>
      <c r="AL358" s="215"/>
      <c r="AM358" s="215"/>
      <c r="AN358" s="215"/>
      <c r="AO358" s="215"/>
      <c r="AP358" s="215"/>
      <c r="AQ358" s="215"/>
      <c r="AR358" s="215"/>
      <c r="AS358" s="215"/>
      <c r="AT358" s="215"/>
      <c r="AU358" s="215"/>
      <c r="AV358" s="215"/>
      <c r="AW358" s="215"/>
      <c r="AX358" s="215"/>
      <c r="AY358" s="215"/>
      <c r="AZ358" s="215"/>
      <c r="BA358" s="215"/>
      <c r="BB358" s="215"/>
      <c r="BC358" s="215"/>
      <c r="BD358" s="215"/>
      <c r="BE358" s="215"/>
      <c r="BF358" s="215"/>
      <c r="BG358" s="215"/>
      <c r="BH358" s="215"/>
      <c r="BI358" s="215"/>
      <c r="BJ358" s="215"/>
      <c r="BK358" s="215"/>
      <c r="BL358" s="215"/>
      <c r="BM358" s="215"/>
      <c r="BN358" s="215"/>
      <c r="BO358" s="215"/>
      <c r="BP358" s="215"/>
      <c r="BQ358" s="215"/>
      <c r="BR358" s="215"/>
      <c r="BS358" s="215"/>
      <c r="BT358" s="215"/>
      <c r="BU358" s="215"/>
      <c r="BV358" s="215"/>
      <c r="BW358" s="215"/>
      <c r="BX358" s="215"/>
      <c r="BY358" s="215"/>
      <c r="BZ358" s="215"/>
    </row>
    <row r="359" spans="1:78" x14ac:dyDescent="0.2">
      <c r="A359" s="2" t="str">
        <f>'Language Index'!A321</f>
        <v>Long-term Investments</v>
      </c>
      <c r="B359" s="16"/>
      <c r="C359" s="16"/>
      <c r="D359" s="18">
        <f>_xll.ciqfunctions.udf.CIQ($C$2, "IQ_LT_INVEST", D$6,$F$2,,,Ccy,Conv)</f>
        <v>1577</v>
      </c>
      <c r="E359" s="18">
        <f>_xll.ciqfunctions.udf.CIQ($C$2, "IQ_LT_INVEST", E$6,$F$2,,,Ccy,Conv)</f>
        <v>1581</v>
      </c>
      <c r="F359" s="18">
        <f>_xll.ciqfunctions.udf.CIQ($C$2, "IQ_LT_INVEST", F$6,$F$2,,,Ccy,Conv)</f>
        <v>1589</v>
      </c>
      <c r="G359" s="18">
        <f>_xll.ciqfunctions.udf.CIQ($C$2, "IQ_LT_INVEST", G$6,$F$2,,,Ccy,Conv)</f>
        <v>1566</v>
      </c>
      <c r="H359" s="18">
        <f>_xll.ciqfunctions.udf.CIQ($C$2, "IQ_LT_INVEST", H$6,$F$2,,,Ccy,Conv)</f>
        <v>1732</v>
      </c>
      <c r="I359" s="18">
        <f>_xll.ciqfunctions.udf.CIQ($C$2, "IQ_LT_INVEST", I$6,$F$2,,,Ccy,Conv)</f>
        <v>1868</v>
      </c>
      <c r="J359" s="18">
        <f>_xll.ciqfunctions.udf.CIQ($C$2, "IQ_LT_INVEST", J$6,$F$2,,,Ccy,Conv)</f>
        <v>1691</v>
      </c>
      <c r="K359" s="18">
        <f>_xll.ciqfunctions.udf.CIQ($C$2, "IQ_LT_INVEST", K$6,$F$2,,,Ccy,Conv)</f>
        <v>1631</v>
      </c>
      <c r="L359" s="18">
        <f>_xll.ciqfunctions.udf.CIQ($C$2, "IQ_LT_INVEST", L$6,$F$2,,,Ccy,Conv)</f>
        <v>1553</v>
      </c>
      <c r="M359" s="18">
        <f>_xll.ciqfunctions.udf.CIQ($C$2, "IQ_LT_INVEST", M$6,$F$2,,,Ccy,Conv)</f>
        <v>1448</v>
      </c>
      <c r="N359" s="18">
        <f>_xll.ciqfunctions.udf.CIQ($C$2, "IQ_LT_INVEST", N$6,$F$2,,,Ccy,Conv)</f>
        <v>1751</v>
      </c>
      <c r="O359" s="18"/>
      <c r="P359" s="18">
        <f>_xll.ciqfunctions.udf.CIQ($C$2, "IQ_LT_INVEST", P$6,$F$2,,,Ccy,Conv)</f>
        <v>1751</v>
      </c>
      <c r="Q359" s="215"/>
      <c r="R359" s="215"/>
      <c r="S359" s="215"/>
      <c r="T359" s="215"/>
      <c r="U359" s="215"/>
      <c r="V359" s="222"/>
      <c r="W359" s="222"/>
      <c r="X359" s="222"/>
      <c r="Y359" s="215"/>
      <c r="Z359" s="215"/>
      <c r="AA359" s="215"/>
      <c r="AB359" s="215"/>
      <c r="AC359" s="215"/>
      <c r="AD359" s="215"/>
      <c r="AE359" s="215"/>
      <c r="AF359" s="215"/>
      <c r="AG359" s="215"/>
      <c r="AH359" s="215"/>
      <c r="AI359" s="215"/>
      <c r="AJ359" s="215"/>
      <c r="AK359" s="215"/>
      <c r="AL359" s="215"/>
      <c r="AM359" s="215"/>
      <c r="AN359" s="215"/>
      <c r="AO359" s="215"/>
      <c r="AP359" s="215"/>
      <c r="AQ359" s="215"/>
      <c r="AR359" s="215"/>
      <c r="AS359" s="215"/>
      <c r="AT359" s="215"/>
      <c r="AU359" s="215"/>
      <c r="AV359" s="215"/>
      <c r="AW359" s="215"/>
      <c r="AX359" s="215"/>
      <c r="AY359" s="215"/>
      <c r="AZ359" s="215"/>
      <c r="BA359" s="215"/>
      <c r="BB359" s="215"/>
      <c r="BC359" s="215"/>
      <c r="BD359" s="215"/>
      <c r="BE359" s="215"/>
      <c r="BF359" s="215"/>
      <c r="BG359" s="215"/>
      <c r="BH359" s="215"/>
      <c r="BI359" s="215"/>
      <c r="BJ359" s="215"/>
      <c r="BK359" s="215"/>
      <c r="BL359" s="215"/>
      <c r="BM359" s="215"/>
      <c r="BN359" s="215"/>
      <c r="BO359" s="215"/>
      <c r="BP359" s="215"/>
      <c r="BQ359" s="215"/>
      <c r="BR359" s="215"/>
      <c r="BS359" s="215"/>
      <c r="BT359" s="215"/>
      <c r="BU359" s="215"/>
      <c r="BV359" s="215"/>
      <c r="BW359" s="215"/>
      <c r="BX359" s="215"/>
      <c r="BY359" s="215"/>
      <c r="BZ359" s="215"/>
    </row>
    <row r="360" spans="1:78" x14ac:dyDescent="0.2">
      <c r="A360" s="2" t="str">
        <f>'Language Index'!A322</f>
        <v>Goodwill</v>
      </c>
      <c r="B360" s="17"/>
      <c r="C360" s="17"/>
      <c r="D360" s="18">
        <f>_xll.ciqfunctions.udf.CIQ($C$2, "IQ_GW", D$6,$F$2,,,Ccy,Conv)</f>
        <v>56385</v>
      </c>
      <c r="E360" s="18">
        <f>_xll.ciqfunctions.udf.CIQ($C$2, "IQ_GW", E$6,$F$2,,,Ccy,Conv)</f>
        <v>59596</v>
      </c>
      <c r="F360" s="18">
        <f>_xll.ciqfunctions.udf.CIQ($C$2, "IQ_GW", F$6,$F$2,,,Ccy,Conv)</f>
        <v>60178</v>
      </c>
      <c r="G360" s="18">
        <f>_xll.ciqfunctions.udf.CIQ($C$2, "IQ_GW", G$6,$F$2,,,Ccy,Conv)</f>
        <v>59534</v>
      </c>
      <c r="H360" s="18">
        <f>_xll.ciqfunctions.udf.CIQ($C$2, "IQ_GW", H$6,$F$2,,,Ccy,Conv)</f>
        <v>59416</v>
      </c>
      <c r="I360" s="18">
        <f>_xll.ciqfunctions.udf.CIQ($C$2, "IQ_GW", I$6,$F$2,,,Ccy,Conv)</f>
        <v>61092</v>
      </c>
      <c r="J360" s="18">
        <f>_xll.ciqfunctions.udf.CIQ($C$2, "IQ_GW", J$6,$F$2,,,Ccy,Conv)</f>
        <v>60706</v>
      </c>
      <c r="K360" s="18">
        <f>_xll.ciqfunctions.udf.CIQ($C$2, "IQ_GW", K$6,$F$2,,,Ccy,Conv)</f>
        <v>66065</v>
      </c>
      <c r="L360" s="18">
        <f>_xll.ciqfunctions.udf.CIQ($C$2, "IQ_GW", L$6,$F$2,,,Ccy,Conv)</f>
        <v>67506</v>
      </c>
      <c r="M360" s="18">
        <f>_xll.ciqfunctions.udf.CIQ($C$2, "IQ_GW", M$6,$F$2,,,Ccy,Conv)</f>
        <v>67396</v>
      </c>
      <c r="N360" s="18">
        <f>_xll.ciqfunctions.udf.CIQ($C$2, "IQ_GW", N$6,$F$2,,,Ccy,Conv)</f>
        <v>67717</v>
      </c>
      <c r="O360" s="18"/>
      <c r="P360" s="18">
        <f>_xll.ciqfunctions.udf.CIQ($C$2, "IQ_GW", P$6,$F$2,,,Ccy,Conv)</f>
        <v>67717</v>
      </c>
      <c r="Q360" s="215"/>
      <c r="R360" s="215"/>
      <c r="S360" s="215"/>
      <c r="T360" s="215"/>
      <c r="U360" s="215"/>
      <c r="V360" s="222"/>
      <c r="W360" s="222"/>
      <c r="X360" s="222"/>
      <c r="Y360" s="215"/>
      <c r="Z360" s="215"/>
      <c r="AA360" s="215"/>
      <c r="AB360" s="215"/>
      <c r="AC360" s="215"/>
      <c r="AD360" s="215"/>
      <c r="AE360" s="215"/>
      <c r="AF360" s="215"/>
      <c r="AG360" s="215"/>
      <c r="AH360" s="215"/>
      <c r="AI360" s="215"/>
      <c r="AJ360" s="215"/>
      <c r="AK360" s="215"/>
      <c r="AL360" s="215"/>
      <c r="AM360" s="215"/>
      <c r="AN360" s="215"/>
      <c r="AO360" s="215"/>
      <c r="AP360" s="215"/>
      <c r="AQ360" s="215"/>
      <c r="AR360" s="215"/>
      <c r="AS360" s="215"/>
      <c r="AT360" s="215"/>
      <c r="AU360" s="215"/>
      <c r="AV360" s="215"/>
      <c r="AW360" s="215"/>
      <c r="AX360" s="215"/>
      <c r="AY360" s="215"/>
      <c r="AZ360" s="215"/>
      <c r="BA360" s="215"/>
      <c r="BB360" s="215"/>
      <c r="BC360" s="215"/>
      <c r="BD360" s="215"/>
      <c r="BE360" s="215"/>
      <c r="BF360" s="215"/>
      <c r="BG360" s="215"/>
      <c r="BH360" s="215"/>
      <c r="BI360" s="215"/>
      <c r="BJ360" s="215"/>
      <c r="BK360" s="215"/>
      <c r="BL360" s="215"/>
      <c r="BM360" s="215"/>
      <c r="BN360" s="215"/>
      <c r="BO360" s="215"/>
      <c r="BP360" s="215"/>
      <c r="BQ360" s="215"/>
      <c r="BR360" s="215"/>
      <c r="BS360" s="215"/>
      <c r="BT360" s="215"/>
      <c r="BU360" s="215"/>
      <c r="BV360" s="215"/>
      <c r="BW360" s="215"/>
      <c r="BX360" s="215"/>
      <c r="BY360" s="215"/>
      <c r="BZ360" s="215"/>
    </row>
    <row r="361" spans="1:78" x14ac:dyDescent="0.2">
      <c r="A361" s="2" t="str">
        <f>'Language Index'!A323</f>
        <v>Other Intangibles</v>
      </c>
      <c r="B361" s="17"/>
      <c r="C361" s="17"/>
      <c r="D361" s="18">
        <f>_xll.ciqfunctions.udf.CIQ($C$2, "IQ_OTHER_INTAN", D$6,$F$2,,,Ccy,Conv)</f>
        <v>10496</v>
      </c>
      <c r="E361" s="18">
        <f>_xll.ciqfunctions.udf.CIQ($C$2, "IQ_OTHER_INTAN", E$6,$F$2,,,Ccy,Conv)</f>
        <v>11278</v>
      </c>
      <c r="F361" s="18">
        <f>_xll.ciqfunctions.udf.CIQ($C$2, "IQ_OTHER_INTAN", F$6,$F$2,,,Ccy,Conv)</f>
        <v>11036</v>
      </c>
      <c r="G361" s="18">
        <f>_xll.ciqfunctions.udf.CIQ($C$2, "IQ_OTHER_INTAN", G$6,$F$2,,,Ccy,Conv)</f>
        <v>10750</v>
      </c>
      <c r="H361" s="18">
        <f>_xll.ciqfunctions.udf.CIQ($C$2, "IQ_OTHER_INTAN", H$6,$F$2,,,Ccy,Conv)</f>
        <v>10251</v>
      </c>
      <c r="I361" s="18">
        <f>_xll.ciqfunctions.udf.CIQ($C$2, "IQ_OTHER_INTAN", I$6,$F$2,,,Ccy,Conv)</f>
        <v>11090</v>
      </c>
      <c r="J361" s="18">
        <f>_xll.ciqfunctions.udf.CIQ($C$2, "IQ_OTHER_INTAN", J$6,$F$2,,,Ccy,Conv)</f>
        <v>10660</v>
      </c>
      <c r="K361" s="18">
        <f>_xll.ciqfunctions.udf.CIQ($C$2, "IQ_OTHER_INTAN", K$6,$F$2,,,Ccy,Conv)</f>
        <v>12392</v>
      </c>
      <c r="L361" s="18">
        <f>_xll.ciqfunctions.udf.CIQ($C$2, "IQ_OTHER_INTAN", L$6,$F$2,,,Ccy,Conv)</f>
        <v>12253</v>
      </c>
      <c r="M361" s="18">
        <f>_xll.ciqfunctions.udf.CIQ($C$2, "IQ_OTHER_INTAN", M$6,$F$2,,,Ccy,Conv)</f>
        <v>11729</v>
      </c>
      <c r="N361" s="18">
        <f>_xll.ciqfunctions.udf.CIQ($C$2, "IQ_OTHER_INTAN", N$6,$F$2,,,Ccy,Conv)</f>
        <v>11391</v>
      </c>
      <c r="O361" s="18"/>
      <c r="P361" s="18">
        <f>_xll.ciqfunctions.udf.CIQ($C$2, "IQ_OTHER_INTAN", P$6,$F$2,,,Ccy,Conv)</f>
        <v>11391</v>
      </c>
      <c r="Q361" s="215"/>
      <c r="R361" s="215"/>
      <c r="S361" s="215"/>
      <c r="T361" s="215"/>
      <c r="U361" s="215"/>
      <c r="V361" s="222"/>
      <c r="W361" s="222"/>
      <c r="X361" s="222"/>
      <c r="Y361" s="215"/>
      <c r="Z361" s="215"/>
      <c r="AA361" s="215"/>
      <c r="AB361" s="215"/>
      <c r="AC361" s="215"/>
      <c r="AD361" s="215"/>
      <c r="AE361" s="215"/>
      <c r="AF361" s="215"/>
      <c r="AG361" s="215"/>
      <c r="AH361" s="215"/>
      <c r="AI361" s="215"/>
      <c r="AJ361" s="215"/>
      <c r="AK361" s="215"/>
      <c r="AL361" s="215"/>
      <c r="AM361" s="215"/>
      <c r="AN361" s="215"/>
      <c r="AO361" s="215"/>
      <c r="AP361" s="215"/>
      <c r="AQ361" s="215"/>
      <c r="AR361" s="215"/>
      <c r="AS361" s="215"/>
      <c r="AT361" s="215"/>
      <c r="AU361" s="215"/>
      <c r="AV361" s="215"/>
      <c r="AW361" s="215"/>
      <c r="AX361" s="215"/>
      <c r="AY361" s="215"/>
      <c r="AZ361" s="215"/>
      <c r="BA361" s="215"/>
      <c r="BB361" s="215"/>
      <c r="BC361" s="215"/>
      <c r="BD361" s="215"/>
      <c r="BE361" s="215"/>
      <c r="BF361" s="215"/>
      <c r="BG361" s="215"/>
      <c r="BH361" s="215"/>
      <c r="BI361" s="215"/>
      <c r="BJ361" s="215"/>
      <c r="BK361" s="215"/>
      <c r="BL361" s="215"/>
      <c r="BM361" s="215"/>
      <c r="BN361" s="215"/>
      <c r="BO361" s="215"/>
      <c r="BP361" s="215"/>
      <c r="BQ361" s="215"/>
      <c r="BR361" s="215"/>
      <c r="BS361" s="215"/>
      <c r="BT361" s="215"/>
      <c r="BU361" s="215"/>
      <c r="BV361" s="215"/>
      <c r="BW361" s="215"/>
      <c r="BX361" s="215"/>
      <c r="BY361" s="215"/>
      <c r="BZ361" s="215"/>
    </row>
    <row r="362" spans="1:78" x14ac:dyDescent="0.2">
      <c r="A362" s="2" t="str">
        <f>'Language Index'!A324</f>
        <v>Finance Div. Loans and Leases, LT</v>
      </c>
      <c r="B362" s="17"/>
      <c r="C362" s="17"/>
      <c r="D362" s="18">
        <f>_xll.ciqfunctions.udf.CIQ($C$2, "IQ_FIN_DIV_LOANS_LT", D$6,$F$2,,,Ccy,Conv)</f>
        <v>5221</v>
      </c>
      <c r="E362" s="18">
        <f>_xll.ciqfunctions.udf.CIQ($C$2, "IQ_FIN_DIV_LOANS_LT", E$6,$F$2,,,Ccy,Conv)</f>
        <v>4789</v>
      </c>
      <c r="F362" s="18">
        <f>_xll.ciqfunctions.udf.CIQ($C$2, "IQ_FIN_DIV_LOANS_LT", F$6,$F$2,,,Ccy,Conv)</f>
        <v>5766</v>
      </c>
      <c r="G362" s="18">
        <f>_xll.ciqfunctions.udf.CIQ($C$2, "IQ_FIN_DIV_LOANS_LT", G$6,$F$2,,,Ccy,Conv)</f>
        <v>4927</v>
      </c>
      <c r="H362" s="18">
        <f>_xll.ciqfunctions.udf.CIQ($C$2, "IQ_FIN_DIV_LOANS_LT", H$6,$F$2,,,Ccy,Conv)</f>
        <v>5483</v>
      </c>
      <c r="I362" s="18">
        <f>_xll.ciqfunctions.udf.CIQ($C$2, "IQ_FIN_DIV_LOANS_LT", I$6,$F$2,,,Ccy,Conv)</f>
        <v>4931</v>
      </c>
      <c r="J362" s="18">
        <f>_xll.ciqfunctions.udf.CIQ($C$2, "IQ_FIN_DIV_LOANS_LT", J$6,$F$2,,,Ccy,Conv)</f>
        <v>5353</v>
      </c>
      <c r="K362" s="18">
        <f>_xll.ciqfunctions.udf.CIQ($C$2, "IQ_FIN_DIV_LOANS_LT", K$6,$F$2,,,Ccy,Conv)</f>
        <v>4920</v>
      </c>
      <c r="L362" s="18">
        <f>_xll.ciqfunctions.udf.CIQ($C$2, "IQ_FIN_DIV_LOANS_LT", L$6,$F$2,,,Ccy,Conv)</f>
        <v>6171</v>
      </c>
      <c r="M362" s="18">
        <f>_xll.ciqfunctions.udf.CIQ($C$2, "IQ_FIN_DIV_LOANS_LT", M$6,$F$2,,,Ccy,Conv)</f>
        <v>6258</v>
      </c>
      <c r="N362" s="18">
        <f>_xll.ciqfunctions.udf.CIQ($C$2, "IQ_FIN_DIV_LOANS_LT", N$6,$F$2,,,Ccy,Conv)</f>
        <v>7708</v>
      </c>
      <c r="O362" s="18"/>
      <c r="P362" s="18">
        <f>_xll.ciqfunctions.udf.CIQ($C$2, "IQ_FIN_DIV_LOANS_LT", P$6,$F$2,,,Ccy,Conv)</f>
        <v>7708</v>
      </c>
      <c r="Q362" s="215"/>
      <c r="R362" s="215"/>
      <c r="S362" s="215"/>
      <c r="T362" s="215"/>
      <c r="U362" s="215"/>
      <c r="V362" s="222"/>
      <c r="W362" s="222"/>
      <c r="X362" s="222"/>
      <c r="Y362" s="215"/>
      <c r="Z362" s="215"/>
      <c r="AA362" s="215"/>
      <c r="AB362" s="215"/>
      <c r="AC362" s="215"/>
      <c r="AD362" s="215"/>
      <c r="AE362" s="215"/>
      <c r="AF362" s="215"/>
      <c r="AG362" s="215"/>
      <c r="AH362" s="215"/>
      <c r="AI362" s="215"/>
      <c r="AJ362" s="215"/>
      <c r="AK362" s="215"/>
      <c r="AL362" s="215"/>
      <c r="AM362" s="215"/>
      <c r="AN362" s="215"/>
      <c r="AO362" s="215"/>
      <c r="AP362" s="215"/>
      <c r="AQ362" s="215"/>
      <c r="AR362" s="215"/>
      <c r="AS362" s="215"/>
      <c r="AT362" s="215"/>
      <c r="AU362" s="215"/>
      <c r="AV362" s="215"/>
      <c r="AW362" s="215"/>
      <c r="AX362" s="215"/>
      <c r="AY362" s="215"/>
      <c r="AZ362" s="215"/>
      <c r="BA362" s="215"/>
      <c r="BB362" s="215"/>
      <c r="BC362" s="215"/>
      <c r="BD362" s="215"/>
      <c r="BE362" s="215"/>
      <c r="BF362" s="215"/>
      <c r="BG362" s="215"/>
      <c r="BH362" s="215"/>
      <c r="BI362" s="215"/>
      <c r="BJ362" s="215"/>
      <c r="BK362" s="215"/>
      <c r="BL362" s="215"/>
      <c r="BM362" s="215"/>
      <c r="BN362" s="215"/>
      <c r="BO362" s="215"/>
      <c r="BP362" s="215"/>
      <c r="BQ362" s="215"/>
      <c r="BR362" s="215"/>
      <c r="BS362" s="215"/>
      <c r="BT362" s="215"/>
      <c r="BU362" s="215"/>
      <c r="BV362" s="215"/>
      <c r="BW362" s="215"/>
      <c r="BX362" s="215"/>
      <c r="BY362" s="215"/>
      <c r="BZ362" s="215"/>
    </row>
    <row r="363" spans="1:78" x14ac:dyDescent="0.2">
      <c r="A363" s="2" t="str">
        <f>'Language Index'!A325</f>
        <v>Finance Div. Other LT Assets</v>
      </c>
      <c r="B363" s="17"/>
      <c r="C363" s="17"/>
      <c r="D363" s="18">
        <f>_xll.ciqfunctions.udf.CIQ($C$2, "IQ_FIN_DIV_ASSETS_LT", D$6,$F$2,,,Ccy,Conv)</f>
        <v>0</v>
      </c>
      <c r="E363" s="18">
        <f>_xll.ciqfunctions.udf.CIQ($C$2, "IQ_FIN_DIV_ASSETS_LT", E$6,$F$2,,,Ccy,Conv)</f>
        <v>0</v>
      </c>
      <c r="F363" s="18">
        <f>_xll.ciqfunctions.udf.CIQ($C$2, "IQ_FIN_DIV_ASSETS_LT", F$6,$F$2,,,Ccy,Conv)</f>
        <v>0</v>
      </c>
      <c r="G363" s="18">
        <f>_xll.ciqfunctions.udf.CIQ($C$2, "IQ_FIN_DIV_ASSETS_LT", G$6,$F$2,,,Ccy,Conv)</f>
        <v>0</v>
      </c>
      <c r="H363" s="18">
        <f>_xll.ciqfunctions.udf.CIQ($C$2, "IQ_FIN_DIV_ASSETS_LT", H$6,$F$2,,,Ccy,Conv)</f>
        <v>0</v>
      </c>
      <c r="I363" s="18">
        <f>_xll.ciqfunctions.udf.CIQ($C$2, "IQ_FIN_DIV_ASSETS_LT", I$6,$F$2,,,Ccy,Conv)</f>
        <v>0</v>
      </c>
      <c r="J363" s="18">
        <f>_xll.ciqfunctions.udf.CIQ($C$2, "IQ_FIN_DIV_ASSETS_LT", J$6,$F$2,,,Ccy,Conv)</f>
        <v>0</v>
      </c>
      <c r="K363" s="18">
        <f>_xll.ciqfunctions.udf.CIQ($C$2, "IQ_FIN_DIV_ASSETS_LT", K$6,$F$2,,,Ccy,Conv)</f>
        <v>0</v>
      </c>
      <c r="L363" s="18">
        <f>_xll.ciqfunctions.udf.CIQ($C$2, "IQ_FIN_DIV_ASSETS_LT", L$6,$F$2,,,Ccy,Conv)</f>
        <v>0</v>
      </c>
      <c r="M363" s="18">
        <f>_xll.ciqfunctions.udf.CIQ($C$2, "IQ_FIN_DIV_ASSETS_LT", M$6,$F$2,,,Ccy,Conv)</f>
        <v>0</v>
      </c>
      <c r="N363" s="18">
        <f>_xll.ciqfunctions.udf.CIQ($C$2, "IQ_FIN_DIV_ASSETS_LT", N$6,$F$2,,,Ccy,Conv)</f>
        <v>0</v>
      </c>
      <c r="O363" s="18"/>
      <c r="P363" s="18">
        <f>_xll.ciqfunctions.udf.CIQ($C$2, "IQ_FIN_DIV_ASSETS_LT", P$6,$F$2,,,Ccy,Conv)</f>
        <v>0</v>
      </c>
      <c r="Q363" s="232"/>
      <c r="R363" s="215"/>
      <c r="S363" s="215"/>
      <c r="T363" s="215"/>
      <c r="U363" s="215"/>
      <c r="V363" s="222"/>
      <c r="W363" s="222"/>
      <c r="X363" s="222"/>
      <c r="Y363" s="215"/>
      <c r="Z363" s="215"/>
      <c r="AA363" s="215"/>
      <c r="AB363" s="215"/>
      <c r="AC363" s="215"/>
      <c r="AD363" s="215"/>
      <c r="AE363" s="215"/>
      <c r="AF363" s="215"/>
      <c r="AG363" s="215"/>
      <c r="AH363" s="215"/>
      <c r="AI363" s="215"/>
      <c r="AJ363" s="215"/>
      <c r="AK363" s="215"/>
      <c r="AL363" s="215"/>
      <c r="AM363" s="215"/>
      <c r="AN363" s="215"/>
      <c r="AO363" s="215"/>
      <c r="AP363" s="215"/>
      <c r="AQ363" s="215"/>
      <c r="AR363" s="215"/>
      <c r="AS363" s="215"/>
      <c r="AT363" s="215"/>
      <c r="AU363" s="215"/>
      <c r="AV363" s="215"/>
      <c r="AW363" s="215"/>
      <c r="AX363" s="215"/>
      <c r="AY363" s="215"/>
      <c r="AZ363" s="215"/>
      <c r="BA363" s="215"/>
      <c r="BB363" s="215"/>
      <c r="BC363" s="215"/>
      <c r="BD363" s="215"/>
      <c r="BE363" s="215"/>
      <c r="BF363" s="215"/>
      <c r="BG363" s="215"/>
      <c r="BH363" s="215"/>
      <c r="BI363" s="215"/>
      <c r="BJ363" s="215"/>
      <c r="BK363" s="215"/>
      <c r="BL363" s="215"/>
      <c r="BM363" s="215"/>
      <c r="BN363" s="215"/>
      <c r="BO363" s="215"/>
      <c r="BP363" s="215"/>
      <c r="BQ363" s="215"/>
      <c r="BR363" s="215"/>
      <c r="BS363" s="215"/>
      <c r="BT363" s="215"/>
      <c r="BU363" s="215"/>
      <c r="BV363" s="215"/>
      <c r="BW363" s="215"/>
      <c r="BX363" s="215"/>
      <c r="BY363" s="215"/>
      <c r="BZ363" s="215"/>
    </row>
    <row r="364" spans="1:78" x14ac:dyDescent="0.2">
      <c r="A364" s="2" t="str">
        <f>'Language Index'!A326</f>
        <v>Accounts Receivable Long-Term</v>
      </c>
      <c r="B364" s="17"/>
      <c r="C364" s="17"/>
      <c r="D364" s="18">
        <f>_xll.ciqfunctions.udf.CIQ($C$2, "IQ_AR_LT", D$6,$F$2,,,Ccy,Conv)</f>
        <v>0</v>
      </c>
      <c r="E364" s="18">
        <f>_xll.ciqfunctions.udf.CIQ($C$2, "IQ_AR_LT", E$6,$F$2,,,Ccy,Conv)</f>
        <v>0</v>
      </c>
      <c r="F364" s="18">
        <f>_xll.ciqfunctions.udf.CIQ($C$2, "IQ_AR_LT", F$6,$F$2,,,Ccy,Conv)</f>
        <v>0</v>
      </c>
      <c r="G364" s="18">
        <f>_xll.ciqfunctions.udf.CIQ($C$2, "IQ_AR_LT", G$6,$F$2,,,Ccy,Conv)</f>
        <v>0</v>
      </c>
      <c r="H364" s="18">
        <f>_xll.ciqfunctions.udf.CIQ($C$2, "IQ_AR_LT", H$6,$F$2,,,Ccy,Conv)</f>
        <v>0</v>
      </c>
      <c r="I364" s="18">
        <f>_xll.ciqfunctions.udf.CIQ($C$2, "IQ_AR_LT", I$6,$F$2,,,Ccy,Conv)</f>
        <v>0</v>
      </c>
      <c r="J364" s="18">
        <f>_xll.ciqfunctions.udf.CIQ($C$2, "IQ_AR_LT", J$6,$F$2,,,Ccy,Conv)</f>
        <v>0</v>
      </c>
      <c r="K364" s="18">
        <f>_xll.ciqfunctions.udf.CIQ($C$2, "IQ_AR_LT", K$6,$F$2,,,Ccy,Conv)</f>
        <v>0</v>
      </c>
      <c r="L364" s="18">
        <f>_xll.ciqfunctions.udf.CIQ($C$2, "IQ_AR_LT", L$6,$F$2,,,Ccy,Conv)</f>
        <v>0</v>
      </c>
      <c r="M364" s="18">
        <f>_xll.ciqfunctions.udf.CIQ($C$2, "IQ_AR_LT", M$6,$F$2,,,Ccy,Conv)</f>
        <v>0</v>
      </c>
      <c r="N364" s="18">
        <f>_xll.ciqfunctions.udf.CIQ($C$2, "IQ_AR_LT", N$6,$F$2,,,Ccy,Conv)</f>
        <v>0</v>
      </c>
      <c r="O364" s="18"/>
      <c r="P364" s="18">
        <f>_xll.ciqfunctions.udf.CIQ($C$2, "IQ_AR_LT", P$6,$F$2,,,Ccy,Conv)</f>
        <v>0</v>
      </c>
      <c r="Q364" s="215"/>
      <c r="R364" s="215"/>
      <c r="S364" s="215"/>
      <c r="T364" s="215"/>
      <c r="U364" s="215"/>
      <c r="V364" s="222"/>
      <c r="W364" s="222"/>
      <c r="X364" s="222"/>
      <c r="Y364" s="215"/>
      <c r="Z364" s="215"/>
      <c r="AA364" s="215"/>
      <c r="AB364" s="215"/>
      <c r="AC364" s="215"/>
      <c r="AD364" s="215"/>
      <c r="AE364" s="215"/>
      <c r="AF364" s="215"/>
      <c r="AG364" s="215"/>
      <c r="AH364" s="215"/>
      <c r="AI364" s="215"/>
      <c r="AJ364" s="215"/>
      <c r="AK364" s="215"/>
      <c r="AL364" s="215"/>
      <c r="AM364" s="215"/>
      <c r="AN364" s="215"/>
      <c r="AO364" s="215"/>
      <c r="AP364" s="215"/>
      <c r="AQ364" s="215"/>
      <c r="AR364" s="215"/>
      <c r="AS364" s="215"/>
      <c r="AT364" s="215"/>
      <c r="AU364" s="215"/>
      <c r="AV364" s="215"/>
      <c r="AW364" s="215"/>
      <c r="AX364" s="215"/>
      <c r="AY364" s="215"/>
      <c r="AZ364" s="215"/>
      <c r="BA364" s="215"/>
      <c r="BB364" s="215"/>
      <c r="BC364" s="215"/>
      <c r="BD364" s="215"/>
      <c r="BE364" s="215"/>
      <c r="BF364" s="215"/>
      <c r="BG364" s="215"/>
      <c r="BH364" s="215"/>
      <c r="BI364" s="215"/>
      <c r="BJ364" s="215"/>
      <c r="BK364" s="215"/>
      <c r="BL364" s="215"/>
      <c r="BM364" s="215"/>
      <c r="BN364" s="215"/>
      <c r="BO364" s="215"/>
      <c r="BP364" s="215"/>
      <c r="BQ364" s="215"/>
      <c r="BR364" s="215"/>
      <c r="BS364" s="215"/>
      <c r="BT364" s="215"/>
      <c r="BU364" s="215"/>
      <c r="BV364" s="215"/>
      <c r="BW364" s="215"/>
      <c r="BX364" s="215"/>
      <c r="BY364" s="215"/>
      <c r="BZ364" s="215"/>
    </row>
    <row r="365" spans="1:78" x14ac:dyDescent="0.2">
      <c r="A365" s="2" t="str">
        <f>'Language Index'!A327</f>
        <v>Loans Receivable Long-Term</v>
      </c>
      <c r="B365" s="17"/>
      <c r="C365" s="17"/>
      <c r="D365" s="18">
        <f>_xll.ciqfunctions.udf.CIQ($C$2, "IQ_LOANS_RECEIV_LT", D$6,$F$2,,,Ccy,Conv)</f>
        <v>0</v>
      </c>
      <c r="E365" s="18">
        <f>_xll.ciqfunctions.udf.CIQ($C$2, "IQ_LOANS_RECEIV_LT", E$6,$F$2,,,Ccy,Conv)</f>
        <v>0</v>
      </c>
      <c r="F365" s="18">
        <f>_xll.ciqfunctions.udf.CIQ($C$2, "IQ_LOANS_RECEIV_LT", F$6,$F$2,,,Ccy,Conv)</f>
        <v>0</v>
      </c>
      <c r="G365" s="18">
        <f>_xll.ciqfunctions.udf.CIQ($C$2, "IQ_LOANS_RECEIV_LT", G$6,$F$2,,,Ccy,Conv)</f>
        <v>100</v>
      </c>
      <c r="H365" s="18">
        <f>_xll.ciqfunctions.udf.CIQ($C$2, "IQ_LOANS_RECEIV_LT", H$6,$F$2,,,Ccy,Conv)</f>
        <v>100</v>
      </c>
      <c r="I365" s="18">
        <f>_xll.ciqfunctions.udf.CIQ($C$2, "IQ_LOANS_RECEIV_LT", I$6,$F$2,,,Ccy,Conv)</f>
        <v>100</v>
      </c>
      <c r="J365" s="18">
        <f>_xll.ciqfunctions.udf.CIQ($C$2, "IQ_LOANS_RECEIV_LT", J$6,$F$2,,,Ccy,Conv)</f>
        <v>0</v>
      </c>
      <c r="K365" s="18">
        <f>_xll.ciqfunctions.udf.CIQ($C$2, "IQ_LOANS_RECEIV_LT", K$6,$F$2,,,Ccy,Conv)</f>
        <v>100</v>
      </c>
      <c r="L365" s="18">
        <f>_xll.ciqfunctions.udf.CIQ($C$2, "IQ_LOANS_RECEIV_LT", L$6,$F$2,,,Ccy,Conv)</f>
        <v>0</v>
      </c>
      <c r="M365" s="18">
        <f>_xll.ciqfunctions.udf.CIQ($C$2, "IQ_LOANS_RECEIV_LT", M$6,$F$2,,,Ccy,Conv)</f>
        <v>0</v>
      </c>
      <c r="N365" s="18">
        <f>_xll.ciqfunctions.udf.CIQ($C$2, "IQ_LOANS_RECEIV_LT", N$6,$F$2,,,Ccy,Conv)</f>
        <v>0</v>
      </c>
      <c r="O365" s="18"/>
      <c r="P365" s="18">
        <f>_xll.ciqfunctions.udf.CIQ($C$2, "IQ_LOANS_RECEIV_LT", P$6,$F$2,,,Ccy,Conv)</f>
        <v>0</v>
      </c>
      <c r="Q365" s="215"/>
      <c r="R365" s="215"/>
      <c r="S365" s="215"/>
      <c r="T365" s="215"/>
      <c r="U365" s="215"/>
      <c r="V365" s="222"/>
      <c r="W365" s="222"/>
      <c r="X365" s="222"/>
      <c r="Y365" s="215"/>
      <c r="Z365" s="215"/>
      <c r="AA365" s="215"/>
      <c r="AB365" s="215"/>
      <c r="AC365" s="215"/>
      <c r="AD365" s="215"/>
      <c r="AE365" s="232"/>
      <c r="AF365" s="215"/>
      <c r="AG365" s="215"/>
      <c r="AH365" s="215"/>
      <c r="AI365" s="215"/>
      <c r="AJ365" s="215"/>
      <c r="AK365" s="215"/>
      <c r="AL365" s="215"/>
      <c r="AM365" s="215"/>
      <c r="AN365" s="215"/>
      <c r="AO365" s="215"/>
      <c r="AP365" s="215"/>
      <c r="AQ365" s="215"/>
      <c r="AR365" s="215"/>
      <c r="AS365" s="215"/>
      <c r="AT365" s="215"/>
      <c r="AU365" s="215"/>
      <c r="AV365" s="215"/>
      <c r="AW365" s="215"/>
      <c r="AX365" s="215"/>
      <c r="AY365" s="215"/>
      <c r="AZ365" s="215"/>
      <c r="BA365" s="215"/>
      <c r="BB365" s="215"/>
      <c r="BC365" s="215"/>
      <c r="BD365" s="215"/>
      <c r="BE365" s="215"/>
      <c r="BF365" s="215"/>
      <c r="BG365" s="215"/>
      <c r="BH365" s="215"/>
      <c r="BI365" s="215"/>
      <c r="BJ365" s="215"/>
      <c r="BK365" s="215"/>
      <c r="BL365" s="215"/>
      <c r="BM365" s="215"/>
      <c r="BN365" s="215"/>
      <c r="BO365" s="215"/>
      <c r="BP365" s="215"/>
      <c r="BQ365" s="215"/>
      <c r="BR365" s="215"/>
      <c r="BS365" s="215"/>
      <c r="BT365" s="215"/>
      <c r="BU365" s="215"/>
      <c r="BV365" s="215"/>
      <c r="BW365" s="215"/>
      <c r="BX365" s="215"/>
      <c r="BY365" s="215"/>
      <c r="BZ365" s="215"/>
    </row>
    <row r="366" spans="1:78" x14ac:dyDescent="0.2">
      <c r="A366" s="2" t="str">
        <f>'Language Index'!A328</f>
        <v>Deferred Tax Assets, LT</v>
      </c>
      <c r="B366" s="17"/>
      <c r="C366" s="17"/>
      <c r="D366" s="18">
        <f>_xll.ciqfunctions.udf.CIQ($C$2, "IQ_DEF_TAX_ASSETS_LT", D$6,$F$2,,,Ccy,Conv)</f>
        <v>6340</v>
      </c>
      <c r="E366" s="18">
        <f>_xll.ciqfunctions.udf.CIQ($C$2, "IQ_DEF_TAX_ASSETS_LT", E$6,$F$2,,,Ccy,Conv)</f>
        <v>6168</v>
      </c>
      <c r="F366" s="18">
        <f>_xll.ciqfunctions.udf.CIQ($C$2, "IQ_DEF_TAX_ASSETS_LT", F$6,$F$2,,,Ccy,Conv)</f>
        <v>6656</v>
      </c>
      <c r="G366" s="18">
        <f>_xll.ciqfunctions.udf.CIQ($C$2, "IQ_DEF_TAX_ASSETS_LT", G$6,$F$2,,,Ccy,Conv)</f>
        <v>6465</v>
      </c>
      <c r="H366" s="18">
        <f>_xll.ciqfunctions.udf.CIQ($C$2, "IQ_DEF_TAX_ASSETS_LT", H$6,$F$2,,,Ccy,Conv)</f>
        <v>6378</v>
      </c>
      <c r="I366" s="18">
        <f>_xll.ciqfunctions.udf.CIQ($C$2, "IQ_DEF_TAX_ASSETS_LT", I$6,$F$2,,,Ccy,Conv)</f>
        <v>6943</v>
      </c>
      <c r="J366" s="18">
        <f>_xll.ciqfunctions.udf.CIQ($C$2, "IQ_DEF_TAX_ASSETS_LT", J$6,$F$2,,,Ccy,Conv)</f>
        <v>6978</v>
      </c>
      <c r="K366" s="18">
        <f>_xll.ciqfunctions.udf.CIQ($C$2, "IQ_DEF_TAX_ASSETS_LT", K$6,$F$2,,,Ccy,Conv)</f>
        <v>7594</v>
      </c>
      <c r="L366" s="18">
        <f>_xll.ciqfunctions.udf.CIQ($C$2, "IQ_DEF_TAX_ASSETS_LT", L$6,$F$2,,,Ccy,Conv)</f>
        <v>8475</v>
      </c>
      <c r="M366" s="18">
        <f>_xll.ciqfunctions.udf.CIQ($C$2, "IQ_DEF_TAX_ASSETS_LT", M$6,$F$2,,,Ccy,Conv)</f>
        <v>8505</v>
      </c>
      <c r="N366" s="18">
        <f>_xll.ciqfunctions.udf.CIQ($C$2, "IQ_DEF_TAX_ASSETS_LT", N$6,$F$2,,,Ccy,Conv)</f>
        <v>8610</v>
      </c>
      <c r="O366" s="18"/>
      <c r="P366" s="18">
        <f>_xll.ciqfunctions.udf.CIQ($C$2, "IQ_DEF_TAX_ASSETS_LT", P$6,$F$2,,,Ccy,Conv)</f>
        <v>8610</v>
      </c>
      <c r="Q366" s="232"/>
      <c r="R366" s="215"/>
      <c r="S366" s="215"/>
      <c r="T366" s="215"/>
      <c r="U366" s="215"/>
      <c r="V366" s="222"/>
      <c r="W366" s="222"/>
      <c r="X366" s="222"/>
      <c r="Y366" s="215"/>
      <c r="Z366" s="215"/>
      <c r="AA366" s="215"/>
      <c r="AB366" s="215"/>
      <c r="AC366" s="215"/>
      <c r="AD366" s="215"/>
      <c r="AE366" s="215"/>
      <c r="AF366" s="215"/>
      <c r="AG366" s="215"/>
      <c r="AH366" s="215"/>
      <c r="AI366" s="215"/>
      <c r="AJ366" s="215"/>
      <c r="AK366" s="215"/>
      <c r="AL366" s="215"/>
      <c r="AM366" s="215"/>
      <c r="AN366" s="215"/>
      <c r="AO366" s="215"/>
      <c r="AP366" s="215"/>
      <c r="AQ366" s="215"/>
      <c r="AR366" s="215"/>
      <c r="AS366" s="215"/>
      <c r="AT366" s="215"/>
      <c r="AU366" s="215"/>
      <c r="AV366" s="215"/>
      <c r="AW366" s="215"/>
      <c r="AX366" s="215"/>
      <c r="AY366" s="215"/>
      <c r="AZ366" s="215"/>
      <c r="BA366" s="215"/>
      <c r="BB366" s="215"/>
      <c r="BC366" s="215"/>
      <c r="BD366" s="215"/>
      <c r="BE366" s="215"/>
      <c r="BF366" s="215"/>
      <c r="BG366" s="215"/>
      <c r="BH366" s="215"/>
      <c r="BI366" s="215"/>
      <c r="BJ366" s="215"/>
      <c r="BK366" s="215"/>
      <c r="BL366" s="215"/>
      <c r="BM366" s="215"/>
      <c r="BN366" s="215"/>
      <c r="BO366" s="215"/>
      <c r="BP366" s="215"/>
      <c r="BQ366" s="215"/>
      <c r="BR366" s="215"/>
      <c r="BS366" s="215"/>
      <c r="BT366" s="215"/>
      <c r="BU366" s="215"/>
      <c r="BV366" s="215"/>
      <c r="BW366" s="215"/>
      <c r="BX366" s="215"/>
      <c r="BY366" s="215"/>
      <c r="BZ366" s="215"/>
    </row>
    <row r="367" spans="1:78" x14ac:dyDescent="0.2">
      <c r="A367" s="2" t="str">
        <f>'Language Index'!A329</f>
        <v>Deferred Charges, LT</v>
      </c>
      <c r="B367" s="17"/>
      <c r="C367" s="17"/>
      <c r="D367" s="18">
        <f>_xll.ciqfunctions.udf.CIQ($C$2, "IQ_DEF_CHARGES_LT", D$6,$F$2,,,Ccy,Conv)</f>
        <v>897</v>
      </c>
      <c r="E367" s="18">
        <f>_xll.ciqfunctions.udf.CIQ($C$2, "IQ_DEF_CHARGES_LT", E$6,$F$2,,,Ccy,Conv)</f>
        <v>822</v>
      </c>
      <c r="F367" s="18">
        <f>_xll.ciqfunctions.udf.CIQ($C$2, "IQ_DEF_CHARGES_LT", F$6,$F$2,,,Ccy,Conv)</f>
        <v>842</v>
      </c>
      <c r="G367" s="18">
        <f>_xll.ciqfunctions.udf.CIQ($C$2, "IQ_DEF_CHARGES_LT", G$6,$F$2,,,Ccy,Conv)</f>
        <v>810</v>
      </c>
      <c r="H367" s="18">
        <f>_xll.ciqfunctions.udf.CIQ($C$2, "IQ_DEF_CHARGES_LT", H$6,$F$2,,,Ccy,Conv)</f>
        <v>820</v>
      </c>
      <c r="I367" s="18">
        <f>_xll.ciqfunctions.udf.CIQ($C$2, "IQ_DEF_CHARGES_LT", I$6,$F$2,,,Ccy,Conv)</f>
        <v>788</v>
      </c>
      <c r="J367" s="18">
        <f>_xll.ciqfunctions.udf.CIQ($C$2, "IQ_DEF_CHARGES_LT", J$6,$F$2,,,Ccy,Conv)</f>
        <v>788</v>
      </c>
      <c r="K367" s="18">
        <f>_xll.ciqfunctions.udf.CIQ($C$2, "IQ_DEF_CHARGES_LT", K$6,$F$2,,,Ccy,Conv)</f>
        <v>769</v>
      </c>
      <c r="L367" s="18">
        <f>_xll.ciqfunctions.udf.CIQ($C$2, "IQ_DEF_CHARGES_LT", L$6,$F$2,,,Ccy,Conv)</f>
        <v>795</v>
      </c>
      <c r="M367" s="18">
        <f>_xll.ciqfunctions.udf.CIQ($C$2, "IQ_DEF_CHARGES_LT", M$6,$F$2,,,Ccy,Conv)</f>
        <v>768</v>
      </c>
      <c r="N367" s="18">
        <f>_xll.ciqfunctions.udf.CIQ($C$2, "IQ_DEF_CHARGES_LT", N$6,$F$2,,,Ccy,Conv)</f>
        <v>825</v>
      </c>
      <c r="O367" s="18"/>
      <c r="P367" s="18">
        <f>_xll.ciqfunctions.udf.CIQ($C$2, "IQ_DEF_CHARGES_LT", P$6,$F$2,,,Ccy,Conv)</f>
        <v>825</v>
      </c>
      <c r="Q367" s="215"/>
      <c r="R367" s="215"/>
      <c r="S367" s="215"/>
      <c r="T367" s="215"/>
      <c r="U367" s="215"/>
      <c r="V367" s="222"/>
      <c r="W367" s="222"/>
      <c r="X367" s="222"/>
      <c r="Y367" s="215"/>
      <c r="Z367" s="215"/>
      <c r="AA367" s="215"/>
      <c r="AB367" s="215"/>
      <c r="AC367" s="215"/>
      <c r="AD367" s="215"/>
      <c r="AE367" s="232"/>
      <c r="AF367" s="232"/>
      <c r="AG367" s="232"/>
      <c r="AH367" s="215"/>
      <c r="AI367" s="215"/>
      <c r="AJ367" s="215"/>
      <c r="AK367" s="215"/>
      <c r="AL367" s="215"/>
      <c r="AM367" s="215"/>
      <c r="AN367" s="215"/>
      <c r="AO367" s="215"/>
      <c r="AP367" s="215"/>
      <c r="AQ367" s="215"/>
      <c r="AR367" s="215"/>
      <c r="AS367" s="215"/>
      <c r="AT367" s="215"/>
      <c r="AU367" s="215"/>
      <c r="AV367" s="215"/>
      <c r="AW367" s="215"/>
      <c r="AX367" s="215"/>
      <c r="AY367" s="215"/>
      <c r="AZ367" s="215"/>
      <c r="BA367" s="215"/>
      <c r="BB367" s="215"/>
      <c r="BC367" s="215"/>
      <c r="BD367" s="215"/>
      <c r="BE367" s="215"/>
      <c r="BF367" s="215"/>
      <c r="BG367" s="215"/>
      <c r="BH367" s="215"/>
      <c r="BI367" s="215"/>
      <c r="BJ367" s="215"/>
      <c r="BK367" s="215"/>
      <c r="BL367" s="215"/>
      <c r="BM367" s="215"/>
      <c r="BN367" s="215"/>
      <c r="BO367" s="215"/>
      <c r="BP367" s="215"/>
      <c r="BQ367" s="215"/>
      <c r="BR367" s="215"/>
      <c r="BS367" s="215"/>
      <c r="BT367" s="215"/>
      <c r="BU367" s="215"/>
      <c r="BV367" s="215"/>
      <c r="BW367" s="215"/>
      <c r="BX367" s="215"/>
      <c r="BY367" s="215"/>
      <c r="BZ367" s="215"/>
    </row>
    <row r="368" spans="1:78" x14ac:dyDescent="0.2">
      <c r="A368" s="2" t="str">
        <f>'Language Index'!A330</f>
        <v>Other Long-Term Assets</v>
      </c>
      <c r="B368" s="17"/>
      <c r="C368" s="17"/>
      <c r="D368" s="18">
        <f>_xll.ciqfunctions.udf.CIQ($C$2, "IQ_OTHER_LT_ASSETS", D$6,$F$2,,,Ccy,Conv)</f>
        <v>8743</v>
      </c>
      <c r="E368" s="18">
        <f>_xll.ciqfunctions.udf.CIQ($C$2, "IQ_OTHER_LT_ASSETS", E$6,$F$2,,,Ccy,Conv)</f>
        <v>8901</v>
      </c>
      <c r="F368" s="18">
        <f>_xll.ciqfunctions.udf.CIQ($C$2, "IQ_OTHER_LT_ASSETS", F$6,$F$2,,,Ccy,Conv)</f>
        <v>7545</v>
      </c>
      <c r="G368" s="18">
        <f>_xll.ciqfunctions.udf.CIQ($C$2, "IQ_OTHER_LT_ASSETS", G$6,$F$2,,,Ccy,Conv)</f>
        <v>7556</v>
      </c>
      <c r="H368" s="18">
        <f>_xll.ciqfunctions.udf.CIQ($C$2, "IQ_OTHER_LT_ASSETS", H$6,$F$2,,,Ccy,Conv)</f>
        <v>7639</v>
      </c>
      <c r="I368" s="18">
        <f>_xll.ciqfunctions.udf.CIQ($C$2, "IQ_OTHER_LT_ASSETS", I$6,$F$2,,,Ccy,Conv)</f>
        <v>8015</v>
      </c>
      <c r="J368" s="18">
        <f>_xll.ciqfunctions.udf.CIQ($C$2, "IQ_OTHER_LT_ASSETS", J$6,$F$2,,,Ccy,Conv)</f>
        <v>7588</v>
      </c>
      <c r="K368" s="18">
        <f>_xll.ciqfunctions.udf.CIQ($C$2, "IQ_OTHER_LT_ASSETS", K$6,$F$2,,,Ccy,Conv)</f>
        <v>7795</v>
      </c>
      <c r="L368" s="18">
        <f>_xll.ciqfunctions.udf.CIQ($C$2, "IQ_OTHER_LT_ASSETS", L$6,$F$2,,,Ccy,Conv)</f>
        <v>8322</v>
      </c>
      <c r="M368" s="18">
        <f>_xll.ciqfunctions.udf.CIQ($C$2, "IQ_OTHER_LT_ASSETS", M$6,$F$2,,,Ccy,Conv)</f>
        <v>8394</v>
      </c>
      <c r="N368" s="18">
        <f>_xll.ciqfunctions.udf.CIQ($C$2, "IQ_OTHER_LT_ASSETS", N$6,$F$2,,,Ccy,Conv)</f>
        <v>7906</v>
      </c>
      <c r="O368" s="18"/>
      <c r="P368" s="18">
        <f>_xll.ciqfunctions.udf.CIQ($C$2, "IQ_OTHER_LT_ASSETS", P$6,$F$2,,,Ccy,Conv)</f>
        <v>7906</v>
      </c>
      <c r="Q368" s="215"/>
      <c r="R368" s="215"/>
      <c r="S368" s="215"/>
      <c r="T368" s="215"/>
      <c r="U368" s="215"/>
      <c r="V368" s="233"/>
      <c r="W368" s="233"/>
      <c r="X368" s="233"/>
      <c r="Y368" s="232"/>
      <c r="Z368" s="232"/>
      <c r="AA368" s="232"/>
      <c r="AB368" s="232"/>
      <c r="AC368" s="232"/>
      <c r="AD368" s="232"/>
      <c r="AE368" s="215"/>
      <c r="AF368" s="215"/>
      <c r="AG368" s="215"/>
      <c r="AH368" s="232"/>
      <c r="AI368" s="215"/>
      <c r="AJ368" s="215"/>
      <c r="AK368" s="215"/>
      <c r="AL368" s="215"/>
      <c r="AM368" s="215"/>
      <c r="AN368" s="215"/>
      <c r="AO368" s="215"/>
      <c r="AP368" s="215"/>
      <c r="AQ368" s="215"/>
      <c r="AR368" s="215"/>
      <c r="AS368" s="215"/>
      <c r="AT368" s="215"/>
      <c r="AU368" s="215"/>
      <c r="AV368" s="215"/>
      <c r="AW368" s="215"/>
      <c r="AX368" s="215"/>
      <c r="AY368" s="215"/>
      <c r="AZ368" s="215"/>
      <c r="BA368" s="215"/>
      <c r="BB368" s="215"/>
      <c r="BC368" s="215"/>
      <c r="BD368" s="215"/>
      <c r="BE368" s="215"/>
      <c r="BF368" s="215"/>
      <c r="BG368" s="215"/>
      <c r="BH368" s="215"/>
      <c r="BI368" s="215"/>
      <c r="BJ368" s="215"/>
      <c r="BK368" s="215"/>
      <c r="BL368" s="215"/>
      <c r="BM368" s="215"/>
      <c r="BN368" s="215"/>
      <c r="BO368" s="215"/>
      <c r="BP368" s="215"/>
      <c r="BQ368" s="215"/>
      <c r="BR368" s="215"/>
      <c r="BS368" s="215"/>
      <c r="BT368" s="215"/>
      <c r="BU368" s="215"/>
      <c r="BV368" s="215"/>
      <c r="BW368" s="215"/>
      <c r="BX368" s="215"/>
      <c r="BY368" s="215"/>
      <c r="BZ368" s="215"/>
    </row>
    <row r="369" spans="1:78" ht="13.5" thickBot="1" x14ac:dyDescent="0.25">
      <c r="A369" s="20" t="str">
        <f>'Language Index'!A331</f>
        <v>Total Assets</v>
      </c>
      <c r="B369" s="45"/>
      <c r="C369" s="45"/>
      <c r="D369" s="24">
        <f>_xll.ciqfunctions.udf.CIQ($C$2, "IQ_TOTAL_ASSETS", D$6,$F$2,,,Ccy,Conv)</f>
        <v>132213</v>
      </c>
      <c r="E369" s="24">
        <f>_xll.ciqfunctions.udf.CIQ($C$2, "IQ_TOTAL_ASSETS", E$6,$F$2,,,Ccy,Conv)</f>
        <v>129321</v>
      </c>
      <c r="F369" s="24">
        <f>_xll.ciqfunctions.udf.CIQ($C$2, "IQ_TOTAL_ASSETS", F$6,$F$2,,,Ccy,Conv)</f>
        <v>135241</v>
      </c>
      <c r="G369" s="24">
        <f>_xll.ciqfunctions.udf.CIQ($C$2, "IQ_TOTAL_ASSETS", G$6,$F$2,,,Ccy,Conv)</f>
        <v>137169</v>
      </c>
      <c r="H369" s="24">
        <f>_xll.ciqfunctions.udf.CIQ($C$2, "IQ_TOTAL_ASSETS", H$6,$F$2,,,Ccy,Conv)</f>
        <v>133848</v>
      </c>
      <c r="I369" s="24">
        <f>_xll.ciqfunctions.udf.CIQ($C$2, "IQ_TOTAL_ASSETS", I$6,$F$2,,,Ccy,Conv)</f>
        <v>134339</v>
      </c>
      <c r="J369" s="24">
        <f>_xll.ciqfunctions.udf.CIQ($C$2, "IQ_TOTAL_ASSETS", J$6,$F$2,,,Ccy,Conv)</f>
        <v>137175</v>
      </c>
      <c r="K369" s="24">
        <f>_xll.ciqfunctions.udf.CIQ($C$2, "IQ_TOTAL_ASSETS", K$6,$F$2,,,Ccy,Conv)</f>
        <v>145667</v>
      </c>
      <c r="L369" s="24">
        <f>_xll.ciqfunctions.udf.CIQ($C$2, "IQ_TOTAL_ASSETS", L$6,$F$2,,,Ccy,Conv)</f>
        <v>148585</v>
      </c>
      <c r="M369" s="24">
        <f>_xll.ciqfunctions.udf.CIQ($C$2, "IQ_TOTAL_ASSETS", M$6,$F$2,,,Ccy,Conv)</f>
        <v>146312</v>
      </c>
      <c r="N369" s="24">
        <f>_xll.ciqfunctions.udf.CIQ($C$2, "IQ_TOTAL_ASSETS", N$6,$F$2,,,Ccy,Conv)</f>
        <v>151880</v>
      </c>
      <c r="O369" s="22"/>
      <c r="P369" s="24">
        <f>_xll.ciqfunctions.udf.CIQ($C$2, "IQ_TOTAL_ASSETS", P$6,$F$2,,,Ccy,Conv)</f>
        <v>151880</v>
      </c>
      <c r="Q369" s="215"/>
      <c r="R369" s="215"/>
      <c r="S369" s="215"/>
      <c r="T369" s="215"/>
      <c r="U369" s="215"/>
      <c r="V369" s="222"/>
      <c r="W369" s="222"/>
      <c r="X369" s="222"/>
      <c r="Y369" s="215"/>
      <c r="Z369" s="215"/>
      <c r="AA369" s="215"/>
      <c r="AB369" s="215"/>
      <c r="AC369" s="215"/>
      <c r="AD369" s="215"/>
      <c r="AE369" s="215"/>
      <c r="AF369" s="232"/>
      <c r="AG369" s="232"/>
      <c r="AH369" s="215"/>
      <c r="AI369" s="215"/>
      <c r="AJ369" s="215"/>
      <c r="AK369" s="215"/>
      <c r="AL369" s="215"/>
      <c r="AM369" s="215"/>
      <c r="AN369" s="215"/>
      <c r="AO369" s="215"/>
      <c r="AP369" s="215"/>
      <c r="AQ369" s="215"/>
      <c r="AR369" s="215"/>
      <c r="AS369" s="215"/>
      <c r="AT369" s="215"/>
      <c r="AU369" s="215"/>
      <c r="AV369" s="215"/>
      <c r="AW369" s="215"/>
      <c r="AX369" s="215"/>
      <c r="AY369" s="215"/>
      <c r="AZ369" s="215"/>
      <c r="BA369" s="215"/>
      <c r="BB369" s="215"/>
      <c r="BC369" s="215"/>
      <c r="BD369" s="215"/>
      <c r="BE369" s="215"/>
      <c r="BF369" s="215"/>
      <c r="BG369" s="215"/>
      <c r="BH369" s="215"/>
      <c r="BI369" s="215"/>
      <c r="BJ369" s="215"/>
      <c r="BK369" s="215"/>
      <c r="BL369" s="215"/>
      <c r="BM369" s="215"/>
      <c r="BN369" s="215"/>
      <c r="BO369" s="215"/>
      <c r="BP369" s="215"/>
      <c r="BQ369" s="215"/>
      <c r="BR369" s="215"/>
      <c r="BS369" s="215"/>
      <c r="BT369" s="215"/>
      <c r="BU369" s="215"/>
      <c r="BV369" s="215"/>
      <c r="BW369" s="215"/>
      <c r="BX369" s="215"/>
      <c r="BY369" s="215"/>
      <c r="BZ369" s="215"/>
    </row>
    <row r="370" spans="1:78" ht="13.5" thickTop="1" x14ac:dyDescent="0.2">
      <c r="A370" s="16"/>
      <c r="B370" s="16"/>
      <c r="C370" s="16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215"/>
      <c r="R370" s="215"/>
      <c r="S370" s="215"/>
      <c r="T370" s="215"/>
      <c r="U370" s="215"/>
      <c r="V370" s="233"/>
      <c r="W370" s="233"/>
      <c r="X370" s="233"/>
      <c r="Y370" s="232"/>
      <c r="Z370" s="232"/>
      <c r="AA370" s="232"/>
      <c r="AB370" s="232"/>
      <c r="AC370" s="232"/>
      <c r="AD370" s="232"/>
      <c r="AE370" s="215"/>
      <c r="AF370" s="215"/>
      <c r="AG370" s="215"/>
      <c r="AH370" s="232"/>
      <c r="AI370" s="215"/>
      <c r="AJ370" s="215"/>
      <c r="AK370" s="215"/>
      <c r="AL370" s="215"/>
      <c r="AM370" s="215"/>
      <c r="AN370" s="215"/>
      <c r="AO370" s="215"/>
      <c r="AP370" s="215"/>
      <c r="AQ370" s="215"/>
      <c r="AR370" s="215"/>
      <c r="AS370" s="215"/>
      <c r="AT370" s="215"/>
      <c r="AU370" s="215"/>
      <c r="AV370" s="215"/>
      <c r="AW370" s="215"/>
      <c r="AX370" s="215"/>
      <c r="AY370" s="215"/>
      <c r="AZ370" s="215"/>
      <c r="BA370" s="215"/>
      <c r="BB370" s="215"/>
      <c r="BC370" s="215"/>
      <c r="BD370" s="215"/>
      <c r="BE370" s="215"/>
      <c r="BF370" s="215"/>
      <c r="BG370" s="215"/>
      <c r="BH370" s="215"/>
      <c r="BI370" s="215"/>
      <c r="BJ370" s="215"/>
      <c r="BK370" s="215"/>
      <c r="BL370" s="215"/>
      <c r="BM370" s="215"/>
      <c r="BN370" s="215"/>
      <c r="BO370" s="215"/>
      <c r="BP370" s="215"/>
      <c r="BQ370" s="215"/>
      <c r="BR370" s="215"/>
      <c r="BS370" s="215"/>
      <c r="BT370" s="215"/>
      <c r="BU370" s="215"/>
      <c r="BV370" s="215"/>
      <c r="BW370" s="215"/>
      <c r="BX370" s="215"/>
      <c r="BY370" s="215"/>
      <c r="BZ370" s="215"/>
    </row>
    <row r="371" spans="1:78" x14ac:dyDescent="0.2">
      <c r="A371" s="9" t="str">
        <f>'Language Index'!A332</f>
        <v>LIABILITIES</v>
      </c>
      <c r="B371" s="44"/>
      <c r="C371" s="44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215"/>
      <c r="R371" s="215"/>
      <c r="S371" s="215"/>
      <c r="T371" s="215"/>
      <c r="U371" s="215"/>
      <c r="V371" s="222"/>
      <c r="W371" s="222"/>
      <c r="X371" s="222"/>
      <c r="Y371" s="215"/>
      <c r="Z371" s="215"/>
      <c r="AA371" s="215"/>
      <c r="AB371" s="215"/>
      <c r="AC371" s="215"/>
      <c r="AD371" s="215"/>
      <c r="AE371" s="215"/>
      <c r="AF371" s="215"/>
      <c r="AG371" s="215"/>
      <c r="AH371" s="215"/>
      <c r="AI371" s="215"/>
      <c r="AJ371" s="215"/>
      <c r="AK371" s="215"/>
      <c r="AL371" s="215"/>
      <c r="AM371" s="215"/>
      <c r="AN371" s="215"/>
      <c r="AO371" s="215"/>
      <c r="AP371" s="215"/>
      <c r="AQ371" s="215"/>
      <c r="AR371" s="215"/>
      <c r="AS371" s="215"/>
      <c r="AT371" s="215"/>
      <c r="AU371" s="215"/>
      <c r="AV371" s="215"/>
      <c r="AW371" s="215"/>
      <c r="AX371" s="215"/>
      <c r="AY371" s="215"/>
      <c r="AZ371" s="215"/>
      <c r="BA371" s="215"/>
      <c r="BB371" s="215"/>
      <c r="BC371" s="215"/>
      <c r="BD371" s="215"/>
      <c r="BE371" s="215"/>
      <c r="BF371" s="215"/>
      <c r="BG371" s="215"/>
      <c r="BH371" s="215"/>
      <c r="BI371" s="215"/>
      <c r="BJ371" s="215"/>
      <c r="BK371" s="215"/>
      <c r="BL371" s="215"/>
      <c r="BM371" s="215"/>
      <c r="BN371" s="215"/>
      <c r="BO371" s="215"/>
      <c r="BP371" s="215"/>
      <c r="BQ371" s="215"/>
      <c r="BR371" s="215"/>
      <c r="BS371" s="215"/>
      <c r="BT371" s="215"/>
      <c r="BU371" s="215"/>
      <c r="BV371" s="215"/>
      <c r="BW371" s="215"/>
      <c r="BX371" s="215"/>
      <c r="BY371" s="215"/>
      <c r="BZ371" s="215"/>
    </row>
    <row r="372" spans="1:78" x14ac:dyDescent="0.2">
      <c r="A372" s="2" t="str">
        <f>'Language Index'!A333</f>
        <v>Accounts Payable</v>
      </c>
      <c r="B372" s="17"/>
      <c r="C372" s="17"/>
      <c r="D372" s="18">
        <f>_xll.ciqfunctions.udf.CIQ($C$2, "IQ_AP", D$6,$F$2,,,Ccy,Conv)</f>
        <v>3732</v>
      </c>
      <c r="E372" s="18">
        <f>_xll.ciqfunctions.udf.CIQ($C$2, "IQ_AP", E$6,$F$2,,,Ccy,Conv)</f>
        <v>3342</v>
      </c>
      <c r="F372" s="18">
        <f>_xll.ciqfunctions.udf.CIQ($C$2, "IQ_AP", F$6,$F$2,,,Ccy,Conv)</f>
        <v>4132</v>
      </c>
      <c r="G372" s="18">
        <f>_xll.ciqfunctions.udf.CIQ($C$2, "IQ_AP", G$6,$F$2,,,Ccy,Conv)</f>
        <v>3588</v>
      </c>
      <c r="H372" s="18">
        <f>_xll.ciqfunctions.udf.CIQ($C$2, "IQ_AP", H$6,$F$2,,,Ccy,Conv)</f>
        <v>3631</v>
      </c>
      <c r="I372" s="18">
        <f>_xll.ciqfunctions.udf.CIQ($C$2, "IQ_AP", I$6,$F$2,,,Ccy,Conv)</f>
        <v>3274</v>
      </c>
      <c r="J372" s="18">
        <f>_xll.ciqfunctions.udf.CIQ($C$2, "IQ_AP", J$6,$F$2,,,Ccy,Conv)</f>
        <v>4032</v>
      </c>
      <c r="K372" s="18">
        <f>_xll.ciqfunctions.udf.CIQ($C$2, "IQ_AP", K$6,$F$2,,,Ccy,Conv)</f>
        <v>3585</v>
      </c>
      <c r="L372" s="18">
        <f>_xll.ciqfunctions.udf.CIQ($C$2, "IQ_AP", L$6,$F$2,,,Ccy,Conv)</f>
        <v>3974</v>
      </c>
      <c r="M372" s="18">
        <f>_xll.ciqfunctions.udf.CIQ($C$2, "IQ_AP", M$6,$F$2,,,Ccy,Conv)</f>
        <v>3867</v>
      </c>
      <c r="N372" s="18">
        <f>_xll.ciqfunctions.udf.CIQ($C$2, "IQ_AP", N$6,$F$2,,,Ccy,Conv)</f>
        <v>4756</v>
      </c>
      <c r="O372" s="18"/>
      <c r="P372" s="18">
        <f>_xll.ciqfunctions.udf.CIQ($C$2, "IQ_AP", P$6,$F$2,,,Ccy,Conv)</f>
        <v>4756</v>
      </c>
      <c r="Q372" s="215"/>
      <c r="R372" s="215"/>
      <c r="S372" s="215"/>
      <c r="T372" s="215"/>
      <c r="U372" s="215"/>
      <c r="V372" s="222"/>
      <c r="W372" s="222"/>
      <c r="X372" s="222"/>
      <c r="Y372" s="215"/>
      <c r="Z372" s="215"/>
      <c r="AA372" s="215"/>
      <c r="AB372" s="215"/>
      <c r="AC372" s="215"/>
      <c r="AD372" s="215"/>
      <c r="AE372" s="215"/>
      <c r="AF372" s="215"/>
      <c r="AG372" s="215"/>
      <c r="AH372" s="215"/>
      <c r="AI372" s="215"/>
      <c r="AJ372" s="215"/>
      <c r="AK372" s="215"/>
      <c r="AL372" s="215"/>
      <c r="AM372" s="215"/>
      <c r="AN372" s="215"/>
      <c r="AO372" s="215"/>
      <c r="AP372" s="215"/>
      <c r="AQ372" s="215"/>
      <c r="AR372" s="215"/>
      <c r="AS372" s="215"/>
      <c r="AT372" s="215"/>
      <c r="AU372" s="215"/>
      <c r="AV372" s="215"/>
      <c r="AW372" s="215"/>
      <c r="AX372" s="215"/>
      <c r="AY372" s="215"/>
      <c r="AZ372" s="215"/>
      <c r="BA372" s="215"/>
      <c r="BB372" s="215"/>
      <c r="BC372" s="215"/>
      <c r="BD372" s="215"/>
      <c r="BE372" s="215"/>
      <c r="BF372" s="215"/>
      <c r="BG372" s="215"/>
      <c r="BH372" s="215"/>
      <c r="BI372" s="215"/>
      <c r="BJ372" s="215"/>
      <c r="BK372" s="215"/>
      <c r="BL372" s="215"/>
      <c r="BM372" s="215"/>
      <c r="BN372" s="215"/>
      <c r="BO372" s="215"/>
      <c r="BP372" s="215"/>
      <c r="BQ372" s="215"/>
      <c r="BR372" s="215"/>
      <c r="BS372" s="215"/>
      <c r="BT372" s="215"/>
      <c r="BU372" s="215"/>
      <c r="BV372" s="215"/>
      <c r="BW372" s="215"/>
      <c r="BX372" s="215"/>
      <c r="BY372" s="215"/>
      <c r="BZ372" s="215"/>
    </row>
    <row r="373" spans="1:78" x14ac:dyDescent="0.2">
      <c r="A373" s="2" t="str">
        <f>'Language Index'!A334</f>
        <v>Accrued Exp.</v>
      </c>
      <c r="B373" s="17"/>
      <c r="C373" s="17"/>
      <c r="D373" s="18">
        <f>_xll.ciqfunctions.udf.CIQ($C$2, "IQ_AE", D$6,$F$2,,,Ccy,Conv)</f>
        <v>6562</v>
      </c>
      <c r="E373" s="18">
        <f>_xll.ciqfunctions.udf.CIQ($C$2, "IQ_AE", E$6,$F$2,,,Ccy,Conv)</f>
        <v>6395</v>
      </c>
      <c r="F373" s="18">
        <f>_xll.ciqfunctions.udf.CIQ($C$2, "IQ_AE", F$6,$F$2,,,Ccy,Conv)</f>
        <v>6728</v>
      </c>
      <c r="G373" s="18">
        <f>_xll.ciqfunctions.udf.CIQ($C$2, "IQ_AE", G$6,$F$2,,,Ccy,Conv)</f>
        <v>6700</v>
      </c>
      <c r="H373" s="18">
        <f>_xll.ciqfunctions.udf.CIQ($C$2, "IQ_AE", H$6,$F$2,,,Ccy,Conv)</f>
        <v>6147</v>
      </c>
      <c r="I373" s="18">
        <f>_xll.ciqfunctions.udf.CIQ($C$2, "IQ_AE", I$6,$F$2,,,Ccy,Conv)</f>
        <v>6476</v>
      </c>
      <c r="J373" s="18">
        <f>_xll.ciqfunctions.udf.CIQ($C$2, "IQ_AE", J$6,$F$2,,,Ccy,Conv)</f>
        <v>7052</v>
      </c>
      <c r="K373" s="18">
        <f>_xll.ciqfunctions.udf.CIQ($C$2, "IQ_AE", K$6,$F$2,,,Ccy,Conv)</f>
        <v>6903</v>
      </c>
      <c r="L373" s="18">
        <f>_xll.ciqfunctions.udf.CIQ($C$2, "IQ_AE", L$6,$F$2,,,Ccy,Conv)</f>
        <v>6726</v>
      </c>
      <c r="M373" s="18">
        <f>_xll.ciqfunctions.udf.CIQ($C$2, "IQ_AE", M$6,$F$2,,,Ccy,Conv)</f>
        <v>6619</v>
      </c>
      <c r="N373" s="18">
        <f>_xll.ciqfunctions.udf.CIQ($C$2, "IQ_AE", N$6,$F$2,,,Ccy,Conv)</f>
        <v>7976</v>
      </c>
      <c r="O373" s="18"/>
      <c r="P373" s="18">
        <f>_xll.ciqfunctions.udf.CIQ($C$2, "IQ_AE", P$6,$F$2,,,Ccy,Conv)</f>
        <v>7976</v>
      </c>
      <c r="Q373" s="215"/>
      <c r="R373" s="215"/>
      <c r="S373" s="215"/>
      <c r="T373" s="215"/>
      <c r="U373" s="215"/>
      <c r="V373" s="222"/>
      <c r="W373" s="222"/>
      <c r="X373" s="222"/>
      <c r="Y373" s="215"/>
      <c r="Z373" s="215"/>
      <c r="AA373" s="215"/>
      <c r="AB373" s="215"/>
      <c r="AC373" s="215"/>
      <c r="AD373" s="215"/>
      <c r="AE373" s="215"/>
      <c r="AF373" s="47"/>
      <c r="AG373" s="47"/>
      <c r="AH373" s="215"/>
      <c r="AI373" s="215"/>
      <c r="AJ373" s="215"/>
      <c r="AK373" s="215"/>
      <c r="AL373" s="215"/>
      <c r="AM373" s="215"/>
      <c r="AN373" s="215"/>
      <c r="AO373" s="215"/>
      <c r="AP373" s="215"/>
      <c r="AQ373" s="215"/>
      <c r="AR373" s="215"/>
      <c r="AS373" s="215"/>
      <c r="AT373" s="215"/>
      <c r="AU373" s="215"/>
      <c r="AV373" s="215"/>
      <c r="AW373" s="215"/>
      <c r="AX373" s="215"/>
      <c r="AY373" s="215"/>
      <c r="AZ373" s="215"/>
      <c r="BA373" s="215"/>
      <c r="BB373" s="215"/>
      <c r="BC373" s="215"/>
      <c r="BD373" s="215"/>
      <c r="BE373" s="215"/>
      <c r="BF373" s="215"/>
      <c r="BG373" s="215"/>
      <c r="BH373" s="215"/>
      <c r="BI373" s="215"/>
      <c r="BJ373" s="215"/>
      <c r="BK373" s="215"/>
      <c r="BL373" s="215"/>
      <c r="BM373" s="215"/>
      <c r="BN373" s="215"/>
      <c r="BO373" s="215"/>
      <c r="BP373" s="215"/>
      <c r="BQ373" s="215"/>
      <c r="BR373" s="215"/>
      <c r="BS373" s="215"/>
      <c r="BT373" s="215"/>
      <c r="BU373" s="215"/>
      <c r="BV373" s="215"/>
      <c r="BW373" s="215"/>
      <c r="BX373" s="215"/>
      <c r="BY373" s="215"/>
      <c r="BZ373" s="215"/>
    </row>
    <row r="374" spans="1:78" x14ac:dyDescent="0.2">
      <c r="A374" s="2" t="str">
        <f>'Language Index'!A335</f>
        <v>Short-term Borrowings</v>
      </c>
      <c r="B374" s="17"/>
      <c r="C374" s="17"/>
      <c r="D374" s="18">
        <f>_xll.ciqfunctions.udf.CIQ($C$2, "IQ_ST_DEBT", D$6,$F$2,,,Ccy,Conv)</f>
        <v>5</v>
      </c>
      <c r="E374" s="18">
        <f>_xll.ciqfunctions.udf.CIQ($C$2, "IQ_ST_DEBT", E$6,$F$2,,,Ccy,Conv)</f>
        <v>13</v>
      </c>
      <c r="F374" s="18">
        <f>_xll.ciqfunctions.udf.CIQ($C$2, "IQ_ST_DEBT", F$6,$F$2,,,Ccy,Conv)</f>
        <v>1</v>
      </c>
      <c r="G374" s="18">
        <f>_xll.ciqfunctions.udf.CIQ($C$2, "IQ_ST_DEBT", G$6,$F$2,,,Ccy,Conv)</f>
        <v>2</v>
      </c>
      <c r="H374" s="18">
        <f>_xll.ciqfunctions.udf.CIQ($C$2, "IQ_ST_DEBT", H$6,$F$2,,,Ccy,Conv)</f>
        <v>1</v>
      </c>
      <c r="I374" s="18">
        <f>_xll.ciqfunctions.udf.CIQ($C$2, "IQ_ST_DEBT", I$6,$F$2,,,Ccy,Conv)</f>
        <v>9</v>
      </c>
      <c r="J374" s="18">
        <f>_xll.ciqfunctions.udf.CIQ($C$2, "IQ_ST_DEBT", J$6,$F$2,,,Ccy,Conv)</f>
        <v>30</v>
      </c>
      <c r="K374" s="18">
        <f>_xll.ciqfunctions.udf.CIQ($C$2, "IQ_ST_DEBT", K$6,$F$2,,,Ccy,Conv)</f>
        <v>1</v>
      </c>
      <c r="L374" s="18">
        <f>_xll.ciqfunctions.udf.CIQ($C$2, "IQ_ST_DEBT", L$6,$F$2,,,Ccy,Conv)</f>
        <v>1</v>
      </c>
      <c r="M374" s="18">
        <f>_xll.ciqfunctions.udf.CIQ($C$2, "IQ_ST_DEBT", M$6,$F$2,,,Ccy,Conv)</f>
        <v>1</v>
      </c>
      <c r="N374" s="18">
        <f>_xll.ciqfunctions.udf.CIQ($C$2, "IQ_ST_DEBT", N$6,$F$2,,,Ccy,Conv)</f>
        <v>0</v>
      </c>
      <c r="O374" s="18"/>
      <c r="P374" s="18">
        <f>_xll.ciqfunctions.udf.CIQ($C$2, "IQ_ST_DEBT", P$6,$F$2,,,Ccy,Conv)</f>
        <v>0</v>
      </c>
      <c r="Q374" s="215"/>
      <c r="R374" s="215"/>
      <c r="S374" s="215"/>
      <c r="T374" s="215"/>
      <c r="U374" s="215"/>
      <c r="V374" s="222"/>
      <c r="W374" s="222"/>
      <c r="X374" s="222"/>
      <c r="Y374" s="215"/>
      <c r="Z374" s="215"/>
      <c r="AA374" s="215"/>
      <c r="AB374" s="215"/>
      <c r="AC374" s="215"/>
      <c r="AD374" s="215"/>
      <c r="AE374" s="215"/>
      <c r="AF374" s="215"/>
      <c r="AG374" s="215"/>
      <c r="AH374" s="215"/>
      <c r="AI374" s="215"/>
      <c r="AJ374" s="215"/>
      <c r="AK374" s="215"/>
      <c r="AL374" s="215"/>
      <c r="AM374" s="215"/>
      <c r="AN374" s="215"/>
      <c r="AO374" s="215"/>
      <c r="AP374" s="215"/>
      <c r="AQ374" s="215"/>
      <c r="AR374" s="215"/>
      <c r="AS374" s="215"/>
      <c r="AT374" s="215"/>
      <c r="AU374" s="215"/>
      <c r="AV374" s="215"/>
      <c r="AW374" s="215"/>
      <c r="AX374" s="215"/>
      <c r="AY374" s="215"/>
      <c r="AZ374" s="215"/>
      <c r="BA374" s="215"/>
      <c r="BB374" s="215"/>
      <c r="BC374" s="215"/>
      <c r="BD374" s="215"/>
      <c r="BE374" s="215"/>
      <c r="BF374" s="215"/>
      <c r="BG374" s="215"/>
      <c r="BH374" s="215"/>
      <c r="BI374" s="215"/>
      <c r="BJ374" s="215"/>
      <c r="BK374" s="215"/>
      <c r="BL374" s="215"/>
      <c r="BM374" s="215"/>
      <c r="BN374" s="215"/>
      <c r="BO374" s="215"/>
      <c r="BP374" s="215"/>
      <c r="BQ374" s="215"/>
      <c r="BR374" s="215"/>
      <c r="BS374" s="215"/>
      <c r="BT374" s="215"/>
      <c r="BU374" s="215"/>
      <c r="BV374" s="215"/>
      <c r="BW374" s="215"/>
      <c r="BX374" s="215"/>
      <c r="BY374" s="215"/>
      <c r="BZ374" s="215"/>
    </row>
    <row r="375" spans="1:78" x14ac:dyDescent="0.2">
      <c r="A375" s="2" t="str">
        <f>'Language Index'!A336</f>
        <v>Current Portion of Long Term Debt</v>
      </c>
      <c r="B375" s="17"/>
      <c r="C375" s="17"/>
      <c r="D375" s="18">
        <f>_xll.ciqfunctions.udf.CIQ($C$2, "IQ_CURRENT_PORT_DEBT", D$6,$F$2,,,Ccy,Conv)</f>
        <v>6780</v>
      </c>
      <c r="E375" s="18">
        <f>_xll.ciqfunctions.udf.CIQ($C$2, "IQ_CURRENT_PORT_DEBT", E$6,$F$2,,,Ccy,Conv)</f>
        <v>6401</v>
      </c>
      <c r="F375" s="18">
        <f>_xll.ciqfunctions.udf.CIQ($C$2, "IQ_CURRENT_PORT_DEBT", F$6,$F$2,,,Ccy,Conv)</f>
        <v>6304</v>
      </c>
      <c r="G375" s="18">
        <f>_xll.ciqfunctions.udf.CIQ($C$2, "IQ_CURRENT_PORT_DEBT", G$6,$F$2,,,Ccy,Conv)</f>
        <v>5469</v>
      </c>
      <c r="H375" s="18">
        <f>_xll.ciqfunctions.udf.CIQ($C$2, "IQ_CURRENT_PORT_DEBT", H$6,$F$2,,,Ccy,Conv)</f>
        <v>3601</v>
      </c>
      <c r="I375" s="18">
        <f>_xll.ciqfunctions.udf.CIQ($C$2, "IQ_CURRENT_PORT_DEBT", I$6,$F$2,,,Ccy,Conv)</f>
        <v>3590</v>
      </c>
      <c r="J375" s="18">
        <f>_xll.ciqfunctions.udf.CIQ($C$2, "IQ_CURRENT_PORT_DEBT", J$6,$F$2,,,Ccy,Conv)</f>
        <v>4861</v>
      </c>
      <c r="K375" s="18">
        <f>_xll.ciqfunctions.udf.CIQ($C$2, "IQ_CURRENT_PORT_DEBT", K$6,$F$2,,,Ccy,Conv)</f>
        <v>6912</v>
      </c>
      <c r="L375" s="18">
        <f>_xll.ciqfunctions.udf.CIQ($C$2, "IQ_CURRENT_PORT_DEBT", L$6,$F$2,,,Ccy,Conv)</f>
        <v>8944</v>
      </c>
      <c r="M375" s="18">
        <f>_xll.ciqfunctions.udf.CIQ($C$2, "IQ_CURRENT_PORT_DEBT", M$6,$F$2,,,Ccy,Conv)</f>
        <v>7941</v>
      </c>
      <c r="N375" s="18">
        <f>_xll.ciqfunctions.udf.CIQ($C$2, "IQ_CURRENT_PORT_DEBT", N$6,$F$2,,,Ccy,Conv)</f>
        <v>6145</v>
      </c>
      <c r="O375" s="18"/>
      <c r="P375" s="18">
        <f>_xll.ciqfunctions.udf.CIQ($C$2, "IQ_CURRENT_PORT_DEBT", P$6,$F$2,,,Ccy,Conv)</f>
        <v>6145</v>
      </c>
      <c r="Q375" s="215"/>
      <c r="R375" s="215"/>
      <c r="S375" s="215"/>
      <c r="T375" s="215"/>
      <c r="U375" s="215"/>
      <c r="V375" s="222"/>
      <c r="W375" s="222"/>
      <c r="X375" s="222"/>
      <c r="Y375" s="215"/>
      <c r="Z375" s="215"/>
      <c r="AA375" s="215"/>
      <c r="AB375" s="215"/>
      <c r="AC375" s="215"/>
      <c r="AD375" s="215"/>
      <c r="AE375" s="215"/>
      <c r="AF375" s="232"/>
      <c r="AG375" s="232"/>
      <c r="AH375" s="215"/>
      <c r="AI375" s="215"/>
      <c r="AJ375" s="215"/>
      <c r="AK375" s="215"/>
      <c r="AL375" s="215"/>
      <c r="AM375" s="215"/>
      <c r="AN375" s="215"/>
      <c r="AO375" s="215"/>
      <c r="AP375" s="215"/>
      <c r="AQ375" s="215"/>
      <c r="AR375" s="215"/>
      <c r="AS375" s="215"/>
      <c r="AT375" s="215"/>
      <c r="AU375" s="215"/>
      <c r="AV375" s="215"/>
      <c r="AW375" s="215"/>
      <c r="AX375" s="215"/>
      <c r="AY375" s="215"/>
      <c r="AZ375" s="215"/>
      <c r="BA375" s="215"/>
      <c r="BB375" s="215"/>
      <c r="BC375" s="215"/>
      <c r="BD375" s="215"/>
      <c r="BE375" s="215"/>
      <c r="BF375" s="215"/>
      <c r="BG375" s="215"/>
      <c r="BH375" s="215"/>
      <c r="BI375" s="215"/>
      <c r="BJ375" s="215"/>
      <c r="BK375" s="215"/>
      <c r="BL375" s="215"/>
      <c r="BM375" s="215"/>
      <c r="BN375" s="215"/>
      <c r="BO375" s="215"/>
      <c r="BP375" s="215"/>
      <c r="BQ375" s="215"/>
      <c r="BR375" s="215"/>
      <c r="BS375" s="215"/>
      <c r="BT375" s="215"/>
      <c r="BU375" s="215"/>
      <c r="BV375" s="215"/>
      <c r="BW375" s="215"/>
      <c r="BX375" s="215"/>
      <c r="BY375" s="215"/>
      <c r="BZ375" s="215"/>
    </row>
    <row r="376" spans="1:78" x14ac:dyDescent="0.2">
      <c r="A376" s="2" t="str">
        <f>'Language Index'!A337</f>
        <v>Current Portion of Leases</v>
      </c>
      <c r="B376" s="17"/>
      <c r="C376" s="17"/>
      <c r="D376" s="18">
        <f>_xll.ciqfunctions.udf.CIQ($C$2, "IQ_CURRENT_PORT_LEASES", D$6,$F$2,,,Ccy,Conv)</f>
        <v>842</v>
      </c>
      <c r="E376" s="18">
        <f>_xll.ciqfunctions.udf.CIQ($C$2, "IQ_CURRENT_PORT_LEASES", E$6,$F$2,,,Ccy,Conv)</f>
        <v>807</v>
      </c>
      <c r="F376" s="18">
        <f>_xll.ciqfunctions.udf.CIQ($C$2, "IQ_CURRENT_PORT_LEASES", F$6,$F$2,,,Ccy,Conv)</f>
        <v>941</v>
      </c>
      <c r="G376" s="18">
        <f>_xll.ciqfunctions.udf.CIQ($C$2, "IQ_CURRENT_PORT_LEASES", G$6,$F$2,,,Ccy,Conv)</f>
        <v>784</v>
      </c>
      <c r="H376" s="18">
        <f>_xll.ciqfunctions.udf.CIQ($C$2, "IQ_CURRENT_PORT_LEASES", H$6,$F$2,,,Ccy,Conv)</f>
        <v>762</v>
      </c>
      <c r="I376" s="18">
        <f>_xll.ciqfunctions.udf.CIQ($C$2, "IQ_CURRENT_PORT_LEASES", I$6,$F$2,,,Ccy,Conv)</f>
        <v>790</v>
      </c>
      <c r="J376" s="18">
        <f>_xll.ciqfunctions.udf.CIQ($C$2, "IQ_CURRENT_PORT_LEASES", J$6,$F$2,,,Ccy,Conv)</f>
        <v>966</v>
      </c>
      <c r="K376" s="18">
        <f>_xll.ciqfunctions.udf.CIQ($C$2, "IQ_CURRENT_PORT_LEASES", K$6,$F$2,,,Ccy,Conv)</f>
        <v>798</v>
      </c>
      <c r="L376" s="18">
        <f>_xll.ciqfunctions.udf.CIQ($C$2, "IQ_CURRENT_PORT_LEASES", L$6,$F$2,,,Ccy,Conv)</f>
        <v>820</v>
      </c>
      <c r="M376" s="18">
        <f>_xll.ciqfunctions.udf.CIQ($C$2, "IQ_CURRENT_PORT_LEASES", M$6,$F$2,,,Ccy,Conv)</f>
        <v>807</v>
      </c>
      <c r="N376" s="18">
        <f>_xll.ciqfunctions.udf.CIQ($C$2, "IQ_CURRENT_PORT_LEASES", N$6,$F$2,,,Ccy,Conv)</f>
        <v>1079</v>
      </c>
      <c r="O376" s="18"/>
      <c r="P376" s="18">
        <f>_xll.ciqfunctions.udf.CIQ($C$2, "IQ_CURRENT_PORT_LEASES", P$6,$F$2,,,Ccy,Conv)</f>
        <v>1079</v>
      </c>
      <c r="Q376" s="215"/>
      <c r="R376" s="215"/>
      <c r="S376" s="215"/>
      <c r="T376" s="215"/>
      <c r="U376" s="215"/>
      <c r="V376" s="222"/>
      <c r="W376" s="222"/>
      <c r="X376" s="222"/>
      <c r="Y376" s="215"/>
      <c r="Z376" s="215"/>
      <c r="AA376" s="215"/>
      <c r="AB376" s="215"/>
      <c r="AC376" s="215"/>
      <c r="AD376" s="215"/>
      <c r="AE376" s="232"/>
      <c r="AF376" s="215"/>
      <c r="AG376" s="215"/>
      <c r="AH376" s="215"/>
      <c r="AI376" s="215"/>
      <c r="AJ376" s="215"/>
      <c r="AK376" s="215"/>
      <c r="AL376" s="215"/>
      <c r="AM376" s="215"/>
      <c r="AN376" s="215"/>
      <c r="AO376" s="215"/>
      <c r="AP376" s="215"/>
      <c r="AQ376" s="215"/>
      <c r="AR376" s="215"/>
      <c r="AS376" s="215"/>
      <c r="AT376" s="215"/>
      <c r="AU376" s="215"/>
      <c r="AV376" s="215"/>
      <c r="AW376" s="215"/>
      <c r="AX376" s="215"/>
      <c r="AY376" s="215"/>
      <c r="AZ376" s="215"/>
      <c r="BA376" s="215"/>
      <c r="BB376" s="215"/>
      <c r="BC376" s="215"/>
      <c r="BD376" s="215"/>
      <c r="BE376" s="215"/>
      <c r="BF376" s="215"/>
      <c r="BG376" s="215"/>
      <c r="BH376" s="215"/>
      <c r="BI376" s="215"/>
      <c r="BJ376" s="215"/>
      <c r="BK376" s="215"/>
      <c r="BL376" s="215"/>
      <c r="BM376" s="215"/>
      <c r="BN376" s="215"/>
      <c r="BO376" s="215"/>
      <c r="BP376" s="215"/>
      <c r="BQ376" s="215"/>
      <c r="BR376" s="215"/>
      <c r="BS376" s="215"/>
      <c r="BT376" s="215"/>
      <c r="BU376" s="215"/>
      <c r="BV376" s="215"/>
      <c r="BW376" s="215"/>
      <c r="BX376" s="215"/>
      <c r="BY376" s="215"/>
      <c r="BZ376" s="215"/>
    </row>
    <row r="377" spans="1:78" x14ac:dyDescent="0.2">
      <c r="A377" s="2" t="str">
        <f>'Language Index'!A338</f>
        <v>Finance Div. Debt Current</v>
      </c>
      <c r="B377" s="17"/>
      <c r="C377" s="17"/>
      <c r="D377" s="18">
        <f>_xll.ciqfunctions.udf.CIQ($C$2, "IQ_FIN_DIV_DEBT_CURRENT", D$6,$F$2,,,Ccy,Conv)</f>
        <v>0</v>
      </c>
      <c r="E377" s="18">
        <f>_xll.ciqfunctions.udf.CIQ($C$2, "IQ_FIN_DIV_DEBT_CURRENT", E$6,$F$2,,,Ccy,Conv)</f>
        <v>0</v>
      </c>
      <c r="F377" s="18">
        <f>_xll.ciqfunctions.udf.CIQ($C$2, "IQ_FIN_DIV_DEBT_CURRENT", F$6,$F$2,,,Ccy,Conv)</f>
        <v>0</v>
      </c>
      <c r="G377" s="18">
        <f>_xll.ciqfunctions.udf.CIQ($C$2, "IQ_FIN_DIV_DEBT_CURRENT", G$6,$F$2,,,Ccy,Conv)</f>
        <v>0</v>
      </c>
      <c r="H377" s="18">
        <f>_xll.ciqfunctions.udf.CIQ($C$2, "IQ_FIN_DIV_DEBT_CURRENT", H$6,$F$2,,,Ccy,Conv)</f>
        <v>0</v>
      </c>
      <c r="I377" s="18">
        <f>_xll.ciqfunctions.udf.CIQ($C$2, "IQ_FIN_DIV_DEBT_CURRENT", I$6,$F$2,,,Ccy,Conv)</f>
        <v>0</v>
      </c>
      <c r="J377" s="18">
        <f>_xll.ciqfunctions.udf.CIQ($C$2, "IQ_FIN_DIV_DEBT_CURRENT", J$6,$F$2,,,Ccy,Conv)</f>
        <v>0</v>
      </c>
      <c r="K377" s="18">
        <f>_xll.ciqfunctions.udf.CIQ($C$2, "IQ_FIN_DIV_DEBT_CURRENT", K$6,$F$2,,,Ccy,Conv)</f>
        <v>0</v>
      </c>
      <c r="L377" s="18">
        <f>_xll.ciqfunctions.udf.CIQ($C$2, "IQ_FIN_DIV_DEBT_CURRENT", L$6,$F$2,,,Ccy,Conv)</f>
        <v>0</v>
      </c>
      <c r="M377" s="18">
        <f>_xll.ciqfunctions.udf.CIQ($C$2, "IQ_FIN_DIV_DEBT_CURRENT", M$6,$F$2,,,Ccy,Conv)</f>
        <v>0</v>
      </c>
      <c r="N377" s="18">
        <f>_xll.ciqfunctions.udf.CIQ($C$2, "IQ_FIN_DIV_DEBT_CURRENT", N$6,$F$2,,,Ccy,Conv)</f>
        <v>0</v>
      </c>
      <c r="O377" s="18"/>
      <c r="P377" s="18">
        <f>_xll.ciqfunctions.udf.CIQ($C$2, "IQ_FIN_DIV_DEBT_CURRENT", P$6,$F$2,,,Ccy,Conv)</f>
        <v>0</v>
      </c>
      <c r="Q377" s="232"/>
      <c r="R377" s="215"/>
      <c r="S377" s="215"/>
      <c r="T377" s="215"/>
      <c r="U377" s="215"/>
      <c r="V377" s="222"/>
      <c r="W377" s="222"/>
      <c r="X377" s="222"/>
      <c r="Y377" s="215"/>
      <c r="Z377" s="215"/>
      <c r="AA377" s="215"/>
      <c r="AB377" s="215"/>
      <c r="AC377" s="215"/>
      <c r="AD377" s="215"/>
      <c r="AE377" s="215"/>
      <c r="AF377" s="215"/>
      <c r="AG377" s="215"/>
      <c r="AH377" s="215"/>
      <c r="AI377" s="215"/>
      <c r="AJ377" s="215"/>
      <c r="AK377" s="215"/>
      <c r="AL377" s="215"/>
      <c r="AM377" s="215"/>
      <c r="AN377" s="215"/>
      <c r="AO377" s="215"/>
      <c r="AP377" s="215"/>
      <c r="AQ377" s="215"/>
      <c r="AR377" s="215"/>
      <c r="AS377" s="215"/>
      <c r="AT377" s="215"/>
      <c r="AU377" s="215"/>
      <c r="AV377" s="215"/>
      <c r="AW377" s="215"/>
      <c r="AX377" s="215"/>
      <c r="AY377" s="215"/>
      <c r="AZ377" s="215"/>
      <c r="BA377" s="215"/>
      <c r="BB377" s="215"/>
      <c r="BC377" s="215"/>
      <c r="BD377" s="215"/>
      <c r="BE377" s="215"/>
      <c r="BF377" s="215"/>
      <c r="BG377" s="215"/>
      <c r="BH377" s="215"/>
      <c r="BI377" s="215"/>
      <c r="BJ377" s="215"/>
      <c r="BK377" s="215"/>
      <c r="BL377" s="215"/>
      <c r="BM377" s="215"/>
      <c r="BN377" s="215"/>
      <c r="BO377" s="215"/>
      <c r="BP377" s="215"/>
      <c r="BQ377" s="215"/>
      <c r="BR377" s="215"/>
      <c r="BS377" s="215"/>
      <c r="BT377" s="215"/>
      <c r="BU377" s="215"/>
      <c r="BV377" s="215"/>
      <c r="BW377" s="215"/>
      <c r="BX377" s="215"/>
      <c r="BY377" s="215"/>
      <c r="BZ377" s="215"/>
    </row>
    <row r="378" spans="1:78" x14ac:dyDescent="0.2">
      <c r="A378" s="2" t="str">
        <f>'Language Index'!A339</f>
        <v>Finance Div. Other Curr. Liab.</v>
      </c>
      <c r="B378" s="17"/>
      <c r="C378" s="17"/>
      <c r="D378" s="18">
        <f>_xll.ciqfunctions.udf.CIQ($C$2, "IQ_FIN_DIV_LIAB_CURRENT", D$6,$F$2,,,Ccy,Conv)</f>
        <v>0</v>
      </c>
      <c r="E378" s="18">
        <f>_xll.ciqfunctions.udf.CIQ($C$2, "IQ_FIN_DIV_LIAB_CURRENT", E$6,$F$2,,,Ccy,Conv)</f>
        <v>0</v>
      </c>
      <c r="F378" s="18">
        <f>_xll.ciqfunctions.udf.CIQ($C$2, "IQ_FIN_DIV_LIAB_CURRENT", F$6,$F$2,,,Ccy,Conv)</f>
        <v>0</v>
      </c>
      <c r="G378" s="18">
        <f>_xll.ciqfunctions.udf.CIQ($C$2, "IQ_FIN_DIV_LIAB_CURRENT", G$6,$F$2,,,Ccy,Conv)</f>
        <v>0</v>
      </c>
      <c r="H378" s="18">
        <f>_xll.ciqfunctions.udf.CIQ($C$2, "IQ_FIN_DIV_LIAB_CURRENT", H$6,$F$2,,,Ccy,Conv)</f>
        <v>0</v>
      </c>
      <c r="I378" s="18">
        <f>_xll.ciqfunctions.udf.CIQ($C$2, "IQ_FIN_DIV_LIAB_CURRENT", I$6,$F$2,,,Ccy,Conv)</f>
        <v>0</v>
      </c>
      <c r="J378" s="18">
        <f>_xll.ciqfunctions.udf.CIQ($C$2, "IQ_FIN_DIV_LIAB_CURRENT", J$6,$F$2,,,Ccy,Conv)</f>
        <v>0</v>
      </c>
      <c r="K378" s="18">
        <f>_xll.ciqfunctions.udf.CIQ($C$2, "IQ_FIN_DIV_LIAB_CURRENT", K$6,$F$2,,,Ccy,Conv)</f>
        <v>0</v>
      </c>
      <c r="L378" s="18">
        <f>_xll.ciqfunctions.udf.CIQ($C$2, "IQ_FIN_DIV_LIAB_CURRENT", L$6,$F$2,,,Ccy,Conv)</f>
        <v>0</v>
      </c>
      <c r="M378" s="18">
        <f>_xll.ciqfunctions.udf.CIQ($C$2, "IQ_FIN_DIV_LIAB_CURRENT", M$6,$F$2,,,Ccy,Conv)</f>
        <v>0</v>
      </c>
      <c r="N378" s="18">
        <f>_xll.ciqfunctions.udf.CIQ($C$2, "IQ_FIN_DIV_LIAB_CURRENT", N$6,$F$2,,,Ccy,Conv)</f>
        <v>0</v>
      </c>
      <c r="O378" s="18"/>
      <c r="P378" s="18">
        <f>_xll.ciqfunctions.udf.CIQ($C$2, "IQ_FIN_DIV_LIAB_CURRENT", P$6,$F$2,,,Ccy,Conv)</f>
        <v>0</v>
      </c>
      <c r="Q378" s="215"/>
      <c r="R378" s="215"/>
      <c r="S378" s="215"/>
      <c r="T378" s="215"/>
      <c r="U378" s="215"/>
      <c r="V378" s="222"/>
      <c r="W378" s="222"/>
      <c r="X378" s="222"/>
      <c r="Y378" s="215"/>
      <c r="Z378" s="215"/>
      <c r="AA378" s="215"/>
      <c r="AB378" s="215"/>
      <c r="AC378" s="215"/>
      <c r="AD378" s="215"/>
      <c r="AE378" s="232"/>
      <c r="AF378" s="215"/>
      <c r="AG378" s="215"/>
      <c r="AH378" s="215"/>
      <c r="AI378" s="215"/>
      <c r="AJ378" s="215"/>
      <c r="AK378" s="215"/>
      <c r="AL378" s="215"/>
      <c r="AM378" s="215"/>
      <c r="AN378" s="215"/>
      <c r="AO378" s="215"/>
      <c r="AP378" s="215"/>
      <c r="AQ378" s="215"/>
      <c r="AR378" s="215"/>
      <c r="AS378" s="215"/>
      <c r="AT378" s="215"/>
      <c r="AU378" s="215"/>
      <c r="AV378" s="215"/>
      <c r="AW378" s="215"/>
      <c r="AX378" s="215"/>
      <c r="AY378" s="215"/>
      <c r="AZ378" s="215"/>
      <c r="BA378" s="215"/>
      <c r="BB378" s="215"/>
      <c r="BC378" s="215"/>
      <c r="BD378" s="215"/>
      <c r="BE378" s="215"/>
      <c r="BF378" s="215"/>
      <c r="BG378" s="215"/>
      <c r="BH378" s="215"/>
      <c r="BI378" s="215"/>
      <c r="BJ378" s="215"/>
      <c r="BK378" s="215"/>
      <c r="BL378" s="215"/>
      <c r="BM378" s="215"/>
      <c r="BN378" s="215"/>
      <c r="BO378" s="215"/>
      <c r="BP378" s="215"/>
      <c r="BQ378" s="215"/>
      <c r="BR378" s="215"/>
      <c r="BS378" s="215"/>
      <c r="BT378" s="215"/>
      <c r="BU378" s="215"/>
      <c r="BV378" s="215"/>
      <c r="BW378" s="215"/>
      <c r="BX378" s="215"/>
      <c r="BY378" s="215"/>
      <c r="BZ378" s="215"/>
    </row>
    <row r="379" spans="1:78" x14ac:dyDescent="0.2">
      <c r="A379" s="2" t="str">
        <f>'Language Index'!A340</f>
        <v>Curr. Income Taxes Payable</v>
      </c>
      <c r="B379" s="17"/>
      <c r="C379" s="17"/>
      <c r="D379" s="18">
        <f>_xll.ciqfunctions.udf.CIQ($C$2, "IQ_INC_TAX_PAY_CURRENT", D$6,$F$2,,,Ccy,Conv)</f>
        <v>1606</v>
      </c>
      <c r="E379" s="18">
        <f>_xll.ciqfunctions.udf.CIQ($C$2, "IQ_INC_TAX_PAY_CURRENT", E$6,$F$2,,,Ccy,Conv)</f>
        <v>1559</v>
      </c>
      <c r="F379" s="18">
        <f>_xll.ciqfunctions.udf.CIQ($C$2, "IQ_INC_TAX_PAY_CURRENT", F$6,$F$2,,,Ccy,Conv)</f>
        <v>2270</v>
      </c>
      <c r="G379" s="18">
        <f>_xll.ciqfunctions.udf.CIQ($C$2, "IQ_INC_TAX_PAY_CURRENT", G$6,$F$2,,,Ccy,Conv)</f>
        <v>1710</v>
      </c>
      <c r="H379" s="18">
        <f>_xll.ciqfunctions.udf.CIQ($C$2, "IQ_INC_TAX_PAY_CURRENT", H$6,$F$2,,,Ccy,Conv)</f>
        <v>1691</v>
      </c>
      <c r="I379" s="18">
        <f>_xll.ciqfunctions.udf.CIQ($C$2, "IQ_INC_TAX_PAY_CURRENT", I$6,$F$2,,,Ccy,Conv)</f>
        <v>1584</v>
      </c>
      <c r="J379" s="18">
        <f>_xll.ciqfunctions.udf.CIQ($C$2, "IQ_INC_TAX_PAY_CURRENT", J$6,$F$2,,,Ccy,Conv)</f>
        <v>2033</v>
      </c>
      <c r="K379" s="18">
        <f>_xll.ciqfunctions.udf.CIQ($C$2, "IQ_INC_TAX_PAY_CURRENT", K$6,$F$2,,,Ccy,Conv)</f>
        <v>1573</v>
      </c>
      <c r="L379" s="18">
        <f>_xll.ciqfunctions.udf.CIQ($C$2, "IQ_INC_TAX_PAY_CURRENT", L$6,$F$2,,,Ccy,Conv)</f>
        <v>1681</v>
      </c>
      <c r="M379" s="18">
        <f>_xll.ciqfunctions.udf.CIQ($C$2, "IQ_INC_TAX_PAY_CURRENT", M$6,$F$2,,,Ccy,Conv)</f>
        <v>1663</v>
      </c>
      <c r="N379" s="18">
        <f>_xll.ciqfunctions.udf.CIQ($C$2, "IQ_INC_TAX_PAY_CURRENT", N$6,$F$2,,,Ccy,Conv)</f>
        <v>2347</v>
      </c>
      <c r="O379" s="18"/>
      <c r="P379" s="18">
        <f>_xll.ciqfunctions.udf.CIQ($C$2, "IQ_INC_TAX_PAY_CURRENT", P$6,$F$2,,,Ccy,Conv)</f>
        <v>2347</v>
      </c>
      <c r="Q379" s="232"/>
      <c r="R379" s="215"/>
      <c r="S379" s="215"/>
      <c r="T379" s="215"/>
      <c r="U379" s="215"/>
      <c r="V379" s="233"/>
      <c r="W379" s="233"/>
      <c r="X379" s="233"/>
      <c r="Y379" s="232"/>
      <c r="Z379" s="232"/>
      <c r="AA379" s="232"/>
      <c r="AB379" s="232"/>
      <c r="AC379" s="232"/>
      <c r="AD379" s="232"/>
      <c r="AE379" s="215"/>
      <c r="AF379" s="215"/>
      <c r="AG379" s="215"/>
      <c r="AH379" s="232"/>
      <c r="AI379" s="215"/>
      <c r="AJ379" s="215"/>
      <c r="AK379" s="215"/>
      <c r="AL379" s="215"/>
      <c r="AM379" s="215"/>
      <c r="AN379" s="215"/>
      <c r="AO379" s="215"/>
      <c r="AP379" s="215"/>
      <c r="AQ379" s="215"/>
      <c r="AR379" s="215"/>
      <c r="AS379" s="215"/>
      <c r="AT379" s="215"/>
      <c r="AU379" s="215"/>
      <c r="AV379" s="215"/>
      <c r="AW379" s="215"/>
      <c r="AX379" s="215"/>
      <c r="AY379" s="215"/>
      <c r="AZ379" s="215"/>
      <c r="BA379" s="215"/>
      <c r="BB379" s="215"/>
      <c r="BC379" s="215"/>
      <c r="BD379" s="215"/>
      <c r="BE379" s="215"/>
      <c r="BF379" s="215"/>
      <c r="BG379" s="215"/>
      <c r="BH379" s="215"/>
      <c r="BI379" s="215"/>
      <c r="BJ379" s="215"/>
      <c r="BK379" s="215"/>
      <c r="BL379" s="215"/>
      <c r="BM379" s="215"/>
      <c r="BN379" s="215"/>
      <c r="BO379" s="215"/>
      <c r="BP379" s="215"/>
      <c r="BQ379" s="215"/>
      <c r="BR379" s="215"/>
      <c r="BS379" s="215"/>
      <c r="BT379" s="215"/>
      <c r="BU379" s="215"/>
      <c r="BV379" s="215"/>
      <c r="BW379" s="215"/>
      <c r="BX379" s="215"/>
      <c r="BY379" s="215"/>
      <c r="BZ379" s="215"/>
    </row>
    <row r="380" spans="1:78" x14ac:dyDescent="0.2">
      <c r="A380" s="2" t="str">
        <f>'Language Index'!A341</f>
        <v>Unearned Revenue, Current</v>
      </c>
      <c r="B380" s="17"/>
      <c r="C380" s="17"/>
      <c r="D380" s="18">
        <f>_xll.ciqfunctions.udf.CIQ($C$2, "IQ_UNEARN_REV_CURRENT", D$6,$F$2,,,Ccy,Conv)</f>
        <v>12712</v>
      </c>
      <c r="E380" s="18">
        <f>_xll.ciqfunctions.udf.CIQ($C$2, "IQ_UNEARN_REV_CURRENT", E$6,$F$2,,,Ccy,Conv)</f>
        <v>11917</v>
      </c>
      <c r="F380" s="18">
        <f>_xll.ciqfunctions.udf.CIQ($C$2, "IQ_UNEARN_REV_CURRENT", F$6,$F$2,,,Ccy,Conv)</f>
        <v>13451</v>
      </c>
      <c r="G380" s="18">
        <f>_xll.ciqfunctions.udf.CIQ($C$2, "IQ_UNEARN_REV_CURRENT", G$6,$F$2,,,Ccy,Conv)</f>
        <v>14051</v>
      </c>
      <c r="H380" s="18">
        <f>_xll.ciqfunctions.udf.CIQ($C$2, "IQ_UNEARN_REV_CURRENT", H$6,$F$2,,,Ccy,Conv)</f>
        <v>13643</v>
      </c>
      <c r="I380" s="18">
        <f>_xll.ciqfunctions.udf.CIQ($C$2, "IQ_UNEARN_REV_CURRENT", I$6,$F$2,,,Ccy,Conv)</f>
        <v>12882</v>
      </c>
      <c r="J380" s="18">
        <f>_xll.ciqfunctions.udf.CIQ($C$2, "IQ_UNEARN_REV_CURRENT", J$6,$F$2,,,Ccy,Conv)</f>
        <v>13907</v>
      </c>
      <c r="K380" s="18">
        <f>_xll.ciqfunctions.udf.CIQ($C$2, "IQ_UNEARN_REV_CURRENT", K$6,$F$2,,,Ccy,Conv)</f>
        <v>15057</v>
      </c>
      <c r="L380" s="18">
        <f>_xll.ciqfunctions.udf.CIQ($C$2, "IQ_UNEARN_REV_CURRENT", L$6,$F$2,,,Ccy,Conv)</f>
        <v>15022</v>
      </c>
      <c r="M380" s="18">
        <f>_xll.ciqfunctions.udf.CIQ($C$2, "IQ_UNEARN_REV_CURRENT", M$6,$F$2,,,Ccy,Conv)</f>
        <v>13878</v>
      </c>
      <c r="N380" s="18">
        <f>_xll.ciqfunctions.udf.CIQ($C$2, "IQ_UNEARN_REV_CURRENT", N$6,$F$2,,,Ccy,Conv)</f>
        <v>16101</v>
      </c>
      <c r="O380" s="18"/>
      <c r="P380" s="18">
        <f>_xll.ciqfunctions.udf.CIQ($C$2, "IQ_UNEARN_REV_CURRENT", P$6,$F$2,,,Ccy,Conv)</f>
        <v>16101</v>
      </c>
      <c r="Q380" s="215"/>
      <c r="R380" s="215"/>
      <c r="S380" s="215"/>
      <c r="T380" s="215"/>
      <c r="U380" s="215"/>
      <c r="V380" s="222"/>
      <c r="W380" s="222"/>
      <c r="X380" s="222"/>
      <c r="Y380" s="215"/>
      <c r="Z380" s="215"/>
      <c r="AA380" s="215"/>
      <c r="AB380" s="215"/>
      <c r="AC380" s="215"/>
      <c r="AD380" s="215"/>
      <c r="AE380" s="215"/>
      <c r="AF380" s="232"/>
      <c r="AG380" s="232"/>
      <c r="AH380" s="215"/>
      <c r="AI380" s="215"/>
      <c r="AJ380" s="215"/>
      <c r="AK380" s="215"/>
      <c r="AL380" s="215"/>
      <c r="AM380" s="215"/>
      <c r="AN380" s="215"/>
      <c r="AO380" s="215"/>
      <c r="AP380" s="215"/>
      <c r="AQ380" s="215"/>
      <c r="AR380" s="215"/>
      <c r="AS380" s="215"/>
      <c r="AT380" s="215"/>
      <c r="AU380" s="215"/>
      <c r="AV380" s="215"/>
      <c r="AW380" s="215"/>
      <c r="AX380" s="215"/>
      <c r="AY380" s="215"/>
      <c r="AZ380" s="215"/>
      <c r="BA380" s="215"/>
      <c r="BB380" s="215"/>
      <c r="BC380" s="215"/>
      <c r="BD380" s="215"/>
      <c r="BE380" s="215"/>
      <c r="BF380" s="215"/>
      <c r="BG380" s="215"/>
      <c r="BH380" s="215"/>
      <c r="BI380" s="215"/>
      <c r="BJ380" s="215"/>
      <c r="BK380" s="215"/>
      <c r="BL380" s="215"/>
      <c r="BM380" s="215"/>
      <c r="BN380" s="215"/>
      <c r="BO380" s="215"/>
      <c r="BP380" s="215"/>
      <c r="BQ380" s="215"/>
      <c r="BR380" s="215"/>
      <c r="BS380" s="215"/>
      <c r="BT380" s="215"/>
      <c r="BU380" s="215"/>
      <c r="BV380" s="215"/>
      <c r="BW380" s="215"/>
      <c r="BX380" s="215"/>
      <c r="BY380" s="215"/>
      <c r="BZ380" s="215"/>
    </row>
    <row r="381" spans="1:78" x14ac:dyDescent="0.2">
      <c r="A381" s="2" t="str">
        <f>'Language Index'!A342</f>
        <v>Def. Tax Liability, Curr.</v>
      </c>
      <c r="B381" s="17"/>
      <c r="C381" s="17"/>
      <c r="D381" s="18">
        <f>_xll.ciqfunctions.udf.CIQ($C$2, "IQ_DEF_TAX_LIAB_CURRENT", D$6,$F$2,,,Ccy,Conv)</f>
        <v>0</v>
      </c>
      <c r="E381" s="18">
        <f>_xll.ciqfunctions.udf.CIQ($C$2, "IQ_DEF_TAX_LIAB_CURRENT", E$6,$F$2,,,Ccy,Conv)</f>
        <v>0</v>
      </c>
      <c r="F381" s="18">
        <f>_xll.ciqfunctions.udf.CIQ($C$2, "IQ_DEF_TAX_LIAB_CURRENT", F$6,$F$2,,,Ccy,Conv)</f>
        <v>0</v>
      </c>
      <c r="G381" s="18">
        <f>_xll.ciqfunctions.udf.CIQ($C$2, "IQ_DEF_TAX_LIAB_CURRENT", G$6,$F$2,,,Ccy,Conv)</f>
        <v>0</v>
      </c>
      <c r="H381" s="18">
        <f>_xll.ciqfunctions.udf.CIQ($C$2, "IQ_DEF_TAX_LIAB_CURRENT", H$6,$F$2,,,Ccy,Conv)</f>
        <v>0</v>
      </c>
      <c r="I381" s="18">
        <f>_xll.ciqfunctions.udf.CIQ($C$2, "IQ_DEF_TAX_LIAB_CURRENT", I$6,$F$2,,,Ccy,Conv)</f>
        <v>0</v>
      </c>
      <c r="J381" s="18">
        <f>_xll.ciqfunctions.udf.CIQ($C$2, "IQ_DEF_TAX_LIAB_CURRENT", J$6,$F$2,,,Ccy,Conv)</f>
        <v>0</v>
      </c>
      <c r="K381" s="18">
        <f>_xll.ciqfunctions.udf.CIQ($C$2, "IQ_DEF_TAX_LIAB_CURRENT", K$6,$F$2,,,Ccy,Conv)</f>
        <v>0</v>
      </c>
      <c r="L381" s="18">
        <f>_xll.ciqfunctions.udf.CIQ($C$2, "IQ_DEF_TAX_LIAB_CURRENT", L$6,$F$2,,,Ccy,Conv)</f>
        <v>0</v>
      </c>
      <c r="M381" s="18">
        <f>_xll.ciqfunctions.udf.CIQ($C$2, "IQ_DEF_TAX_LIAB_CURRENT", M$6,$F$2,,,Ccy,Conv)</f>
        <v>0</v>
      </c>
      <c r="N381" s="18">
        <f>_xll.ciqfunctions.udf.CIQ($C$2, "IQ_DEF_TAX_LIAB_CURRENT", N$6,$F$2,,,Ccy,Conv)</f>
        <v>0</v>
      </c>
      <c r="O381" s="18"/>
      <c r="P381" s="18">
        <f>_xll.ciqfunctions.udf.CIQ($C$2, "IQ_DEF_TAX_LIAB_CURRENT", P$6,$F$2,,,Ccy,Conv)</f>
        <v>0</v>
      </c>
      <c r="Q381" s="215"/>
      <c r="R381" s="215"/>
      <c r="S381" s="215"/>
      <c r="T381" s="215"/>
      <c r="U381" s="215"/>
      <c r="V381" s="222"/>
      <c r="W381" s="222"/>
      <c r="X381" s="222"/>
      <c r="Y381" s="215"/>
      <c r="Z381" s="215"/>
      <c r="AA381" s="215"/>
      <c r="AB381" s="215"/>
      <c r="AC381" s="215"/>
      <c r="AD381" s="215"/>
      <c r="AE381" s="47"/>
      <c r="AF381" s="232"/>
      <c r="AG381" s="232"/>
      <c r="AH381" s="215"/>
      <c r="AI381" s="215"/>
      <c r="AJ381" s="215"/>
      <c r="AK381" s="215"/>
      <c r="AL381" s="215"/>
      <c r="AM381" s="215"/>
      <c r="AN381" s="215"/>
      <c r="AO381" s="215"/>
      <c r="AP381" s="215"/>
      <c r="AQ381" s="215"/>
      <c r="AR381" s="215"/>
      <c r="AS381" s="215"/>
      <c r="AT381" s="215"/>
      <c r="AU381" s="215"/>
      <c r="AV381" s="215"/>
      <c r="AW381" s="215"/>
      <c r="AX381" s="215"/>
      <c r="AY381" s="215"/>
      <c r="AZ381" s="215"/>
      <c r="BA381" s="215"/>
      <c r="BB381" s="215"/>
      <c r="BC381" s="215"/>
      <c r="BD381" s="215"/>
      <c r="BE381" s="215"/>
      <c r="BF381" s="215"/>
      <c r="BG381" s="215"/>
      <c r="BH381" s="215"/>
      <c r="BI381" s="215"/>
      <c r="BJ381" s="215"/>
      <c r="BK381" s="215"/>
      <c r="BL381" s="215"/>
      <c r="BM381" s="215"/>
      <c r="BN381" s="215"/>
      <c r="BO381" s="215"/>
      <c r="BP381" s="215"/>
      <c r="BQ381" s="215"/>
      <c r="BR381" s="215"/>
      <c r="BS381" s="215"/>
      <c r="BT381" s="215"/>
      <c r="BU381" s="215"/>
      <c r="BV381" s="215"/>
      <c r="BW381" s="215"/>
      <c r="BX381" s="215"/>
      <c r="BY381" s="215"/>
      <c r="BZ381" s="215"/>
    </row>
    <row r="382" spans="1:78" x14ac:dyDescent="0.2">
      <c r="A382" s="2" t="str">
        <f>'Language Index'!A343</f>
        <v>Other Current Liabilities</v>
      </c>
      <c r="B382" s="17"/>
      <c r="C382" s="17"/>
      <c r="D382" s="18">
        <f>_xll.ciqfunctions.udf.CIQ($C$2, "IQ_OTHER_CL_SUPPL", D$6,$F$2,,,Ccy,Conv)</f>
        <v>274</v>
      </c>
      <c r="E382" s="18">
        <f>_xll.ciqfunctions.udf.CIQ($C$2, "IQ_OTHER_CL_SUPPL", E$6,$F$2,,,Ccy,Conv)</f>
        <v>172</v>
      </c>
      <c r="F382" s="18">
        <f>_xll.ciqfunctions.udf.CIQ($C$2, "IQ_OTHER_CL_SUPPL", F$6,$F$2,,,Ccy,Conv)</f>
        <v>295</v>
      </c>
      <c r="G382" s="18">
        <f>_xll.ciqfunctions.udf.CIQ($C$2, "IQ_OTHER_CL_SUPPL", G$6,$F$2,,,Ccy,Conv)</f>
        <v>93</v>
      </c>
      <c r="H382" s="18">
        <f>_xll.ciqfunctions.udf.CIQ($C$2, "IQ_OTHER_CL_SUPPL", H$6,$F$2,,,Ccy,Conv)</f>
        <v>172</v>
      </c>
      <c r="I382" s="18">
        <f>_xll.ciqfunctions.udf.CIQ($C$2, "IQ_OTHER_CL_SUPPL", I$6,$F$2,,,Ccy,Conv)</f>
        <v>248</v>
      </c>
      <c r="J382" s="18">
        <f>_xll.ciqfunctions.udf.CIQ($C$2, "IQ_OTHER_CL_SUPPL", J$6,$F$2,,,Ccy,Conv)</f>
        <v>261</v>
      </c>
      <c r="K382" s="18">
        <f>_xll.ciqfunctions.udf.CIQ($C$2, "IQ_OTHER_CL_SUPPL", K$6,$F$2,,,Ccy,Conv)</f>
        <v>277</v>
      </c>
      <c r="L382" s="18">
        <f>_xll.ciqfunctions.udf.CIQ($C$2, "IQ_OTHER_CL_SUPPL", L$6,$F$2,,,Ccy,Conv)</f>
        <v>558</v>
      </c>
      <c r="M382" s="18">
        <f>_xll.ciqfunctions.udf.CIQ($C$2, "IQ_OTHER_CL_SUPPL", M$6,$F$2,,,Ccy,Conv)</f>
        <v>366</v>
      </c>
      <c r="N382" s="18">
        <f>_xll.ciqfunctions.udf.CIQ($C$2, "IQ_OTHER_CL_SUPPL", N$6,$F$2,,,Ccy,Conv)</f>
        <v>254</v>
      </c>
      <c r="O382" s="18"/>
      <c r="P382" s="18">
        <f>_xll.ciqfunctions.udf.CIQ($C$2, "IQ_OTHER_CL_SUPPL", P$6,$F$2,,,Ccy,Conv)</f>
        <v>254</v>
      </c>
      <c r="Q382" s="215"/>
      <c r="R382" s="215"/>
      <c r="S382" s="215"/>
      <c r="T382" s="215"/>
      <c r="U382" s="215"/>
      <c r="V382" s="222"/>
      <c r="W382" s="222"/>
      <c r="X382" s="222"/>
      <c r="Y382" s="215"/>
      <c r="Z382" s="215"/>
      <c r="AA382" s="215"/>
      <c r="AB382" s="215"/>
      <c r="AC382" s="215"/>
      <c r="AD382" s="215"/>
      <c r="AE382" s="215"/>
      <c r="AF382" s="232"/>
      <c r="AG382" s="232"/>
      <c r="AH382" s="215"/>
      <c r="AI382" s="215"/>
      <c r="AJ382" s="215"/>
      <c r="AK382" s="215"/>
      <c r="AL382" s="215"/>
      <c r="AM382" s="215"/>
      <c r="AN382" s="215"/>
      <c r="AO382" s="215"/>
      <c r="AP382" s="215"/>
      <c r="AQ382" s="215"/>
      <c r="AR382" s="215"/>
      <c r="AS382" s="215"/>
      <c r="AT382" s="215"/>
      <c r="AU382" s="215"/>
      <c r="AV382" s="215"/>
      <c r="AW382" s="215"/>
      <c r="AX382" s="215"/>
      <c r="AY382" s="215"/>
      <c r="AZ382" s="215"/>
      <c r="BA382" s="215"/>
      <c r="BB382" s="215"/>
      <c r="BC382" s="215"/>
      <c r="BD382" s="215"/>
      <c r="BE382" s="215"/>
      <c r="BF382" s="215"/>
      <c r="BG382" s="215"/>
      <c r="BH382" s="215"/>
      <c r="BI382" s="215"/>
      <c r="BJ382" s="215"/>
      <c r="BK382" s="215"/>
      <c r="BL382" s="215"/>
      <c r="BM382" s="215"/>
      <c r="BN382" s="215"/>
      <c r="BO382" s="215"/>
      <c r="BP382" s="215"/>
      <c r="BQ382" s="215"/>
      <c r="BR382" s="215"/>
      <c r="BS382" s="215"/>
      <c r="BT382" s="215"/>
      <c r="BU382" s="215"/>
      <c r="BV382" s="215"/>
      <c r="BW382" s="215"/>
      <c r="BX382" s="215"/>
      <c r="BY382" s="215"/>
      <c r="BZ382" s="215"/>
    </row>
    <row r="383" spans="1:78" x14ac:dyDescent="0.2">
      <c r="A383" s="20" t="str">
        <f>'Language Index'!A344</f>
        <v>Total Current Liabilities</v>
      </c>
      <c r="B383" s="20"/>
      <c r="C383" s="20"/>
      <c r="D383" s="21">
        <f>_xll.ciqfunctions.udf.CIQ($C$2, "IQ_TOTAL_CL", D$6,$F$2,,,Ccy,Conv)</f>
        <v>32513</v>
      </c>
      <c r="E383" s="21">
        <f>_xll.ciqfunctions.udf.CIQ($C$2, "IQ_TOTAL_CL", E$6,$F$2,,,Ccy,Conv)</f>
        <v>30606</v>
      </c>
      <c r="F383" s="21">
        <f>_xll.ciqfunctions.udf.CIQ($C$2, "IQ_TOTAL_CL", F$6,$F$2,,,Ccy,Conv)</f>
        <v>34122</v>
      </c>
      <c r="G383" s="21">
        <f>_xll.ciqfunctions.udf.CIQ($C$2, "IQ_TOTAL_CL", G$6,$F$2,,,Ccy,Conv)</f>
        <v>32397</v>
      </c>
      <c r="H383" s="21">
        <f>_xll.ciqfunctions.udf.CIQ($C$2, "IQ_TOTAL_CL", H$6,$F$2,,,Ccy,Conv)</f>
        <v>29648</v>
      </c>
      <c r="I383" s="21">
        <f>_xll.ciqfunctions.udf.CIQ($C$2, "IQ_TOTAL_CL", I$6,$F$2,,,Ccy,Conv)</f>
        <v>28853</v>
      </c>
      <c r="J383" s="21">
        <f>_xll.ciqfunctions.udf.CIQ($C$2, "IQ_TOTAL_CL", J$6,$F$2,,,Ccy,Conv)</f>
        <v>33142</v>
      </c>
      <c r="K383" s="21">
        <f>_xll.ciqfunctions.udf.CIQ($C$2, "IQ_TOTAL_CL", K$6,$F$2,,,Ccy,Conv)</f>
        <v>35106</v>
      </c>
      <c r="L383" s="21">
        <f>_xll.ciqfunctions.udf.CIQ($C$2, "IQ_TOTAL_CL", L$6,$F$2,,,Ccy,Conv)</f>
        <v>37726</v>
      </c>
      <c r="M383" s="21">
        <f>_xll.ciqfunctions.udf.CIQ($C$2, "IQ_TOTAL_CL", M$6,$F$2,,,Ccy,Conv)</f>
        <v>35142</v>
      </c>
      <c r="N383" s="21">
        <f>_xll.ciqfunctions.udf.CIQ($C$2, "IQ_TOTAL_CL", N$6,$F$2,,,Ccy,Conv)</f>
        <v>38658</v>
      </c>
      <c r="O383" s="22"/>
      <c r="P383" s="21">
        <f>_xll.ciqfunctions.udf.CIQ($C$2, "IQ_TOTAL_CL", P$6,$F$2,,,Ccy,Conv)</f>
        <v>38658</v>
      </c>
      <c r="Q383" s="215"/>
      <c r="R383" s="215"/>
      <c r="S383" s="215"/>
      <c r="T383" s="215"/>
      <c r="U383" s="215"/>
      <c r="V383" s="222"/>
      <c r="W383" s="222"/>
      <c r="X383" s="222"/>
      <c r="Y383" s="215"/>
      <c r="Z383" s="215"/>
      <c r="AA383" s="215"/>
      <c r="AB383" s="215"/>
      <c r="AC383" s="215"/>
      <c r="AD383" s="215"/>
      <c r="AE383" s="232"/>
      <c r="AF383" s="232"/>
      <c r="AG383" s="232"/>
      <c r="AH383" s="215"/>
      <c r="AI383" s="215"/>
      <c r="AJ383" s="215"/>
      <c r="AK383" s="215"/>
      <c r="AL383" s="215"/>
      <c r="AM383" s="215"/>
      <c r="AN383" s="215"/>
      <c r="AO383" s="215"/>
      <c r="AP383" s="215"/>
      <c r="AQ383" s="215"/>
      <c r="AR383" s="215"/>
      <c r="AS383" s="215"/>
      <c r="AT383" s="215"/>
      <c r="AU383" s="215"/>
      <c r="AV383" s="215"/>
      <c r="AW383" s="215"/>
      <c r="AX383" s="215"/>
      <c r="AY383" s="215"/>
      <c r="AZ383" s="215"/>
      <c r="BA383" s="215"/>
      <c r="BB383" s="215"/>
      <c r="BC383" s="215"/>
      <c r="BD383" s="215"/>
      <c r="BE383" s="215"/>
      <c r="BF383" s="215"/>
      <c r="BG383" s="215"/>
      <c r="BH383" s="215"/>
      <c r="BI383" s="215"/>
      <c r="BJ383" s="215"/>
      <c r="BK383" s="215"/>
      <c r="BL383" s="215"/>
      <c r="BM383" s="215"/>
      <c r="BN383" s="215"/>
      <c r="BO383" s="215"/>
      <c r="BP383" s="215"/>
      <c r="BQ383" s="215"/>
      <c r="BR383" s="215"/>
      <c r="BS383" s="215"/>
      <c r="BT383" s="215"/>
      <c r="BU383" s="215"/>
      <c r="BV383" s="215"/>
      <c r="BW383" s="215"/>
      <c r="BX383" s="215"/>
      <c r="BY383" s="215"/>
      <c r="BZ383" s="215"/>
    </row>
    <row r="384" spans="1:78" x14ac:dyDescent="0.2">
      <c r="A384" s="16"/>
      <c r="B384" s="16"/>
      <c r="C384" s="1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215"/>
      <c r="R384" s="215"/>
      <c r="S384" s="215"/>
      <c r="T384" s="215"/>
      <c r="U384" s="215"/>
      <c r="V384" s="243"/>
      <c r="W384" s="243"/>
      <c r="X384" s="243"/>
      <c r="Y384" s="47"/>
      <c r="Z384" s="47"/>
      <c r="AA384" s="47"/>
      <c r="AB384" s="47"/>
      <c r="AC384" s="47"/>
      <c r="AD384" s="47"/>
      <c r="AE384" s="215"/>
      <c r="AF384" s="215"/>
      <c r="AG384" s="215"/>
      <c r="AH384" s="47"/>
      <c r="AI384" s="215"/>
      <c r="AJ384" s="215"/>
      <c r="AK384" s="215"/>
      <c r="AL384" s="215"/>
      <c r="AM384" s="215"/>
      <c r="AN384" s="215"/>
      <c r="AO384" s="215"/>
      <c r="AP384" s="215"/>
      <c r="AQ384" s="215"/>
      <c r="AR384" s="215"/>
      <c r="AS384" s="215"/>
      <c r="AT384" s="215"/>
      <c r="AU384" s="215"/>
      <c r="AV384" s="215"/>
      <c r="AW384" s="215"/>
      <c r="AX384" s="215"/>
      <c r="AY384" s="215"/>
      <c r="AZ384" s="215"/>
      <c r="BA384" s="215"/>
      <c r="BB384" s="215"/>
      <c r="BC384" s="215"/>
      <c r="BD384" s="215"/>
      <c r="BE384" s="215"/>
      <c r="BF384" s="215"/>
      <c r="BG384" s="215"/>
      <c r="BH384" s="215"/>
      <c r="BI384" s="215"/>
      <c r="BJ384" s="215"/>
      <c r="BK384" s="215"/>
      <c r="BL384" s="215"/>
      <c r="BM384" s="215"/>
      <c r="BN384" s="215"/>
      <c r="BO384" s="215"/>
      <c r="BP384" s="215"/>
      <c r="BQ384" s="215"/>
      <c r="BR384" s="215"/>
      <c r="BS384" s="215"/>
      <c r="BT384" s="215"/>
      <c r="BU384" s="215"/>
      <c r="BV384" s="215"/>
      <c r="BW384" s="215"/>
      <c r="BX384" s="215"/>
      <c r="BY384" s="215"/>
      <c r="BZ384" s="215"/>
    </row>
    <row r="385" spans="1:78" x14ac:dyDescent="0.2">
      <c r="A385" s="2" t="str">
        <f>'Language Index'!A345</f>
        <v>Long-Term Debt</v>
      </c>
      <c r="B385" s="16"/>
      <c r="C385" s="16"/>
      <c r="D385" s="18">
        <f>_xll.ciqfunctions.udf.CIQ($C$2, "IQ_LT_DEBT", D$6,$F$2,,,Ccy,Conv)</f>
        <v>50423</v>
      </c>
      <c r="E385" s="18">
        <f>_xll.ciqfunctions.udf.CIQ($C$2, "IQ_LT_DEBT", E$6,$F$2,,,Ccy,Conv)</f>
        <v>48525</v>
      </c>
      <c r="F385" s="18">
        <f>_xll.ciqfunctions.udf.CIQ($C$2, "IQ_LT_DEBT", F$6,$F$2,,,Ccy,Conv)</f>
        <v>49742</v>
      </c>
      <c r="G385" s="18">
        <f>_xll.ciqfunctions.udf.CIQ($C$2, "IQ_LT_DEBT", G$6,$F$2,,,Ccy,Conv)</f>
        <v>53328</v>
      </c>
      <c r="H385" s="18">
        <f>_xll.ciqfunctions.udf.CIQ($C$2, "IQ_LT_DEBT", H$6,$F$2,,,Ccy,Conv)</f>
        <v>52106</v>
      </c>
      <c r="I385" s="18">
        <f>_xll.ciqfunctions.udf.CIQ($C$2, "IQ_LT_DEBT", I$6,$F$2,,,Ccy,Conv)</f>
        <v>52102</v>
      </c>
      <c r="J385" s="18">
        <f>_xll.ciqfunctions.udf.CIQ($C$2, "IQ_LT_DEBT", J$6,$F$2,,,Ccy,Conv)</f>
        <v>49081</v>
      </c>
      <c r="K385" s="18">
        <f>_xll.ciqfunctions.udf.CIQ($C$2, "IQ_LT_DEBT", K$6,$F$2,,,Ccy,Conv)</f>
        <v>55340</v>
      </c>
      <c r="L385" s="18">
        <f>_xll.ciqfunctions.udf.CIQ($C$2, "IQ_LT_DEBT", L$6,$F$2,,,Ccy,Conv)</f>
        <v>54039</v>
      </c>
      <c r="M385" s="18">
        <f>_xll.ciqfunctions.udf.CIQ($C$2, "IQ_LT_DEBT", M$6,$F$2,,,Ccy,Conv)</f>
        <v>54027</v>
      </c>
      <c r="N385" s="18">
        <f>_xll.ciqfunctions.udf.CIQ($C$2, "IQ_LT_DEBT", N$6,$F$2,,,Ccy,Conv)</f>
        <v>53962</v>
      </c>
      <c r="O385" s="18"/>
      <c r="P385" s="18">
        <f>_xll.ciqfunctions.udf.CIQ($C$2, "IQ_LT_DEBT", P$6,$F$2,,,Ccy,Conv)</f>
        <v>53962</v>
      </c>
      <c r="Q385" s="215"/>
      <c r="R385" s="215"/>
      <c r="S385" s="215"/>
      <c r="T385" s="215"/>
      <c r="U385" s="215"/>
      <c r="V385" s="222"/>
      <c r="W385" s="222"/>
      <c r="X385" s="222"/>
      <c r="Y385" s="215"/>
      <c r="Z385" s="215"/>
      <c r="AA385" s="215"/>
      <c r="AB385" s="215"/>
      <c r="AC385" s="215"/>
      <c r="AD385" s="215"/>
      <c r="AE385" s="215"/>
      <c r="AF385" s="215"/>
      <c r="AG385" s="215"/>
      <c r="AH385" s="215"/>
      <c r="AI385" s="215"/>
      <c r="AJ385" s="215"/>
      <c r="AK385" s="215"/>
      <c r="AL385" s="215"/>
      <c r="AM385" s="215"/>
      <c r="AN385" s="215"/>
      <c r="AO385" s="215"/>
      <c r="AP385" s="215"/>
      <c r="AQ385" s="215"/>
      <c r="AR385" s="215"/>
      <c r="AS385" s="215"/>
      <c r="AT385" s="215"/>
      <c r="AU385" s="215"/>
      <c r="AV385" s="215"/>
      <c r="AW385" s="215"/>
      <c r="AX385" s="215"/>
      <c r="AY385" s="215"/>
      <c r="AZ385" s="215"/>
      <c r="BA385" s="215"/>
      <c r="BB385" s="215"/>
      <c r="BC385" s="215"/>
      <c r="BD385" s="215"/>
      <c r="BE385" s="215"/>
      <c r="BF385" s="215"/>
      <c r="BG385" s="215"/>
      <c r="BH385" s="215"/>
      <c r="BI385" s="215"/>
      <c r="BJ385" s="215"/>
      <c r="BK385" s="215"/>
      <c r="BL385" s="215"/>
      <c r="BM385" s="215"/>
      <c r="BN385" s="215"/>
      <c r="BO385" s="215"/>
      <c r="BP385" s="215"/>
      <c r="BQ385" s="215"/>
      <c r="BR385" s="215"/>
      <c r="BS385" s="215"/>
      <c r="BT385" s="215"/>
      <c r="BU385" s="215"/>
      <c r="BV385" s="215"/>
      <c r="BW385" s="215"/>
      <c r="BX385" s="215"/>
      <c r="BY385" s="215"/>
      <c r="BZ385" s="215"/>
    </row>
    <row r="386" spans="1:78" x14ac:dyDescent="0.2">
      <c r="A386" s="215" t="str">
        <f>'Language Index'!A346</f>
        <v>Long-Term Leases</v>
      </c>
      <c r="B386" s="17"/>
      <c r="C386" s="17"/>
      <c r="D386" s="18">
        <f>_xll.ciqfunctions.udf.CIQ($C$2, "IQ_LONG_TERM_LEASES", D$6,$F$2,,,Ccy,Conv)</f>
        <v>2254</v>
      </c>
      <c r="E386" s="18">
        <f>_xll.ciqfunctions.udf.CIQ($C$2, "IQ_LONG_TERM_LEASES", E$6,$F$2,,,Ccy,Conv)</f>
        <v>2779</v>
      </c>
      <c r="F386" s="18">
        <f>_xll.ciqfunctions.udf.CIQ($C$2, "IQ_LONG_TERM_LEASES", F$6,$F$2,,,Ccy,Conv)</f>
        <v>2947</v>
      </c>
      <c r="G386" s="18">
        <f>_xll.ciqfunctions.udf.CIQ($C$2, "IQ_LONG_TERM_LEASES", G$6,$F$2,,,Ccy,Conv)</f>
        <v>3288</v>
      </c>
      <c r="H386" s="18">
        <f>_xll.ciqfunctions.udf.CIQ($C$2, "IQ_LONG_TERM_LEASES", H$6,$F$2,,,Ccy,Conv)</f>
        <v>3369</v>
      </c>
      <c r="I386" s="18">
        <f>_xll.ciqfunctions.udf.CIQ($C$2, "IQ_LONG_TERM_LEASES", I$6,$F$2,,,Ccy,Conv)</f>
        <v>3635</v>
      </c>
      <c r="J386" s="18">
        <f>_xll.ciqfunctions.udf.CIQ($C$2, "IQ_LONG_TERM_LEASES", J$6,$F$2,,,Ccy,Conv)</f>
        <v>3458</v>
      </c>
      <c r="K386" s="18">
        <f>_xll.ciqfunctions.udf.CIQ($C$2, "IQ_LONG_TERM_LEASES", K$6,$F$2,,,Ccy,Conv)</f>
        <v>3784</v>
      </c>
      <c r="L386" s="18">
        <f>_xll.ciqfunctions.udf.CIQ($C$2, "IQ_LONG_TERM_LEASES", L$6,$F$2,,,Ccy,Conv)</f>
        <v>3915</v>
      </c>
      <c r="M386" s="18">
        <f>_xll.ciqfunctions.udf.CIQ($C$2, "IQ_LONG_TERM_LEASES", M$6,$F$2,,,Ccy,Conv)</f>
        <v>3793</v>
      </c>
      <c r="N386" s="18">
        <f>_xll.ciqfunctions.udf.CIQ($C$2, "IQ_LONG_TERM_LEASES", N$6,$F$2,,,Ccy,Conv)</f>
        <v>3421</v>
      </c>
      <c r="O386" s="18"/>
      <c r="P386" s="18">
        <f>_xll.ciqfunctions.udf.CIQ($C$2, "IQ_LONG_TERM_LEASES", P$6,$F$2,,,Ccy,Conv)</f>
        <v>3421</v>
      </c>
      <c r="Q386" s="215"/>
      <c r="R386" s="215"/>
      <c r="S386" s="215"/>
      <c r="T386" s="215"/>
      <c r="U386" s="215"/>
      <c r="V386" s="233"/>
      <c r="W386" s="233"/>
      <c r="X386" s="233"/>
      <c r="Y386" s="232"/>
      <c r="Z386" s="232"/>
      <c r="AA386" s="232"/>
      <c r="AB386" s="232"/>
      <c r="AC386" s="232"/>
      <c r="AD386" s="232"/>
      <c r="AE386" s="215"/>
      <c r="AF386" s="215"/>
      <c r="AG386" s="215"/>
      <c r="AH386" s="232"/>
      <c r="AI386" s="215"/>
      <c r="AJ386" s="215"/>
      <c r="AK386" s="215"/>
      <c r="AL386" s="215"/>
      <c r="AM386" s="215"/>
      <c r="AN386" s="215"/>
      <c r="AO386" s="215"/>
      <c r="AP386" s="215"/>
      <c r="AQ386" s="215"/>
      <c r="AR386" s="215"/>
      <c r="AS386" s="215"/>
      <c r="AT386" s="215"/>
      <c r="AU386" s="215"/>
      <c r="AV386" s="215"/>
      <c r="AW386" s="215"/>
      <c r="AX386" s="215"/>
      <c r="AY386" s="215"/>
      <c r="AZ386" s="215"/>
      <c r="BA386" s="215"/>
      <c r="BB386" s="215"/>
      <c r="BC386" s="215"/>
      <c r="BD386" s="215"/>
      <c r="BE386" s="215"/>
      <c r="BF386" s="215"/>
      <c r="BG386" s="215"/>
      <c r="BH386" s="215"/>
      <c r="BI386" s="215"/>
      <c r="BJ386" s="215"/>
      <c r="BK386" s="215"/>
      <c r="BL386" s="215"/>
      <c r="BM386" s="215"/>
      <c r="BN386" s="215"/>
      <c r="BO386" s="215"/>
      <c r="BP386" s="215"/>
      <c r="BQ386" s="215"/>
      <c r="BR386" s="215"/>
      <c r="BS386" s="215"/>
      <c r="BT386" s="215"/>
      <c r="BU386" s="215"/>
      <c r="BV386" s="215"/>
      <c r="BW386" s="215"/>
      <c r="BX386" s="215"/>
      <c r="BY386" s="215"/>
      <c r="BZ386" s="215"/>
    </row>
    <row r="387" spans="1:78" x14ac:dyDescent="0.2">
      <c r="A387" s="215" t="str">
        <f>'Language Index'!A347</f>
        <v>Finance Div. Debt Non-Curr.</v>
      </c>
      <c r="B387" s="17"/>
      <c r="C387" s="17"/>
      <c r="D387" s="18">
        <f>_xll.ciqfunctions.udf.CIQ($C$2, "IQ_FIN_DIV_DEBT_LT", D$6,$F$2,,,Ccy,Conv)</f>
        <v>0</v>
      </c>
      <c r="E387" s="18">
        <f>_xll.ciqfunctions.udf.CIQ($C$2, "IQ_FIN_DIV_DEBT_LT", E$6,$F$2,,,Ccy,Conv)</f>
        <v>0</v>
      </c>
      <c r="F387" s="18">
        <f>_xll.ciqfunctions.udf.CIQ($C$2, "IQ_FIN_DIV_DEBT_LT", F$6,$F$2,,,Ccy,Conv)</f>
        <v>0</v>
      </c>
      <c r="G387" s="18">
        <f>_xll.ciqfunctions.udf.CIQ($C$2, "IQ_FIN_DIV_DEBT_LT", G$6,$F$2,,,Ccy,Conv)</f>
        <v>0</v>
      </c>
      <c r="H387" s="18">
        <f>_xll.ciqfunctions.udf.CIQ($C$2, "IQ_FIN_DIV_DEBT_LT", H$6,$F$2,,,Ccy,Conv)</f>
        <v>0</v>
      </c>
      <c r="I387" s="18">
        <f>_xll.ciqfunctions.udf.CIQ($C$2, "IQ_FIN_DIV_DEBT_LT", I$6,$F$2,,,Ccy,Conv)</f>
        <v>0</v>
      </c>
      <c r="J387" s="18">
        <f>_xll.ciqfunctions.udf.CIQ($C$2, "IQ_FIN_DIV_DEBT_LT", J$6,$F$2,,,Ccy,Conv)</f>
        <v>0</v>
      </c>
      <c r="K387" s="18">
        <f>_xll.ciqfunctions.udf.CIQ($C$2, "IQ_FIN_DIV_DEBT_LT", K$6,$F$2,,,Ccy,Conv)</f>
        <v>0</v>
      </c>
      <c r="L387" s="18">
        <f>_xll.ciqfunctions.udf.CIQ($C$2, "IQ_FIN_DIV_DEBT_LT", L$6,$F$2,,,Ccy,Conv)</f>
        <v>0</v>
      </c>
      <c r="M387" s="18">
        <f>_xll.ciqfunctions.udf.CIQ($C$2, "IQ_FIN_DIV_DEBT_LT", M$6,$F$2,,,Ccy,Conv)</f>
        <v>0</v>
      </c>
      <c r="N387" s="18">
        <f>_xll.ciqfunctions.udf.CIQ($C$2, "IQ_FIN_DIV_DEBT_LT", N$6,$F$2,,,Ccy,Conv)</f>
        <v>0</v>
      </c>
      <c r="O387" s="18"/>
      <c r="P387" s="18">
        <f>_xll.ciqfunctions.udf.CIQ($C$2, "IQ_FIN_DIV_DEBT_LT", P$6,$F$2,,,Ccy,Conv)</f>
        <v>0</v>
      </c>
      <c r="Q387" s="232"/>
      <c r="R387" s="215"/>
      <c r="S387" s="215"/>
      <c r="T387" s="215"/>
      <c r="U387" s="215"/>
      <c r="V387" s="222"/>
      <c r="W387" s="222"/>
      <c r="X387" s="222"/>
      <c r="Y387" s="215"/>
      <c r="Z387" s="215"/>
      <c r="AA387" s="215"/>
      <c r="AB387" s="215"/>
      <c r="AC387" s="215"/>
      <c r="AD387" s="215"/>
      <c r="AE387" s="215"/>
      <c r="AF387" s="215"/>
      <c r="AG387" s="215"/>
      <c r="AH387" s="215"/>
      <c r="AI387" s="215"/>
      <c r="AJ387" s="215"/>
      <c r="AK387" s="215"/>
      <c r="AL387" s="215"/>
      <c r="AM387" s="215"/>
      <c r="AN387" s="215"/>
      <c r="AO387" s="215"/>
      <c r="AP387" s="215"/>
      <c r="AQ387" s="215"/>
      <c r="AR387" s="215"/>
      <c r="AS387" s="215"/>
      <c r="AT387" s="215"/>
      <c r="AU387" s="215"/>
      <c r="AV387" s="215"/>
      <c r="AW387" s="215"/>
      <c r="AX387" s="215"/>
      <c r="AY387" s="215"/>
      <c r="AZ387" s="215"/>
      <c r="BA387" s="215"/>
      <c r="BB387" s="215"/>
      <c r="BC387" s="215"/>
      <c r="BD387" s="215"/>
      <c r="BE387" s="215"/>
      <c r="BF387" s="215"/>
      <c r="BG387" s="215"/>
      <c r="BH387" s="215"/>
      <c r="BI387" s="215"/>
      <c r="BJ387" s="215"/>
      <c r="BK387" s="215"/>
      <c r="BL387" s="215"/>
      <c r="BM387" s="215"/>
      <c r="BN387" s="215"/>
      <c r="BO387" s="215"/>
      <c r="BP387" s="215"/>
      <c r="BQ387" s="215"/>
      <c r="BR387" s="215"/>
      <c r="BS387" s="215"/>
      <c r="BT387" s="215"/>
      <c r="BU387" s="215"/>
      <c r="BV387" s="215"/>
      <c r="BW387" s="215"/>
      <c r="BX387" s="215"/>
      <c r="BY387" s="215"/>
      <c r="BZ387" s="215"/>
    </row>
    <row r="388" spans="1:78" x14ac:dyDescent="0.2">
      <c r="A388" s="215" t="str">
        <f>'Language Index'!A348</f>
        <v>Finance Div. Other Non-Curr. Liab.</v>
      </c>
      <c r="B388" s="17"/>
      <c r="C388" s="17"/>
      <c r="D388" s="18">
        <f>_xll.ciqfunctions.udf.CIQ($C$2, "IQ_FIN_DIV_LIAB_LT", D$6,$F$2,,,Ccy,Conv)</f>
        <v>0</v>
      </c>
      <c r="E388" s="18">
        <f>_xll.ciqfunctions.udf.CIQ($C$2, "IQ_FIN_DIV_LIAB_LT", E$6,$F$2,,,Ccy,Conv)</f>
        <v>0</v>
      </c>
      <c r="F388" s="18">
        <f>_xll.ciqfunctions.udf.CIQ($C$2, "IQ_FIN_DIV_LIAB_LT", F$6,$F$2,,,Ccy,Conv)</f>
        <v>0</v>
      </c>
      <c r="G388" s="18">
        <f>_xll.ciqfunctions.udf.CIQ($C$2, "IQ_FIN_DIV_LIAB_LT", G$6,$F$2,,,Ccy,Conv)</f>
        <v>0</v>
      </c>
      <c r="H388" s="18">
        <f>_xll.ciqfunctions.udf.CIQ($C$2, "IQ_FIN_DIV_LIAB_LT", H$6,$F$2,,,Ccy,Conv)</f>
        <v>0</v>
      </c>
      <c r="I388" s="18">
        <f>_xll.ciqfunctions.udf.CIQ($C$2, "IQ_FIN_DIV_LIAB_LT", I$6,$F$2,,,Ccy,Conv)</f>
        <v>0</v>
      </c>
      <c r="J388" s="18">
        <f>_xll.ciqfunctions.udf.CIQ($C$2, "IQ_FIN_DIV_LIAB_LT", J$6,$F$2,,,Ccy,Conv)</f>
        <v>0</v>
      </c>
      <c r="K388" s="18">
        <f>_xll.ciqfunctions.udf.CIQ($C$2, "IQ_FIN_DIV_LIAB_LT", K$6,$F$2,,,Ccy,Conv)</f>
        <v>0</v>
      </c>
      <c r="L388" s="18">
        <f>_xll.ciqfunctions.udf.CIQ($C$2, "IQ_FIN_DIV_LIAB_LT", L$6,$F$2,,,Ccy,Conv)</f>
        <v>0</v>
      </c>
      <c r="M388" s="18">
        <f>_xll.ciqfunctions.udf.CIQ($C$2, "IQ_FIN_DIV_LIAB_LT", M$6,$F$2,,,Ccy,Conv)</f>
        <v>0</v>
      </c>
      <c r="N388" s="18">
        <f>_xll.ciqfunctions.udf.CIQ($C$2, "IQ_FIN_DIV_LIAB_LT", N$6,$F$2,,,Ccy,Conv)</f>
        <v>0</v>
      </c>
      <c r="O388" s="18"/>
      <c r="P388" s="18">
        <f>_xll.ciqfunctions.udf.CIQ($C$2, "IQ_FIN_DIV_LIAB_LT", P$6,$F$2,,,Ccy,Conv)</f>
        <v>0</v>
      </c>
      <c r="Q388" s="215"/>
      <c r="R388" s="215"/>
      <c r="S388" s="215"/>
      <c r="T388" s="215"/>
      <c r="U388" s="215"/>
      <c r="V388" s="222"/>
      <c r="W388" s="222"/>
      <c r="X388" s="222"/>
      <c r="Y388" s="215"/>
      <c r="Z388" s="215"/>
      <c r="AA388" s="215"/>
      <c r="AB388" s="215"/>
      <c r="AC388" s="215"/>
      <c r="AD388" s="215"/>
      <c r="AE388" s="232"/>
      <c r="AF388" s="215"/>
      <c r="AG388" s="215"/>
      <c r="AH388" s="215"/>
      <c r="AI388" s="215"/>
      <c r="AJ388" s="215"/>
      <c r="AK388" s="215"/>
      <c r="AL388" s="215"/>
      <c r="AM388" s="215"/>
      <c r="AN388" s="215"/>
      <c r="AO388" s="215"/>
      <c r="AP388" s="215"/>
      <c r="AQ388" s="215"/>
      <c r="AR388" s="215"/>
      <c r="AS388" s="215"/>
      <c r="AT388" s="215"/>
      <c r="AU388" s="215"/>
      <c r="AV388" s="215"/>
      <c r="AW388" s="215"/>
      <c r="AX388" s="215"/>
      <c r="AY388" s="215"/>
      <c r="AZ388" s="215"/>
      <c r="BA388" s="215"/>
      <c r="BB388" s="215"/>
      <c r="BC388" s="215"/>
      <c r="BD388" s="215"/>
      <c r="BE388" s="215"/>
      <c r="BF388" s="215"/>
      <c r="BG388" s="215"/>
      <c r="BH388" s="215"/>
      <c r="BI388" s="215"/>
      <c r="BJ388" s="215"/>
      <c r="BK388" s="215"/>
      <c r="BL388" s="215"/>
      <c r="BM388" s="215"/>
      <c r="BN388" s="215"/>
      <c r="BO388" s="215"/>
      <c r="BP388" s="215"/>
      <c r="BQ388" s="215"/>
      <c r="BR388" s="215"/>
      <c r="BS388" s="215"/>
      <c r="BT388" s="215"/>
      <c r="BU388" s="215"/>
      <c r="BV388" s="215"/>
      <c r="BW388" s="215"/>
      <c r="BX388" s="215"/>
      <c r="BY388" s="215"/>
      <c r="BZ388" s="215"/>
    </row>
    <row r="389" spans="1:78" x14ac:dyDescent="0.2">
      <c r="A389" s="215" t="str">
        <f>'Language Index'!A349</f>
        <v>Unearned Revenue, Non-Current</v>
      </c>
      <c r="B389" s="17"/>
      <c r="C389" s="17"/>
      <c r="D389" s="18">
        <f>_xll.ciqfunctions.udf.CIQ($C$2, "IQ_UNEARN_REV_LT", D$6,$F$2,,,Ccy,Conv)</f>
        <v>3264</v>
      </c>
      <c r="E389" s="18">
        <f>_xll.ciqfunctions.udf.CIQ($C$2, "IQ_UNEARN_REV_LT", E$6,$F$2,,,Ccy,Conv)</f>
        <v>3085</v>
      </c>
      <c r="F389" s="18">
        <f>_xll.ciqfunctions.udf.CIQ($C$2, "IQ_UNEARN_REV_LT", F$6,$F$2,,,Ccy,Conv)</f>
        <v>3533</v>
      </c>
      <c r="G389" s="18">
        <f>_xll.ciqfunctions.udf.CIQ($C$2, "IQ_UNEARN_REV_LT", G$6,$F$2,,,Ccy,Conv)</f>
        <v>3488</v>
      </c>
      <c r="H389" s="18">
        <f>_xll.ciqfunctions.udf.CIQ($C$2, "IQ_UNEARN_REV_LT", H$6,$F$2,,,Ccy,Conv)</f>
        <v>3489</v>
      </c>
      <c r="I389" s="18">
        <f>_xll.ciqfunctions.udf.CIQ($C$2, "IQ_UNEARN_REV_LT", I$6,$F$2,,,Ccy,Conv)</f>
        <v>3666</v>
      </c>
      <c r="J389" s="18">
        <f>_xll.ciqfunctions.udf.CIQ($C$2, "IQ_UNEARN_REV_LT", J$6,$F$2,,,Ccy,Conv)</f>
        <v>3622</v>
      </c>
      <c r="K389" s="18">
        <f>_xll.ciqfunctions.udf.CIQ($C$2, "IQ_UNEARN_REV_LT", K$6,$F$2,,,Ccy,Conv)</f>
        <v>3844</v>
      </c>
      <c r="L389" s="18">
        <f>_xll.ciqfunctions.udf.CIQ($C$2, "IQ_UNEARN_REV_LT", L$6,$F$2,,,Ccy,Conv)</f>
        <v>3913</v>
      </c>
      <c r="M389" s="18">
        <f>_xll.ciqfunctions.udf.CIQ($C$2, "IQ_UNEARN_REV_LT", M$6,$F$2,,,Ccy,Conv)</f>
        <v>3863</v>
      </c>
      <c r="N389" s="18">
        <f>_xll.ciqfunctions.udf.CIQ($C$2, "IQ_UNEARN_REV_LT", N$6,$F$2,,,Ccy,Conv)</f>
        <v>4271</v>
      </c>
      <c r="O389" s="18"/>
      <c r="P389" s="18">
        <f>_xll.ciqfunctions.udf.CIQ($C$2, "IQ_UNEARN_REV_LT", P$6,$F$2,,,Ccy,Conv)</f>
        <v>4271</v>
      </c>
      <c r="Q389" s="215"/>
      <c r="R389" s="215"/>
      <c r="S389" s="215"/>
      <c r="T389" s="215"/>
      <c r="U389" s="215"/>
      <c r="V389" s="233"/>
      <c r="W389" s="233"/>
      <c r="X389" s="233"/>
      <c r="Y389" s="232"/>
      <c r="Z389" s="232"/>
      <c r="AA389" s="232"/>
      <c r="AB389" s="232"/>
      <c r="AC389" s="232"/>
      <c r="AD389" s="232"/>
      <c r="AE389" s="215"/>
      <c r="AF389" s="232"/>
      <c r="AG389" s="232"/>
      <c r="AH389" s="232"/>
      <c r="AI389" s="215"/>
      <c r="AJ389" s="215"/>
      <c r="AK389" s="215"/>
      <c r="AL389" s="215"/>
      <c r="AM389" s="215"/>
      <c r="AN389" s="215"/>
      <c r="AO389" s="215"/>
      <c r="AP389" s="215"/>
      <c r="AQ389" s="215"/>
      <c r="AR389" s="215"/>
      <c r="AS389" s="215"/>
      <c r="AT389" s="215"/>
      <c r="AU389" s="215"/>
      <c r="AV389" s="215"/>
      <c r="AW389" s="215"/>
      <c r="AX389" s="215"/>
      <c r="AY389" s="215"/>
      <c r="AZ389" s="215"/>
      <c r="BA389" s="215"/>
      <c r="BB389" s="215"/>
      <c r="BC389" s="215"/>
      <c r="BD389" s="215"/>
      <c r="BE389" s="215"/>
      <c r="BF389" s="215"/>
      <c r="BG389" s="215"/>
      <c r="BH389" s="215"/>
      <c r="BI389" s="215"/>
      <c r="BJ389" s="215"/>
      <c r="BK389" s="215"/>
      <c r="BL389" s="215"/>
      <c r="BM389" s="215"/>
      <c r="BN389" s="215"/>
      <c r="BO389" s="215"/>
      <c r="BP389" s="215"/>
      <c r="BQ389" s="215"/>
      <c r="BR389" s="215"/>
      <c r="BS389" s="215"/>
      <c r="BT389" s="215"/>
      <c r="BU389" s="215"/>
      <c r="BV389" s="215"/>
      <c r="BW389" s="215"/>
      <c r="BX389" s="215"/>
      <c r="BY389" s="215"/>
      <c r="BZ389" s="215"/>
    </row>
    <row r="390" spans="1:78" x14ac:dyDescent="0.2">
      <c r="A390" s="215" t="str">
        <f>'Language Index'!A350</f>
        <v>Pension &amp; Other Post-Retire. Benefits</v>
      </c>
      <c r="B390" s="17"/>
      <c r="C390" s="17"/>
      <c r="D390" s="18">
        <f>_xll.ciqfunctions.udf.CIQ($C$2, "IQ_PENSION", D$6,$F$2,,,Ccy,Conv)</f>
        <v>9385</v>
      </c>
      <c r="E390" s="18">
        <f>_xll.ciqfunctions.udf.CIQ($C$2, "IQ_PENSION", E$6,$F$2,,,Ccy,Conv)</f>
        <v>9090</v>
      </c>
      <c r="F390" s="18">
        <f>_xll.ciqfunctions.udf.CIQ($C$2, "IQ_PENSION", F$6,$F$2,,,Ccy,Conv)</f>
        <v>10808</v>
      </c>
      <c r="G390" s="18">
        <f>_xll.ciqfunctions.udf.CIQ($C$2, "IQ_PENSION", G$6,$F$2,,,Ccy,Conv)</f>
        <v>10421</v>
      </c>
      <c r="H390" s="18">
        <f>_xll.ciqfunctions.udf.CIQ($C$2, "IQ_PENSION", H$6,$F$2,,,Ccy,Conv)</f>
        <v>10200</v>
      </c>
      <c r="I390" s="18">
        <f>_xll.ciqfunctions.udf.CIQ($C$2, "IQ_PENSION", I$6,$F$2,,,Ccy,Conv)</f>
        <v>10366</v>
      </c>
      <c r="J390" s="18">
        <f>_xll.ciqfunctions.udf.CIQ($C$2, "IQ_PENSION", J$6,$F$2,,,Ccy,Conv)</f>
        <v>9432</v>
      </c>
      <c r="K390" s="18">
        <f>_xll.ciqfunctions.udf.CIQ($C$2, "IQ_PENSION", K$6,$F$2,,,Ccy,Conv)</f>
        <v>9536</v>
      </c>
      <c r="L390" s="18">
        <f>_xll.ciqfunctions.udf.CIQ($C$2, "IQ_PENSION", L$6,$F$2,,,Ccy,Conv)</f>
        <v>9882</v>
      </c>
      <c r="M390" s="18">
        <f>_xll.ciqfunctions.udf.CIQ($C$2, "IQ_PENSION", M$6,$F$2,,,Ccy,Conv)</f>
        <v>9735</v>
      </c>
      <c r="N390" s="18">
        <f>_xll.ciqfunctions.udf.CIQ($C$2, "IQ_PENSION", N$6,$F$2,,,Ccy,Conv)</f>
        <v>9018</v>
      </c>
      <c r="O390" s="18"/>
      <c r="P390" s="18">
        <f>_xll.ciqfunctions.udf.CIQ($C$2, "IQ_PENSION", P$6,$F$2,,,Ccy,Conv)</f>
        <v>9018</v>
      </c>
      <c r="Q390" s="232"/>
      <c r="R390" s="215"/>
      <c r="S390" s="215"/>
      <c r="T390" s="215"/>
      <c r="U390" s="215"/>
      <c r="V390" s="222"/>
      <c r="W390" s="222"/>
      <c r="X390" s="222"/>
      <c r="Y390" s="215"/>
      <c r="Z390" s="215"/>
      <c r="AA390" s="215"/>
      <c r="AB390" s="215"/>
      <c r="AC390" s="215"/>
      <c r="AD390" s="215"/>
      <c r="AE390" s="215"/>
      <c r="AF390" s="215"/>
      <c r="AG390" s="215"/>
      <c r="AH390" s="215"/>
      <c r="AI390" s="215"/>
      <c r="AJ390" s="215"/>
      <c r="AK390" s="215"/>
      <c r="AL390" s="215"/>
      <c r="AM390" s="215"/>
      <c r="AN390" s="215"/>
      <c r="AO390" s="215"/>
      <c r="AP390" s="215"/>
      <c r="AQ390" s="215"/>
      <c r="AR390" s="215"/>
      <c r="AS390" s="215"/>
      <c r="AT390" s="215"/>
      <c r="AU390" s="215"/>
      <c r="AV390" s="215"/>
      <c r="AW390" s="215"/>
      <c r="AX390" s="215"/>
      <c r="AY390" s="215"/>
      <c r="AZ390" s="215"/>
      <c r="BA390" s="215"/>
      <c r="BB390" s="215"/>
      <c r="BC390" s="215"/>
      <c r="BD390" s="215"/>
      <c r="BE390" s="215"/>
      <c r="BF390" s="215"/>
      <c r="BG390" s="215"/>
      <c r="BH390" s="215"/>
      <c r="BI390" s="215"/>
      <c r="BJ390" s="215"/>
      <c r="BK390" s="215"/>
      <c r="BL390" s="215"/>
      <c r="BM390" s="215"/>
      <c r="BN390" s="215"/>
      <c r="BO390" s="215"/>
      <c r="BP390" s="215"/>
      <c r="BQ390" s="215"/>
      <c r="BR390" s="215"/>
      <c r="BS390" s="215"/>
      <c r="BT390" s="215"/>
      <c r="BU390" s="215"/>
      <c r="BV390" s="215"/>
      <c r="BW390" s="215"/>
      <c r="BX390" s="215"/>
      <c r="BY390" s="215"/>
      <c r="BZ390" s="215"/>
    </row>
    <row r="391" spans="1:78" x14ac:dyDescent="0.2">
      <c r="A391" s="215" t="str">
        <f>'Language Index'!A351</f>
        <v>Def. Tax Liability, Non-Curr.</v>
      </c>
      <c r="B391" s="17"/>
      <c r="C391" s="17"/>
      <c r="D391" s="18">
        <f>_xll.ciqfunctions.udf.CIQ($C$2, "IQ_DEF_TAX_LIAB_LT", D$6,$F$2,,,Ccy,Conv)</f>
        <v>0</v>
      </c>
      <c r="E391" s="18">
        <f>_xll.ciqfunctions.udf.CIQ($C$2, "IQ_DEF_TAX_LIAB_LT", E$6,$F$2,,,Ccy,Conv)</f>
        <v>0</v>
      </c>
      <c r="F391" s="18">
        <f>_xll.ciqfunctions.udf.CIQ($C$2, "IQ_DEF_TAX_LIAB_LT", F$6,$F$2,,,Ccy,Conv)</f>
        <v>1146</v>
      </c>
      <c r="G391" s="18">
        <f>_xll.ciqfunctions.udf.CIQ($C$2, "IQ_DEF_TAX_LIAB_LT", G$6,$F$2,,,Ccy,Conv)</f>
        <v>0</v>
      </c>
      <c r="H391" s="18">
        <f>_xll.ciqfunctions.udf.CIQ($C$2, "IQ_DEF_TAX_LIAB_LT", H$6,$F$2,,,Ccy,Conv)</f>
        <v>0</v>
      </c>
      <c r="I391" s="18">
        <f>_xll.ciqfunctions.udf.CIQ($C$2, "IQ_DEF_TAX_LIAB_LT", I$6,$F$2,,,Ccy,Conv)</f>
        <v>0</v>
      </c>
      <c r="J391" s="18">
        <f>_xll.ciqfunctions.udf.CIQ($C$2, "IQ_DEF_TAX_LIAB_LT", J$6,$F$2,,,Ccy,Conv)</f>
        <v>815</v>
      </c>
      <c r="K391" s="18">
        <f>_xll.ciqfunctions.udf.CIQ($C$2, "IQ_DEF_TAX_LIAB_LT", K$6,$F$2,,,Ccy,Conv)</f>
        <v>0</v>
      </c>
      <c r="L391" s="18">
        <f>_xll.ciqfunctions.udf.CIQ($C$2, "IQ_DEF_TAX_LIAB_LT", L$6,$F$2,,,Ccy,Conv)</f>
        <v>0</v>
      </c>
      <c r="M391" s="18">
        <f>_xll.ciqfunctions.udf.CIQ($C$2, "IQ_DEF_TAX_LIAB_LT", M$6,$F$2,,,Ccy,Conv)</f>
        <v>0</v>
      </c>
      <c r="N391" s="18">
        <f>_xll.ciqfunctions.udf.CIQ($C$2, "IQ_DEF_TAX_LIAB_LT", N$6,$F$2,,,Ccy,Conv)</f>
        <v>781</v>
      </c>
      <c r="O391" s="18"/>
      <c r="P391" s="18">
        <f>_xll.ciqfunctions.udf.CIQ($C$2, "IQ_DEF_TAX_LIAB_LT", P$6,$F$2,,,Ccy,Conv)</f>
        <v>781</v>
      </c>
      <c r="Q391" s="215"/>
      <c r="R391" s="215"/>
      <c r="S391" s="215"/>
      <c r="T391" s="215"/>
      <c r="U391" s="215"/>
      <c r="V391" s="222"/>
      <c r="W391" s="222"/>
      <c r="X391" s="222"/>
      <c r="Y391" s="215"/>
      <c r="Z391" s="215"/>
      <c r="AA391" s="215"/>
      <c r="AB391" s="215"/>
      <c r="AC391" s="215"/>
      <c r="AD391" s="215"/>
      <c r="AE391" s="232"/>
      <c r="AF391" s="215"/>
      <c r="AG391" s="215"/>
      <c r="AH391" s="215"/>
      <c r="AI391" s="215"/>
      <c r="AJ391" s="215"/>
      <c r="AK391" s="215"/>
      <c r="AL391" s="215"/>
      <c r="AM391" s="215"/>
      <c r="AN391" s="215"/>
      <c r="AO391" s="215"/>
      <c r="AP391" s="215"/>
      <c r="AQ391" s="215"/>
      <c r="AR391" s="215"/>
      <c r="AS391" s="215"/>
      <c r="AT391" s="215"/>
      <c r="AU391" s="215"/>
      <c r="AV391" s="215"/>
      <c r="AW391" s="215"/>
      <c r="AX391" s="215"/>
      <c r="AY391" s="215"/>
      <c r="AZ391" s="215"/>
      <c r="BA391" s="215"/>
      <c r="BB391" s="215"/>
      <c r="BC391" s="215"/>
      <c r="BD391" s="215"/>
      <c r="BE391" s="215"/>
      <c r="BF391" s="215"/>
      <c r="BG391" s="215"/>
      <c r="BH391" s="215"/>
      <c r="BI391" s="215"/>
      <c r="BJ391" s="215"/>
      <c r="BK391" s="215"/>
      <c r="BL391" s="215"/>
      <c r="BM391" s="215"/>
      <c r="BN391" s="215"/>
      <c r="BO391" s="215"/>
      <c r="BP391" s="215"/>
      <c r="BQ391" s="215"/>
      <c r="BR391" s="215"/>
      <c r="BS391" s="215"/>
      <c r="BT391" s="215"/>
      <c r="BU391" s="215"/>
      <c r="BV391" s="215"/>
      <c r="BW391" s="215"/>
      <c r="BX391" s="215"/>
      <c r="BY391" s="215"/>
      <c r="BZ391" s="215"/>
    </row>
    <row r="392" spans="1:78" x14ac:dyDescent="0.2">
      <c r="A392" s="215" t="str">
        <f>'Language Index'!A352</f>
        <v>Other Non-Current Liabilities</v>
      </c>
      <c r="B392" s="17"/>
      <c r="C392" s="17"/>
      <c r="D392" s="18">
        <f>_xll.ciqfunctions.udf.CIQ($C$2, "IQ_OTHER_LIAB_LT", D$6,$F$2,,,Ccy,Conv)</f>
        <v>12103</v>
      </c>
      <c r="E392" s="18">
        <f>_xll.ciqfunctions.udf.CIQ($C$2, "IQ_OTHER_LIAB_LT", E$6,$F$2,,,Ccy,Conv)</f>
        <v>12080</v>
      </c>
      <c r="F392" s="18">
        <f>_xll.ciqfunctions.udf.CIQ($C$2, "IQ_OTHER_LIAB_LT", F$6,$F$2,,,Ccy,Conv)</f>
        <v>10330</v>
      </c>
      <c r="G392" s="18">
        <f>_xll.ciqfunctions.udf.CIQ($C$2, "IQ_OTHER_LIAB_LT", G$6,$F$2,,,Ccy,Conv)</f>
        <v>10914</v>
      </c>
      <c r="H392" s="18">
        <f>_xll.ciqfunctions.udf.CIQ($C$2, "IQ_OTHER_LIAB_LT", H$6,$F$2,,,Ccy,Conv)</f>
        <v>10933</v>
      </c>
      <c r="I392" s="18">
        <f>_xll.ciqfunctions.udf.CIQ($C$2, "IQ_OTHER_LIAB_LT", I$6,$F$2,,,Ccy,Conv)</f>
        <v>11187</v>
      </c>
      <c r="J392" s="18">
        <f>_xll.ciqfunctions.udf.CIQ($C$2, "IQ_OTHER_LIAB_LT", J$6,$F$2,,,Ccy,Conv)</f>
        <v>10232</v>
      </c>
      <c r="K392" s="18">
        <f>_xll.ciqfunctions.udf.CIQ($C$2, "IQ_OTHER_LIAB_LT", K$6,$F$2,,,Ccy,Conv)</f>
        <v>11105</v>
      </c>
      <c r="L392" s="18">
        <f>_xll.ciqfunctions.udf.CIQ($C$2, "IQ_OTHER_LIAB_LT", L$6,$F$2,,,Ccy,Conv)</f>
        <v>11522</v>
      </c>
      <c r="M392" s="18">
        <f>_xll.ciqfunctions.udf.CIQ($C$2, "IQ_OTHER_LIAB_LT", M$6,$F$2,,,Ccy,Conv)</f>
        <v>11762</v>
      </c>
      <c r="N392" s="18">
        <f>_xll.ciqfunctions.udf.CIQ($C$2, "IQ_OTHER_LIAB_LT", N$6,$F$2,,,Ccy,Conv)</f>
        <v>9028</v>
      </c>
      <c r="O392" s="18"/>
      <c r="P392" s="18">
        <f>_xll.ciqfunctions.udf.CIQ($C$2, "IQ_OTHER_LIAB_LT", P$6,$F$2,,,Ccy,Conv)</f>
        <v>9028</v>
      </c>
      <c r="Q392" s="215"/>
      <c r="R392" s="215"/>
      <c r="S392" s="215"/>
      <c r="T392" s="215"/>
      <c r="U392" s="215"/>
      <c r="V392" s="233"/>
      <c r="W392" s="233"/>
      <c r="X392" s="233"/>
      <c r="Y392" s="232"/>
      <c r="Z392" s="232"/>
      <c r="AA392" s="232"/>
      <c r="AB392" s="232"/>
      <c r="AC392" s="232"/>
      <c r="AD392" s="232"/>
      <c r="AE392" s="232"/>
      <c r="AF392" s="215"/>
      <c r="AG392" s="215"/>
      <c r="AH392" s="232"/>
      <c r="AI392" s="215"/>
      <c r="AJ392" s="215"/>
      <c r="AK392" s="215"/>
      <c r="AL392" s="215"/>
      <c r="AM392" s="215"/>
      <c r="AN392" s="215"/>
      <c r="AO392" s="215"/>
      <c r="AP392" s="215"/>
      <c r="AQ392" s="215"/>
      <c r="AR392" s="215"/>
      <c r="AS392" s="215"/>
      <c r="AT392" s="215"/>
      <c r="AU392" s="215"/>
      <c r="AV392" s="215"/>
      <c r="AW392" s="215"/>
      <c r="AX392" s="215"/>
      <c r="AY392" s="215"/>
      <c r="AZ392" s="215"/>
      <c r="BA392" s="215"/>
      <c r="BB392" s="215"/>
      <c r="BC392" s="215"/>
      <c r="BD392" s="215"/>
      <c r="BE392" s="215"/>
      <c r="BF392" s="215"/>
      <c r="BG392" s="215"/>
      <c r="BH392" s="215"/>
      <c r="BI392" s="215"/>
      <c r="BJ392" s="215"/>
      <c r="BK392" s="215"/>
      <c r="BL392" s="215"/>
      <c r="BM392" s="215"/>
      <c r="BN392" s="215"/>
      <c r="BO392" s="215"/>
      <c r="BP392" s="215"/>
      <c r="BQ392" s="215"/>
      <c r="BR392" s="215"/>
      <c r="BS392" s="215"/>
      <c r="BT392" s="215"/>
      <c r="BU392" s="215"/>
      <c r="BV392" s="215"/>
      <c r="BW392" s="215"/>
      <c r="BX392" s="215"/>
      <c r="BY392" s="215"/>
      <c r="BZ392" s="215"/>
    </row>
    <row r="393" spans="1:78" ht="13.5" thickBot="1" x14ac:dyDescent="0.25">
      <c r="A393" s="20" t="str">
        <f>'Language Index'!A353</f>
        <v>Total Liabilities</v>
      </c>
      <c r="B393" s="45"/>
      <c r="C393" s="45"/>
      <c r="D393" s="24">
        <f>_xll.ciqfunctions.udf.CIQ($C$2, "IQ_TOTAL_LIAB", D$6,$F$2,,,Ccy,Conv)</f>
        <v>109942</v>
      </c>
      <c r="E393" s="24">
        <f>_xll.ciqfunctions.udf.CIQ($C$2, "IQ_TOTAL_LIAB", E$6,$F$2,,,Ccy,Conv)</f>
        <v>106165</v>
      </c>
      <c r="F393" s="24">
        <f>_xll.ciqfunctions.udf.CIQ($C$2, "IQ_TOTAL_LIAB", F$6,$F$2,,,Ccy,Conv)</f>
        <v>112628</v>
      </c>
      <c r="G393" s="24">
        <f>_xll.ciqfunctions.udf.CIQ($C$2, "IQ_TOTAL_LIAB", G$6,$F$2,,,Ccy,Conv)</f>
        <v>113836</v>
      </c>
      <c r="H393" s="24">
        <f>_xll.ciqfunctions.udf.CIQ($C$2, "IQ_TOTAL_LIAB", H$6,$F$2,,,Ccy,Conv)</f>
        <v>109745</v>
      </c>
      <c r="I393" s="24">
        <f>_xll.ciqfunctions.udf.CIQ($C$2, "IQ_TOTAL_LIAB", I$6,$F$2,,,Ccy,Conv)</f>
        <v>109809</v>
      </c>
      <c r="J393" s="24">
        <f>_xll.ciqfunctions.udf.CIQ($C$2, "IQ_TOTAL_LIAB", J$6,$F$2,,,Ccy,Conv)</f>
        <v>109782</v>
      </c>
      <c r="K393" s="24">
        <f>_xll.ciqfunctions.udf.CIQ($C$2, "IQ_TOTAL_LIAB", K$6,$F$2,,,Ccy,Conv)</f>
        <v>118715</v>
      </c>
      <c r="L393" s="24">
        <f>_xll.ciqfunctions.udf.CIQ($C$2, "IQ_TOTAL_LIAB", L$6,$F$2,,,Ccy,Conv)</f>
        <v>120997</v>
      </c>
      <c r="M393" s="24">
        <f>_xll.ciqfunctions.udf.CIQ($C$2, "IQ_TOTAL_LIAB", M$6,$F$2,,,Ccy,Conv)</f>
        <v>118322</v>
      </c>
      <c r="N393" s="24">
        <f>_xll.ciqfunctions.udf.CIQ($C$2, "IQ_TOTAL_LIAB", N$6,$F$2,,,Ccy,Conv)</f>
        <v>119139</v>
      </c>
      <c r="O393" s="22"/>
      <c r="P393" s="24">
        <f>_xll.ciqfunctions.udf.CIQ($C$2, "IQ_TOTAL_LIAB", P$6,$F$2,,,Ccy,Conv)</f>
        <v>119139</v>
      </c>
      <c r="Q393" s="215"/>
      <c r="R393" s="215"/>
      <c r="S393" s="215"/>
      <c r="T393" s="215"/>
      <c r="U393" s="215"/>
      <c r="V393" s="222"/>
      <c r="W393" s="222"/>
      <c r="X393" s="222"/>
      <c r="Y393" s="215"/>
      <c r="Z393" s="215"/>
      <c r="AA393" s="215"/>
      <c r="AB393" s="215"/>
      <c r="AC393" s="215"/>
      <c r="AD393" s="215"/>
      <c r="AE393" s="232"/>
      <c r="AF393" s="215"/>
      <c r="AG393" s="215"/>
      <c r="AH393" s="215"/>
      <c r="AI393" s="215"/>
      <c r="AJ393" s="215"/>
      <c r="AK393" s="215"/>
      <c r="AL393" s="215"/>
      <c r="AM393" s="215"/>
      <c r="AN393" s="215"/>
      <c r="AO393" s="215"/>
      <c r="AP393" s="215"/>
      <c r="AQ393" s="215"/>
      <c r="AR393" s="215"/>
      <c r="AS393" s="215"/>
      <c r="AT393" s="215"/>
      <c r="AU393" s="215"/>
      <c r="AV393" s="215"/>
      <c r="AW393" s="215"/>
      <c r="AX393" s="215"/>
      <c r="AY393" s="215"/>
      <c r="AZ393" s="215"/>
      <c r="BA393" s="215"/>
      <c r="BB393" s="215"/>
      <c r="BC393" s="215"/>
      <c r="BD393" s="215"/>
      <c r="BE393" s="215"/>
      <c r="BF393" s="215"/>
      <c r="BG393" s="215"/>
      <c r="BH393" s="215"/>
      <c r="BI393" s="215"/>
      <c r="BJ393" s="215"/>
      <c r="BK393" s="215"/>
      <c r="BL393" s="215"/>
      <c r="BM393" s="215"/>
      <c r="BN393" s="215"/>
      <c r="BO393" s="215"/>
      <c r="BP393" s="215"/>
      <c r="BQ393" s="215"/>
      <c r="BR393" s="215"/>
      <c r="BS393" s="215"/>
      <c r="BT393" s="215"/>
      <c r="BU393" s="215"/>
      <c r="BV393" s="215"/>
      <c r="BW393" s="215"/>
      <c r="BX393" s="215"/>
      <c r="BY393" s="215"/>
      <c r="BZ393" s="215"/>
    </row>
    <row r="394" spans="1:78" ht="13.5" thickTop="1" x14ac:dyDescent="0.2">
      <c r="A394" s="16"/>
      <c r="B394" s="16"/>
      <c r="C394" s="16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47"/>
      <c r="R394" s="215"/>
      <c r="S394" s="215"/>
      <c r="T394" s="215"/>
      <c r="U394" s="215"/>
      <c r="V394" s="233"/>
      <c r="W394" s="233"/>
      <c r="X394" s="233"/>
      <c r="Y394" s="232"/>
      <c r="Z394" s="232"/>
      <c r="AA394" s="232"/>
      <c r="AB394" s="232"/>
      <c r="AC394" s="232"/>
      <c r="AD394" s="232"/>
      <c r="AE394" s="215"/>
      <c r="AF394" s="215"/>
      <c r="AG394" s="215"/>
      <c r="AH394" s="232"/>
      <c r="AI394" s="215"/>
      <c r="AJ394" s="215"/>
      <c r="AK394" s="215"/>
      <c r="AL394" s="215"/>
      <c r="AM394" s="215"/>
      <c r="AN394" s="215"/>
      <c r="AO394" s="215"/>
      <c r="AP394" s="215"/>
      <c r="AQ394" s="215"/>
      <c r="AR394" s="215"/>
      <c r="AS394" s="215"/>
      <c r="AT394" s="215"/>
      <c r="AU394" s="215"/>
      <c r="AV394" s="215"/>
      <c r="AW394" s="215"/>
      <c r="AX394" s="215"/>
      <c r="AY394" s="215"/>
      <c r="AZ394" s="215"/>
      <c r="BA394" s="215"/>
      <c r="BB394" s="215"/>
      <c r="BC394" s="215"/>
      <c r="BD394" s="215"/>
      <c r="BE394" s="215"/>
      <c r="BF394" s="215"/>
      <c r="BG394" s="215"/>
      <c r="BH394" s="215"/>
      <c r="BI394" s="215"/>
      <c r="BJ394" s="215"/>
      <c r="BK394" s="215"/>
      <c r="BL394" s="215"/>
      <c r="BM394" s="215"/>
      <c r="BN394" s="215"/>
      <c r="BO394" s="215"/>
      <c r="BP394" s="215"/>
      <c r="BQ394" s="215"/>
      <c r="BR394" s="215"/>
      <c r="BS394" s="215"/>
      <c r="BT394" s="215"/>
      <c r="BU394" s="215"/>
      <c r="BV394" s="215"/>
      <c r="BW394" s="215"/>
      <c r="BX394" s="215"/>
      <c r="BY394" s="215"/>
      <c r="BZ394" s="215"/>
    </row>
    <row r="395" spans="1:78" x14ac:dyDescent="0.2">
      <c r="A395" s="9" t="str">
        <f>'Language Index'!A354</f>
        <v>EQUITY</v>
      </c>
      <c r="B395" s="44"/>
      <c r="C395" s="4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15"/>
      <c r="R395" s="215"/>
      <c r="S395" s="215"/>
      <c r="T395" s="215"/>
      <c r="U395" s="215"/>
      <c r="V395" s="233"/>
      <c r="W395" s="233"/>
      <c r="X395" s="233"/>
      <c r="Y395" s="232"/>
      <c r="Z395" s="232"/>
      <c r="AA395" s="232"/>
      <c r="AB395" s="232"/>
      <c r="AC395" s="232"/>
      <c r="AD395" s="232"/>
      <c r="AE395" s="215"/>
      <c r="AF395" s="215"/>
      <c r="AG395" s="215"/>
      <c r="AH395" s="232"/>
      <c r="AI395" s="215"/>
      <c r="AJ395" s="215"/>
      <c r="AK395" s="215"/>
      <c r="AL395" s="215"/>
      <c r="AM395" s="215"/>
      <c r="AN395" s="215"/>
      <c r="AO395" s="215"/>
      <c r="AP395" s="215"/>
      <c r="AQ395" s="215"/>
      <c r="AR395" s="215"/>
      <c r="AS395" s="215"/>
      <c r="AT395" s="215"/>
      <c r="AU395" s="215"/>
      <c r="AV395" s="215"/>
      <c r="AW395" s="215"/>
      <c r="AX395" s="215"/>
      <c r="AY395" s="215"/>
      <c r="AZ395" s="215"/>
      <c r="BA395" s="215"/>
      <c r="BB395" s="215"/>
      <c r="BC395" s="215"/>
      <c r="BD395" s="215"/>
      <c r="BE395" s="215"/>
      <c r="BF395" s="215"/>
      <c r="BG395" s="215"/>
      <c r="BH395" s="215"/>
      <c r="BI395" s="215"/>
      <c r="BJ395" s="215"/>
      <c r="BK395" s="215"/>
      <c r="BL395" s="215"/>
      <c r="BM395" s="215"/>
      <c r="BN395" s="215"/>
      <c r="BO395" s="215"/>
      <c r="BP395" s="215"/>
      <c r="BQ395" s="215"/>
      <c r="BR395" s="215"/>
      <c r="BS395" s="215"/>
      <c r="BT395" s="215"/>
      <c r="BU395" s="215"/>
      <c r="BV395" s="215"/>
      <c r="BW395" s="215"/>
      <c r="BX395" s="215"/>
      <c r="BY395" s="215"/>
      <c r="BZ395" s="215"/>
    </row>
    <row r="396" spans="1:78" x14ac:dyDescent="0.2">
      <c r="A396" s="2" t="str">
        <f>'Language Index'!A355</f>
        <v>Pref. Stock, Redeemable</v>
      </c>
      <c r="B396" s="16"/>
      <c r="C396" s="16"/>
      <c r="D396" s="18">
        <f>_xll.ciqfunctions.udf.CIQ($C$2, "IQ_PREF_REDEEM", D$6,$F$2,,,Ccy,Conv)</f>
        <v>0</v>
      </c>
      <c r="E396" s="18">
        <f>_xll.ciqfunctions.udf.CIQ($C$2, "IQ_PREF_REDEEM", E$6,$F$2,,,Ccy,Conv)</f>
        <v>0</v>
      </c>
      <c r="F396" s="18">
        <f>_xll.ciqfunctions.udf.CIQ($C$2, "IQ_PREF_REDEEM", F$6,$F$2,,,Ccy,Conv)</f>
        <v>0</v>
      </c>
      <c r="G396" s="18">
        <f>_xll.ciqfunctions.udf.CIQ($C$2, "IQ_PREF_REDEEM", G$6,$F$2,,,Ccy,Conv)</f>
        <v>0</v>
      </c>
      <c r="H396" s="18">
        <f>_xll.ciqfunctions.udf.CIQ($C$2, "IQ_PREF_REDEEM", H$6,$F$2,,,Ccy,Conv)</f>
        <v>0</v>
      </c>
      <c r="I396" s="18">
        <f>_xll.ciqfunctions.udf.CIQ($C$2, "IQ_PREF_REDEEM", I$6,$F$2,,,Ccy,Conv)</f>
        <v>0</v>
      </c>
      <c r="J396" s="18">
        <f>_xll.ciqfunctions.udf.CIQ($C$2, "IQ_PREF_REDEEM", J$6,$F$2,,,Ccy,Conv)</f>
        <v>0</v>
      </c>
      <c r="K396" s="18">
        <f>_xll.ciqfunctions.udf.CIQ($C$2, "IQ_PREF_REDEEM", K$6,$F$2,,,Ccy,Conv)</f>
        <v>0</v>
      </c>
      <c r="L396" s="18">
        <f>_xll.ciqfunctions.udf.CIQ($C$2, "IQ_PREF_REDEEM", L$6,$F$2,,,Ccy,Conv)</f>
        <v>0</v>
      </c>
      <c r="M396" s="18">
        <f>_xll.ciqfunctions.udf.CIQ($C$2, "IQ_PREF_REDEEM", M$6,$F$2,,,Ccy,Conv)</f>
        <v>0</v>
      </c>
      <c r="N396" s="18">
        <f>_xll.ciqfunctions.udf.CIQ($C$2, "IQ_PREF_REDEEM", N$6,$F$2,,,Ccy,Conv)</f>
        <v>0</v>
      </c>
      <c r="O396" s="18"/>
      <c r="P396" s="18">
        <f>_xll.ciqfunctions.udf.CIQ($C$2, "IQ_PREF_REDEEM", P$6,$F$2,,,Ccy,Conv)</f>
        <v>0</v>
      </c>
      <c r="Q396" s="232"/>
      <c r="R396" s="215"/>
      <c r="S396" s="215"/>
      <c r="T396" s="215"/>
      <c r="U396" s="215"/>
      <c r="V396" s="233"/>
      <c r="W396" s="233"/>
      <c r="X396" s="233"/>
      <c r="Y396" s="232"/>
      <c r="Z396" s="232"/>
      <c r="AA396" s="232"/>
      <c r="AB396" s="232"/>
      <c r="AC396" s="232"/>
      <c r="AD396" s="232"/>
      <c r="AE396" s="215"/>
      <c r="AF396" s="215"/>
      <c r="AG396" s="215"/>
      <c r="AH396" s="232"/>
      <c r="AI396" s="215"/>
      <c r="AJ396" s="215"/>
      <c r="AK396" s="215"/>
      <c r="AL396" s="215"/>
      <c r="AM396" s="215"/>
      <c r="AN396" s="215"/>
      <c r="AO396" s="215"/>
      <c r="AP396" s="215"/>
      <c r="AQ396" s="215"/>
      <c r="AR396" s="215"/>
      <c r="AS396" s="215"/>
      <c r="AT396" s="215"/>
      <c r="AU396" s="215"/>
      <c r="AV396" s="215"/>
      <c r="AW396" s="215"/>
      <c r="AX396" s="215"/>
      <c r="AY396" s="215"/>
      <c r="AZ396" s="215"/>
      <c r="BA396" s="215"/>
      <c r="BB396" s="215"/>
      <c r="BC396" s="215"/>
      <c r="BD396" s="215"/>
      <c r="BE396" s="215"/>
      <c r="BF396" s="215"/>
      <c r="BG396" s="215"/>
      <c r="BH396" s="215"/>
      <c r="BI396" s="215"/>
      <c r="BJ396" s="215"/>
      <c r="BK396" s="215"/>
      <c r="BL396" s="215"/>
      <c r="BM396" s="215"/>
      <c r="BN396" s="215"/>
      <c r="BO396" s="215"/>
      <c r="BP396" s="215"/>
      <c r="BQ396" s="215"/>
      <c r="BR396" s="215"/>
      <c r="BS396" s="215"/>
      <c r="BT396" s="215"/>
      <c r="BU396" s="215"/>
      <c r="BV396" s="215"/>
      <c r="BW396" s="215"/>
      <c r="BX396" s="215"/>
      <c r="BY396" s="215"/>
      <c r="BZ396" s="215"/>
    </row>
    <row r="397" spans="1:78" x14ac:dyDescent="0.2">
      <c r="A397" s="2" t="str">
        <f>'Language Index'!A356</f>
        <v>Pref. Stock, Non-Redeem.</v>
      </c>
      <c r="B397" s="16"/>
      <c r="C397" s="16"/>
      <c r="D397" s="18">
        <f>_xll.ciqfunctions.udf.CIQ($C$2, "IQ_PREF_NON_REDEEM", D$6,$F$2,,,Ccy,Conv)</f>
        <v>0</v>
      </c>
      <c r="E397" s="18">
        <f>_xll.ciqfunctions.udf.CIQ($C$2, "IQ_PREF_NON_REDEEM", E$6,$F$2,,,Ccy,Conv)</f>
        <v>0</v>
      </c>
      <c r="F397" s="18">
        <f>_xll.ciqfunctions.udf.CIQ($C$2, "IQ_PREF_NON_REDEEM", F$6,$F$2,,,Ccy,Conv)</f>
        <v>0</v>
      </c>
      <c r="G397" s="18">
        <f>_xll.ciqfunctions.udf.CIQ($C$2, "IQ_PREF_NON_REDEEM", G$6,$F$2,,,Ccy,Conv)</f>
        <v>0</v>
      </c>
      <c r="H397" s="18">
        <f>_xll.ciqfunctions.udf.CIQ($C$2, "IQ_PREF_NON_REDEEM", H$6,$F$2,,,Ccy,Conv)</f>
        <v>0</v>
      </c>
      <c r="I397" s="18">
        <f>_xll.ciqfunctions.udf.CIQ($C$2, "IQ_PREF_NON_REDEEM", I$6,$F$2,,,Ccy,Conv)</f>
        <v>0</v>
      </c>
      <c r="J397" s="18">
        <f>_xll.ciqfunctions.udf.CIQ($C$2, "IQ_PREF_NON_REDEEM", J$6,$F$2,,,Ccy,Conv)</f>
        <v>0</v>
      </c>
      <c r="K397" s="18">
        <f>_xll.ciqfunctions.udf.CIQ($C$2, "IQ_PREF_NON_REDEEM", K$6,$F$2,,,Ccy,Conv)</f>
        <v>0</v>
      </c>
      <c r="L397" s="18">
        <f>_xll.ciqfunctions.udf.CIQ($C$2, "IQ_PREF_NON_REDEEM", L$6,$F$2,,,Ccy,Conv)</f>
        <v>0</v>
      </c>
      <c r="M397" s="18">
        <f>_xll.ciqfunctions.udf.CIQ($C$2, "IQ_PREF_NON_REDEEM", M$6,$F$2,,,Ccy,Conv)</f>
        <v>0</v>
      </c>
      <c r="N397" s="18">
        <f>_xll.ciqfunctions.udf.CIQ($C$2, "IQ_PREF_NON_REDEEM", N$6,$F$2,,,Ccy,Conv)</f>
        <v>0</v>
      </c>
      <c r="O397" s="18"/>
      <c r="P397" s="18">
        <f>_xll.ciqfunctions.udf.CIQ($C$2, "IQ_PREF_NON_REDEEM", P$6,$F$2,,,Ccy,Conv)</f>
        <v>0</v>
      </c>
      <c r="Q397" s="215"/>
      <c r="R397" s="215"/>
      <c r="S397" s="215"/>
      <c r="T397" s="215"/>
      <c r="U397" s="215"/>
      <c r="V397" s="222"/>
      <c r="W397" s="222"/>
      <c r="X397" s="222"/>
      <c r="Y397" s="215"/>
      <c r="Z397" s="215"/>
      <c r="AA397" s="215"/>
      <c r="AB397" s="215"/>
      <c r="AC397" s="215"/>
      <c r="AD397" s="215"/>
      <c r="AE397" s="215"/>
      <c r="AF397" s="215"/>
      <c r="AG397" s="215"/>
      <c r="AH397" s="215"/>
      <c r="AI397" s="215"/>
      <c r="AJ397" s="215"/>
      <c r="AK397" s="215"/>
      <c r="AL397" s="215"/>
      <c r="AM397" s="215"/>
      <c r="AN397" s="215"/>
      <c r="AO397" s="215"/>
      <c r="AP397" s="215"/>
      <c r="AQ397" s="215"/>
      <c r="AR397" s="215"/>
      <c r="AS397" s="215"/>
      <c r="AT397" s="215"/>
      <c r="AU397" s="215"/>
      <c r="AV397" s="215"/>
      <c r="AW397" s="215"/>
      <c r="AX397" s="215"/>
      <c r="AY397" s="215"/>
      <c r="AZ397" s="215"/>
      <c r="BA397" s="215"/>
      <c r="BB397" s="215"/>
      <c r="BC397" s="215"/>
      <c r="BD397" s="215"/>
      <c r="BE397" s="215"/>
      <c r="BF397" s="215"/>
      <c r="BG397" s="215"/>
      <c r="BH397" s="215"/>
      <c r="BI397" s="215"/>
      <c r="BJ397" s="215"/>
      <c r="BK397" s="215"/>
      <c r="BL397" s="215"/>
      <c r="BM397" s="215"/>
      <c r="BN397" s="215"/>
      <c r="BO397" s="215"/>
      <c r="BP397" s="215"/>
      <c r="BQ397" s="215"/>
      <c r="BR397" s="215"/>
      <c r="BS397" s="215"/>
      <c r="BT397" s="215"/>
      <c r="BU397" s="215"/>
      <c r="BV397" s="215"/>
      <c r="BW397" s="215"/>
      <c r="BX397" s="215"/>
      <c r="BY397" s="215"/>
      <c r="BZ397" s="215"/>
    </row>
    <row r="398" spans="1:78" x14ac:dyDescent="0.2">
      <c r="A398" s="2" t="str">
        <f>'Language Index'!A357</f>
        <v>Pref. Stock, Convertible</v>
      </c>
      <c r="B398" s="16"/>
      <c r="C398" s="16"/>
      <c r="D398" s="18">
        <f>_xll.ciqfunctions.udf.CIQ($C$2, "IQ_PREF_CONVERT", D$6,$F$2,,,Ccy,Conv)</f>
        <v>0</v>
      </c>
      <c r="E398" s="18">
        <f>_xll.ciqfunctions.udf.CIQ($C$2, "IQ_PREF_CONVERT", E$6,$F$2,,,Ccy,Conv)</f>
        <v>0</v>
      </c>
      <c r="F398" s="18">
        <f>_xll.ciqfunctions.udf.CIQ($C$2, "IQ_PREF_CONVERT", F$6,$F$2,,,Ccy,Conv)</f>
        <v>0</v>
      </c>
      <c r="G398" s="18">
        <f>_xll.ciqfunctions.udf.CIQ($C$2, "IQ_PREF_CONVERT", G$6,$F$2,,,Ccy,Conv)</f>
        <v>0</v>
      </c>
      <c r="H398" s="18">
        <f>_xll.ciqfunctions.udf.CIQ($C$2, "IQ_PREF_CONVERT", H$6,$F$2,,,Ccy,Conv)</f>
        <v>0</v>
      </c>
      <c r="I398" s="18">
        <f>_xll.ciqfunctions.udf.CIQ($C$2, "IQ_PREF_CONVERT", I$6,$F$2,,,Ccy,Conv)</f>
        <v>0</v>
      </c>
      <c r="J398" s="18">
        <f>_xll.ciqfunctions.udf.CIQ($C$2, "IQ_PREF_CONVERT", J$6,$F$2,,,Ccy,Conv)</f>
        <v>0</v>
      </c>
      <c r="K398" s="18">
        <f>_xll.ciqfunctions.udf.CIQ($C$2, "IQ_PREF_CONVERT", K$6,$F$2,,,Ccy,Conv)</f>
        <v>0</v>
      </c>
      <c r="L398" s="18">
        <f>_xll.ciqfunctions.udf.CIQ($C$2, "IQ_PREF_CONVERT", L$6,$F$2,,,Ccy,Conv)</f>
        <v>0</v>
      </c>
      <c r="M398" s="18">
        <f>_xll.ciqfunctions.udf.CIQ($C$2, "IQ_PREF_CONVERT", M$6,$F$2,,,Ccy,Conv)</f>
        <v>0</v>
      </c>
      <c r="N398" s="18">
        <f>_xll.ciqfunctions.udf.CIQ($C$2, "IQ_PREF_CONVERT", N$6,$F$2,,,Ccy,Conv)</f>
        <v>0</v>
      </c>
      <c r="O398" s="18"/>
      <c r="P398" s="18">
        <f>_xll.ciqfunctions.udf.CIQ($C$2, "IQ_PREF_CONVERT", P$6,$F$2,,,Ccy,Conv)</f>
        <v>0</v>
      </c>
      <c r="Q398" s="215"/>
      <c r="R398" s="215"/>
      <c r="S398" s="215"/>
      <c r="T398" s="215"/>
      <c r="U398" s="215"/>
      <c r="V398" s="222"/>
      <c r="W398" s="222"/>
      <c r="X398" s="222"/>
      <c r="Y398" s="215"/>
      <c r="Z398" s="215"/>
      <c r="AA398" s="215"/>
      <c r="AB398" s="215"/>
      <c r="AC398" s="215"/>
      <c r="AD398" s="215"/>
      <c r="AE398" s="215"/>
      <c r="AF398" s="241"/>
      <c r="AG398" s="241"/>
      <c r="AH398" s="215"/>
      <c r="AI398" s="215"/>
      <c r="AJ398" s="215"/>
      <c r="AK398" s="215"/>
      <c r="AL398" s="215"/>
      <c r="AM398" s="215"/>
      <c r="AN398" s="215"/>
      <c r="AO398" s="215"/>
      <c r="AP398" s="215"/>
      <c r="AQ398" s="215"/>
      <c r="AR398" s="215"/>
      <c r="AS398" s="215"/>
      <c r="AT398" s="215"/>
      <c r="AU398" s="215"/>
      <c r="AV398" s="215"/>
      <c r="AW398" s="215"/>
      <c r="AX398" s="215"/>
      <c r="AY398" s="215"/>
      <c r="AZ398" s="215"/>
      <c r="BA398" s="215"/>
      <c r="BB398" s="215"/>
      <c r="BC398" s="215"/>
      <c r="BD398" s="215"/>
      <c r="BE398" s="215"/>
      <c r="BF398" s="215"/>
      <c r="BG398" s="215"/>
      <c r="BH398" s="215"/>
      <c r="BI398" s="215"/>
      <c r="BJ398" s="215"/>
      <c r="BK398" s="215"/>
      <c r="BL398" s="215"/>
      <c r="BM398" s="215"/>
      <c r="BN398" s="215"/>
      <c r="BO398" s="215"/>
      <c r="BP398" s="215"/>
      <c r="BQ398" s="215"/>
      <c r="BR398" s="215"/>
      <c r="BS398" s="215"/>
      <c r="BT398" s="215"/>
      <c r="BU398" s="215"/>
      <c r="BV398" s="215"/>
      <c r="BW398" s="215"/>
      <c r="BX398" s="215"/>
      <c r="BY398" s="215"/>
      <c r="BZ398" s="215"/>
    </row>
    <row r="399" spans="1:78" x14ac:dyDescent="0.2">
      <c r="A399" s="2" t="str">
        <f>'Language Index'!A358</f>
        <v>Pref. Stock, Other</v>
      </c>
      <c r="B399" s="16"/>
      <c r="C399" s="16"/>
      <c r="D399" s="18">
        <f>_xll.ciqfunctions.udf.CIQ($C$2, "IQ_PREF_OTHER", D$6,$F$2,,,Ccy,Conv)</f>
        <v>0</v>
      </c>
      <c r="E399" s="18">
        <f>_xll.ciqfunctions.udf.CIQ($C$2, "IQ_PREF_OTHER", E$6,$F$2,,,Ccy,Conv)</f>
        <v>0</v>
      </c>
      <c r="F399" s="18">
        <f>_xll.ciqfunctions.udf.CIQ($C$2, "IQ_PREF_OTHER", F$6,$F$2,,,Ccy,Conv)</f>
        <v>0</v>
      </c>
      <c r="G399" s="18">
        <f>_xll.ciqfunctions.udf.CIQ($C$2, "IQ_PREF_OTHER", G$6,$F$2,,,Ccy,Conv)</f>
        <v>0</v>
      </c>
      <c r="H399" s="18">
        <f>_xll.ciqfunctions.udf.CIQ($C$2, "IQ_PREF_OTHER", H$6,$F$2,,,Ccy,Conv)</f>
        <v>0</v>
      </c>
      <c r="I399" s="18">
        <f>_xll.ciqfunctions.udf.CIQ($C$2, "IQ_PREF_OTHER", I$6,$F$2,,,Ccy,Conv)</f>
        <v>0</v>
      </c>
      <c r="J399" s="18">
        <f>_xll.ciqfunctions.udf.CIQ($C$2, "IQ_PREF_OTHER", J$6,$F$2,,,Ccy,Conv)</f>
        <v>0</v>
      </c>
      <c r="K399" s="18">
        <f>_xll.ciqfunctions.udf.CIQ($C$2, "IQ_PREF_OTHER", K$6,$F$2,,,Ccy,Conv)</f>
        <v>0</v>
      </c>
      <c r="L399" s="18">
        <f>_xll.ciqfunctions.udf.CIQ($C$2, "IQ_PREF_OTHER", L$6,$F$2,,,Ccy,Conv)</f>
        <v>0</v>
      </c>
      <c r="M399" s="18">
        <f>_xll.ciqfunctions.udf.CIQ($C$2, "IQ_PREF_OTHER", M$6,$F$2,,,Ccy,Conv)</f>
        <v>0</v>
      </c>
      <c r="N399" s="18">
        <f>_xll.ciqfunctions.udf.CIQ($C$2, "IQ_PREF_OTHER", N$6,$F$2,,,Ccy,Conv)</f>
        <v>0</v>
      </c>
      <c r="O399" s="18"/>
      <c r="P399" s="18">
        <f>_xll.ciqfunctions.udf.CIQ($C$2, "IQ_PREF_OTHER", P$6,$F$2,,,Ccy,Conv)</f>
        <v>0</v>
      </c>
      <c r="Q399" s="215"/>
      <c r="R399" s="215"/>
      <c r="S399" s="215"/>
      <c r="T399" s="215"/>
      <c r="U399" s="215"/>
      <c r="V399" s="222"/>
      <c r="W399" s="222"/>
      <c r="X399" s="222"/>
      <c r="Y399" s="215"/>
      <c r="Z399" s="215"/>
      <c r="AA399" s="215"/>
      <c r="AB399" s="215"/>
      <c r="AC399" s="215"/>
      <c r="AD399" s="215"/>
      <c r="AE399" s="215"/>
      <c r="AF399" s="215"/>
      <c r="AG399" s="215"/>
      <c r="AH399" s="215"/>
      <c r="AI399" s="215"/>
      <c r="AJ399" s="215"/>
      <c r="AK399" s="215"/>
      <c r="AL399" s="215"/>
      <c r="AM399" s="215"/>
      <c r="AN399" s="215"/>
      <c r="AO399" s="215"/>
      <c r="AP399" s="215"/>
      <c r="AQ399" s="215"/>
      <c r="AR399" s="215"/>
      <c r="AS399" s="215"/>
      <c r="AT399" s="215"/>
      <c r="AU399" s="215"/>
      <c r="AV399" s="215"/>
      <c r="AW399" s="215"/>
      <c r="AX399" s="215"/>
      <c r="AY399" s="215"/>
      <c r="AZ399" s="215"/>
      <c r="BA399" s="215"/>
      <c r="BB399" s="215"/>
      <c r="BC399" s="215"/>
      <c r="BD399" s="215"/>
      <c r="BE399" s="215"/>
      <c r="BF399" s="215"/>
      <c r="BG399" s="215"/>
      <c r="BH399" s="215"/>
      <c r="BI399" s="215"/>
      <c r="BJ399" s="215"/>
      <c r="BK399" s="215"/>
      <c r="BL399" s="215"/>
      <c r="BM399" s="215"/>
      <c r="BN399" s="215"/>
      <c r="BO399" s="215"/>
      <c r="BP399" s="215"/>
      <c r="BQ399" s="215"/>
      <c r="BR399" s="215"/>
      <c r="BS399" s="215"/>
      <c r="BT399" s="215"/>
      <c r="BU399" s="215"/>
      <c r="BV399" s="215"/>
      <c r="BW399" s="215"/>
      <c r="BX399" s="215"/>
      <c r="BY399" s="215"/>
      <c r="BZ399" s="215"/>
    </row>
    <row r="400" spans="1:78" x14ac:dyDescent="0.2">
      <c r="A400" s="20" t="str">
        <f>'Language Index'!A359</f>
        <v>Total Pref. Equity</v>
      </c>
      <c r="B400" s="1"/>
      <c r="C400" s="1"/>
      <c r="D400" s="25">
        <f>_xll.ciqfunctions.udf.CIQ($C$2, "IQ_PREF_EQUITY", D$6,$F$2,,,Ccy,Conv)</f>
        <v>0</v>
      </c>
      <c r="E400" s="25">
        <f>_xll.ciqfunctions.udf.CIQ($C$2, "IQ_PREF_EQUITY", E$6,$F$2,,,Ccy,Conv)</f>
        <v>0</v>
      </c>
      <c r="F400" s="25">
        <f>_xll.ciqfunctions.udf.CIQ($C$2, "IQ_PREF_EQUITY", F$6,$F$2,,,Ccy,Conv)</f>
        <v>0</v>
      </c>
      <c r="G400" s="25">
        <f>_xll.ciqfunctions.udf.CIQ($C$2, "IQ_PREF_EQUITY", G$6,$F$2,,,Ccy,Conv)</f>
        <v>0</v>
      </c>
      <c r="H400" s="25">
        <f>_xll.ciqfunctions.udf.CIQ($C$2, "IQ_PREF_EQUITY", H$6,$F$2,,,Ccy,Conv)</f>
        <v>0</v>
      </c>
      <c r="I400" s="25">
        <f>_xll.ciqfunctions.udf.CIQ($C$2, "IQ_PREF_EQUITY", I$6,$F$2,,,Ccy,Conv)</f>
        <v>0</v>
      </c>
      <c r="J400" s="25">
        <f>_xll.ciqfunctions.udf.CIQ($C$2, "IQ_PREF_EQUITY", J$6,$F$2,,,Ccy,Conv)</f>
        <v>0</v>
      </c>
      <c r="K400" s="25">
        <f>_xll.ciqfunctions.udf.CIQ($C$2, "IQ_PREF_EQUITY", K$6,$F$2,,,Ccy,Conv)</f>
        <v>0</v>
      </c>
      <c r="L400" s="25">
        <f>_xll.ciqfunctions.udf.CIQ($C$2, "IQ_PREF_EQUITY", L$6,$F$2,,,Ccy,Conv)</f>
        <v>0</v>
      </c>
      <c r="M400" s="25">
        <f>_xll.ciqfunctions.udf.CIQ($C$2, "IQ_PREF_EQUITY", M$6,$F$2,,,Ccy,Conv)</f>
        <v>0</v>
      </c>
      <c r="N400" s="25">
        <f>_xll.ciqfunctions.udf.CIQ($C$2, "IQ_PREF_EQUITY", N$6,$F$2,,,Ccy,Conv)</f>
        <v>0</v>
      </c>
      <c r="O400" s="22"/>
      <c r="P400" s="25">
        <f>_xll.ciqfunctions.udf.CIQ($C$2, "IQ_PREF_EQUITY", P$6,$F$2,,,Ccy,Conv)</f>
        <v>0</v>
      </c>
      <c r="Q400" s="215"/>
      <c r="R400" s="215"/>
      <c r="S400" s="215"/>
      <c r="T400" s="215"/>
      <c r="U400" s="215"/>
      <c r="V400" s="222"/>
      <c r="W400" s="222"/>
      <c r="X400" s="222"/>
      <c r="Y400" s="215"/>
      <c r="Z400" s="215"/>
      <c r="AA400" s="215"/>
      <c r="AB400" s="215"/>
      <c r="AC400" s="215"/>
      <c r="AD400" s="215"/>
      <c r="AE400" s="215"/>
      <c r="AF400" s="215"/>
      <c r="AG400" s="215"/>
      <c r="AH400" s="215"/>
      <c r="AI400" s="215"/>
      <c r="AJ400" s="215"/>
      <c r="AK400" s="215"/>
      <c r="AL400" s="215"/>
      <c r="AM400" s="215"/>
      <c r="AN400" s="215"/>
      <c r="AO400" s="215"/>
      <c r="AP400" s="215"/>
      <c r="AQ400" s="215"/>
      <c r="AR400" s="215"/>
      <c r="AS400" s="215"/>
      <c r="AT400" s="215"/>
      <c r="AU400" s="215"/>
      <c r="AV400" s="215"/>
      <c r="AW400" s="215"/>
      <c r="AX400" s="215"/>
      <c r="AY400" s="215"/>
      <c r="AZ400" s="215"/>
      <c r="BA400" s="215"/>
      <c r="BB400" s="215"/>
      <c r="BC400" s="215"/>
      <c r="BD400" s="215"/>
      <c r="BE400" s="215"/>
      <c r="BF400" s="215"/>
      <c r="BG400" s="215"/>
      <c r="BH400" s="215"/>
      <c r="BI400" s="215"/>
      <c r="BJ400" s="215"/>
      <c r="BK400" s="215"/>
      <c r="BL400" s="215"/>
      <c r="BM400" s="215"/>
      <c r="BN400" s="215"/>
      <c r="BO400" s="215"/>
      <c r="BP400" s="215"/>
      <c r="BQ400" s="215"/>
      <c r="BR400" s="215"/>
      <c r="BS400" s="215"/>
      <c r="BT400" s="215"/>
      <c r="BU400" s="215"/>
      <c r="BV400" s="215"/>
      <c r="BW400" s="215"/>
      <c r="BX400" s="215"/>
      <c r="BY400" s="215"/>
      <c r="BZ400" s="215"/>
    </row>
    <row r="401" spans="1:78" x14ac:dyDescent="0.2">
      <c r="A401" s="17"/>
      <c r="B401" s="16"/>
      <c r="C401" s="16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232"/>
      <c r="R401" s="215"/>
      <c r="S401" s="215"/>
      <c r="T401" s="215"/>
      <c r="U401" s="215"/>
      <c r="V401" s="222"/>
      <c r="W401" s="222"/>
      <c r="X401" s="222"/>
      <c r="Y401" s="215"/>
      <c r="Z401" s="215"/>
      <c r="AA401" s="215"/>
      <c r="AB401" s="215"/>
      <c r="AC401" s="215"/>
      <c r="AD401" s="215"/>
      <c r="AE401" s="215"/>
      <c r="AF401" s="215"/>
      <c r="AG401" s="215"/>
      <c r="AH401" s="215"/>
      <c r="AI401" s="215"/>
      <c r="AJ401" s="215"/>
      <c r="AK401" s="215"/>
      <c r="AL401" s="215"/>
      <c r="AM401" s="215"/>
      <c r="AN401" s="215"/>
      <c r="AO401" s="215"/>
      <c r="AP401" s="215"/>
      <c r="AQ401" s="215"/>
      <c r="AR401" s="215"/>
      <c r="AS401" s="215"/>
      <c r="AT401" s="215"/>
      <c r="AU401" s="215"/>
      <c r="AV401" s="215"/>
      <c r="AW401" s="215"/>
      <c r="AX401" s="215"/>
      <c r="AY401" s="215"/>
      <c r="AZ401" s="215"/>
      <c r="BA401" s="215"/>
      <c r="BB401" s="215"/>
      <c r="BC401" s="215"/>
      <c r="BD401" s="215"/>
      <c r="BE401" s="215"/>
      <c r="BF401" s="215"/>
      <c r="BG401" s="215"/>
      <c r="BH401" s="215"/>
      <c r="BI401" s="215"/>
      <c r="BJ401" s="215"/>
      <c r="BK401" s="215"/>
      <c r="BL401" s="215"/>
      <c r="BM401" s="215"/>
      <c r="BN401" s="215"/>
      <c r="BO401" s="215"/>
      <c r="BP401" s="215"/>
      <c r="BQ401" s="215"/>
      <c r="BR401" s="215"/>
      <c r="BS401" s="215"/>
      <c r="BT401" s="215"/>
      <c r="BU401" s="215"/>
      <c r="BV401" s="215"/>
      <c r="BW401" s="215"/>
      <c r="BX401" s="215"/>
      <c r="BY401" s="215"/>
      <c r="BZ401" s="215"/>
    </row>
    <row r="402" spans="1:78" x14ac:dyDescent="0.2">
      <c r="A402" s="2" t="str">
        <f>'Language Index'!A360</f>
        <v>Common Stock</v>
      </c>
      <c r="B402" s="17"/>
      <c r="C402" s="17"/>
      <c r="D402" s="18">
        <f>_xll.ciqfunctions.udf.CIQ($C$2, "IQ_COMMON", D$6,$F$2,,,Ccy,Conv)</f>
        <v>58963</v>
      </c>
      <c r="E402" s="18">
        <f>_xll.ciqfunctions.udf.CIQ($C$2, "IQ_COMMON", E$6,$F$2,,,Ccy,Conv)</f>
        <v>59313</v>
      </c>
      <c r="F402" s="18">
        <f>_xll.ciqfunctions.udf.CIQ($C$2, "IQ_COMMON", F$6,$F$2,,,Ccy,Conv)</f>
        <v>59643</v>
      </c>
      <c r="G402" s="18">
        <f>_xll.ciqfunctions.udf.CIQ($C$2, "IQ_COMMON", G$6,$F$2,,,Ccy,Conv)</f>
        <v>60145</v>
      </c>
      <c r="H402" s="18">
        <f>_xll.ciqfunctions.udf.CIQ($C$2, "IQ_COMMON", H$6,$F$2,,,Ccy,Conv)</f>
        <v>60501</v>
      </c>
      <c r="I402" s="18">
        <f>_xll.ciqfunctions.udf.CIQ($C$2, "IQ_COMMON", I$6,$F$2,,,Ccy,Conv)</f>
        <v>61013</v>
      </c>
      <c r="J402" s="18">
        <f>_xll.ciqfunctions.udf.CIQ($C$2, "IQ_COMMON", J$6,$F$2,,,Ccy,Conv)</f>
        <v>61380</v>
      </c>
      <c r="K402" s="18">
        <f>_xll.ciqfunctions.udf.CIQ($C$2, "IQ_COMMON", K$6,$F$2,,,Ccy,Conv)</f>
        <v>61913</v>
      </c>
      <c r="L402" s="18">
        <f>_xll.ciqfunctions.udf.CIQ($C$2, "IQ_COMMON", L$6,$F$2,,,Ccy,Conv)</f>
        <v>62392</v>
      </c>
      <c r="M402" s="18">
        <f>_xll.ciqfunctions.udf.CIQ($C$2, "IQ_COMMON", M$6,$F$2,,,Ccy,Conv)</f>
        <v>62819</v>
      </c>
      <c r="N402" s="18">
        <f>_xll.ciqfunctions.udf.CIQ($C$2, "IQ_COMMON", N$6,$F$2,,,Ccy,Conv)</f>
        <v>63318</v>
      </c>
      <c r="O402" s="18"/>
      <c r="P402" s="18">
        <f>_xll.ciqfunctions.udf.CIQ($C$2, "IQ_COMMON", P$6,$F$2,,,Ccy,Conv)</f>
        <v>63318</v>
      </c>
      <c r="Q402" s="232"/>
      <c r="R402" s="215"/>
      <c r="S402" s="215"/>
      <c r="T402" s="215"/>
      <c r="U402" s="215"/>
      <c r="V402" s="222"/>
      <c r="W402" s="222"/>
      <c r="X402" s="222"/>
      <c r="Y402" s="215"/>
      <c r="Z402" s="215"/>
      <c r="AA402" s="215"/>
      <c r="AB402" s="215"/>
      <c r="AC402" s="215"/>
      <c r="AD402" s="215"/>
      <c r="AE402" s="215"/>
      <c r="AF402" s="215"/>
      <c r="AG402" s="215"/>
      <c r="AH402" s="215"/>
      <c r="AI402" s="215"/>
      <c r="AJ402" s="215"/>
      <c r="AK402" s="215"/>
      <c r="AL402" s="215"/>
      <c r="AM402" s="215"/>
      <c r="AN402" s="215"/>
      <c r="AO402" s="215"/>
      <c r="AP402" s="215"/>
      <c r="AQ402" s="215"/>
      <c r="AR402" s="215"/>
      <c r="AS402" s="215"/>
      <c r="AT402" s="215"/>
      <c r="AU402" s="215"/>
      <c r="AV402" s="215"/>
      <c r="AW402" s="215"/>
      <c r="AX402" s="215"/>
      <c r="AY402" s="215"/>
      <c r="AZ402" s="215"/>
      <c r="BA402" s="215"/>
      <c r="BB402" s="215"/>
      <c r="BC402" s="215"/>
      <c r="BD402" s="215"/>
      <c r="BE402" s="215"/>
      <c r="BF402" s="215"/>
      <c r="BG402" s="215"/>
      <c r="BH402" s="215"/>
      <c r="BI402" s="215"/>
      <c r="BJ402" s="215"/>
      <c r="BK402" s="215"/>
      <c r="BL402" s="215"/>
      <c r="BM402" s="215"/>
      <c r="BN402" s="215"/>
      <c r="BO402" s="215"/>
      <c r="BP402" s="215"/>
      <c r="BQ402" s="215"/>
      <c r="BR402" s="215"/>
      <c r="BS402" s="215"/>
      <c r="BT402" s="215"/>
      <c r="BU402" s="215"/>
      <c r="BV402" s="215"/>
      <c r="BW402" s="215"/>
      <c r="BX402" s="215"/>
      <c r="BY402" s="215"/>
      <c r="BZ402" s="215"/>
    </row>
    <row r="403" spans="1:78" x14ac:dyDescent="0.2">
      <c r="A403" s="2" t="str">
        <f>'Language Index'!A361</f>
        <v>Additional Paid In Capital</v>
      </c>
      <c r="B403" s="17"/>
      <c r="C403" s="17"/>
      <c r="D403" s="18">
        <f>_xll.ciqfunctions.udf.CIQ($C$2, "IQ_APIC", D$6,$F$2,,,Ccy,Conv)</f>
        <v>0</v>
      </c>
      <c r="E403" s="18">
        <f>_xll.ciqfunctions.udf.CIQ($C$2, "IQ_APIC", E$6,$F$2,,,Ccy,Conv)</f>
        <v>0</v>
      </c>
      <c r="F403" s="18">
        <f>_xll.ciqfunctions.udf.CIQ($C$2, "IQ_APIC", F$6,$F$2,,,Ccy,Conv)</f>
        <v>0</v>
      </c>
      <c r="G403" s="18">
        <f>_xll.ciqfunctions.udf.CIQ($C$2, "IQ_APIC", G$6,$F$2,,,Ccy,Conv)</f>
        <v>0</v>
      </c>
      <c r="H403" s="18">
        <f>_xll.ciqfunctions.udf.CIQ($C$2, "IQ_APIC", H$6,$F$2,,,Ccy,Conv)</f>
        <v>0</v>
      </c>
      <c r="I403" s="18">
        <f>_xll.ciqfunctions.udf.CIQ($C$2, "IQ_APIC", I$6,$F$2,,,Ccy,Conv)</f>
        <v>0</v>
      </c>
      <c r="J403" s="18">
        <f>_xll.ciqfunctions.udf.CIQ($C$2, "IQ_APIC", J$6,$F$2,,,Ccy,Conv)</f>
        <v>0</v>
      </c>
      <c r="K403" s="18">
        <f>_xll.ciqfunctions.udf.CIQ($C$2, "IQ_APIC", K$6,$F$2,,,Ccy,Conv)</f>
        <v>0</v>
      </c>
      <c r="L403" s="18">
        <f>_xll.ciqfunctions.udf.CIQ($C$2, "IQ_APIC", L$6,$F$2,,,Ccy,Conv)</f>
        <v>0</v>
      </c>
      <c r="M403" s="18">
        <f>_xll.ciqfunctions.udf.CIQ($C$2, "IQ_APIC", M$6,$F$2,,,Ccy,Conv)</f>
        <v>0</v>
      </c>
      <c r="N403" s="18">
        <f>_xll.ciqfunctions.udf.CIQ($C$2, "IQ_APIC", N$6,$F$2,,,Ccy,Conv)</f>
        <v>0</v>
      </c>
      <c r="O403" s="18"/>
      <c r="P403" s="18">
        <f>_xll.ciqfunctions.udf.CIQ($C$2, "IQ_APIC", P$6,$F$2,,,Ccy,Conv)</f>
        <v>0</v>
      </c>
      <c r="Q403" s="215"/>
      <c r="R403" s="215"/>
      <c r="S403" s="215"/>
      <c r="T403" s="215"/>
      <c r="U403" s="215"/>
      <c r="V403" s="222"/>
      <c r="W403" s="222"/>
      <c r="X403" s="222"/>
      <c r="Y403" s="215"/>
      <c r="Z403" s="215"/>
      <c r="AA403" s="215"/>
      <c r="AB403" s="215"/>
      <c r="AC403" s="215"/>
      <c r="AD403" s="215"/>
      <c r="AE403" s="232"/>
      <c r="AF403" s="215"/>
      <c r="AG403" s="215"/>
      <c r="AH403" s="215"/>
      <c r="AI403" s="215"/>
      <c r="AJ403" s="215"/>
      <c r="AK403" s="215"/>
      <c r="AL403" s="215"/>
      <c r="AM403" s="215"/>
      <c r="AN403" s="215"/>
      <c r="AO403" s="215"/>
      <c r="AP403" s="215"/>
      <c r="AQ403" s="215"/>
      <c r="AR403" s="215"/>
      <c r="AS403" s="215"/>
      <c r="AT403" s="215"/>
      <c r="AU403" s="215"/>
      <c r="AV403" s="215"/>
      <c r="AW403" s="215"/>
      <c r="AX403" s="215"/>
      <c r="AY403" s="215"/>
      <c r="AZ403" s="215"/>
      <c r="BA403" s="215"/>
      <c r="BB403" s="215"/>
      <c r="BC403" s="215"/>
      <c r="BD403" s="215"/>
      <c r="BE403" s="215"/>
      <c r="BF403" s="215"/>
      <c r="BG403" s="215"/>
      <c r="BH403" s="215"/>
      <c r="BI403" s="215"/>
      <c r="BJ403" s="215"/>
      <c r="BK403" s="215"/>
      <c r="BL403" s="215"/>
      <c r="BM403" s="215"/>
      <c r="BN403" s="215"/>
      <c r="BO403" s="215"/>
      <c r="BP403" s="215"/>
      <c r="BQ403" s="215"/>
      <c r="BR403" s="215"/>
      <c r="BS403" s="215"/>
      <c r="BT403" s="215"/>
      <c r="BU403" s="215"/>
      <c r="BV403" s="215"/>
      <c r="BW403" s="215"/>
      <c r="BX403" s="215"/>
      <c r="BY403" s="215"/>
      <c r="BZ403" s="215"/>
    </row>
    <row r="404" spans="1:78" x14ac:dyDescent="0.2">
      <c r="A404" s="2" t="str">
        <f>'Language Index'!A362</f>
        <v>Retained Earnings</v>
      </c>
      <c r="B404" s="17"/>
      <c r="C404" s="17"/>
      <c r="D404" s="18">
        <f>_xll.ciqfunctions.udf.CIQ($C$2, "IQ_RE", D$6,$F$2,,,Ccy,Conv)</f>
        <v>149318</v>
      </c>
      <c r="E404" s="18">
        <f>_xll.ciqfunctions.udf.CIQ($C$2, "IQ_RE", E$6,$F$2,,,Ccy,Conv)</f>
        <v>149506</v>
      </c>
      <c r="F404" s="18">
        <f>_xll.ciqfunctions.udf.CIQ($C$2, "IQ_RE", F$6,$F$2,,,Ccy,Conv)</f>
        <v>151276</v>
      </c>
      <c r="G404" s="18">
        <f>_xll.ciqfunctions.udf.CIQ($C$2, "IQ_RE", G$6,$F$2,,,Ccy,Conv)</f>
        <v>151362</v>
      </c>
      <c r="H404" s="18">
        <f>_xll.ciqfunctions.udf.CIQ($C$2, "IQ_RE", H$6,$F$2,,,Ccy,Conv)</f>
        <v>151659</v>
      </c>
      <c r="I404" s="18">
        <f>_xll.ciqfunctions.udf.CIQ($C$2, "IQ_RE", I$6,$F$2,,,Ccy,Conv)</f>
        <v>149789</v>
      </c>
      <c r="J404" s="18">
        <f>_xll.ciqfunctions.udf.CIQ($C$2, "IQ_RE", J$6,$F$2,,,Ccy,Conv)</f>
        <v>151163</v>
      </c>
      <c r="K404" s="18">
        <f>_xll.ciqfunctions.udf.CIQ($C$2, "IQ_RE", K$6,$F$2,,,Ccy,Conv)</f>
        <v>150703</v>
      </c>
      <c r="L404" s="18">
        <f>_xll.ciqfunctions.udf.CIQ($C$2, "IQ_RE", L$6,$F$2,,,Ccy,Conv)</f>
        <v>151367</v>
      </c>
      <c r="M404" s="18">
        <f>_xll.ciqfunctions.udf.CIQ($C$2, "IQ_RE", M$6,$F$2,,,Ccy,Conv)</f>
        <v>151581</v>
      </c>
      <c r="N404" s="18">
        <f>_xll.ciqfunctions.udf.CIQ($C$2, "IQ_RE", N$6,$F$2,,,Ccy,Conv)</f>
        <v>155648</v>
      </c>
      <c r="O404" s="18"/>
      <c r="P404" s="18">
        <f>_xll.ciqfunctions.udf.CIQ($C$2, "IQ_RE", P$6,$F$2,,,Ccy,Conv)</f>
        <v>155648</v>
      </c>
      <c r="Q404" s="232"/>
      <c r="R404" s="215"/>
      <c r="S404" s="215"/>
      <c r="T404" s="215"/>
      <c r="U404" s="215"/>
      <c r="V404" s="222"/>
      <c r="W404" s="222"/>
      <c r="X404" s="222"/>
      <c r="Y404" s="215"/>
      <c r="Z404" s="215"/>
      <c r="AA404" s="215"/>
      <c r="AB404" s="215"/>
      <c r="AC404" s="215"/>
      <c r="AD404" s="215"/>
      <c r="AE404" s="215"/>
      <c r="AF404" s="215"/>
      <c r="AG404" s="215"/>
      <c r="AH404" s="215"/>
      <c r="AI404" s="215"/>
      <c r="AJ404" s="215"/>
      <c r="AK404" s="215"/>
      <c r="AL404" s="215"/>
      <c r="AM404" s="215"/>
      <c r="AN404" s="215"/>
      <c r="AO404" s="215"/>
      <c r="AP404" s="215"/>
      <c r="AQ404" s="215"/>
      <c r="AR404" s="215"/>
      <c r="AS404" s="215"/>
      <c r="AT404" s="215"/>
      <c r="AU404" s="215"/>
      <c r="AV404" s="215"/>
      <c r="AW404" s="215"/>
      <c r="AX404" s="215"/>
      <c r="AY404" s="215"/>
      <c r="AZ404" s="215"/>
      <c r="BA404" s="215"/>
      <c r="BB404" s="215"/>
      <c r="BC404" s="215"/>
      <c r="BD404" s="215"/>
      <c r="BE404" s="215"/>
      <c r="BF404" s="215"/>
      <c r="BG404" s="215"/>
      <c r="BH404" s="215"/>
      <c r="BI404" s="215"/>
      <c r="BJ404" s="215"/>
      <c r="BK404" s="215"/>
      <c r="BL404" s="215"/>
      <c r="BM404" s="215"/>
      <c r="BN404" s="215"/>
      <c r="BO404" s="215"/>
      <c r="BP404" s="215"/>
      <c r="BQ404" s="215"/>
      <c r="BR404" s="215"/>
      <c r="BS404" s="215"/>
      <c r="BT404" s="215"/>
      <c r="BU404" s="215"/>
      <c r="BV404" s="215"/>
      <c r="BW404" s="215"/>
      <c r="BX404" s="215"/>
      <c r="BY404" s="215"/>
      <c r="BZ404" s="215"/>
    </row>
    <row r="405" spans="1:78" x14ac:dyDescent="0.2">
      <c r="A405" s="2" t="str">
        <f>'Language Index'!A363</f>
        <v>Treasury Stock</v>
      </c>
      <c r="B405" s="17"/>
      <c r="C405" s="17"/>
      <c r="D405" s="18">
        <f>_xll.ciqfunctions.udf.CIQ($C$2, "IQ_TREASURY", D$6,$F$2,,,Ccy,Conv)</f>
        <v>-169581</v>
      </c>
      <c r="E405" s="18">
        <f>_xll.ciqfunctions.udf.CIQ($C$2, "IQ_TREASURY", E$6,$F$2,,,Ccy,Conv)</f>
        <v>-169640</v>
      </c>
      <c r="F405" s="18">
        <f>_xll.ciqfunctions.udf.CIQ($C$2, "IQ_TREASURY", F$6,$F$2,,,Ccy,Conv)</f>
        <v>-169624</v>
      </c>
      <c r="G405" s="18">
        <f>_xll.ciqfunctions.udf.CIQ($C$2, "IQ_TREASURY", G$6,$F$2,,,Ccy,Conv)</f>
        <v>-169759</v>
      </c>
      <c r="H405" s="18">
        <f>_xll.ciqfunctions.udf.CIQ($C$2, "IQ_TREASURY", H$6,$F$2,,,Ccy,Conv)</f>
        <v>-169815</v>
      </c>
      <c r="I405" s="18">
        <f>_xll.ciqfunctions.udf.CIQ($C$2, "IQ_TREASURY", I$6,$F$2,,,Ccy,Conv)</f>
        <v>-169935</v>
      </c>
      <c r="J405" s="18">
        <f>_xll.ciqfunctions.udf.CIQ($C$2, "IQ_TREASURY", J$6,$F$2,,,Ccy,Conv)</f>
        <v>-169968</v>
      </c>
      <c r="K405" s="18">
        <f>_xll.ciqfunctions.udf.CIQ($C$2, "IQ_TREASURY", K$6,$F$2,,,Ccy,Conv)</f>
        <v>-170160</v>
      </c>
      <c r="L405" s="18">
        <f>_xll.ciqfunctions.udf.CIQ($C$2, "IQ_TREASURY", L$6,$F$2,,,Ccy,Conv)</f>
        <v>-170209</v>
      </c>
      <c r="M405" s="18">
        <f>_xll.ciqfunctions.udf.CIQ($C$2, "IQ_TREASURY", M$6,$F$2,,,Ccy,Conv)</f>
        <v>-170512</v>
      </c>
      <c r="N405" s="18">
        <f>_xll.ciqfunctions.udf.CIQ($C$2, "IQ_TREASURY", N$6,$F$2,,,Ccy,Conv)</f>
        <v>-170605</v>
      </c>
      <c r="O405" s="18"/>
      <c r="P405" s="18">
        <f>_xll.ciqfunctions.udf.CIQ($C$2, "IQ_TREASURY", P$6,$F$2,,,Ccy,Conv)</f>
        <v>-170605</v>
      </c>
      <c r="Q405" s="232"/>
      <c r="R405" s="215"/>
      <c r="S405" s="215"/>
      <c r="T405" s="215"/>
      <c r="U405" s="215"/>
      <c r="V405" s="222"/>
      <c r="W405" s="222"/>
      <c r="X405" s="222"/>
      <c r="Y405" s="215"/>
      <c r="Z405" s="215"/>
      <c r="AA405" s="215"/>
      <c r="AB405" s="215"/>
      <c r="AC405" s="215"/>
      <c r="AD405" s="215"/>
      <c r="AE405" s="215"/>
      <c r="AF405" s="215"/>
      <c r="AG405" s="215"/>
      <c r="AH405" s="215"/>
      <c r="AI405" s="215"/>
      <c r="AJ405" s="215"/>
      <c r="AK405" s="215"/>
      <c r="AL405" s="215"/>
      <c r="AM405" s="215"/>
      <c r="AN405" s="215"/>
      <c r="AO405" s="215"/>
      <c r="AP405" s="215"/>
      <c r="AQ405" s="215"/>
      <c r="AR405" s="215"/>
      <c r="AS405" s="215"/>
      <c r="AT405" s="215"/>
      <c r="AU405" s="215"/>
      <c r="AV405" s="215"/>
      <c r="AW405" s="215"/>
      <c r="AX405" s="215"/>
      <c r="AY405" s="215"/>
      <c r="AZ405" s="215"/>
      <c r="BA405" s="215"/>
      <c r="BB405" s="215"/>
      <c r="BC405" s="215"/>
      <c r="BD405" s="215"/>
      <c r="BE405" s="215"/>
      <c r="BF405" s="215"/>
      <c r="BG405" s="215"/>
      <c r="BH405" s="215"/>
      <c r="BI405" s="215"/>
      <c r="BJ405" s="215"/>
      <c r="BK405" s="215"/>
      <c r="BL405" s="215"/>
      <c r="BM405" s="215"/>
      <c r="BN405" s="215"/>
      <c r="BO405" s="215"/>
      <c r="BP405" s="215"/>
      <c r="BQ405" s="215"/>
      <c r="BR405" s="215"/>
      <c r="BS405" s="215"/>
      <c r="BT405" s="215"/>
      <c r="BU405" s="215"/>
      <c r="BV405" s="215"/>
      <c r="BW405" s="215"/>
      <c r="BX405" s="215"/>
      <c r="BY405" s="215"/>
      <c r="BZ405" s="215"/>
    </row>
    <row r="406" spans="1:78" x14ac:dyDescent="0.2">
      <c r="A406" s="2" t="str">
        <f>'Language Index'!A364</f>
        <v>Comprehensive Inc. and Other</v>
      </c>
      <c r="B406" s="17"/>
      <c r="C406" s="17"/>
      <c r="D406" s="18">
        <f>_xll.ciqfunctions.udf.CIQ($C$2, "IQ_OTHER_EQUITY", D$6,$F$2,,,Ccy,Conv)</f>
        <v>-16499</v>
      </c>
      <c r="E406" s="18">
        <f>_xll.ciqfunctions.udf.CIQ($C$2, "IQ_OTHER_EQUITY", E$6,$F$2,,,Ccy,Conv)</f>
        <v>-16098</v>
      </c>
      <c r="F406" s="18">
        <f>_xll.ciqfunctions.udf.CIQ($C$2, "IQ_OTHER_EQUITY", F$6,$F$2,,,Ccy,Conv)</f>
        <v>-18762</v>
      </c>
      <c r="G406" s="18">
        <f>_xll.ciqfunctions.udf.CIQ($C$2, "IQ_OTHER_EQUITY", G$6,$F$2,,,Ccy,Conv)</f>
        <v>-18487</v>
      </c>
      <c r="H406" s="18">
        <f>_xll.ciqfunctions.udf.CIQ($C$2, "IQ_OTHER_EQUITY", H$6,$F$2,,,Ccy,Conv)</f>
        <v>-18319</v>
      </c>
      <c r="I406" s="18">
        <f>_xll.ciqfunctions.udf.CIQ($C$2, "IQ_OTHER_EQUITY", I$6,$F$2,,,Ccy,Conv)</f>
        <v>-16419</v>
      </c>
      <c r="J406" s="18">
        <f>_xll.ciqfunctions.udf.CIQ($C$2, "IQ_OTHER_EQUITY", J$6,$F$2,,,Ccy,Conv)</f>
        <v>-15268</v>
      </c>
      <c r="K406" s="18">
        <f>_xll.ciqfunctions.udf.CIQ($C$2, "IQ_OTHER_EQUITY", K$6,$F$2,,,Ccy,Conv)</f>
        <v>-15576</v>
      </c>
      <c r="L406" s="18">
        <f>_xll.ciqfunctions.udf.CIQ($C$2, "IQ_OTHER_EQUITY", L$6,$F$2,,,Ccy,Conv)</f>
        <v>-16041</v>
      </c>
      <c r="M406" s="18">
        <f>_xll.ciqfunctions.udf.CIQ($C$2, "IQ_OTHER_EQUITY", M$6,$F$2,,,Ccy,Conv)</f>
        <v>-15983</v>
      </c>
      <c r="N406" s="18">
        <f>_xll.ciqfunctions.udf.CIQ($C$2, "IQ_OTHER_EQUITY", N$6,$F$2,,,Ccy,Conv)</f>
        <v>-15713</v>
      </c>
      <c r="O406" s="18"/>
      <c r="P406" s="18">
        <f>_xll.ciqfunctions.udf.CIQ($C$2, "IQ_OTHER_EQUITY", P$6,$F$2,,,Ccy,Conv)</f>
        <v>-15713</v>
      </c>
      <c r="Q406" s="232"/>
      <c r="R406" s="215"/>
      <c r="S406" s="215"/>
      <c r="T406" s="215"/>
      <c r="U406" s="215"/>
      <c r="V406" s="222"/>
      <c r="W406" s="222"/>
      <c r="X406" s="222"/>
      <c r="Y406" s="215"/>
      <c r="Z406" s="215"/>
      <c r="AA406" s="215"/>
      <c r="AB406" s="215"/>
      <c r="AC406" s="215"/>
      <c r="AD406" s="215"/>
      <c r="AE406" s="215"/>
      <c r="AF406" s="215"/>
      <c r="AG406" s="215"/>
      <c r="AH406" s="215"/>
      <c r="AI406" s="215"/>
      <c r="AJ406" s="215"/>
      <c r="AK406" s="215"/>
      <c r="AL406" s="215"/>
      <c r="AM406" s="215"/>
      <c r="AN406" s="215"/>
      <c r="AO406" s="215"/>
      <c r="AP406" s="215"/>
      <c r="AQ406" s="215"/>
      <c r="AR406" s="215"/>
      <c r="AS406" s="215"/>
      <c r="AT406" s="215"/>
      <c r="AU406" s="215"/>
      <c r="AV406" s="215"/>
      <c r="AW406" s="215"/>
      <c r="AX406" s="215"/>
      <c r="AY406" s="215"/>
      <c r="AZ406" s="215"/>
      <c r="BA406" s="215"/>
      <c r="BB406" s="215"/>
      <c r="BC406" s="215"/>
      <c r="BD406" s="215"/>
      <c r="BE406" s="215"/>
      <c r="BF406" s="215"/>
      <c r="BG406" s="215"/>
      <c r="BH406" s="215"/>
      <c r="BI406" s="215"/>
      <c r="BJ406" s="215"/>
      <c r="BK406" s="215"/>
      <c r="BL406" s="215"/>
      <c r="BM406" s="215"/>
      <c r="BN406" s="215"/>
      <c r="BO406" s="215"/>
      <c r="BP406" s="215"/>
      <c r="BQ406" s="215"/>
      <c r="BR406" s="215"/>
      <c r="BS406" s="215"/>
      <c r="BT406" s="215"/>
      <c r="BU406" s="215"/>
      <c r="BV406" s="215"/>
      <c r="BW406" s="215"/>
      <c r="BX406" s="215"/>
      <c r="BY406" s="215"/>
      <c r="BZ406" s="215"/>
    </row>
    <row r="407" spans="1:78" x14ac:dyDescent="0.2">
      <c r="A407" s="20" t="str">
        <f>'Language Index'!A365</f>
        <v>Total Common Equity</v>
      </c>
      <c r="B407" s="20"/>
      <c r="C407" s="20"/>
      <c r="D407" s="21">
        <f>_xll.ciqfunctions.udf.CIQ($C$2, "IQ_TOTAL_COMMON_EQUITY", D$6,$F$2,,,Ccy,Conv)</f>
        <v>22201</v>
      </c>
      <c r="E407" s="21">
        <f>_xll.ciqfunctions.udf.CIQ($C$2, "IQ_TOTAL_COMMON_EQUITY", E$6,$F$2,,,Ccy,Conv)</f>
        <v>23081</v>
      </c>
      <c r="F407" s="21">
        <f>_xll.ciqfunctions.udf.CIQ($C$2, "IQ_TOTAL_COMMON_EQUITY", F$6,$F$2,,,Ccy,Conv)</f>
        <v>22533</v>
      </c>
      <c r="G407" s="21">
        <f>_xll.ciqfunctions.udf.CIQ($C$2, "IQ_TOTAL_COMMON_EQUITY", G$6,$F$2,,,Ccy,Conv)</f>
        <v>23261</v>
      </c>
      <c r="H407" s="21">
        <f>_xll.ciqfunctions.udf.CIQ($C$2, "IQ_TOTAL_COMMON_EQUITY", H$6,$F$2,,,Ccy,Conv)</f>
        <v>24026</v>
      </c>
      <c r="I407" s="21">
        <f>_xll.ciqfunctions.udf.CIQ($C$2, "IQ_TOTAL_COMMON_EQUITY", I$6,$F$2,,,Ccy,Conv)</f>
        <v>24448</v>
      </c>
      <c r="J407" s="21">
        <f>_xll.ciqfunctions.udf.CIQ($C$2, "IQ_TOTAL_COMMON_EQUITY", J$6,$F$2,,,Ccy,Conv)</f>
        <v>27307</v>
      </c>
      <c r="K407" s="21">
        <f>_xll.ciqfunctions.udf.CIQ($C$2, "IQ_TOTAL_COMMON_EQUITY", K$6,$F$2,,,Ccy,Conv)</f>
        <v>26880</v>
      </c>
      <c r="L407" s="21">
        <f>_xll.ciqfunctions.udf.CIQ($C$2, "IQ_TOTAL_COMMON_EQUITY", L$6,$F$2,,,Ccy,Conv)</f>
        <v>27509</v>
      </c>
      <c r="M407" s="21">
        <f>_xll.ciqfunctions.udf.CIQ($C$2, "IQ_TOTAL_COMMON_EQUITY", M$6,$F$2,,,Ccy,Conv)</f>
        <v>27905</v>
      </c>
      <c r="N407" s="21">
        <f>_xll.ciqfunctions.udf.CIQ($C$2, "IQ_TOTAL_COMMON_EQUITY", N$6,$F$2,,,Ccy,Conv)</f>
        <v>32648</v>
      </c>
      <c r="O407" s="22"/>
      <c r="P407" s="21">
        <f>_xll.ciqfunctions.udf.CIQ($C$2, "IQ_TOTAL_COMMON_EQUITY", P$6,$F$2,,,Ccy,Conv)</f>
        <v>32648</v>
      </c>
      <c r="Q407" s="215"/>
      <c r="R407" s="215"/>
      <c r="S407" s="215"/>
      <c r="T407" s="215"/>
      <c r="U407" s="215"/>
      <c r="V407" s="222"/>
      <c r="W407" s="222"/>
      <c r="X407" s="222"/>
      <c r="Y407" s="241"/>
      <c r="Z407" s="241"/>
      <c r="AA407" s="241"/>
      <c r="AB407" s="241"/>
      <c r="AC407" s="241"/>
      <c r="AD407" s="241"/>
      <c r="AE407" s="215"/>
      <c r="AF407" s="215"/>
      <c r="AG407" s="215"/>
      <c r="AH407" s="241"/>
      <c r="AI407" s="215"/>
      <c r="AJ407" s="215"/>
      <c r="AK407" s="215"/>
      <c r="AL407" s="215"/>
      <c r="AM407" s="215"/>
      <c r="AN407" s="215"/>
      <c r="AO407" s="215"/>
      <c r="AP407" s="215"/>
      <c r="AQ407" s="215"/>
      <c r="AR407" s="215"/>
      <c r="AS407" s="215"/>
      <c r="AT407" s="215"/>
      <c r="AU407" s="215"/>
      <c r="AV407" s="215"/>
      <c r="AW407" s="215"/>
      <c r="AX407" s="215"/>
      <c r="AY407" s="215"/>
      <c r="AZ407" s="215"/>
      <c r="BA407" s="215"/>
      <c r="BB407" s="215"/>
      <c r="BC407" s="215"/>
      <c r="BD407" s="215"/>
      <c r="BE407" s="215"/>
      <c r="BF407" s="215"/>
      <c r="BG407" s="215"/>
      <c r="BH407" s="215"/>
      <c r="BI407" s="215"/>
      <c r="BJ407" s="215"/>
      <c r="BK407" s="215"/>
      <c r="BL407" s="215"/>
      <c r="BM407" s="215"/>
      <c r="BN407" s="215"/>
      <c r="BO407" s="215"/>
      <c r="BP407" s="215"/>
      <c r="BQ407" s="215"/>
      <c r="BR407" s="215"/>
      <c r="BS407" s="215"/>
      <c r="BT407" s="215"/>
      <c r="BU407" s="215"/>
      <c r="BV407" s="215"/>
      <c r="BW407" s="215"/>
      <c r="BX407" s="215"/>
      <c r="BY407" s="215"/>
      <c r="BZ407" s="215"/>
    </row>
    <row r="408" spans="1:78" x14ac:dyDescent="0.2">
      <c r="A408" s="2"/>
      <c r="B408" s="20"/>
      <c r="C408" s="20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15"/>
      <c r="R408" s="215"/>
      <c r="S408" s="215"/>
      <c r="T408" s="215"/>
      <c r="U408" s="215"/>
      <c r="V408" s="222"/>
      <c r="W408" s="222"/>
      <c r="X408" s="222"/>
      <c r="Y408" s="241"/>
      <c r="Z408" s="241"/>
      <c r="AA408" s="241"/>
      <c r="AB408" s="241"/>
      <c r="AC408" s="241"/>
      <c r="AD408" s="241"/>
      <c r="AE408" s="215"/>
      <c r="AF408" s="215"/>
      <c r="AG408" s="215"/>
      <c r="AH408" s="241"/>
      <c r="AI408" s="215"/>
      <c r="AJ408" s="215"/>
      <c r="AK408" s="215"/>
      <c r="AL408" s="215"/>
      <c r="AM408" s="215"/>
      <c r="AN408" s="215"/>
      <c r="AO408" s="215"/>
      <c r="AP408" s="215"/>
      <c r="AQ408" s="215"/>
      <c r="AR408" s="215"/>
      <c r="AS408" s="215"/>
      <c r="AT408" s="215"/>
      <c r="AU408" s="215"/>
      <c r="AV408" s="215"/>
      <c r="AW408" s="215"/>
      <c r="AX408" s="215"/>
      <c r="AY408" s="215"/>
      <c r="AZ408" s="215"/>
      <c r="BA408" s="215"/>
      <c r="BB408" s="215"/>
      <c r="BC408" s="215"/>
      <c r="BD408" s="215"/>
      <c r="BE408" s="215"/>
      <c r="BF408" s="215"/>
      <c r="BG408" s="215"/>
      <c r="BH408" s="215"/>
      <c r="BI408" s="215"/>
      <c r="BJ408" s="215"/>
      <c r="BK408" s="215"/>
      <c r="BL408" s="215"/>
      <c r="BM408" s="215"/>
      <c r="BN408" s="215"/>
      <c r="BO408" s="215"/>
      <c r="BP408" s="215"/>
      <c r="BQ408" s="215"/>
      <c r="BR408" s="215"/>
      <c r="BS408" s="215"/>
      <c r="BT408" s="215"/>
      <c r="BU408" s="215"/>
      <c r="BV408" s="215"/>
      <c r="BW408" s="215"/>
      <c r="BX408" s="215"/>
      <c r="BY408" s="215"/>
      <c r="BZ408" s="215"/>
    </row>
    <row r="409" spans="1:78" x14ac:dyDescent="0.2">
      <c r="A409" s="2" t="str">
        <f>'Language Index'!A366</f>
        <v>Minority Interest</v>
      </c>
      <c r="B409" s="16"/>
      <c r="C409" s="16"/>
      <c r="D409" s="18">
        <f>_xll.ciqfunctions.udf.CIQ($C$2, "IQ_MINORITY_INTEREST", D$6,$F$2,,,Ccy,Conv)</f>
        <v>70</v>
      </c>
      <c r="E409" s="18">
        <f>_xll.ciqfunctions.udf.CIQ($C$2, "IQ_MINORITY_INTEREST", E$6,$F$2,,,Ccy,Conv)</f>
        <v>75</v>
      </c>
      <c r="F409" s="18">
        <f>_xll.ciqfunctions.udf.CIQ($C$2, "IQ_MINORITY_INTEREST", F$6,$F$2,,,Ccy,Conv)</f>
        <v>80</v>
      </c>
      <c r="G409" s="18">
        <f>_xll.ciqfunctions.udf.CIQ($C$2, "IQ_MINORITY_INTEREST", G$6,$F$2,,,Ccy,Conv)</f>
        <v>72</v>
      </c>
      <c r="H409" s="18">
        <f>_xll.ciqfunctions.udf.CIQ($C$2, "IQ_MINORITY_INTEREST", H$6,$F$2,,,Ccy,Conv)</f>
        <v>77</v>
      </c>
      <c r="I409" s="18">
        <f>_xll.ciqfunctions.udf.CIQ($C$2, "IQ_MINORITY_INTEREST", I$6,$F$2,,,Ccy,Conv)</f>
        <v>82</v>
      </c>
      <c r="J409" s="18">
        <f>_xll.ciqfunctions.udf.CIQ($C$2, "IQ_MINORITY_INTEREST", J$6,$F$2,,,Ccy,Conv)</f>
        <v>86</v>
      </c>
      <c r="K409" s="18">
        <f>_xll.ciqfunctions.udf.CIQ($C$2, "IQ_MINORITY_INTEREST", K$6,$F$2,,,Ccy,Conv)</f>
        <v>72</v>
      </c>
      <c r="L409" s="18">
        <f>_xll.ciqfunctions.udf.CIQ($C$2, "IQ_MINORITY_INTEREST", L$6,$F$2,,,Ccy,Conv)</f>
        <v>79</v>
      </c>
      <c r="M409" s="18">
        <f>_xll.ciqfunctions.udf.CIQ($C$2, "IQ_MINORITY_INTEREST", M$6,$F$2,,,Ccy,Conv)</f>
        <v>85</v>
      </c>
      <c r="N409" s="18">
        <f>_xll.ciqfunctions.udf.CIQ($C$2, "IQ_MINORITY_INTEREST", N$6,$F$2,,,Ccy,Conv)</f>
        <v>93</v>
      </c>
      <c r="O409" s="18"/>
      <c r="P409" s="18">
        <f>_xll.ciqfunctions.udf.CIQ($C$2, "IQ_MINORITY_INTEREST", P$6,$F$2,,,Ccy,Conv)</f>
        <v>93</v>
      </c>
      <c r="Q409" s="215"/>
      <c r="R409" s="215"/>
      <c r="S409" s="215"/>
      <c r="T409" s="215"/>
      <c r="U409" s="215"/>
      <c r="V409" s="222"/>
      <c r="W409" s="222"/>
      <c r="X409" s="222"/>
      <c r="Y409" s="215"/>
      <c r="Z409" s="215"/>
      <c r="AA409" s="215"/>
      <c r="AB409" s="215"/>
      <c r="AC409" s="215"/>
      <c r="AD409" s="215"/>
      <c r="AE409" s="215"/>
      <c r="AF409" s="215"/>
      <c r="AG409" s="215"/>
      <c r="AH409" s="215"/>
      <c r="AI409" s="215"/>
      <c r="AJ409" s="215"/>
      <c r="AK409" s="215"/>
      <c r="AL409" s="215"/>
      <c r="AM409" s="215"/>
      <c r="AN409" s="215"/>
      <c r="AO409" s="215"/>
      <c r="AP409" s="215"/>
      <c r="AQ409" s="215"/>
      <c r="AR409" s="215"/>
      <c r="AS409" s="215"/>
      <c r="AT409" s="215"/>
      <c r="AU409" s="215"/>
      <c r="AV409" s="215"/>
      <c r="AW409" s="215"/>
      <c r="AX409" s="215"/>
      <c r="AY409" s="215"/>
      <c r="AZ409" s="215"/>
      <c r="BA409" s="215"/>
      <c r="BB409" s="215"/>
      <c r="BC409" s="215"/>
      <c r="BD409" s="215"/>
      <c r="BE409" s="215"/>
      <c r="BF409" s="215"/>
      <c r="BG409" s="215"/>
      <c r="BH409" s="215"/>
      <c r="BI409" s="215"/>
      <c r="BJ409" s="215"/>
      <c r="BK409" s="215"/>
      <c r="BL409" s="215"/>
      <c r="BM409" s="215"/>
      <c r="BN409" s="215"/>
      <c r="BO409" s="215"/>
      <c r="BP409" s="215"/>
      <c r="BQ409" s="215"/>
      <c r="BR409" s="215"/>
      <c r="BS409" s="215"/>
      <c r="BT409" s="215"/>
      <c r="BU409" s="215"/>
      <c r="BV409" s="215"/>
      <c r="BW409" s="215"/>
      <c r="BX409" s="215"/>
      <c r="BY409" s="215"/>
      <c r="BZ409" s="215"/>
    </row>
    <row r="410" spans="1:78" x14ac:dyDescent="0.2">
      <c r="A410" s="20" t="str">
        <f>'Language Index'!A367</f>
        <v>Total Equity</v>
      </c>
      <c r="B410" s="45"/>
      <c r="C410" s="45"/>
      <c r="D410" s="21">
        <f>_xll.ciqfunctions.udf.CIQ($C$2, "IQ_TOTAL_EQUITY", D$6,$F$2,,,Ccy,Conv)</f>
        <v>22271</v>
      </c>
      <c r="E410" s="21">
        <f>_xll.ciqfunctions.udf.CIQ($C$2, "IQ_TOTAL_EQUITY", E$6,$F$2,,,Ccy,Conv)</f>
        <v>23156</v>
      </c>
      <c r="F410" s="21">
        <f>_xll.ciqfunctions.udf.CIQ($C$2, "IQ_TOTAL_EQUITY", F$6,$F$2,,,Ccy,Conv)</f>
        <v>22613</v>
      </c>
      <c r="G410" s="21">
        <f>_xll.ciqfunctions.udf.CIQ($C$2, "IQ_TOTAL_EQUITY", G$6,$F$2,,,Ccy,Conv)</f>
        <v>23333</v>
      </c>
      <c r="H410" s="21">
        <f>_xll.ciqfunctions.udf.CIQ($C$2, "IQ_TOTAL_EQUITY", H$6,$F$2,,,Ccy,Conv)</f>
        <v>24103</v>
      </c>
      <c r="I410" s="21">
        <f>_xll.ciqfunctions.udf.CIQ($C$2, "IQ_TOTAL_EQUITY", I$6,$F$2,,,Ccy,Conv)</f>
        <v>24530</v>
      </c>
      <c r="J410" s="21">
        <f>_xll.ciqfunctions.udf.CIQ($C$2, "IQ_TOTAL_EQUITY", J$6,$F$2,,,Ccy,Conv)</f>
        <v>27393</v>
      </c>
      <c r="K410" s="21">
        <f>_xll.ciqfunctions.udf.CIQ($C$2, "IQ_TOTAL_EQUITY", K$6,$F$2,,,Ccy,Conv)</f>
        <v>26952</v>
      </c>
      <c r="L410" s="21">
        <f>_xll.ciqfunctions.udf.CIQ($C$2, "IQ_TOTAL_EQUITY", L$6,$F$2,,,Ccy,Conv)</f>
        <v>27588</v>
      </c>
      <c r="M410" s="21">
        <f>_xll.ciqfunctions.udf.CIQ($C$2, "IQ_TOTAL_EQUITY", M$6,$F$2,,,Ccy,Conv)</f>
        <v>27990</v>
      </c>
      <c r="N410" s="21">
        <f>_xll.ciqfunctions.udf.CIQ($C$2, "IQ_TOTAL_EQUITY", N$6,$F$2,,,Ccy,Conv)</f>
        <v>32741</v>
      </c>
      <c r="O410" s="22"/>
      <c r="P410" s="21">
        <f>_xll.ciqfunctions.udf.CIQ($C$2, "IQ_TOTAL_EQUITY", P$6,$F$2,,,Ccy,Conv)</f>
        <v>32741</v>
      </c>
      <c r="Q410" s="215"/>
      <c r="R410" s="215"/>
      <c r="S410" s="215"/>
      <c r="T410" s="215"/>
      <c r="U410" s="215"/>
      <c r="V410" s="222"/>
      <c r="W410" s="222"/>
      <c r="X410" s="222"/>
      <c r="Y410" s="215"/>
      <c r="Z410" s="215"/>
      <c r="AA410" s="215"/>
      <c r="AB410" s="215"/>
      <c r="AC410" s="215"/>
      <c r="AD410" s="215"/>
      <c r="AE410" s="215"/>
      <c r="AF410" s="215"/>
      <c r="AG410" s="215"/>
      <c r="AH410" s="215"/>
      <c r="AI410" s="215"/>
      <c r="AJ410" s="215"/>
      <c r="AK410" s="215"/>
      <c r="AL410" s="215"/>
      <c r="AM410" s="215"/>
      <c r="AN410" s="215"/>
      <c r="AO410" s="215"/>
      <c r="AP410" s="215"/>
      <c r="AQ410" s="215"/>
      <c r="AR410" s="215"/>
      <c r="AS410" s="215"/>
      <c r="AT410" s="215"/>
      <c r="AU410" s="215"/>
      <c r="AV410" s="215"/>
      <c r="AW410" s="215"/>
      <c r="AX410" s="215"/>
      <c r="AY410" s="215"/>
      <c r="AZ410" s="215"/>
      <c r="BA410" s="215"/>
      <c r="BB410" s="215"/>
      <c r="BC410" s="215"/>
      <c r="BD410" s="215"/>
      <c r="BE410" s="215"/>
      <c r="BF410" s="215"/>
      <c r="BG410" s="215"/>
      <c r="BH410" s="215"/>
      <c r="BI410" s="215"/>
      <c r="BJ410" s="215"/>
      <c r="BK410" s="215"/>
      <c r="BL410" s="215"/>
      <c r="BM410" s="215"/>
      <c r="BN410" s="215"/>
      <c r="BO410" s="215"/>
      <c r="BP410" s="215"/>
      <c r="BQ410" s="215"/>
      <c r="BR410" s="215"/>
      <c r="BS410" s="215"/>
      <c r="BT410" s="215"/>
      <c r="BU410" s="215"/>
      <c r="BV410" s="215"/>
      <c r="BW410" s="215"/>
      <c r="BX410" s="215"/>
      <c r="BY410" s="215"/>
      <c r="BZ410" s="215"/>
    </row>
    <row r="411" spans="1:78" x14ac:dyDescent="0.2">
      <c r="A411" s="2"/>
      <c r="B411" s="16"/>
      <c r="C411" s="16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215"/>
      <c r="R411" s="215"/>
      <c r="S411" s="215"/>
      <c r="T411" s="215"/>
      <c r="U411" s="215"/>
      <c r="V411" s="222"/>
      <c r="W411" s="222"/>
      <c r="X411" s="222"/>
      <c r="Y411" s="215"/>
      <c r="Z411" s="215"/>
      <c r="AA411" s="215"/>
      <c r="AB411" s="215"/>
      <c r="AC411" s="215"/>
      <c r="AD411" s="215"/>
      <c r="AE411" s="215"/>
      <c r="AF411" s="215"/>
      <c r="AG411" s="215"/>
      <c r="AH411" s="215"/>
      <c r="AI411" s="215"/>
      <c r="AJ411" s="215"/>
      <c r="AK411" s="215"/>
      <c r="AL411" s="215"/>
      <c r="AM411" s="215"/>
      <c r="AN411" s="215"/>
      <c r="AO411" s="215"/>
      <c r="AP411" s="215"/>
      <c r="AQ411" s="215"/>
      <c r="AR411" s="215"/>
      <c r="AS411" s="215"/>
      <c r="AT411" s="215"/>
      <c r="AU411" s="215"/>
      <c r="AV411" s="215"/>
      <c r="AW411" s="215"/>
      <c r="AX411" s="215"/>
      <c r="AY411" s="215"/>
      <c r="AZ411" s="215"/>
      <c r="BA411" s="215"/>
      <c r="BB411" s="215"/>
      <c r="BC411" s="215"/>
      <c r="BD411" s="215"/>
      <c r="BE411" s="215"/>
      <c r="BF411" s="215"/>
      <c r="BG411" s="215"/>
      <c r="BH411" s="215"/>
      <c r="BI411" s="215"/>
      <c r="BJ411" s="215"/>
      <c r="BK411" s="215"/>
      <c r="BL411" s="215"/>
      <c r="BM411" s="215"/>
      <c r="BN411" s="215"/>
      <c r="BO411" s="215"/>
      <c r="BP411" s="215"/>
      <c r="BQ411" s="215"/>
      <c r="BR411" s="215"/>
      <c r="BS411" s="215"/>
      <c r="BT411" s="215"/>
      <c r="BU411" s="215"/>
      <c r="BV411" s="215"/>
      <c r="BW411" s="215"/>
      <c r="BX411" s="215"/>
      <c r="BY411" s="215"/>
      <c r="BZ411" s="215"/>
    </row>
    <row r="412" spans="1:78" ht="13.5" thickBot="1" x14ac:dyDescent="0.25">
      <c r="A412" s="20" t="str">
        <f>'Language Index'!A368</f>
        <v>Total Liabilities And Equity</v>
      </c>
      <c r="B412" s="45"/>
      <c r="C412" s="45"/>
      <c r="D412" s="24">
        <f>_xll.ciqfunctions.udf.CIQ($C$2, "IQ_TOTAL_LIAB_EQUITY", D$6,$F$2,,,Ccy,Conv)</f>
        <v>132213</v>
      </c>
      <c r="E412" s="24">
        <f>_xll.ciqfunctions.udf.CIQ($C$2, "IQ_TOTAL_LIAB_EQUITY", E$6,$F$2,,,Ccy,Conv)</f>
        <v>129321</v>
      </c>
      <c r="F412" s="24">
        <f>_xll.ciqfunctions.udf.CIQ($C$2, "IQ_TOTAL_LIAB_EQUITY", F$6,$F$2,,,Ccy,Conv)</f>
        <v>135241</v>
      </c>
      <c r="G412" s="24">
        <f>_xll.ciqfunctions.udf.CIQ($C$2, "IQ_TOTAL_LIAB_EQUITY", G$6,$F$2,,,Ccy,Conv)</f>
        <v>137169</v>
      </c>
      <c r="H412" s="24">
        <f>_xll.ciqfunctions.udf.CIQ($C$2, "IQ_TOTAL_LIAB_EQUITY", H$6,$F$2,,,Ccy,Conv)</f>
        <v>133848</v>
      </c>
      <c r="I412" s="24">
        <f>_xll.ciqfunctions.udf.CIQ($C$2, "IQ_TOTAL_LIAB_EQUITY", I$6,$F$2,,,Ccy,Conv)</f>
        <v>134339</v>
      </c>
      <c r="J412" s="24">
        <f>_xll.ciqfunctions.udf.CIQ($C$2, "IQ_TOTAL_LIAB_EQUITY", J$6,$F$2,,,Ccy,Conv)</f>
        <v>137175</v>
      </c>
      <c r="K412" s="24">
        <f>_xll.ciqfunctions.udf.CIQ($C$2, "IQ_TOTAL_LIAB_EQUITY", K$6,$F$2,,,Ccy,Conv)</f>
        <v>145667</v>
      </c>
      <c r="L412" s="24">
        <f>_xll.ciqfunctions.udf.CIQ($C$2, "IQ_TOTAL_LIAB_EQUITY", L$6,$F$2,,,Ccy,Conv)</f>
        <v>148585</v>
      </c>
      <c r="M412" s="24">
        <f>_xll.ciqfunctions.udf.CIQ($C$2, "IQ_TOTAL_LIAB_EQUITY", M$6,$F$2,,,Ccy,Conv)</f>
        <v>146312</v>
      </c>
      <c r="N412" s="24">
        <f>_xll.ciqfunctions.udf.CIQ($C$2, "IQ_TOTAL_LIAB_EQUITY", N$6,$F$2,,,Ccy,Conv)</f>
        <v>151880</v>
      </c>
      <c r="O412" s="22"/>
      <c r="P412" s="24">
        <f>_xll.ciqfunctions.udf.CIQ($C$2, "IQ_TOTAL_LIAB_EQUITY", P$6,$F$2,,,Ccy,Conv)</f>
        <v>151880</v>
      </c>
      <c r="Q412" s="215"/>
      <c r="R412" s="215"/>
      <c r="S412" s="215"/>
      <c r="T412" s="215"/>
      <c r="U412" s="215"/>
      <c r="V412" s="222"/>
      <c r="W412" s="222"/>
      <c r="X412" s="222"/>
      <c r="Y412" s="215"/>
      <c r="Z412" s="215"/>
      <c r="AA412" s="215"/>
      <c r="AB412" s="215"/>
      <c r="AC412" s="215"/>
      <c r="AD412" s="215"/>
      <c r="AE412" s="215"/>
      <c r="AF412" s="215"/>
      <c r="AG412" s="215"/>
      <c r="AH412" s="215"/>
      <c r="AI412" s="215"/>
      <c r="AJ412" s="215"/>
      <c r="AK412" s="215"/>
      <c r="AL412" s="215"/>
      <c r="AM412" s="215"/>
      <c r="AN412" s="215"/>
      <c r="AO412" s="215"/>
      <c r="AP412" s="215"/>
      <c r="AQ412" s="215"/>
      <c r="AR412" s="215"/>
      <c r="AS412" s="215"/>
      <c r="AT412" s="215"/>
      <c r="AU412" s="215"/>
      <c r="AV412" s="215"/>
      <c r="AW412" s="215"/>
      <c r="AX412" s="215"/>
      <c r="AY412" s="215"/>
      <c r="AZ412" s="215"/>
      <c r="BA412" s="215"/>
      <c r="BB412" s="215"/>
      <c r="BC412" s="215"/>
      <c r="BD412" s="215"/>
      <c r="BE412" s="215"/>
      <c r="BF412" s="215"/>
      <c r="BG412" s="215"/>
      <c r="BH412" s="215"/>
      <c r="BI412" s="215"/>
      <c r="BJ412" s="215"/>
      <c r="BK412" s="215"/>
      <c r="BL412" s="215"/>
      <c r="BM412" s="215"/>
      <c r="BN412" s="215"/>
      <c r="BO412" s="215"/>
      <c r="BP412" s="215"/>
      <c r="BQ412" s="215"/>
      <c r="BR412" s="215"/>
      <c r="BS412" s="215"/>
      <c r="BT412" s="215"/>
      <c r="BU412" s="215"/>
      <c r="BV412" s="215"/>
      <c r="BW412" s="215"/>
      <c r="BX412" s="215"/>
      <c r="BY412" s="215"/>
      <c r="BZ412" s="215"/>
    </row>
    <row r="413" spans="1:78" ht="13.5" thickTop="1" x14ac:dyDescent="0.2">
      <c r="A413" s="2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215"/>
      <c r="R413" s="215"/>
      <c r="S413" s="215"/>
      <c r="T413" s="215"/>
      <c r="U413" s="215"/>
      <c r="V413" s="222"/>
      <c r="W413" s="222"/>
      <c r="X413" s="222"/>
      <c r="Y413" s="215"/>
      <c r="Z413" s="215"/>
      <c r="AA413" s="215"/>
      <c r="AB413" s="215"/>
      <c r="AC413" s="215"/>
      <c r="AD413" s="215"/>
      <c r="AE413" s="215"/>
      <c r="AF413" s="215"/>
      <c r="AG413" s="215"/>
      <c r="AH413" s="215"/>
      <c r="AI413" s="215"/>
      <c r="AJ413" s="215"/>
      <c r="AK413" s="215"/>
      <c r="AL413" s="215"/>
      <c r="AM413" s="215"/>
      <c r="AN413" s="215"/>
      <c r="AO413" s="215"/>
      <c r="AP413" s="215"/>
      <c r="AQ413" s="215"/>
      <c r="AR413" s="215"/>
      <c r="AS413" s="215"/>
      <c r="AT413" s="215"/>
      <c r="AU413" s="215"/>
      <c r="AV413" s="215"/>
      <c r="AW413" s="215"/>
      <c r="AX413" s="215"/>
      <c r="AY413" s="215"/>
      <c r="AZ413" s="215"/>
      <c r="BA413" s="215"/>
      <c r="BB413" s="215"/>
      <c r="BC413" s="215"/>
      <c r="BD413" s="215"/>
      <c r="BE413" s="215"/>
      <c r="BF413" s="215"/>
      <c r="BG413" s="215"/>
      <c r="BH413" s="215"/>
      <c r="BI413" s="215"/>
      <c r="BJ413" s="215"/>
      <c r="BK413" s="215"/>
      <c r="BL413" s="215"/>
      <c r="BM413" s="215"/>
      <c r="BN413" s="215"/>
      <c r="BO413" s="215"/>
      <c r="BP413" s="215"/>
      <c r="BQ413" s="215"/>
      <c r="BR413" s="215"/>
      <c r="BS413" s="215"/>
      <c r="BT413" s="215"/>
      <c r="BU413" s="215"/>
      <c r="BV413" s="215"/>
      <c r="BW413" s="215"/>
      <c r="BX413" s="215"/>
      <c r="BY413" s="215"/>
      <c r="BZ413" s="215"/>
    </row>
    <row r="414" spans="1:78" x14ac:dyDescent="0.2">
      <c r="A414" s="2"/>
      <c r="B414" s="48"/>
      <c r="C414" s="48"/>
      <c r="D414" s="213" t="str">
        <f>'Language Index'!A392</f>
        <v>IFRS 16 / ASC 842 Items</v>
      </c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2"/>
      <c r="P414" s="214"/>
      <c r="Q414" s="215"/>
      <c r="R414" s="215"/>
      <c r="S414" s="215"/>
      <c r="T414" s="215"/>
      <c r="U414" s="215"/>
      <c r="V414" s="222"/>
      <c r="W414" s="222"/>
      <c r="X414" s="222"/>
      <c r="Y414" s="215"/>
      <c r="Z414" s="215"/>
      <c r="AA414" s="215"/>
      <c r="AB414" s="215"/>
      <c r="AC414" s="215"/>
      <c r="AD414" s="215"/>
      <c r="AE414" s="215"/>
      <c r="AF414" s="215"/>
      <c r="AG414" s="215"/>
      <c r="AH414" s="215"/>
      <c r="AI414" s="215"/>
      <c r="AJ414" s="215"/>
      <c r="AK414" s="215"/>
      <c r="AL414" s="215"/>
      <c r="AM414" s="215"/>
      <c r="AN414" s="215"/>
      <c r="AO414" s="215"/>
      <c r="AP414" s="215"/>
      <c r="AQ414" s="215"/>
      <c r="AR414" s="215"/>
      <c r="AS414" s="215"/>
      <c r="AT414" s="215"/>
      <c r="AU414" s="215"/>
      <c r="AV414" s="215"/>
      <c r="AW414" s="215"/>
      <c r="AX414" s="215"/>
      <c r="AY414" s="215"/>
      <c r="AZ414" s="215"/>
      <c r="BA414" s="215"/>
      <c r="BB414" s="215"/>
      <c r="BC414" s="215"/>
      <c r="BD414" s="215"/>
      <c r="BE414" s="215"/>
      <c r="BF414" s="215"/>
      <c r="BG414" s="215"/>
      <c r="BH414" s="215"/>
      <c r="BI414" s="215"/>
      <c r="BJ414" s="215"/>
      <c r="BK414" s="215"/>
      <c r="BL414" s="215"/>
      <c r="BM414" s="215"/>
      <c r="BN414" s="215"/>
      <c r="BO414" s="215"/>
      <c r="BP414" s="215"/>
      <c r="BQ414" s="215"/>
      <c r="BR414" s="215"/>
      <c r="BS414" s="215"/>
      <c r="BT414" s="215"/>
      <c r="BU414" s="215"/>
      <c r="BV414" s="215"/>
      <c r="BW414" s="215"/>
      <c r="BX414" s="215"/>
      <c r="BY414" s="215"/>
      <c r="BZ414" s="215"/>
    </row>
    <row r="415" spans="1:78" x14ac:dyDescent="0.2">
      <c r="A415" s="2" t="str">
        <f>'Language Index'!A369</f>
        <v>Right-of-Use Asset-Gross</v>
      </c>
      <c r="B415" s="48"/>
      <c r="C415" s="48"/>
      <c r="D415" s="18">
        <f>_xll.ciqfunctions.udf.CIQ($C$2, "IQ_RUA_GROSS", D$6,$F$2,,,Ccy,Conv)</f>
        <v>0</v>
      </c>
      <c r="E415" s="18">
        <f>_xll.ciqfunctions.udf.CIQ($C$2, "IQ_RUA_GROSS", E$6,$F$2,,,Ccy,Conv)</f>
        <v>0</v>
      </c>
      <c r="F415" s="18">
        <f>_xll.ciqfunctions.udf.CIQ($C$2, "IQ_RUA_GROSS", F$6,$F$2,,,Ccy,Conv)</f>
        <v>0</v>
      </c>
      <c r="G415" s="18">
        <f>_xll.ciqfunctions.udf.CIQ($C$2, "IQ_RUA_GROSS", G$6,$F$2,,,Ccy,Conv)</f>
        <v>0</v>
      </c>
      <c r="H415" s="18">
        <f>_xll.ciqfunctions.udf.CIQ($C$2, "IQ_RUA_GROSS", H$6,$F$2,,,Ccy,Conv)</f>
        <v>0</v>
      </c>
      <c r="I415" s="18">
        <f>_xll.ciqfunctions.udf.CIQ($C$2, "IQ_RUA_GROSS", I$6,$F$2,,,Ccy,Conv)</f>
        <v>0</v>
      </c>
      <c r="J415" s="18">
        <f>_xll.ciqfunctions.udf.CIQ($C$2, "IQ_RUA_GROSS", J$6,$F$2,,,Ccy,Conv)</f>
        <v>0</v>
      </c>
      <c r="K415" s="18">
        <f>_xll.ciqfunctions.udf.CIQ($C$2, "IQ_RUA_GROSS", K$6,$F$2,,,Ccy,Conv)</f>
        <v>0</v>
      </c>
      <c r="L415" s="18">
        <f>_xll.ciqfunctions.udf.CIQ($C$2, "IQ_RUA_GROSS", L$6,$F$2,,,Ccy,Conv)</f>
        <v>0</v>
      </c>
      <c r="M415" s="18">
        <f>_xll.ciqfunctions.udf.CIQ($C$2, "IQ_RUA_GROSS", M$6,$F$2,,,Ccy,Conv)</f>
        <v>0</v>
      </c>
      <c r="N415" s="18">
        <f>_xll.ciqfunctions.udf.CIQ($C$2, "IQ_RUA_GROSS", N$6,$F$2,,,Ccy,Conv)</f>
        <v>0</v>
      </c>
      <c r="O415" s="18"/>
      <c r="P415" s="18">
        <f>_xll.ciqfunctions.udf.CIQ($C$2, "IQ_RUA_GROSS", P$6,$F$2,,,Ccy,Conv)</f>
        <v>0</v>
      </c>
      <c r="Q415" s="215"/>
      <c r="R415" s="215"/>
      <c r="S415" s="215"/>
      <c r="T415" s="215"/>
      <c r="U415" s="215"/>
      <c r="V415" s="222"/>
      <c r="W415" s="222"/>
      <c r="X415" s="222"/>
      <c r="Y415" s="215"/>
      <c r="Z415" s="215"/>
      <c r="AA415" s="215"/>
      <c r="AB415" s="215"/>
      <c r="AC415" s="215"/>
      <c r="AD415" s="215"/>
      <c r="AE415" s="215"/>
      <c r="AF415" s="215"/>
      <c r="AG415" s="215"/>
      <c r="AH415" s="215"/>
      <c r="AI415" s="215"/>
      <c r="AJ415" s="215"/>
      <c r="AK415" s="215"/>
      <c r="AL415" s="215"/>
      <c r="AM415" s="215"/>
      <c r="AN415" s="215"/>
      <c r="AO415" s="215"/>
      <c r="AP415" s="215"/>
      <c r="AQ415" s="215"/>
      <c r="AR415" s="215"/>
      <c r="AS415" s="215"/>
      <c r="AT415" s="215"/>
      <c r="AU415" s="215"/>
      <c r="AV415" s="215"/>
      <c r="AW415" s="215"/>
      <c r="AX415" s="215"/>
      <c r="AY415" s="215"/>
      <c r="AZ415" s="215"/>
      <c r="BA415" s="215"/>
      <c r="BB415" s="215"/>
      <c r="BC415" s="215"/>
      <c r="BD415" s="215"/>
      <c r="BE415" s="215"/>
      <c r="BF415" s="215"/>
      <c r="BG415" s="215"/>
      <c r="BH415" s="215"/>
      <c r="BI415" s="215"/>
      <c r="BJ415" s="215"/>
      <c r="BK415" s="215"/>
      <c r="BL415" s="215"/>
      <c r="BM415" s="215"/>
      <c r="BN415" s="215"/>
      <c r="BO415" s="215"/>
      <c r="BP415" s="215"/>
      <c r="BQ415" s="215"/>
      <c r="BR415" s="215"/>
      <c r="BS415" s="215"/>
      <c r="BT415" s="215"/>
      <c r="BU415" s="215"/>
      <c r="BV415" s="215"/>
      <c r="BW415" s="215"/>
      <c r="BX415" s="215"/>
      <c r="BY415" s="215"/>
      <c r="BZ415" s="215"/>
    </row>
    <row r="416" spans="1:78" x14ac:dyDescent="0.2">
      <c r="A416" s="2" t="str">
        <f>'Language Index'!A370</f>
        <v>Right-of-Use Asset-Accumulated Depreciation</v>
      </c>
      <c r="B416" s="48"/>
      <c r="C416" s="48"/>
      <c r="D416" s="18">
        <f>_xll.ciqfunctions.udf.CIQ($C$2, "IQ_RUA_ACCUM_DEP", D$6,$F$2,,,Ccy,Conv)</f>
        <v>0</v>
      </c>
      <c r="E416" s="18">
        <f>_xll.ciqfunctions.udf.CIQ($C$2, "IQ_RUA_ACCUM_DEP", E$6,$F$2,,,Ccy,Conv)</f>
        <v>0</v>
      </c>
      <c r="F416" s="18">
        <f>_xll.ciqfunctions.udf.CIQ($C$2, "IQ_RUA_ACCUM_DEP", F$6,$F$2,,,Ccy,Conv)</f>
        <v>0</v>
      </c>
      <c r="G416" s="18">
        <f>_xll.ciqfunctions.udf.CIQ($C$2, "IQ_RUA_ACCUM_DEP", G$6,$F$2,,,Ccy,Conv)</f>
        <v>0</v>
      </c>
      <c r="H416" s="18">
        <f>_xll.ciqfunctions.udf.CIQ($C$2, "IQ_RUA_ACCUM_DEP", H$6,$F$2,,,Ccy,Conv)</f>
        <v>0</v>
      </c>
      <c r="I416" s="18">
        <f>_xll.ciqfunctions.udf.CIQ($C$2, "IQ_RUA_ACCUM_DEP", I$6,$F$2,,,Ccy,Conv)</f>
        <v>0</v>
      </c>
      <c r="J416" s="18">
        <f>_xll.ciqfunctions.udf.CIQ($C$2, "IQ_RUA_ACCUM_DEP", J$6,$F$2,,,Ccy,Conv)</f>
        <v>0</v>
      </c>
      <c r="K416" s="18">
        <f>_xll.ciqfunctions.udf.CIQ($C$2, "IQ_RUA_ACCUM_DEP", K$6,$F$2,,,Ccy,Conv)</f>
        <v>0</v>
      </c>
      <c r="L416" s="18">
        <f>_xll.ciqfunctions.udf.CIQ($C$2, "IQ_RUA_ACCUM_DEP", L$6,$F$2,,,Ccy,Conv)</f>
        <v>0</v>
      </c>
      <c r="M416" s="18">
        <f>_xll.ciqfunctions.udf.CIQ($C$2, "IQ_RUA_ACCUM_DEP", M$6,$F$2,,,Ccy,Conv)</f>
        <v>0</v>
      </c>
      <c r="N416" s="18">
        <f>_xll.ciqfunctions.udf.CIQ($C$2, "IQ_RUA_ACCUM_DEP", N$6,$F$2,,,Ccy,Conv)</f>
        <v>0</v>
      </c>
      <c r="O416" s="18"/>
      <c r="P416" s="18">
        <f>_xll.ciqfunctions.udf.CIQ($C$2, "IQ_RUA_ACCUM_DEP", P$6,$F$2,,,Ccy,Conv)</f>
        <v>0</v>
      </c>
      <c r="Q416" s="215"/>
      <c r="R416" s="215"/>
      <c r="S416" s="215"/>
      <c r="T416" s="215"/>
      <c r="U416" s="215"/>
      <c r="V416" s="222"/>
      <c r="W416" s="222"/>
      <c r="X416" s="222"/>
      <c r="Y416" s="215"/>
      <c r="Z416" s="215"/>
      <c r="AA416" s="215"/>
      <c r="AB416" s="215"/>
      <c r="AC416" s="215"/>
      <c r="AD416" s="215"/>
      <c r="AE416" s="215"/>
      <c r="AF416" s="215"/>
      <c r="AG416" s="215"/>
      <c r="AH416" s="215"/>
      <c r="AI416" s="215"/>
      <c r="AJ416" s="215"/>
      <c r="AK416" s="215"/>
      <c r="AL416" s="215"/>
      <c r="AM416" s="215"/>
      <c r="AN416" s="215"/>
      <c r="AO416" s="215"/>
      <c r="AP416" s="215"/>
      <c r="AQ416" s="215"/>
      <c r="AR416" s="215"/>
      <c r="AS416" s="215"/>
      <c r="AT416" s="215"/>
      <c r="AU416" s="215"/>
      <c r="AV416" s="215"/>
      <c r="AW416" s="215"/>
      <c r="AX416" s="215"/>
      <c r="AY416" s="215"/>
      <c r="AZ416" s="215"/>
      <c r="BA416" s="215"/>
      <c r="BB416" s="215"/>
      <c r="BC416" s="215"/>
      <c r="BD416" s="215"/>
      <c r="BE416" s="215"/>
      <c r="BF416" s="215"/>
      <c r="BG416" s="215"/>
      <c r="BH416" s="215"/>
      <c r="BI416" s="215"/>
      <c r="BJ416" s="215"/>
      <c r="BK416" s="215"/>
      <c r="BL416" s="215"/>
      <c r="BM416" s="215"/>
      <c r="BN416" s="215"/>
      <c r="BO416" s="215"/>
      <c r="BP416" s="215"/>
      <c r="BQ416" s="215"/>
      <c r="BR416" s="215"/>
      <c r="BS416" s="215"/>
      <c r="BT416" s="215"/>
      <c r="BU416" s="215"/>
      <c r="BV416" s="215"/>
      <c r="BW416" s="215"/>
      <c r="BX416" s="215"/>
      <c r="BY416" s="215"/>
      <c r="BZ416" s="215"/>
    </row>
    <row r="417" spans="1:78" x14ac:dyDescent="0.2">
      <c r="A417" s="2" t="str">
        <f>'Language Index'!A371</f>
        <v>Right-of-Use Asset-Net</v>
      </c>
      <c r="B417" s="48"/>
      <c r="C417" s="48"/>
      <c r="D417" s="18">
        <f>_xll.ciqfunctions.udf.CIQ($C$2, "IQ_RUA_NET", D$6,$F$2,,,Ccy,Conv)</f>
        <v>0</v>
      </c>
      <c r="E417" s="18">
        <f>_xll.ciqfunctions.udf.CIQ($C$2, "IQ_RUA_NET", E$6,$F$2,,,Ccy,Conv)</f>
        <v>0</v>
      </c>
      <c r="F417" s="18">
        <f>_xll.ciqfunctions.udf.CIQ($C$2, "IQ_RUA_NET", F$6,$F$2,,,Ccy,Conv)</f>
        <v>0</v>
      </c>
      <c r="G417" s="18">
        <f>_xll.ciqfunctions.udf.CIQ($C$2, "IQ_RUA_NET", G$6,$F$2,,,Ccy,Conv)</f>
        <v>0</v>
      </c>
      <c r="H417" s="18">
        <f>_xll.ciqfunctions.udf.CIQ($C$2, "IQ_RUA_NET", H$6,$F$2,,,Ccy,Conv)</f>
        <v>0</v>
      </c>
      <c r="I417" s="18">
        <f>_xll.ciqfunctions.udf.CIQ($C$2, "IQ_RUA_NET", I$6,$F$2,,,Ccy,Conv)</f>
        <v>0</v>
      </c>
      <c r="J417" s="18">
        <f>_xll.ciqfunctions.udf.CIQ($C$2, "IQ_RUA_NET", J$6,$F$2,,,Ccy,Conv)</f>
        <v>0</v>
      </c>
      <c r="K417" s="18">
        <f>_xll.ciqfunctions.udf.CIQ($C$2, "IQ_RUA_NET", K$6,$F$2,,,Ccy,Conv)</f>
        <v>0</v>
      </c>
      <c r="L417" s="18">
        <f>_xll.ciqfunctions.udf.CIQ($C$2, "IQ_RUA_NET", L$6,$F$2,,,Ccy,Conv)</f>
        <v>0</v>
      </c>
      <c r="M417" s="18">
        <f>_xll.ciqfunctions.udf.CIQ($C$2, "IQ_RUA_NET", M$6,$F$2,,,Ccy,Conv)</f>
        <v>0</v>
      </c>
      <c r="N417" s="18">
        <f>_xll.ciqfunctions.udf.CIQ($C$2, "IQ_RUA_NET", N$6,$F$2,,,Ccy,Conv)</f>
        <v>0</v>
      </c>
      <c r="O417" s="18"/>
      <c r="P417" s="18">
        <f>_xll.ciqfunctions.udf.CIQ($C$2, "IQ_RUA_NET", P$6,$F$2,,,Ccy,Conv)</f>
        <v>0</v>
      </c>
      <c r="Q417" s="215"/>
      <c r="R417" s="215"/>
      <c r="S417" s="215"/>
      <c r="T417" s="215"/>
      <c r="U417" s="215"/>
      <c r="V417" s="222"/>
      <c r="W417" s="222"/>
      <c r="X417" s="222"/>
      <c r="Y417" s="215"/>
      <c r="Z417" s="215"/>
      <c r="AA417" s="215"/>
      <c r="AB417" s="215"/>
      <c r="AC417" s="215"/>
      <c r="AD417" s="215"/>
      <c r="AE417" s="215"/>
      <c r="AF417" s="215"/>
      <c r="AG417" s="215"/>
      <c r="AH417" s="215"/>
      <c r="AI417" s="215"/>
      <c r="AJ417" s="215"/>
      <c r="AK417" s="215"/>
      <c r="AL417" s="215"/>
      <c r="AM417" s="215"/>
      <c r="AN417" s="215"/>
      <c r="AO417" s="215"/>
      <c r="AP417" s="215"/>
      <c r="AQ417" s="215"/>
      <c r="AR417" s="215"/>
      <c r="AS417" s="215"/>
      <c r="AT417" s="215"/>
      <c r="AU417" s="215"/>
      <c r="AV417" s="215"/>
      <c r="AW417" s="215"/>
      <c r="AX417" s="215"/>
      <c r="AY417" s="215"/>
      <c r="AZ417" s="215"/>
      <c r="BA417" s="215"/>
      <c r="BB417" s="215"/>
      <c r="BC417" s="215"/>
      <c r="BD417" s="215"/>
      <c r="BE417" s="215"/>
      <c r="BF417" s="215"/>
      <c r="BG417" s="215"/>
      <c r="BH417" s="215"/>
      <c r="BI417" s="215"/>
      <c r="BJ417" s="215"/>
      <c r="BK417" s="215"/>
      <c r="BL417" s="215"/>
      <c r="BM417" s="215"/>
      <c r="BN417" s="215"/>
      <c r="BO417" s="215"/>
      <c r="BP417" s="215"/>
      <c r="BQ417" s="215"/>
      <c r="BR417" s="215"/>
      <c r="BS417" s="215"/>
      <c r="BT417" s="215"/>
      <c r="BU417" s="215"/>
      <c r="BV417" s="215"/>
      <c r="BW417" s="215"/>
      <c r="BX417" s="215"/>
      <c r="BY417" s="215"/>
      <c r="BZ417" s="215"/>
    </row>
    <row r="418" spans="1:78" x14ac:dyDescent="0.2">
      <c r="A418" s="2" t="str">
        <f>'Language Index'!A372</f>
        <v>Right-of-Use Asset-Capital Lease-Gross</v>
      </c>
      <c r="B418" s="48"/>
      <c r="C418" s="48"/>
      <c r="D418" s="18">
        <f>_xll.ciqfunctions.udf.CIQ($C$2, "IQ_RUA_CAPITAL_LEASE_GROSS", D$6,$F$2,,,Ccy,Conv)</f>
        <v>0</v>
      </c>
      <c r="E418" s="18">
        <f>_xll.ciqfunctions.udf.CIQ($C$2, "IQ_RUA_CAPITAL_LEASE_GROSS", E$6,$F$2,,,Ccy,Conv)</f>
        <v>0</v>
      </c>
      <c r="F418" s="18">
        <f>_xll.ciqfunctions.udf.CIQ($C$2, "IQ_RUA_CAPITAL_LEASE_GROSS", F$6,$F$2,,,Ccy,Conv)</f>
        <v>0</v>
      </c>
      <c r="G418" s="18">
        <f>_xll.ciqfunctions.udf.CIQ($C$2, "IQ_RUA_CAPITAL_LEASE_GROSS", G$6,$F$2,,,Ccy,Conv)</f>
        <v>0</v>
      </c>
      <c r="H418" s="18">
        <f>_xll.ciqfunctions.udf.CIQ($C$2, "IQ_RUA_CAPITAL_LEASE_GROSS", H$6,$F$2,,,Ccy,Conv)</f>
        <v>0</v>
      </c>
      <c r="I418" s="18">
        <f>_xll.ciqfunctions.udf.CIQ($C$2, "IQ_RUA_CAPITAL_LEASE_GROSS", I$6,$F$2,,,Ccy,Conv)</f>
        <v>0</v>
      </c>
      <c r="J418" s="18">
        <f>_xll.ciqfunctions.udf.CIQ($C$2, "IQ_RUA_CAPITAL_LEASE_GROSS", J$6,$F$2,,,Ccy,Conv)</f>
        <v>0</v>
      </c>
      <c r="K418" s="18">
        <f>_xll.ciqfunctions.udf.CIQ($C$2, "IQ_RUA_CAPITAL_LEASE_GROSS", K$6,$F$2,,,Ccy,Conv)</f>
        <v>0</v>
      </c>
      <c r="L418" s="18">
        <f>_xll.ciqfunctions.udf.CIQ($C$2, "IQ_RUA_CAPITAL_LEASE_GROSS", L$6,$F$2,,,Ccy,Conv)</f>
        <v>0</v>
      </c>
      <c r="M418" s="18">
        <f>_xll.ciqfunctions.udf.CIQ($C$2, "IQ_RUA_CAPITAL_LEASE_GROSS", M$6,$F$2,,,Ccy,Conv)</f>
        <v>0</v>
      </c>
      <c r="N418" s="18">
        <f>_xll.ciqfunctions.udf.CIQ($C$2, "IQ_RUA_CAPITAL_LEASE_GROSS", N$6,$F$2,,,Ccy,Conv)</f>
        <v>0</v>
      </c>
      <c r="O418" s="18"/>
      <c r="P418" s="18">
        <f>_xll.ciqfunctions.udf.CIQ($C$2, "IQ_RUA_CAPITAL_LEASE_GROSS", P$6,$F$2,,,Ccy,Conv)</f>
        <v>0</v>
      </c>
      <c r="Q418" s="215"/>
      <c r="R418" s="215"/>
      <c r="S418" s="215"/>
      <c r="T418" s="215"/>
      <c r="U418" s="215"/>
      <c r="V418" s="222"/>
      <c r="W418" s="222"/>
      <c r="X418" s="222"/>
      <c r="Y418" s="215"/>
      <c r="Z418" s="215"/>
      <c r="AA418" s="215"/>
      <c r="AB418" s="215"/>
      <c r="AC418" s="215"/>
      <c r="AD418" s="215"/>
      <c r="AE418" s="215"/>
      <c r="AF418" s="215"/>
      <c r="AG418" s="215"/>
      <c r="AH418" s="215"/>
      <c r="AI418" s="215"/>
      <c r="AJ418" s="215"/>
      <c r="AK418" s="215"/>
      <c r="AL418" s="215"/>
      <c r="AM418" s="215"/>
      <c r="AN418" s="215"/>
      <c r="AO418" s="215"/>
      <c r="AP418" s="215"/>
      <c r="AQ418" s="215"/>
      <c r="AR418" s="215"/>
      <c r="AS418" s="215"/>
      <c r="AT418" s="215"/>
      <c r="AU418" s="215"/>
      <c r="AV418" s="215"/>
      <c r="AW418" s="215"/>
      <c r="AX418" s="215"/>
      <c r="AY418" s="215"/>
      <c r="AZ418" s="215"/>
      <c r="BA418" s="215"/>
      <c r="BB418" s="215"/>
      <c r="BC418" s="215"/>
      <c r="BD418" s="215"/>
      <c r="BE418" s="215"/>
      <c r="BF418" s="215"/>
      <c r="BG418" s="215"/>
      <c r="BH418" s="215"/>
      <c r="BI418" s="215"/>
      <c r="BJ418" s="215"/>
      <c r="BK418" s="215"/>
      <c r="BL418" s="215"/>
      <c r="BM418" s="215"/>
      <c r="BN418" s="215"/>
      <c r="BO418" s="215"/>
      <c r="BP418" s="215"/>
      <c r="BQ418" s="215"/>
      <c r="BR418" s="215"/>
      <c r="BS418" s="215"/>
      <c r="BT418" s="215"/>
      <c r="BU418" s="215"/>
      <c r="BV418" s="215"/>
      <c r="BW418" s="215"/>
      <c r="BX418" s="215"/>
      <c r="BY418" s="215"/>
      <c r="BZ418" s="215"/>
    </row>
    <row r="419" spans="1:78" x14ac:dyDescent="0.2">
      <c r="A419" s="2" t="str">
        <f>'Language Index'!A373</f>
        <v>Right-of-Use Asset-Capital Lease-Accumulated Depreciation</v>
      </c>
      <c r="B419" s="48"/>
      <c r="C419" s="48"/>
      <c r="D419" s="18">
        <f>_xll.ciqfunctions.udf.CIQ($C$2, "IQ_RUA_CAPITAL_LEASE_ACCUM_DEP", D$6,$F$2,,,Ccy,Conv)</f>
        <v>0</v>
      </c>
      <c r="E419" s="18">
        <f>_xll.ciqfunctions.udf.CIQ($C$2, "IQ_RUA_CAPITAL_LEASE_ACCUM_DEP", E$6,$F$2,,,Ccy,Conv)</f>
        <v>0</v>
      </c>
      <c r="F419" s="18">
        <f>_xll.ciqfunctions.udf.CIQ($C$2, "IQ_RUA_CAPITAL_LEASE_ACCUM_DEP", F$6,$F$2,,,Ccy,Conv)</f>
        <v>0</v>
      </c>
      <c r="G419" s="18">
        <f>_xll.ciqfunctions.udf.CIQ($C$2, "IQ_RUA_CAPITAL_LEASE_ACCUM_DEP", G$6,$F$2,,,Ccy,Conv)</f>
        <v>0</v>
      </c>
      <c r="H419" s="18">
        <f>_xll.ciqfunctions.udf.CIQ($C$2, "IQ_RUA_CAPITAL_LEASE_ACCUM_DEP", H$6,$F$2,,,Ccy,Conv)</f>
        <v>0</v>
      </c>
      <c r="I419" s="18">
        <f>_xll.ciqfunctions.udf.CIQ($C$2, "IQ_RUA_CAPITAL_LEASE_ACCUM_DEP", I$6,$F$2,,,Ccy,Conv)</f>
        <v>0</v>
      </c>
      <c r="J419" s="18">
        <f>_xll.ciqfunctions.udf.CIQ($C$2, "IQ_RUA_CAPITAL_LEASE_ACCUM_DEP", J$6,$F$2,,,Ccy,Conv)</f>
        <v>0</v>
      </c>
      <c r="K419" s="18">
        <f>_xll.ciqfunctions.udf.CIQ($C$2, "IQ_RUA_CAPITAL_LEASE_ACCUM_DEP", K$6,$F$2,,,Ccy,Conv)</f>
        <v>0</v>
      </c>
      <c r="L419" s="18">
        <f>_xll.ciqfunctions.udf.CIQ($C$2, "IQ_RUA_CAPITAL_LEASE_ACCUM_DEP", L$6,$F$2,,,Ccy,Conv)</f>
        <v>0</v>
      </c>
      <c r="M419" s="18">
        <f>_xll.ciqfunctions.udf.CIQ($C$2, "IQ_RUA_CAPITAL_LEASE_ACCUM_DEP", M$6,$F$2,,,Ccy,Conv)</f>
        <v>0</v>
      </c>
      <c r="N419" s="18">
        <f>_xll.ciqfunctions.udf.CIQ($C$2, "IQ_RUA_CAPITAL_LEASE_ACCUM_DEP", N$6,$F$2,,,Ccy,Conv)</f>
        <v>0</v>
      </c>
      <c r="O419" s="18"/>
      <c r="P419" s="18">
        <f>_xll.ciqfunctions.udf.CIQ($C$2, "IQ_RUA_CAPITAL_LEASE_ACCUM_DEP", P$6,$F$2,,,Ccy,Conv)</f>
        <v>0</v>
      </c>
      <c r="Q419" s="215"/>
      <c r="R419" s="215"/>
      <c r="S419" s="215"/>
      <c r="T419" s="215"/>
      <c r="U419" s="215"/>
      <c r="V419" s="222"/>
      <c r="W419" s="222"/>
      <c r="X419" s="222"/>
      <c r="Y419" s="215"/>
      <c r="Z419" s="215"/>
      <c r="AA419" s="215"/>
      <c r="AB419" s="215"/>
      <c r="AC419" s="215"/>
      <c r="AD419" s="215"/>
      <c r="AE419" s="215"/>
      <c r="AF419" s="215"/>
      <c r="AG419" s="215"/>
      <c r="AH419" s="215"/>
      <c r="AI419" s="215"/>
      <c r="AJ419" s="215"/>
      <c r="AK419" s="215"/>
      <c r="AL419" s="215"/>
      <c r="AM419" s="215"/>
      <c r="AN419" s="215"/>
      <c r="AO419" s="215"/>
      <c r="AP419" s="215"/>
      <c r="AQ419" s="215"/>
      <c r="AR419" s="215"/>
      <c r="AS419" s="215"/>
      <c r="AT419" s="215"/>
      <c r="AU419" s="215"/>
      <c r="AV419" s="215"/>
      <c r="AW419" s="215"/>
      <c r="AX419" s="215"/>
      <c r="AY419" s="215"/>
      <c r="AZ419" s="215"/>
      <c r="BA419" s="215"/>
      <c r="BB419" s="215"/>
      <c r="BC419" s="215"/>
      <c r="BD419" s="215"/>
      <c r="BE419" s="215"/>
      <c r="BF419" s="215"/>
      <c r="BG419" s="215"/>
      <c r="BH419" s="215"/>
      <c r="BI419" s="215"/>
      <c r="BJ419" s="215"/>
      <c r="BK419" s="215"/>
      <c r="BL419" s="215"/>
      <c r="BM419" s="215"/>
      <c r="BN419" s="215"/>
      <c r="BO419" s="215"/>
      <c r="BP419" s="215"/>
      <c r="BQ419" s="215"/>
      <c r="BR419" s="215"/>
      <c r="BS419" s="215"/>
      <c r="BT419" s="215"/>
      <c r="BU419" s="215"/>
      <c r="BV419" s="215"/>
      <c r="BW419" s="215"/>
      <c r="BX419" s="215"/>
      <c r="BY419" s="215"/>
      <c r="BZ419" s="215"/>
    </row>
    <row r="420" spans="1:78" x14ac:dyDescent="0.2">
      <c r="A420" s="2" t="str">
        <f>'Language Index'!A374</f>
        <v>Right-of-Use Asset-Capital Lease-Net</v>
      </c>
      <c r="B420" s="48"/>
      <c r="C420" s="48"/>
      <c r="D420" s="18">
        <f>_xll.ciqfunctions.udf.CIQ($C$2, "IQ_RUA_CAPITAL_LEASE_NET", D$6,$F$2,,,Ccy,Conv)</f>
        <v>0</v>
      </c>
      <c r="E420" s="18">
        <f>_xll.ciqfunctions.udf.CIQ($C$2, "IQ_RUA_CAPITAL_LEASE_NET", E$6,$F$2,,,Ccy,Conv)</f>
        <v>0</v>
      </c>
      <c r="F420" s="18">
        <f>_xll.ciqfunctions.udf.CIQ($C$2, "IQ_RUA_CAPITAL_LEASE_NET", F$6,$F$2,,,Ccy,Conv)</f>
        <v>0</v>
      </c>
      <c r="G420" s="18">
        <f>_xll.ciqfunctions.udf.CIQ($C$2, "IQ_RUA_CAPITAL_LEASE_NET", G$6,$F$2,,,Ccy,Conv)</f>
        <v>0</v>
      </c>
      <c r="H420" s="18">
        <f>_xll.ciqfunctions.udf.CIQ($C$2, "IQ_RUA_CAPITAL_LEASE_NET", H$6,$F$2,,,Ccy,Conv)</f>
        <v>0</v>
      </c>
      <c r="I420" s="18">
        <f>_xll.ciqfunctions.udf.CIQ($C$2, "IQ_RUA_CAPITAL_LEASE_NET", I$6,$F$2,,,Ccy,Conv)</f>
        <v>0</v>
      </c>
      <c r="J420" s="18">
        <f>_xll.ciqfunctions.udf.CIQ($C$2, "IQ_RUA_CAPITAL_LEASE_NET", J$6,$F$2,,,Ccy,Conv)</f>
        <v>0</v>
      </c>
      <c r="K420" s="18">
        <f>_xll.ciqfunctions.udf.CIQ($C$2, "IQ_RUA_CAPITAL_LEASE_NET", K$6,$F$2,,,Ccy,Conv)</f>
        <v>0</v>
      </c>
      <c r="L420" s="18">
        <f>_xll.ciqfunctions.udf.CIQ($C$2, "IQ_RUA_CAPITAL_LEASE_NET", L$6,$F$2,,,Ccy,Conv)</f>
        <v>0</v>
      </c>
      <c r="M420" s="18">
        <f>_xll.ciqfunctions.udf.CIQ($C$2, "IQ_RUA_CAPITAL_LEASE_NET", M$6,$F$2,,,Ccy,Conv)</f>
        <v>0</v>
      </c>
      <c r="N420" s="18">
        <f>_xll.ciqfunctions.udf.CIQ($C$2, "IQ_RUA_CAPITAL_LEASE_NET", N$6,$F$2,,,Ccy,Conv)</f>
        <v>0</v>
      </c>
      <c r="O420" s="18"/>
      <c r="P420" s="18">
        <f>_xll.ciqfunctions.udf.CIQ($C$2, "IQ_RUA_CAPITAL_LEASE_NET", P$6,$F$2,,,Ccy,Conv)</f>
        <v>0</v>
      </c>
      <c r="Q420" s="215"/>
      <c r="R420" s="215"/>
      <c r="S420" s="215"/>
      <c r="T420" s="215"/>
      <c r="U420" s="215"/>
      <c r="V420" s="222"/>
      <c r="W420" s="222"/>
      <c r="X420" s="222"/>
      <c r="Y420" s="215"/>
      <c r="Z420" s="215"/>
      <c r="AA420" s="215"/>
      <c r="AB420" s="215"/>
      <c r="AC420" s="215"/>
      <c r="AD420" s="215"/>
      <c r="AE420" s="215"/>
      <c r="AF420" s="215"/>
      <c r="AG420" s="215"/>
      <c r="AH420" s="215"/>
      <c r="AI420" s="215"/>
      <c r="AJ420" s="215"/>
      <c r="AK420" s="215"/>
      <c r="AL420" s="215"/>
      <c r="AM420" s="215"/>
      <c r="AN420" s="215"/>
      <c r="AO420" s="215"/>
      <c r="AP420" s="215"/>
      <c r="AQ420" s="215"/>
      <c r="AR420" s="215"/>
      <c r="AS420" s="215"/>
      <c r="AT420" s="215"/>
      <c r="AU420" s="215"/>
      <c r="AV420" s="215"/>
      <c r="AW420" s="215"/>
      <c r="AX420" s="215"/>
      <c r="AY420" s="215"/>
      <c r="AZ420" s="215"/>
      <c r="BA420" s="215"/>
      <c r="BB420" s="215"/>
      <c r="BC420" s="215"/>
      <c r="BD420" s="215"/>
      <c r="BE420" s="215"/>
      <c r="BF420" s="215"/>
      <c r="BG420" s="215"/>
      <c r="BH420" s="215"/>
      <c r="BI420" s="215"/>
      <c r="BJ420" s="215"/>
      <c r="BK420" s="215"/>
      <c r="BL420" s="215"/>
      <c r="BM420" s="215"/>
      <c r="BN420" s="215"/>
      <c r="BO420" s="215"/>
      <c r="BP420" s="215"/>
      <c r="BQ420" s="215"/>
      <c r="BR420" s="215"/>
      <c r="BS420" s="215"/>
      <c r="BT420" s="215"/>
      <c r="BU420" s="215"/>
      <c r="BV420" s="215"/>
      <c r="BW420" s="215"/>
      <c r="BX420" s="215"/>
      <c r="BY420" s="215"/>
      <c r="BZ420" s="215"/>
    </row>
    <row r="421" spans="1:78" x14ac:dyDescent="0.2">
      <c r="A421" s="2" t="str">
        <f>'Language Index'!A375</f>
        <v>Right-of-Use Asset-Operating Lease-Gross</v>
      </c>
      <c r="B421" s="48"/>
      <c r="C421" s="48"/>
      <c r="D421" s="18">
        <f>_xll.ciqfunctions.udf.CIQ($C$2, "IQ_RUA_OPERATING_LEASE_GROSS", D$6,$F$2,,,Ccy,Conv)</f>
        <v>2653</v>
      </c>
      <c r="E421" s="18">
        <f>_xll.ciqfunctions.udf.CIQ($C$2, "IQ_RUA_OPERATING_LEASE_GROSS", E$6,$F$2,,,Ccy,Conv)</f>
        <v>3112</v>
      </c>
      <c r="F421" s="18">
        <f>_xll.ciqfunctions.udf.CIQ($C$2, "IQ_RUA_OPERATING_LEASE_GROSS", F$6,$F$2,,,Ccy,Conv)</f>
        <v>3220</v>
      </c>
      <c r="G421" s="18">
        <f>_xll.ciqfunctions.udf.CIQ($C$2, "IQ_RUA_OPERATING_LEASE_GROSS", G$6,$F$2,,,Ccy,Conv)</f>
        <v>3204</v>
      </c>
      <c r="H421" s="18">
        <f>_xll.ciqfunctions.udf.CIQ($C$2, "IQ_RUA_OPERATING_LEASE_GROSS", H$6,$F$2,,,Ccy,Conv)</f>
        <v>3130</v>
      </c>
      <c r="I421" s="18">
        <f>_xll.ciqfunctions.udf.CIQ($C$2, "IQ_RUA_OPERATING_LEASE_GROSS", I$6,$F$2,,,Ccy,Conv)</f>
        <v>3355</v>
      </c>
      <c r="J421" s="18">
        <f>_xll.ciqfunctions.udf.CIQ($C$2, "IQ_RUA_OPERATING_LEASE_GROSS", J$6,$F$2,,,Ccy,Conv)</f>
        <v>3197</v>
      </c>
      <c r="K421" s="18">
        <f>_xll.ciqfunctions.udf.CIQ($C$2, "IQ_RUA_OPERATING_LEASE_GROSS", K$6,$F$2,,,Ccy,Conv)</f>
        <v>3323</v>
      </c>
      <c r="L421" s="18">
        <f>_xll.ciqfunctions.udf.CIQ($C$2, "IQ_RUA_OPERATING_LEASE_GROSS", L$6,$F$2,,,Ccy,Conv)</f>
        <v>3315</v>
      </c>
      <c r="M421" s="18">
        <f>_xll.ciqfunctions.udf.CIQ($C$2, "IQ_RUA_OPERATING_LEASE_GROSS", M$6,$F$2,,,Ccy,Conv)</f>
        <v>3223</v>
      </c>
      <c r="N421" s="18">
        <f>_xll.ciqfunctions.udf.CIQ($C$2, "IQ_RUA_OPERATING_LEASE_GROSS", N$6,$F$2,,,Ccy,Conv)</f>
        <v>3129</v>
      </c>
      <c r="O421" s="18"/>
      <c r="P421" s="18">
        <f>_xll.ciqfunctions.udf.CIQ($C$2, "IQ_RUA_OPERATING_LEASE_GROSS", P$6,$F$2,,,Ccy,Conv)</f>
        <v>3129</v>
      </c>
      <c r="Q421" s="215"/>
      <c r="R421" s="215"/>
      <c r="S421" s="215"/>
      <c r="T421" s="215"/>
      <c r="U421" s="215"/>
      <c r="V421" s="222"/>
      <c r="W421" s="222"/>
      <c r="X421" s="222"/>
      <c r="Y421" s="215"/>
      <c r="Z421" s="215"/>
      <c r="AA421" s="215"/>
      <c r="AB421" s="215"/>
      <c r="AC421" s="215"/>
      <c r="AD421" s="215"/>
      <c r="AE421" s="215"/>
      <c r="AF421" s="215"/>
      <c r="AG421" s="215"/>
      <c r="AH421" s="215"/>
      <c r="AI421" s="215"/>
      <c r="AJ421" s="215"/>
      <c r="AK421" s="215"/>
      <c r="AL421" s="215"/>
      <c r="AM421" s="215"/>
      <c r="AN421" s="215"/>
      <c r="AO421" s="215"/>
      <c r="AP421" s="215"/>
      <c r="AQ421" s="215"/>
      <c r="AR421" s="215"/>
      <c r="AS421" s="215"/>
      <c r="AT421" s="215"/>
      <c r="AU421" s="215"/>
      <c r="AV421" s="215"/>
      <c r="AW421" s="215"/>
      <c r="AX421" s="215"/>
      <c r="AY421" s="215"/>
      <c r="AZ421" s="215"/>
      <c r="BA421" s="215"/>
      <c r="BB421" s="215"/>
      <c r="BC421" s="215"/>
      <c r="BD421" s="215"/>
      <c r="BE421" s="215"/>
      <c r="BF421" s="215"/>
      <c r="BG421" s="215"/>
      <c r="BH421" s="215"/>
      <c r="BI421" s="215"/>
      <c r="BJ421" s="215"/>
      <c r="BK421" s="215"/>
      <c r="BL421" s="215"/>
      <c r="BM421" s="215"/>
      <c r="BN421" s="215"/>
      <c r="BO421" s="215"/>
      <c r="BP421" s="215"/>
      <c r="BQ421" s="215"/>
      <c r="BR421" s="215"/>
      <c r="BS421" s="215"/>
      <c r="BT421" s="215"/>
      <c r="BU421" s="215"/>
      <c r="BV421" s="215"/>
      <c r="BW421" s="215"/>
      <c r="BX421" s="215"/>
      <c r="BY421" s="215"/>
      <c r="BZ421" s="215"/>
    </row>
    <row r="422" spans="1:78" x14ac:dyDescent="0.2">
      <c r="A422" s="2" t="str">
        <f>'Language Index'!A376</f>
        <v>Right-of-Use Asset-Operating Lease-Accumulated Depreciation</v>
      </c>
      <c r="B422" s="48"/>
      <c r="C422" s="48"/>
      <c r="D422" s="18">
        <f>_xll.ciqfunctions.udf.CIQ($C$2, "IQ_RUA_OPERATING_LEASE_ACCUM_DEP", D$6,$F$2,,,Ccy,Conv)</f>
        <v>0</v>
      </c>
      <c r="E422" s="18">
        <f>_xll.ciqfunctions.udf.CIQ($C$2, "IQ_RUA_OPERATING_LEASE_ACCUM_DEP", E$6,$F$2,,,Ccy,Conv)</f>
        <v>0</v>
      </c>
      <c r="F422" s="18">
        <f>_xll.ciqfunctions.udf.CIQ($C$2, "IQ_RUA_OPERATING_LEASE_ACCUM_DEP", F$6,$F$2,,,Ccy,Conv)</f>
        <v>0</v>
      </c>
      <c r="G422" s="18">
        <f>_xll.ciqfunctions.udf.CIQ($C$2, "IQ_RUA_OPERATING_LEASE_ACCUM_DEP", G$6,$F$2,,,Ccy,Conv)</f>
        <v>0</v>
      </c>
      <c r="H422" s="18">
        <f>_xll.ciqfunctions.udf.CIQ($C$2, "IQ_RUA_OPERATING_LEASE_ACCUM_DEP", H$6,$F$2,,,Ccy,Conv)</f>
        <v>0</v>
      </c>
      <c r="I422" s="18">
        <f>_xll.ciqfunctions.udf.CIQ($C$2, "IQ_RUA_OPERATING_LEASE_ACCUM_DEP", I$6,$F$2,,,Ccy,Conv)</f>
        <v>0</v>
      </c>
      <c r="J422" s="18">
        <f>_xll.ciqfunctions.udf.CIQ($C$2, "IQ_RUA_OPERATING_LEASE_ACCUM_DEP", J$6,$F$2,,,Ccy,Conv)</f>
        <v>0</v>
      </c>
      <c r="K422" s="18">
        <f>_xll.ciqfunctions.udf.CIQ($C$2, "IQ_RUA_OPERATING_LEASE_ACCUM_DEP", K$6,$F$2,,,Ccy,Conv)</f>
        <v>0</v>
      </c>
      <c r="L422" s="18">
        <f>_xll.ciqfunctions.udf.CIQ($C$2, "IQ_RUA_OPERATING_LEASE_ACCUM_DEP", L$6,$F$2,,,Ccy,Conv)</f>
        <v>0</v>
      </c>
      <c r="M422" s="18">
        <f>_xll.ciqfunctions.udf.CIQ($C$2, "IQ_RUA_OPERATING_LEASE_ACCUM_DEP", M$6,$F$2,,,Ccy,Conv)</f>
        <v>0</v>
      </c>
      <c r="N422" s="18">
        <f>_xll.ciqfunctions.udf.CIQ($C$2, "IQ_RUA_OPERATING_LEASE_ACCUM_DEP", N$6,$F$2,,,Ccy,Conv)</f>
        <v>0</v>
      </c>
      <c r="O422" s="18"/>
      <c r="P422" s="18">
        <f>_xll.ciqfunctions.udf.CIQ($C$2, "IQ_RUA_OPERATING_LEASE_ACCUM_DEP", P$6,$F$2,,,Ccy,Conv)</f>
        <v>0</v>
      </c>
      <c r="Q422" s="215"/>
      <c r="R422" s="215"/>
      <c r="S422" s="215"/>
      <c r="T422" s="215"/>
      <c r="U422" s="215"/>
      <c r="V422" s="222"/>
      <c r="W422" s="222"/>
      <c r="X422" s="222"/>
      <c r="Y422" s="215"/>
      <c r="Z422" s="215"/>
      <c r="AA422" s="215"/>
      <c r="AB422" s="215"/>
      <c r="AC422" s="215"/>
      <c r="AD422" s="215"/>
      <c r="AE422" s="215"/>
      <c r="AF422" s="215"/>
      <c r="AG422" s="215"/>
      <c r="AH422" s="215"/>
      <c r="AI422" s="215"/>
      <c r="AJ422" s="215"/>
      <c r="AK422" s="215"/>
      <c r="AL422" s="215"/>
      <c r="AM422" s="215"/>
      <c r="AN422" s="215"/>
      <c r="AO422" s="215"/>
      <c r="AP422" s="215"/>
      <c r="AQ422" s="215"/>
      <c r="AR422" s="215"/>
      <c r="AS422" s="215"/>
      <c r="AT422" s="215"/>
      <c r="AU422" s="215"/>
      <c r="AV422" s="215"/>
      <c r="AW422" s="215"/>
      <c r="AX422" s="215"/>
      <c r="AY422" s="215"/>
      <c r="AZ422" s="215"/>
      <c r="BA422" s="215"/>
      <c r="BB422" s="215"/>
      <c r="BC422" s="215"/>
      <c r="BD422" s="215"/>
      <c r="BE422" s="215"/>
      <c r="BF422" s="215"/>
      <c r="BG422" s="215"/>
      <c r="BH422" s="215"/>
      <c r="BI422" s="215"/>
      <c r="BJ422" s="215"/>
      <c r="BK422" s="215"/>
      <c r="BL422" s="215"/>
      <c r="BM422" s="215"/>
      <c r="BN422" s="215"/>
      <c r="BO422" s="215"/>
      <c r="BP422" s="215"/>
      <c r="BQ422" s="215"/>
      <c r="BR422" s="215"/>
      <c r="BS422" s="215"/>
      <c r="BT422" s="215"/>
      <c r="BU422" s="215"/>
      <c r="BV422" s="215"/>
      <c r="BW422" s="215"/>
      <c r="BX422" s="215"/>
      <c r="BY422" s="215"/>
      <c r="BZ422" s="215"/>
    </row>
    <row r="423" spans="1:78" x14ac:dyDescent="0.2">
      <c r="A423" s="2" t="str">
        <f>'Language Index'!A377</f>
        <v>Right-of-Use Asset-Operating Lease-Net</v>
      </c>
      <c r="B423" s="48"/>
      <c r="C423" s="48"/>
      <c r="D423" s="18">
        <f>_xll.ciqfunctions.udf.CIQ($C$2, "IQ_RUA_OPERATING_LEASE_NET", D$6,$F$2,,,Ccy,Conv)</f>
        <v>0</v>
      </c>
      <c r="E423" s="18">
        <f>_xll.ciqfunctions.udf.CIQ($C$2, "IQ_RUA_OPERATING_LEASE_NET", E$6,$F$2,,,Ccy,Conv)</f>
        <v>0</v>
      </c>
      <c r="F423" s="18">
        <f>_xll.ciqfunctions.udf.CIQ($C$2, "IQ_RUA_OPERATING_LEASE_NET", F$6,$F$2,,,Ccy,Conv)</f>
        <v>0</v>
      </c>
      <c r="G423" s="18">
        <f>_xll.ciqfunctions.udf.CIQ($C$2, "IQ_RUA_OPERATING_LEASE_NET", G$6,$F$2,,,Ccy,Conv)</f>
        <v>0</v>
      </c>
      <c r="H423" s="18">
        <f>_xll.ciqfunctions.udf.CIQ($C$2, "IQ_RUA_OPERATING_LEASE_NET", H$6,$F$2,,,Ccy,Conv)</f>
        <v>0</v>
      </c>
      <c r="I423" s="18">
        <f>_xll.ciqfunctions.udf.CIQ($C$2, "IQ_RUA_OPERATING_LEASE_NET", I$6,$F$2,,,Ccy,Conv)</f>
        <v>0</v>
      </c>
      <c r="J423" s="18">
        <f>_xll.ciqfunctions.udf.CIQ($C$2, "IQ_RUA_OPERATING_LEASE_NET", J$6,$F$2,,,Ccy,Conv)</f>
        <v>0</v>
      </c>
      <c r="K423" s="18">
        <f>_xll.ciqfunctions.udf.CIQ($C$2, "IQ_RUA_OPERATING_LEASE_NET", K$6,$F$2,,,Ccy,Conv)</f>
        <v>0</v>
      </c>
      <c r="L423" s="18">
        <f>_xll.ciqfunctions.udf.CIQ($C$2, "IQ_RUA_OPERATING_LEASE_NET", L$6,$F$2,,,Ccy,Conv)</f>
        <v>0</v>
      </c>
      <c r="M423" s="18">
        <f>_xll.ciqfunctions.udf.CIQ($C$2, "IQ_RUA_OPERATING_LEASE_NET", M$6,$F$2,,,Ccy,Conv)</f>
        <v>0</v>
      </c>
      <c r="N423" s="18">
        <f>_xll.ciqfunctions.udf.CIQ($C$2, "IQ_RUA_OPERATING_LEASE_NET", N$6,$F$2,,,Ccy,Conv)</f>
        <v>0</v>
      </c>
      <c r="O423" s="18"/>
      <c r="P423" s="18">
        <f>_xll.ciqfunctions.udf.CIQ($C$2, "IQ_RUA_OPERATING_LEASE_NET", P$6,$F$2,,,Ccy,Conv)</f>
        <v>0</v>
      </c>
      <c r="Q423" s="215"/>
      <c r="R423" s="215"/>
      <c r="S423" s="215"/>
      <c r="T423" s="215"/>
      <c r="U423" s="215"/>
      <c r="V423" s="222"/>
      <c r="W423" s="222"/>
      <c r="X423" s="222"/>
      <c r="Y423" s="215"/>
      <c r="Z423" s="215"/>
      <c r="AA423" s="215"/>
      <c r="AB423" s="215"/>
      <c r="AC423" s="215"/>
      <c r="AD423" s="215"/>
      <c r="AE423" s="215"/>
      <c r="AF423" s="215"/>
      <c r="AG423" s="215"/>
      <c r="AH423" s="215"/>
      <c r="AI423" s="215"/>
      <c r="AJ423" s="215"/>
      <c r="AK423" s="215"/>
      <c r="AL423" s="215"/>
      <c r="AM423" s="215"/>
      <c r="AN423" s="215"/>
      <c r="AO423" s="215"/>
      <c r="AP423" s="215"/>
      <c r="AQ423" s="215"/>
      <c r="AR423" s="215"/>
      <c r="AS423" s="215"/>
      <c r="AT423" s="215"/>
      <c r="AU423" s="215"/>
      <c r="AV423" s="215"/>
      <c r="AW423" s="215"/>
      <c r="AX423" s="215"/>
      <c r="AY423" s="215"/>
      <c r="AZ423" s="215"/>
      <c r="BA423" s="215"/>
      <c r="BB423" s="215"/>
      <c r="BC423" s="215"/>
      <c r="BD423" s="215"/>
      <c r="BE423" s="215"/>
      <c r="BF423" s="215"/>
      <c r="BG423" s="215"/>
      <c r="BH423" s="215"/>
      <c r="BI423" s="215"/>
      <c r="BJ423" s="215"/>
      <c r="BK423" s="215"/>
      <c r="BL423" s="215"/>
      <c r="BM423" s="215"/>
      <c r="BN423" s="215"/>
      <c r="BO423" s="215"/>
      <c r="BP423" s="215"/>
      <c r="BQ423" s="215"/>
      <c r="BR423" s="215"/>
      <c r="BS423" s="215"/>
      <c r="BT423" s="215"/>
      <c r="BU423" s="215"/>
      <c r="BV423" s="215"/>
      <c r="BW423" s="215"/>
      <c r="BX423" s="215"/>
      <c r="BY423" s="215"/>
      <c r="BZ423" s="215"/>
    </row>
    <row r="424" spans="1:78" x14ac:dyDescent="0.2">
      <c r="A424" s="2" t="str">
        <f>'Language Index'!A378</f>
        <v>Gross PP&amp;E, Excl. Operating Leases</v>
      </c>
      <c r="B424" s="48"/>
      <c r="C424" s="48"/>
      <c r="D424" s="18">
        <f>_xll.ciqfunctions.udf.CIQ($C$2, "IQ_GPPE_EXCL_OPER_LEASES", D$6,$F$2,,,Ccy,Conv)</f>
        <v>18588</v>
      </c>
      <c r="E424" s="18">
        <f>_xll.ciqfunctions.udf.CIQ($C$2, "IQ_GPPE_EXCL_OPER_LEASES", E$6,$F$2,,,Ccy,Conv)</f>
        <v>18217</v>
      </c>
      <c r="F424" s="18">
        <f>_xll.ciqfunctions.udf.CIQ($C$2, "IQ_GPPE_EXCL_OPER_LEASES", F$6,$F$2,,,Ccy,Conv)</f>
        <v>18122</v>
      </c>
      <c r="G424" s="18">
        <f>_xll.ciqfunctions.udf.CIQ($C$2, "IQ_GPPE_EXCL_OPER_LEASES", G$6,$F$2,,,Ccy,Conv)</f>
        <v>18071</v>
      </c>
      <c r="H424" s="18">
        <f>_xll.ciqfunctions.udf.CIQ($C$2, "IQ_GPPE_EXCL_OPER_LEASES", H$6,$F$2,,,Ccy,Conv)</f>
        <v>17911</v>
      </c>
      <c r="I424" s="18">
        <f>_xll.ciqfunctions.udf.CIQ($C$2, "IQ_GPPE_EXCL_OPER_LEASES", I$6,$F$2,,,Ccy,Conv)</f>
        <v>17994</v>
      </c>
      <c r="J424" s="18">
        <f>_xll.ciqfunctions.udf.CIQ($C$2, "IQ_GPPE_EXCL_OPER_LEASES", J$6,$F$2,,,Ccy,Conv)</f>
        <v>17691</v>
      </c>
      <c r="K424" s="18">
        <f>_xll.ciqfunctions.udf.CIQ($C$2, "IQ_GPPE_EXCL_OPER_LEASES", K$6,$F$2,,,Ccy,Conv)</f>
        <v>17827</v>
      </c>
      <c r="L424" s="18">
        <f>_xll.ciqfunctions.udf.CIQ($C$2, "IQ_GPPE_EXCL_OPER_LEASES", L$6,$F$2,,,Ccy,Conv)</f>
        <v>18160</v>
      </c>
      <c r="M424" s="18">
        <f>_xll.ciqfunctions.udf.CIQ($C$2, "IQ_GPPE_EXCL_OPER_LEASES", M$6,$F$2,,,Ccy,Conv)</f>
        <v>18058</v>
      </c>
      <c r="N424" s="18">
        <f>_xll.ciqfunctions.udf.CIQ($C$2, "IQ_GPPE_EXCL_OPER_LEASES", N$6,$F$2,,,Ccy,Conv)</f>
        <v>17874</v>
      </c>
      <c r="O424" s="18"/>
      <c r="P424" s="18">
        <f>_xll.ciqfunctions.udf.CIQ($C$2, "IQ_GPPE_EXCL_OPER_LEASES", P$6,$F$2,,,Ccy,Conv)</f>
        <v>17874</v>
      </c>
      <c r="Q424" s="215"/>
      <c r="R424" s="215"/>
      <c r="S424" s="215"/>
      <c r="T424" s="215"/>
      <c r="U424" s="215"/>
      <c r="V424" s="222"/>
      <c r="W424" s="222"/>
      <c r="X424" s="222"/>
      <c r="Y424" s="215"/>
      <c r="Z424" s="215"/>
      <c r="AA424" s="215"/>
      <c r="AB424" s="215"/>
      <c r="AC424" s="215"/>
      <c r="AD424" s="215"/>
      <c r="AE424" s="215"/>
      <c r="AF424" s="215"/>
      <c r="AG424" s="215"/>
      <c r="AH424" s="215"/>
      <c r="AI424" s="215"/>
      <c r="AJ424" s="215"/>
      <c r="AK424" s="215"/>
      <c r="AL424" s="215"/>
      <c r="AM424" s="215"/>
      <c r="AN424" s="215"/>
      <c r="AO424" s="215"/>
      <c r="AP424" s="215"/>
      <c r="AQ424" s="215"/>
      <c r="AR424" s="215"/>
      <c r="AS424" s="215"/>
      <c r="AT424" s="215"/>
      <c r="AU424" s="215"/>
      <c r="AV424" s="215"/>
      <c r="AW424" s="215"/>
      <c r="AX424" s="215"/>
      <c r="AY424" s="215"/>
      <c r="AZ424" s="215"/>
      <c r="BA424" s="215"/>
      <c r="BB424" s="215"/>
      <c r="BC424" s="215"/>
      <c r="BD424" s="215"/>
      <c r="BE424" s="215"/>
      <c r="BF424" s="215"/>
      <c r="BG424" s="215"/>
      <c r="BH424" s="215"/>
      <c r="BI424" s="215"/>
      <c r="BJ424" s="215"/>
      <c r="BK424" s="215"/>
      <c r="BL424" s="215"/>
      <c r="BM424" s="215"/>
      <c r="BN424" s="215"/>
      <c r="BO424" s="215"/>
      <c r="BP424" s="215"/>
      <c r="BQ424" s="215"/>
      <c r="BR424" s="215"/>
      <c r="BS424" s="215"/>
      <c r="BT424" s="215"/>
      <c r="BU424" s="215"/>
      <c r="BV424" s="215"/>
      <c r="BW424" s="215"/>
      <c r="BX424" s="215"/>
      <c r="BY424" s="215"/>
      <c r="BZ424" s="215"/>
    </row>
    <row r="425" spans="1:78" x14ac:dyDescent="0.2">
      <c r="A425" s="2" t="str">
        <f>'Language Index'!A379</f>
        <v>Accumulated Depreciation, Excl. Operating Leases</v>
      </c>
      <c r="B425" s="48"/>
      <c r="C425" s="48"/>
      <c r="D425" s="18">
        <f>_xll.ciqfunctions.udf.CIQ($C$2, "IQ_AD_EXCL_OPER_LEASES", D$6,$F$2,,,Ccy,Conv)</f>
        <v>-13145</v>
      </c>
      <c r="E425" s="18">
        <f>_xll.ciqfunctions.udf.CIQ($C$2, "IQ_AD_EXCL_OPER_LEASES", E$6,$F$2,,,Ccy,Conv)</f>
        <v>-12848</v>
      </c>
      <c r="F425" s="18">
        <f>_xll.ciqfunctions.udf.CIQ($C$2, "IQ_AD_EXCL_OPER_LEASES", F$6,$F$2,,,Ccy,Conv)</f>
        <v>-12621</v>
      </c>
      <c r="G425" s="18">
        <f>_xll.ciqfunctions.udf.CIQ($C$2, "IQ_AD_EXCL_OPER_LEASES", G$6,$F$2,,,Ccy,Conv)</f>
        <v>-12477</v>
      </c>
      <c r="H425" s="18">
        <f>_xll.ciqfunctions.udf.CIQ($C$2, "IQ_AD_EXCL_OPER_LEASES", H$6,$F$2,,,Ccy,Conv)</f>
        <v>-12311</v>
      </c>
      <c r="I425" s="18">
        <f>_xll.ciqfunctions.udf.CIQ($C$2, "IQ_AD_EXCL_OPER_LEASES", I$6,$F$2,,,Ccy,Conv)</f>
        <v>-12380</v>
      </c>
      <c r="J425" s="18">
        <f>_xll.ciqfunctions.udf.CIQ($C$2, "IQ_AD_EXCL_OPER_LEASES", J$6,$F$2,,,Ccy,Conv)</f>
        <v>-11959</v>
      </c>
      <c r="K425" s="18">
        <f>_xll.ciqfunctions.udf.CIQ($C$2, "IQ_AD_EXCL_OPER_LEASES", K$6,$F$2,,,Ccy,Conv)</f>
        <v>-12085</v>
      </c>
      <c r="L425" s="18">
        <f>_xll.ciqfunctions.udf.CIQ($C$2, "IQ_AD_EXCL_OPER_LEASES", L$6,$F$2,,,Ccy,Conv)</f>
        <v>-12218</v>
      </c>
      <c r="M425" s="18">
        <f>_xll.ciqfunctions.udf.CIQ($C$2, "IQ_AD_EXCL_OPER_LEASES", M$6,$F$2,,,Ccy,Conv)</f>
        <v>-12207</v>
      </c>
      <c r="N425" s="18">
        <f>_xll.ciqfunctions.udf.CIQ($C$2, "IQ_AD_EXCL_OPER_LEASES", N$6,$F$2,,,Ccy,Conv)</f>
        <v>-11975</v>
      </c>
      <c r="O425" s="18"/>
      <c r="P425" s="18">
        <f>_xll.ciqfunctions.udf.CIQ($C$2, "IQ_AD_EXCL_OPER_LEASES", P$6,$F$2,,,Ccy,Conv)</f>
        <v>-11975</v>
      </c>
      <c r="Q425" s="215"/>
      <c r="R425" s="215"/>
      <c r="S425" s="215"/>
      <c r="T425" s="215"/>
      <c r="U425" s="215"/>
      <c r="V425" s="222"/>
      <c r="W425" s="222"/>
      <c r="X425" s="222"/>
      <c r="Y425" s="215"/>
      <c r="Z425" s="215"/>
      <c r="AA425" s="215"/>
      <c r="AB425" s="215"/>
      <c r="AC425" s="215"/>
      <c r="AD425" s="215"/>
      <c r="AE425" s="215"/>
      <c r="AF425" s="215"/>
      <c r="AG425" s="215"/>
      <c r="AH425" s="215"/>
      <c r="AI425" s="215"/>
      <c r="AJ425" s="215"/>
      <c r="AK425" s="215"/>
      <c r="AL425" s="215"/>
      <c r="AM425" s="215"/>
      <c r="AN425" s="215"/>
      <c r="AO425" s="215"/>
      <c r="AP425" s="215"/>
      <c r="AQ425" s="215"/>
      <c r="AR425" s="215"/>
      <c r="AS425" s="215"/>
      <c r="AT425" s="215"/>
      <c r="AU425" s="215"/>
      <c r="AV425" s="215"/>
      <c r="AW425" s="215"/>
      <c r="AX425" s="215"/>
      <c r="AY425" s="215"/>
      <c r="AZ425" s="215"/>
      <c r="BA425" s="215"/>
      <c r="BB425" s="215"/>
      <c r="BC425" s="215"/>
      <c r="BD425" s="215"/>
      <c r="BE425" s="215"/>
      <c r="BF425" s="215"/>
      <c r="BG425" s="215"/>
      <c r="BH425" s="215"/>
      <c r="BI425" s="215"/>
      <c r="BJ425" s="215"/>
      <c r="BK425" s="215"/>
      <c r="BL425" s="215"/>
      <c r="BM425" s="215"/>
      <c r="BN425" s="215"/>
      <c r="BO425" s="215"/>
      <c r="BP425" s="215"/>
      <c r="BQ425" s="215"/>
      <c r="BR425" s="215"/>
      <c r="BS425" s="215"/>
      <c r="BT425" s="215"/>
      <c r="BU425" s="215"/>
      <c r="BV425" s="215"/>
      <c r="BW425" s="215"/>
      <c r="BX425" s="215"/>
      <c r="BY425" s="215"/>
      <c r="BZ425" s="215"/>
    </row>
    <row r="426" spans="1:78" x14ac:dyDescent="0.2">
      <c r="A426" s="2" t="str">
        <f>'Language Index'!A380</f>
        <v>Net PP&amp;E, Excl. Operating Leases</v>
      </c>
      <c r="B426" s="48"/>
      <c r="C426" s="48"/>
      <c r="D426" s="18">
        <f>_xll.ciqfunctions.udf.CIQ($C$2, "IQ_NPPE_EXCL_OPER_LEASES", D$6,$F$2,,,Ccy,Conv)</f>
        <v>5443</v>
      </c>
      <c r="E426" s="18">
        <f>_xll.ciqfunctions.udf.CIQ($C$2, "IQ_NPPE_EXCL_OPER_LEASES", E$6,$F$2,,,Ccy,Conv)</f>
        <v>5369</v>
      </c>
      <c r="F426" s="18">
        <f>_xll.ciqfunctions.udf.CIQ($C$2, "IQ_NPPE_EXCL_OPER_LEASES", F$6,$F$2,,,Ccy,Conv)</f>
        <v>5501</v>
      </c>
      <c r="G426" s="18">
        <f>_xll.ciqfunctions.udf.CIQ($C$2, "IQ_NPPE_EXCL_OPER_LEASES", G$6,$F$2,,,Ccy,Conv)</f>
        <v>5594</v>
      </c>
      <c r="H426" s="18">
        <f>_xll.ciqfunctions.udf.CIQ($C$2, "IQ_NPPE_EXCL_OPER_LEASES", H$6,$F$2,,,Ccy,Conv)</f>
        <v>5600</v>
      </c>
      <c r="I426" s="18">
        <f>_xll.ciqfunctions.udf.CIQ($C$2, "IQ_NPPE_EXCL_OPER_LEASES", I$6,$F$2,,,Ccy,Conv)</f>
        <v>5614</v>
      </c>
      <c r="J426" s="18">
        <f>_xll.ciqfunctions.udf.CIQ($C$2, "IQ_NPPE_EXCL_OPER_LEASES", J$6,$F$2,,,Ccy,Conv)</f>
        <v>5732</v>
      </c>
      <c r="K426" s="18">
        <f>_xll.ciqfunctions.udf.CIQ($C$2, "IQ_NPPE_EXCL_OPER_LEASES", K$6,$F$2,,,Ccy,Conv)</f>
        <v>5742</v>
      </c>
      <c r="L426" s="18">
        <f>_xll.ciqfunctions.udf.CIQ($C$2, "IQ_NPPE_EXCL_OPER_LEASES", L$6,$F$2,,,Ccy,Conv)</f>
        <v>5942</v>
      </c>
      <c r="M426" s="18">
        <f>_xll.ciqfunctions.udf.CIQ($C$2, "IQ_NPPE_EXCL_OPER_LEASES", M$6,$F$2,,,Ccy,Conv)</f>
        <v>5851</v>
      </c>
      <c r="N426" s="18">
        <f>_xll.ciqfunctions.udf.CIQ($C$2, "IQ_NPPE_EXCL_OPER_LEASES", N$6,$F$2,,,Ccy,Conv)</f>
        <v>5899</v>
      </c>
      <c r="O426" s="18"/>
      <c r="P426" s="18">
        <f>_xll.ciqfunctions.udf.CIQ($C$2, "IQ_NPPE_EXCL_OPER_LEASES", P$6,$F$2,,,Ccy,Conv)</f>
        <v>5899</v>
      </c>
      <c r="Q426" s="215"/>
      <c r="R426" s="215"/>
      <c r="S426" s="215"/>
      <c r="T426" s="215"/>
      <c r="U426" s="215"/>
      <c r="V426" s="222"/>
      <c r="W426" s="222"/>
      <c r="X426" s="222"/>
      <c r="Y426" s="215"/>
      <c r="Z426" s="215"/>
      <c r="AA426" s="215"/>
      <c r="AB426" s="215"/>
      <c r="AC426" s="215"/>
      <c r="AD426" s="215"/>
      <c r="AE426" s="215"/>
      <c r="AF426" s="215"/>
      <c r="AG426" s="215"/>
      <c r="AH426" s="215"/>
      <c r="AI426" s="215"/>
      <c r="AJ426" s="215"/>
      <c r="AK426" s="215"/>
      <c r="AL426" s="215"/>
      <c r="AM426" s="215"/>
      <c r="AN426" s="215"/>
      <c r="AO426" s="215"/>
      <c r="AP426" s="215"/>
      <c r="AQ426" s="215"/>
      <c r="AR426" s="215"/>
      <c r="AS426" s="215"/>
      <c r="AT426" s="215"/>
      <c r="AU426" s="215"/>
      <c r="AV426" s="215"/>
      <c r="AW426" s="215"/>
      <c r="AX426" s="215"/>
      <c r="AY426" s="215"/>
      <c r="AZ426" s="215"/>
      <c r="BA426" s="215"/>
      <c r="BB426" s="215"/>
      <c r="BC426" s="215"/>
      <c r="BD426" s="215"/>
      <c r="BE426" s="215"/>
      <c r="BF426" s="215"/>
      <c r="BG426" s="215"/>
      <c r="BH426" s="215"/>
      <c r="BI426" s="215"/>
      <c r="BJ426" s="215"/>
      <c r="BK426" s="215"/>
      <c r="BL426" s="215"/>
      <c r="BM426" s="215"/>
      <c r="BN426" s="215"/>
      <c r="BO426" s="215"/>
      <c r="BP426" s="215"/>
      <c r="BQ426" s="215"/>
      <c r="BR426" s="215"/>
      <c r="BS426" s="215"/>
      <c r="BT426" s="215"/>
      <c r="BU426" s="215"/>
      <c r="BV426" s="215"/>
      <c r="BW426" s="215"/>
      <c r="BX426" s="215"/>
      <c r="BY426" s="215"/>
      <c r="BZ426" s="215"/>
    </row>
    <row r="427" spans="1:78" x14ac:dyDescent="0.2">
      <c r="A427" s="2" t="str">
        <f>'Language Index'!A381</f>
        <v>Finance Leases, Current</v>
      </c>
      <c r="B427" s="48"/>
      <c r="C427" s="48"/>
      <c r="D427" s="18">
        <f>_xll.ciqfunctions.udf.CIQ($C$2, "IQ_FINANCE_LEASES_CURRENT", D$6,$F$2,,,Ccy,Conv)</f>
        <v>0</v>
      </c>
      <c r="E427" s="18">
        <f>_xll.ciqfunctions.udf.CIQ($C$2, "IQ_FINANCE_LEASES_CURRENT", E$6,$F$2,,,Ccy,Conv)</f>
        <v>0</v>
      </c>
      <c r="F427" s="18">
        <f>_xll.ciqfunctions.udf.CIQ($C$2, "IQ_FINANCE_LEASES_CURRENT", F$6,$F$2,,,Ccy,Conv)</f>
        <v>121</v>
      </c>
      <c r="G427" s="18">
        <f>_xll.ciqfunctions.udf.CIQ($C$2, "IQ_FINANCE_LEASES_CURRENT", G$6,$F$2,,,Ccy,Conv)</f>
        <v>0</v>
      </c>
      <c r="H427" s="18">
        <f>_xll.ciqfunctions.udf.CIQ($C$2, "IQ_FINANCE_LEASES_CURRENT", H$6,$F$2,,,Ccy,Conv)</f>
        <v>0</v>
      </c>
      <c r="I427" s="18">
        <f>_xll.ciqfunctions.udf.CIQ($C$2, "IQ_FINANCE_LEASES_CURRENT", I$6,$F$2,,,Ccy,Conv)</f>
        <v>0</v>
      </c>
      <c r="J427" s="18">
        <f>_xll.ciqfunctions.udf.CIQ($C$2, "IQ_FINANCE_LEASES_CURRENT", J$6,$F$2,,,Ccy,Conv)</f>
        <v>198</v>
      </c>
      <c r="K427" s="18">
        <f>_xll.ciqfunctions.udf.CIQ($C$2, "IQ_FINANCE_LEASES_CURRENT", K$6,$F$2,,,Ccy,Conv)</f>
        <v>0</v>
      </c>
      <c r="L427" s="18">
        <f>_xll.ciqfunctions.udf.CIQ($C$2, "IQ_FINANCE_LEASES_CURRENT", L$6,$F$2,,,Ccy,Conv)</f>
        <v>0</v>
      </c>
      <c r="M427" s="18">
        <f>_xll.ciqfunctions.udf.CIQ($C$2, "IQ_FINANCE_LEASES_CURRENT", M$6,$F$2,,,Ccy,Conv)</f>
        <v>0</v>
      </c>
      <c r="N427" s="18">
        <f>_xll.ciqfunctions.udf.CIQ($C$2, "IQ_FINANCE_LEASES_CURRENT", N$6,$F$2,,,Ccy,Conv)</f>
        <v>279</v>
      </c>
      <c r="O427" s="18"/>
      <c r="P427" s="18">
        <f>_xll.ciqfunctions.udf.CIQ($C$2, "IQ_FINANCE_LEASES_CURRENT", P$6,$F$2,,,Ccy,Conv)</f>
        <v>279</v>
      </c>
      <c r="Q427" s="215"/>
      <c r="R427" s="215"/>
      <c r="S427" s="215"/>
      <c r="T427" s="215"/>
      <c r="U427" s="215"/>
      <c r="V427" s="222"/>
      <c r="W427" s="222"/>
      <c r="X427" s="222"/>
      <c r="Y427" s="215"/>
      <c r="Z427" s="215"/>
      <c r="AA427" s="215"/>
      <c r="AB427" s="215"/>
      <c r="AC427" s="215"/>
      <c r="AD427" s="215"/>
      <c r="AE427" s="215"/>
      <c r="AF427" s="215"/>
      <c r="AG427" s="215"/>
      <c r="AH427" s="215"/>
      <c r="AI427" s="215"/>
      <c r="AJ427" s="215"/>
      <c r="AK427" s="215"/>
      <c r="AL427" s="215"/>
      <c r="AM427" s="215"/>
      <c r="AN427" s="215"/>
      <c r="AO427" s="215"/>
      <c r="AP427" s="215"/>
      <c r="AQ427" s="215"/>
      <c r="AR427" s="215"/>
      <c r="AS427" s="215"/>
      <c r="AT427" s="215"/>
      <c r="AU427" s="215"/>
      <c r="AV427" s="215"/>
      <c r="AW427" s="215"/>
      <c r="AX427" s="215"/>
      <c r="AY427" s="215"/>
      <c r="AZ427" s="215"/>
      <c r="BA427" s="215"/>
      <c r="BB427" s="215"/>
      <c r="BC427" s="215"/>
      <c r="BD427" s="215"/>
      <c r="BE427" s="215"/>
      <c r="BF427" s="215"/>
      <c r="BG427" s="215"/>
      <c r="BH427" s="215"/>
      <c r="BI427" s="215"/>
      <c r="BJ427" s="215"/>
      <c r="BK427" s="215"/>
      <c r="BL427" s="215"/>
      <c r="BM427" s="215"/>
      <c r="BN427" s="215"/>
      <c r="BO427" s="215"/>
      <c r="BP427" s="215"/>
      <c r="BQ427" s="215"/>
      <c r="BR427" s="215"/>
      <c r="BS427" s="215"/>
      <c r="BT427" s="215"/>
      <c r="BU427" s="215"/>
      <c r="BV427" s="215"/>
      <c r="BW427" s="215"/>
      <c r="BX427" s="215"/>
      <c r="BY427" s="215"/>
      <c r="BZ427" s="215"/>
    </row>
    <row r="428" spans="1:78" x14ac:dyDescent="0.2">
      <c r="A428" s="2" t="str">
        <f>'Language Index'!A382</f>
        <v>Finance Leases, Long Term</v>
      </c>
      <c r="B428" s="48"/>
      <c r="C428" s="48"/>
      <c r="D428" s="18">
        <f>_xll.ciqfunctions.udf.CIQ($C$2, "IQ_FINANCE_LEASES_LONG_TERM", D$6,$F$2,,,Ccy,Conv)</f>
        <v>268</v>
      </c>
      <c r="E428" s="18">
        <f>_xll.ciqfunctions.udf.CIQ($C$2, "IQ_FINANCE_LEASES_LONG_TERM", E$6,$F$2,,,Ccy,Conv)</f>
        <v>303</v>
      </c>
      <c r="F428" s="18">
        <f>_xll.ciqfunctions.udf.CIQ($C$2, "IQ_FINANCE_LEASES_LONG_TERM", F$6,$F$2,,,Ccy,Conv)</f>
        <v>379</v>
      </c>
      <c r="G428" s="18">
        <f>_xll.ciqfunctions.udf.CIQ($C$2, "IQ_FINANCE_LEASES_LONG_TERM", G$6,$F$2,,,Ccy,Conv)</f>
        <v>705</v>
      </c>
      <c r="H428" s="18">
        <f>_xll.ciqfunctions.udf.CIQ($C$2, "IQ_FINANCE_LEASES_LONG_TERM", H$6,$F$2,,,Ccy,Conv)</f>
        <v>823</v>
      </c>
      <c r="I428" s="18">
        <f>_xll.ciqfunctions.udf.CIQ($C$2, "IQ_FINANCE_LEASES_LONG_TERM", I$6,$F$2,,,Ccy,Conv)</f>
        <v>878</v>
      </c>
      <c r="J428" s="18">
        <f>_xll.ciqfunctions.udf.CIQ($C$2, "IQ_FINANCE_LEASES_LONG_TERM", J$6,$F$2,,,Ccy,Conv)</f>
        <v>803</v>
      </c>
      <c r="K428" s="18">
        <f>_xll.ciqfunctions.udf.CIQ($C$2, "IQ_FINANCE_LEASES_LONG_TERM", K$6,$F$2,,,Ccy,Conv)</f>
        <v>1031</v>
      </c>
      <c r="L428" s="18">
        <f>_xll.ciqfunctions.udf.CIQ($C$2, "IQ_FINANCE_LEASES_LONG_TERM", L$6,$F$2,,,Ccy,Conv)</f>
        <v>1180</v>
      </c>
      <c r="M428" s="18">
        <f>_xll.ciqfunctions.udf.CIQ($C$2, "IQ_FINANCE_LEASES_LONG_TERM", M$6,$F$2,,,Ccy,Conv)</f>
        <v>1147</v>
      </c>
      <c r="N428" s="18">
        <f>_xll.ciqfunctions.udf.CIQ($C$2, "IQ_FINANCE_LEASES_LONG_TERM", N$6,$F$2,,,Ccy,Conv)</f>
        <v>874</v>
      </c>
      <c r="O428" s="18"/>
      <c r="P428" s="18">
        <f>_xll.ciqfunctions.udf.CIQ($C$2, "IQ_FINANCE_LEASES_LONG_TERM", P$6,$F$2,,,Ccy,Conv)</f>
        <v>874</v>
      </c>
      <c r="Q428" s="215"/>
      <c r="R428" s="215"/>
      <c r="S428" s="215"/>
      <c r="T428" s="215"/>
      <c r="U428" s="215"/>
      <c r="V428" s="222"/>
      <c r="W428" s="222"/>
      <c r="X428" s="222"/>
      <c r="Y428" s="215"/>
      <c r="Z428" s="215"/>
      <c r="AA428" s="215"/>
      <c r="AB428" s="215"/>
      <c r="AC428" s="215"/>
      <c r="AD428" s="215"/>
      <c r="AE428" s="215"/>
      <c r="AF428" s="215"/>
      <c r="AG428" s="215"/>
      <c r="AH428" s="215"/>
      <c r="AI428" s="215"/>
      <c r="AJ428" s="215"/>
      <c r="AK428" s="215"/>
      <c r="AL428" s="215"/>
      <c r="AM428" s="215"/>
      <c r="AN428" s="215"/>
      <c r="AO428" s="215"/>
      <c r="AP428" s="215"/>
      <c r="AQ428" s="215"/>
      <c r="AR428" s="215"/>
      <c r="AS428" s="215"/>
      <c r="AT428" s="215"/>
      <c r="AU428" s="215"/>
      <c r="AV428" s="215"/>
      <c r="AW428" s="215"/>
      <c r="AX428" s="215"/>
      <c r="AY428" s="215"/>
      <c r="AZ428" s="215"/>
      <c r="BA428" s="215"/>
      <c r="BB428" s="215"/>
      <c r="BC428" s="215"/>
      <c r="BD428" s="215"/>
      <c r="BE428" s="215"/>
      <c r="BF428" s="215"/>
      <c r="BG428" s="215"/>
      <c r="BH428" s="215"/>
      <c r="BI428" s="215"/>
      <c r="BJ428" s="215"/>
      <c r="BK428" s="215"/>
      <c r="BL428" s="215"/>
      <c r="BM428" s="215"/>
      <c r="BN428" s="215"/>
      <c r="BO428" s="215"/>
      <c r="BP428" s="215"/>
      <c r="BQ428" s="215"/>
      <c r="BR428" s="215"/>
      <c r="BS428" s="215"/>
      <c r="BT428" s="215"/>
      <c r="BU428" s="215"/>
      <c r="BV428" s="215"/>
      <c r="BW428" s="215"/>
      <c r="BX428" s="215"/>
      <c r="BY428" s="215"/>
      <c r="BZ428" s="215"/>
    </row>
    <row r="429" spans="1:78" x14ac:dyDescent="0.2">
      <c r="A429" s="2" t="str">
        <f>'Language Index'!A383</f>
        <v>Total Finance Leases</v>
      </c>
      <c r="B429" s="48"/>
      <c r="C429" s="48"/>
      <c r="D429" s="18">
        <f>_xll.ciqfunctions.udf.CIQ($C$2, "IQ_TOTAL_FINANCE_LEASES", D$6,$F$2,,,Ccy,Conv)</f>
        <v>268</v>
      </c>
      <c r="E429" s="18">
        <f>_xll.ciqfunctions.udf.CIQ($C$2, "IQ_TOTAL_FINANCE_LEASES", E$6,$F$2,,,Ccy,Conv)</f>
        <v>303</v>
      </c>
      <c r="F429" s="18">
        <f>_xll.ciqfunctions.udf.CIQ($C$2, "IQ_TOTAL_FINANCE_LEASES", F$6,$F$2,,,Ccy,Conv)</f>
        <v>500</v>
      </c>
      <c r="G429" s="18">
        <f>_xll.ciqfunctions.udf.CIQ($C$2, "IQ_TOTAL_FINANCE_LEASES", G$6,$F$2,,,Ccy,Conv)</f>
        <v>705</v>
      </c>
      <c r="H429" s="18">
        <f>_xll.ciqfunctions.udf.CIQ($C$2, "IQ_TOTAL_FINANCE_LEASES", H$6,$F$2,,,Ccy,Conv)</f>
        <v>823</v>
      </c>
      <c r="I429" s="18">
        <f>_xll.ciqfunctions.udf.CIQ($C$2, "IQ_TOTAL_FINANCE_LEASES", I$6,$F$2,,,Ccy,Conv)</f>
        <v>878</v>
      </c>
      <c r="J429" s="18">
        <f>_xll.ciqfunctions.udf.CIQ($C$2, "IQ_TOTAL_FINANCE_LEASES", J$6,$F$2,,,Ccy,Conv)</f>
        <v>1001</v>
      </c>
      <c r="K429" s="18">
        <f>_xll.ciqfunctions.udf.CIQ($C$2, "IQ_TOTAL_FINANCE_LEASES", K$6,$F$2,,,Ccy,Conv)</f>
        <v>1031</v>
      </c>
      <c r="L429" s="18">
        <f>_xll.ciqfunctions.udf.CIQ($C$2, "IQ_TOTAL_FINANCE_LEASES", L$6,$F$2,,,Ccy,Conv)</f>
        <v>1180</v>
      </c>
      <c r="M429" s="18">
        <f>_xll.ciqfunctions.udf.CIQ($C$2, "IQ_TOTAL_FINANCE_LEASES", M$6,$F$2,,,Ccy,Conv)</f>
        <v>1147</v>
      </c>
      <c r="N429" s="18">
        <f>_xll.ciqfunctions.udf.CIQ($C$2, "IQ_TOTAL_FINANCE_LEASES", N$6,$F$2,,,Ccy,Conv)</f>
        <v>1153</v>
      </c>
      <c r="O429" s="18"/>
      <c r="P429" s="18">
        <f>_xll.ciqfunctions.udf.CIQ($C$2, "IQ_TOTAL_FINANCE_LEASES", P$6,$F$2,,,Ccy,Conv)</f>
        <v>1153</v>
      </c>
      <c r="Q429" s="215"/>
      <c r="R429" s="215"/>
      <c r="S429" s="215"/>
      <c r="T429" s="215"/>
      <c r="U429" s="215"/>
      <c r="V429" s="222"/>
      <c r="W429" s="222"/>
      <c r="X429" s="222"/>
      <c r="Y429" s="215"/>
      <c r="Z429" s="215"/>
      <c r="AA429" s="215"/>
      <c r="AB429" s="215"/>
      <c r="AC429" s="215"/>
      <c r="AD429" s="215"/>
      <c r="AE429" s="215"/>
      <c r="AF429" s="215"/>
      <c r="AG429" s="215"/>
      <c r="AH429" s="215"/>
      <c r="AI429" s="215"/>
      <c r="AJ429" s="215"/>
      <c r="AK429" s="215"/>
      <c r="AL429" s="215"/>
      <c r="AM429" s="215"/>
      <c r="AN429" s="215"/>
      <c r="AO429" s="215"/>
      <c r="AP429" s="215"/>
      <c r="AQ429" s="215"/>
      <c r="AR429" s="215"/>
      <c r="AS429" s="215"/>
      <c r="AT429" s="215"/>
      <c r="AU429" s="215"/>
      <c r="AV429" s="215"/>
      <c r="AW429" s="215"/>
      <c r="AX429" s="215"/>
      <c r="AY429" s="215"/>
      <c r="AZ429" s="215"/>
      <c r="BA429" s="215"/>
      <c r="BB429" s="215"/>
      <c r="BC429" s="215"/>
      <c r="BD429" s="215"/>
      <c r="BE429" s="215"/>
      <c r="BF429" s="215"/>
      <c r="BG429" s="215"/>
      <c r="BH429" s="215"/>
      <c r="BI429" s="215"/>
      <c r="BJ429" s="215"/>
      <c r="BK429" s="215"/>
      <c r="BL429" s="215"/>
      <c r="BM429" s="215"/>
      <c r="BN429" s="215"/>
      <c r="BO429" s="215"/>
      <c r="BP429" s="215"/>
      <c r="BQ429" s="215"/>
      <c r="BR429" s="215"/>
      <c r="BS429" s="215"/>
      <c r="BT429" s="215"/>
      <c r="BU429" s="215"/>
      <c r="BV429" s="215"/>
      <c r="BW429" s="215"/>
      <c r="BX429" s="215"/>
      <c r="BY429" s="215"/>
      <c r="BZ429" s="215"/>
    </row>
    <row r="430" spans="1:78" x14ac:dyDescent="0.2">
      <c r="A430" s="2" t="str">
        <f>'Language Index'!A384</f>
        <v>Current Portion of Operating Lease Liabilities</v>
      </c>
      <c r="B430" s="48"/>
      <c r="C430" s="48"/>
      <c r="D430" s="18">
        <f>_xll.ciqfunctions.udf.CIQ($C$2, "IQ_CURRENT_PORTION_OPER_LEASE_LIABILITIES", D$6,$F$2,,,Ccy,Conv)</f>
        <v>842</v>
      </c>
      <c r="E430" s="18">
        <f>_xll.ciqfunctions.udf.CIQ($C$2, "IQ_CURRENT_PORTION_OPER_LEASE_LIABILITIES", E$6,$F$2,,,Ccy,Conv)</f>
        <v>807</v>
      </c>
      <c r="F430" s="18">
        <f>_xll.ciqfunctions.udf.CIQ($C$2, "IQ_CURRENT_PORTION_OPER_LEASE_LIABILITIES", F$6,$F$2,,,Ccy,Conv)</f>
        <v>820</v>
      </c>
      <c r="G430" s="18">
        <f>_xll.ciqfunctions.udf.CIQ($C$2, "IQ_CURRENT_PORTION_OPER_LEASE_LIABILITIES", G$6,$F$2,,,Ccy,Conv)</f>
        <v>784</v>
      </c>
      <c r="H430" s="18">
        <f>_xll.ciqfunctions.udf.CIQ($C$2, "IQ_CURRENT_PORTION_OPER_LEASE_LIABILITIES", H$6,$F$2,,,Ccy,Conv)</f>
        <v>762</v>
      </c>
      <c r="I430" s="18">
        <f>_xll.ciqfunctions.udf.CIQ($C$2, "IQ_CURRENT_PORTION_OPER_LEASE_LIABILITIES", I$6,$F$2,,,Ccy,Conv)</f>
        <v>790</v>
      </c>
      <c r="J430" s="18">
        <f>_xll.ciqfunctions.udf.CIQ($C$2, "IQ_CURRENT_PORTION_OPER_LEASE_LIABILITIES", J$6,$F$2,,,Ccy,Conv)</f>
        <v>768</v>
      </c>
      <c r="K430" s="18">
        <f>_xll.ciqfunctions.udf.CIQ($C$2, "IQ_CURRENT_PORTION_OPER_LEASE_LIABILITIES", K$6,$F$2,,,Ccy,Conv)</f>
        <v>798</v>
      </c>
      <c r="L430" s="18">
        <f>_xll.ciqfunctions.udf.CIQ($C$2, "IQ_CURRENT_PORTION_OPER_LEASE_LIABILITIES", L$6,$F$2,,,Ccy,Conv)</f>
        <v>820</v>
      </c>
      <c r="M430" s="18">
        <f>_xll.ciqfunctions.udf.CIQ($C$2, "IQ_CURRENT_PORTION_OPER_LEASE_LIABILITIES", M$6,$F$2,,,Ccy,Conv)</f>
        <v>807</v>
      </c>
      <c r="N430" s="18">
        <f>_xll.ciqfunctions.udf.CIQ($C$2, "IQ_CURRENT_PORTION_OPER_LEASE_LIABILITIES", N$6,$F$2,,,Ccy,Conv)</f>
        <v>800</v>
      </c>
      <c r="O430" s="18"/>
      <c r="P430" s="18">
        <f>_xll.ciqfunctions.udf.CIQ($C$2, "IQ_CURRENT_PORTION_OPER_LEASE_LIABILITIES", P$6,$F$2,,,Ccy,Conv)</f>
        <v>800</v>
      </c>
      <c r="Q430" s="215"/>
      <c r="R430" s="215"/>
      <c r="S430" s="215"/>
      <c r="T430" s="215"/>
      <c r="U430" s="215"/>
      <c r="V430" s="222"/>
      <c r="W430" s="222"/>
      <c r="X430" s="222"/>
      <c r="Y430" s="215"/>
      <c r="Z430" s="215"/>
      <c r="AA430" s="215"/>
      <c r="AB430" s="215"/>
      <c r="AC430" s="215"/>
      <c r="AD430" s="215"/>
      <c r="AE430" s="215"/>
      <c r="AF430" s="215"/>
      <c r="AG430" s="215"/>
      <c r="AH430" s="215"/>
      <c r="AI430" s="215"/>
      <c r="AJ430" s="215"/>
      <c r="AK430" s="215"/>
      <c r="AL430" s="215"/>
      <c r="AM430" s="215"/>
      <c r="AN430" s="215"/>
      <c r="AO430" s="215"/>
      <c r="AP430" s="215"/>
      <c r="AQ430" s="215"/>
      <c r="AR430" s="215"/>
      <c r="AS430" s="215"/>
      <c r="AT430" s="215"/>
      <c r="AU430" s="215"/>
      <c r="AV430" s="215"/>
      <c r="AW430" s="215"/>
      <c r="AX430" s="215"/>
      <c r="AY430" s="215"/>
      <c r="AZ430" s="215"/>
      <c r="BA430" s="215"/>
      <c r="BB430" s="215"/>
      <c r="BC430" s="215"/>
      <c r="BD430" s="215"/>
      <c r="BE430" s="215"/>
      <c r="BF430" s="215"/>
      <c r="BG430" s="215"/>
      <c r="BH430" s="215"/>
      <c r="BI430" s="215"/>
      <c r="BJ430" s="215"/>
      <c r="BK430" s="215"/>
      <c r="BL430" s="215"/>
      <c r="BM430" s="215"/>
      <c r="BN430" s="215"/>
      <c r="BO430" s="215"/>
      <c r="BP430" s="215"/>
      <c r="BQ430" s="215"/>
      <c r="BR430" s="215"/>
      <c r="BS430" s="215"/>
      <c r="BT430" s="215"/>
      <c r="BU430" s="215"/>
      <c r="BV430" s="215"/>
      <c r="BW430" s="215"/>
      <c r="BX430" s="215"/>
      <c r="BY430" s="215"/>
      <c r="BZ430" s="215"/>
    </row>
    <row r="431" spans="1:78" x14ac:dyDescent="0.2">
      <c r="A431" s="2" t="str">
        <f>'Language Index'!A385</f>
        <v>Long-Term Portion of Operating Lease Liabilities</v>
      </c>
      <c r="B431" s="48"/>
      <c r="C431" s="48"/>
      <c r="D431" s="18">
        <f>_xll.ciqfunctions.udf.CIQ($C$2, "IQ_LT_PORTION_OPER_LEASE_LIABILITIES", D$6,$F$2,,,Ccy,Conv)</f>
        <v>1986</v>
      </c>
      <c r="E431" s="18">
        <f>_xll.ciqfunctions.udf.CIQ($C$2, "IQ_LT_PORTION_OPER_LEASE_LIABILITIES", E$6,$F$2,,,Ccy,Conv)</f>
        <v>2476</v>
      </c>
      <c r="F431" s="18">
        <f>_xll.ciqfunctions.udf.CIQ($C$2, "IQ_LT_PORTION_OPER_LEASE_LIABILITIES", F$6,$F$2,,,Ccy,Conv)</f>
        <v>2568</v>
      </c>
      <c r="G431" s="18">
        <f>_xll.ciqfunctions.udf.CIQ($C$2, "IQ_LT_PORTION_OPER_LEASE_LIABILITIES", G$6,$F$2,,,Ccy,Conv)</f>
        <v>2583</v>
      </c>
      <c r="H431" s="18">
        <f>_xll.ciqfunctions.udf.CIQ($C$2, "IQ_LT_PORTION_OPER_LEASE_LIABILITIES", H$6,$F$2,,,Ccy,Conv)</f>
        <v>2546</v>
      </c>
      <c r="I431" s="18">
        <f>_xll.ciqfunctions.udf.CIQ($C$2, "IQ_LT_PORTION_OPER_LEASE_LIABILITIES", I$6,$F$2,,,Ccy,Conv)</f>
        <v>2757</v>
      </c>
      <c r="J431" s="18">
        <f>_xll.ciqfunctions.udf.CIQ($C$2, "IQ_LT_PORTION_OPER_LEASE_LIABILITIES", J$6,$F$2,,,Ccy,Conv)</f>
        <v>2655</v>
      </c>
      <c r="K431" s="18">
        <f>_xll.ciqfunctions.udf.CIQ($C$2, "IQ_LT_PORTION_OPER_LEASE_LIABILITIES", K$6,$F$2,,,Ccy,Conv)</f>
        <v>2753</v>
      </c>
      <c r="L431" s="18">
        <f>_xll.ciqfunctions.udf.CIQ($C$2, "IQ_LT_PORTION_OPER_LEASE_LIABILITIES", L$6,$F$2,,,Ccy,Conv)</f>
        <v>2735</v>
      </c>
      <c r="M431" s="18">
        <f>_xll.ciqfunctions.udf.CIQ($C$2, "IQ_LT_PORTION_OPER_LEASE_LIABILITIES", M$6,$F$2,,,Ccy,Conv)</f>
        <v>2646</v>
      </c>
      <c r="N431" s="18">
        <f>_xll.ciqfunctions.udf.CIQ($C$2, "IQ_LT_PORTION_OPER_LEASE_LIABILITIES", N$6,$F$2,,,Ccy,Conv)</f>
        <v>2547</v>
      </c>
      <c r="O431" s="18"/>
      <c r="P431" s="18">
        <f>_xll.ciqfunctions.udf.CIQ($C$2, "IQ_LT_PORTION_OPER_LEASE_LIABILITIES", P$6,$F$2,,,Ccy,Conv)</f>
        <v>2547</v>
      </c>
      <c r="Q431" s="215"/>
      <c r="R431" s="215"/>
      <c r="S431" s="215"/>
      <c r="T431" s="215"/>
      <c r="U431" s="215"/>
      <c r="V431" s="222"/>
      <c r="W431" s="222"/>
      <c r="X431" s="222"/>
      <c r="Y431" s="215"/>
      <c r="Z431" s="215"/>
      <c r="AA431" s="215"/>
      <c r="AB431" s="215"/>
      <c r="AC431" s="215"/>
      <c r="AD431" s="215"/>
      <c r="AE431" s="215"/>
      <c r="AF431" s="215"/>
      <c r="AG431" s="215"/>
      <c r="AH431" s="215"/>
      <c r="AI431" s="215"/>
      <c r="AJ431" s="215"/>
      <c r="AK431" s="215"/>
      <c r="AL431" s="215"/>
      <c r="AM431" s="215"/>
      <c r="AN431" s="215"/>
      <c r="AO431" s="215"/>
      <c r="AP431" s="215"/>
      <c r="AQ431" s="215"/>
      <c r="AR431" s="215"/>
      <c r="AS431" s="215"/>
      <c r="AT431" s="215"/>
      <c r="AU431" s="215"/>
      <c r="AV431" s="215"/>
      <c r="AW431" s="215"/>
      <c r="AX431" s="215"/>
      <c r="AY431" s="215"/>
      <c r="AZ431" s="215"/>
      <c r="BA431" s="215"/>
      <c r="BB431" s="215"/>
      <c r="BC431" s="215"/>
      <c r="BD431" s="215"/>
      <c r="BE431" s="215"/>
      <c r="BF431" s="215"/>
      <c r="BG431" s="215"/>
      <c r="BH431" s="215"/>
      <c r="BI431" s="215"/>
      <c r="BJ431" s="215"/>
      <c r="BK431" s="215"/>
      <c r="BL431" s="215"/>
      <c r="BM431" s="215"/>
      <c r="BN431" s="215"/>
      <c r="BO431" s="215"/>
      <c r="BP431" s="215"/>
      <c r="BQ431" s="215"/>
      <c r="BR431" s="215"/>
      <c r="BS431" s="215"/>
      <c r="BT431" s="215"/>
      <c r="BU431" s="215"/>
      <c r="BV431" s="215"/>
      <c r="BW431" s="215"/>
      <c r="BX431" s="215"/>
      <c r="BY431" s="215"/>
      <c r="BZ431" s="215"/>
    </row>
    <row r="432" spans="1:78" x14ac:dyDescent="0.2">
      <c r="A432" s="2" t="str">
        <f>'Language Index'!A386</f>
        <v>Total Operating Leases</v>
      </c>
      <c r="B432" s="48"/>
      <c r="C432" s="48"/>
      <c r="D432" s="18">
        <f>_xll.ciqfunctions.udf.CIQ($C$2, "IQ_TOTAL_OPER_LEASES", D$6,$F$2,,,Ccy,Conv)</f>
        <v>2828</v>
      </c>
      <c r="E432" s="18">
        <f>_xll.ciqfunctions.udf.CIQ($C$2, "IQ_TOTAL_OPER_LEASES", E$6,$F$2,,,Ccy,Conv)</f>
        <v>3283</v>
      </c>
      <c r="F432" s="18">
        <f>_xll.ciqfunctions.udf.CIQ($C$2, "IQ_TOTAL_OPER_LEASES", F$6,$F$2,,,Ccy,Conv)</f>
        <v>3388</v>
      </c>
      <c r="G432" s="18">
        <f>_xll.ciqfunctions.udf.CIQ($C$2, "IQ_TOTAL_OPER_LEASES", G$6,$F$2,,,Ccy,Conv)</f>
        <v>3367</v>
      </c>
      <c r="H432" s="18">
        <f>_xll.ciqfunctions.udf.CIQ($C$2, "IQ_TOTAL_OPER_LEASES", H$6,$F$2,,,Ccy,Conv)</f>
        <v>3308</v>
      </c>
      <c r="I432" s="18">
        <f>_xll.ciqfunctions.udf.CIQ($C$2, "IQ_TOTAL_OPER_LEASES", I$6,$F$2,,,Ccy,Conv)</f>
        <v>3547</v>
      </c>
      <c r="J432" s="18">
        <f>_xll.ciqfunctions.udf.CIQ($C$2, "IQ_TOTAL_OPER_LEASES", J$6,$F$2,,,Ccy,Conv)</f>
        <v>3423</v>
      </c>
      <c r="K432" s="18">
        <f>_xll.ciqfunctions.udf.CIQ($C$2, "IQ_TOTAL_OPER_LEASES", K$6,$F$2,,,Ccy,Conv)</f>
        <v>3551</v>
      </c>
      <c r="L432" s="18">
        <f>_xll.ciqfunctions.udf.CIQ($C$2, "IQ_TOTAL_OPER_LEASES", L$6,$F$2,,,Ccy,Conv)</f>
        <v>3555</v>
      </c>
      <c r="M432" s="18">
        <f>_xll.ciqfunctions.udf.CIQ($C$2, "IQ_TOTAL_OPER_LEASES", M$6,$F$2,,,Ccy,Conv)</f>
        <v>3453</v>
      </c>
      <c r="N432" s="18">
        <f>_xll.ciqfunctions.udf.CIQ($C$2, "IQ_TOTAL_OPER_LEASES", N$6,$F$2,,,Ccy,Conv)</f>
        <v>3347</v>
      </c>
      <c r="O432" s="18"/>
      <c r="P432" s="18">
        <f>_xll.ciqfunctions.udf.CIQ($C$2, "IQ_TOTAL_OPER_LEASES", P$6,$F$2,,,Ccy,Conv)</f>
        <v>3347</v>
      </c>
      <c r="Q432" s="215"/>
      <c r="R432" s="215"/>
      <c r="S432" s="215"/>
      <c r="T432" s="215"/>
      <c r="U432" s="215"/>
      <c r="V432" s="222"/>
      <c r="W432" s="222"/>
      <c r="X432" s="222"/>
      <c r="Y432" s="215"/>
      <c r="Z432" s="215"/>
      <c r="AA432" s="215"/>
      <c r="AB432" s="215"/>
      <c r="AC432" s="215"/>
      <c r="AD432" s="215"/>
      <c r="AE432" s="215"/>
      <c r="AF432" s="215"/>
      <c r="AG432" s="215"/>
      <c r="AH432" s="215"/>
      <c r="AI432" s="215"/>
      <c r="AJ432" s="215"/>
      <c r="AK432" s="215"/>
      <c r="AL432" s="215"/>
      <c r="AM432" s="215"/>
      <c r="AN432" s="215"/>
      <c r="AO432" s="215"/>
      <c r="AP432" s="215"/>
      <c r="AQ432" s="215"/>
      <c r="AR432" s="215"/>
      <c r="AS432" s="215"/>
      <c r="AT432" s="215"/>
      <c r="AU432" s="215"/>
      <c r="AV432" s="215"/>
      <c r="AW432" s="215"/>
      <c r="AX432" s="215"/>
      <c r="AY432" s="215"/>
      <c r="AZ432" s="215"/>
      <c r="BA432" s="215"/>
      <c r="BB432" s="215"/>
      <c r="BC432" s="215"/>
      <c r="BD432" s="215"/>
      <c r="BE432" s="215"/>
      <c r="BF432" s="215"/>
      <c r="BG432" s="215"/>
      <c r="BH432" s="215"/>
      <c r="BI432" s="215"/>
      <c r="BJ432" s="215"/>
      <c r="BK432" s="215"/>
      <c r="BL432" s="215"/>
      <c r="BM432" s="215"/>
      <c r="BN432" s="215"/>
      <c r="BO432" s="215"/>
      <c r="BP432" s="215"/>
      <c r="BQ432" s="215"/>
      <c r="BR432" s="215"/>
      <c r="BS432" s="215"/>
      <c r="BT432" s="215"/>
      <c r="BU432" s="215"/>
      <c r="BV432" s="215"/>
      <c r="BW432" s="215"/>
      <c r="BX432" s="215"/>
      <c r="BY432" s="215"/>
      <c r="BZ432" s="215"/>
    </row>
    <row r="433" spans="1:78" x14ac:dyDescent="0.2">
      <c r="A433" s="2" t="str">
        <f>'Language Index'!A387</f>
        <v>Total Leases</v>
      </c>
      <c r="B433" s="48"/>
      <c r="C433" s="48"/>
      <c r="D433" s="18">
        <f>_xll.ciqfunctions.udf.CIQ($C$2, "IQ_TOTAL_LEASES", D$6,$F$2,,,Ccy,Conv)</f>
        <v>3096</v>
      </c>
      <c r="E433" s="18">
        <f>_xll.ciqfunctions.udf.CIQ($C$2, "IQ_TOTAL_LEASES", E$6,$F$2,,,Ccy,Conv)</f>
        <v>3586</v>
      </c>
      <c r="F433" s="18">
        <f>_xll.ciqfunctions.udf.CIQ($C$2, "IQ_TOTAL_LEASES", F$6,$F$2,,,Ccy,Conv)</f>
        <v>3888</v>
      </c>
      <c r="G433" s="18">
        <f>_xll.ciqfunctions.udf.CIQ($C$2, "IQ_TOTAL_LEASES", G$6,$F$2,,,Ccy,Conv)</f>
        <v>4072</v>
      </c>
      <c r="H433" s="18">
        <f>_xll.ciqfunctions.udf.CIQ($C$2, "IQ_TOTAL_LEASES", H$6,$F$2,,,Ccy,Conv)</f>
        <v>4131</v>
      </c>
      <c r="I433" s="18">
        <f>_xll.ciqfunctions.udf.CIQ($C$2, "IQ_TOTAL_LEASES", I$6,$F$2,,,Ccy,Conv)</f>
        <v>4425</v>
      </c>
      <c r="J433" s="18">
        <f>_xll.ciqfunctions.udf.CIQ($C$2, "IQ_TOTAL_LEASES", J$6,$F$2,,,Ccy,Conv)</f>
        <v>4424</v>
      </c>
      <c r="K433" s="18">
        <f>_xll.ciqfunctions.udf.CIQ($C$2, "IQ_TOTAL_LEASES", K$6,$F$2,,,Ccy,Conv)</f>
        <v>4582</v>
      </c>
      <c r="L433" s="18">
        <f>_xll.ciqfunctions.udf.CIQ($C$2, "IQ_TOTAL_LEASES", L$6,$F$2,,,Ccy,Conv)</f>
        <v>4735</v>
      </c>
      <c r="M433" s="18">
        <f>_xll.ciqfunctions.udf.CIQ($C$2, "IQ_TOTAL_LEASES", M$6,$F$2,,,Ccy,Conv)</f>
        <v>4600</v>
      </c>
      <c r="N433" s="18">
        <f>_xll.ciqfunctions.udf.CIQ($C$2, "IQ_TOTAL_LEASES", N$6,$F$2,,,Ccy,Conv)</f>
        <v>4500</v>
      </c>
      <c r="O433" s="18"/>
      <c r="P433" s="18">
        <f>_xll.ciqfunctions.udf.CIQ($C$2, "IQ_TOTAL_LEASES", P$6,$F$2,,,Ccy,Conv)</f>
        <v>4500</v>
      </c>
      <c r="Q433" s="215"/>
      <c r="R433" s="215"/>
      <c r="S433" s="215"/>
      <c r="T433" s="215"/>
      <c r="U433" s="215"/>
      <c r="V433" s="222"/>
      <c r="W433" s="222"/>
      <c r="X433" s="222"/>
      <c r="Y433" s="215"/>
      <c r="Z433" s="215"/>
      <c r="AA433" s="215"/>
      <c r="AB433" s="215"/>
      <c r="AC433" s="215"/>
      <c r="AD433" s="215"/>
      <c r="AE433" s="215"/>
      <c r="AF433" s="215"/>
      <c r="AG433" s="215"/>
      <c r="AH433" s="215"/>
      <c r="AI433" s="215"/>
      <c r="AJ433" s="215"/>
      <c r="AK433" s="215"/>
      <c r="AL433" s="215"/>
      <c r="AM433" s="215"/>
      <c r="AN433" s="215"/>
      <c r="AO433" s="215"/>
      <c r="AP433" s="215"/>
      <c r="AQ433" s="215"/>
      <c r="AR433" s="215"/>
      <c r="AS433" s="215"/>
      <c r="AT433" s="215"/>
      <c r="AU433" s="215"/>
      <c r="AV433" s="215"/>
      <c r="AW433" s="215"/>
      <c r="AX433" s="215"/>
      <c r="AY433" s="215"/>
      <c r="AZ433" s="215"/>
      <c r="BA433" s="215"/>
      <c r="BB433" s="215"/>
      <c r="BC433" s="215"/>
      <c r="BD433" s="215"/>
      <c r="BE433" s="215"/>
      <c r="BF433" s="215"/>
      <c r="BG433" s="215"/>
      <c r="BH433" s="215"/>
      <c r="BI433" s="215"/>
      <c r="BJ433" s="215"/>
      <c r="BK433" s="215"/>
      <c r="BL433" s="215"/>
      <c r="BM433" s="215"/>
      <c r="BN433" s="215"/>
      <c r="BO433" s="215"/>
      <c r="BP433" s="215"/>
      <c r="BQ433" s="215"/>
      <c r="BR433" s="215"/>
      <c r="BS433" s="215"/>
      <c r="BT433" s="215"/>
      <c r="BU433" s="215"/>
      <c r="BV433" s="215"/>
      <c r="BW433" s="215"/>
      <c r="BX433" s="215"/>
      <c r="BY433" s="215"/>
      <c r="BZ433" s="215"/>
    </row>
    <row r="434" spans="1:78" x14ac:dyDescent="0.2">
      <c r="A434" s="2" t="str">
        <f>'Language Index'!A388</f>
        <v>Current Financing Obligations, Excl. Operating Leases</v>
      </c>
      <c r="B434" s="48"/>
      <c r="C434" s="48"/>
      <c r="D434" s="18">
        <f>_xll.ciqfunctions.udf.CIQ($C$2, "IQ_FINANCING_OBLIG_CURRENT_EXCL_OPER_LEASES", D$6,$F$2,,,Ccy,Conv)</f>
        <v>6785</v>
      </c>
      <c r="E434" s="18">
        <f>_xll.ciqfunctions.udf.CIQ($C$2, "IQ_FINANCING_OBLIG_CURRENT_EXCL_OPER_LEASES", E$6,$F$2,,,Ccy,Conv)</f>
        <v>6414</v>
      </c>
      <c r="F434" s="18">
        <f>_xll.ciqfunctions.udf.CIQ($C$2, "IQ_FINANCING_OBLIG_CURRENT_EXCL_OPER_LEASES", F$6,$F$2,,,Ccy,Conv)</f>
        <v>6426</v>
      </c>
      <c r="G434" s="18">
        <f>_xll.ciqfunctions.udf.CIQ($C$2, "IQ_FINANCING_OBLIG_CURRENT_EXCL_OPER_LEASES", G$6,$F$2,,,Ccy,Conv)</f>
        <v>5471</v>
      </c>
      <c r="H434" s="18">
        <f>_xll.ciqfunctions.udf.CIQ($C$2, "IQ_FINANCING_OBLIG_CURRENT_EXCL_OPER_LEASES", H$6,$F$2,,,Ccy,Conv)</f>
        <v>3602</v>
      </c>
      <c r="I434" s="18">
        <f>_xll.ciqfunctions.udf.CIQ($C$2, "IQ_FINANCING_OBLIG_CURRENT_EXCL_OPER_LEASES", I$6,$F$2,,,Ccy,Conv)</f>
        <v>3599</v>
      </c>
      <c r="J434" s="18">
        <f>_xll.ciqfunctions.udf.CIQ($C$2, "IQ_FINANCING_OBLIG_CURRENT_EXCL_OPER_LEASES", J$6,$F$2,,,Ccy,Conv)</f>
        <v>5089</v>
      </c>
      <c r="K434" s="18">
        <f>_xll.ciqfunctions.udf.CIQ($C$2, "IQ_FINANCING_OBLIG_CURRENT_EXCL_OPER_LEASES", K$6,$F$2,,,Ccy,Conv)</f>
        <v>6913</v>
      </c>
      <c r="L434" s="18">
        <f>_xll.ciqfunctions.udf.CIQ($C$2, "IQ_FINANCING_OBLIG_CURRENT_EXCL_OPER_LEASES", L$6,$F$2,,,Ccy,Conv)</f>
        <v>8945</v>
      </c>
      <c r="M434" s="18">
        <f>_xll.ciqfunctions.udf.CIQ($C$2, "IQ_FINANCING_OBLIG_CURRENT_EXCL_OPER_LEASES", M$6,$F$2,,,Ccy,Conv)</f>
        <v>7942</v>
      </c>
      <c r="N434" s="18">
        <f>_xll.ciqfunctions.udf.CIQ($C$2, "IQ_FINANCING_OBLIG_CURRENT_EXCL_OPER_LEASES", N$6,$F$2,,,Ccy,Conv)</f>
        <v>6424</v>
      </c>
      <c r="O434" s="18"/>
      <c r="P434" s="18">
        <f>_xll.ciqfunctions.udf.CIQ($C$2, "IQ_FINANCING_OBLIG_CURRENT_EXCL_OPER_LEASES", P$6,$F$2,,,Ccy,Conv)</f>
        <v>6424</v>
      </c>
      <c r="Q434" s="215"/>
      <c r="R434" s="215"/>
      <c r="S434" s="215"/>
      <c r="T434" s="215"/>
      <c r="U434" s="215"/>
      <c r="V434" s="222"/>
      <c r="W434" s="222"/>
      <c r="X434" s="222"/>
      <c r="Y434" s="215"/>
      <c r="Z434" s="215"/>
      <c r="AA434" s="215"/>
      <c r="AB434" s="215"/>
      <c r="AC434" s="215"/>
      <c r="AD434" s="215"/>
      <c r="AE434" s="215"/>
      <c r="AF434" s="215"/>
      <c r="AG434" s="215"/>
      <c r="AH434" s="215"/>
      <c r="AI434" s="215"/>
      <c r="AJ434" s="215"/>
      <c r="AK434" s="215"/>
      <c r="AL434" s="215"/>
      <c r="AM434" s="215"/>
      <c r="AN434" s="215"/>
      <c r="AO434" s="215"/>
      <c r="AP434" s="215"/>
      <c r="AQ434" s="215"/>
      <c r="AR434" s="215"/>
      <c r="AS434" s="215"/>
      <c r="AT434" s="215"/>
      <c r="AU434" s="215"/>
      <c r="AV434" s="215"/>
      <c r="AW434" s="215"/>
      <c r="AX434" s="215"/>
      <c r="AY434" s="215"/>
      <c r="AZ434" s="215"/>
      <c r="BA434" s="215"/>
      <c r="BB434" s="215"/>
      <c r="BC434" s="215"/>
      <c r="BD434" s="215"/>
      <c r="BE434" s="215"/>
      <c r="BF434" s="215"/>
      <c r="BG434" s="215"/>
      <c r="BH434" s="215"/>
      <c r="BI434" s="215"/>
      <c r="BJ434" s="215"/>
      <c r="BK434" s="215"/>
      <c r="BL434" s="215"/>
      <c r="BM434" s="215"/>
      <c r="BN434" s="215"/>
      <c r="BO434" s="215"/>
      <c r="BP434" s="215"/>
      <c r="BQ434" s="215"/>
      <c r="BR434" s="215"/>
      <c r="BS434" s="215"/>
      <c r="BT434" s="215"/>
      <c r="BU434" s="215"/>
      <c r="BV434" s="215"/>
      <c r="BW434" s="215"/>
      <c r="BX434" s="215"/>
      <c r="BY434" s="215"/>
      <c r="BZ434" s="215"/>
    </row>
    <row r="435" spans="1:78" x14ac:dyDescent="0.2">
      <c r="A435" s="2" t="str">
        <f>'Language Index'!A389</f>
        <v>Non-Current Financing Obligations Excl. Operating Leases</v>
      </c>
      <c r="B435" s="48"/>
      <c r="C435" s="48"/>
      <c r="D435" s="18">
        <f>_xll.ciqfunctions.udf.CIQ($C$2, "IQ_FINANCING_OBLIG_NON_CURRENT_EXCL_OPER_LEASES", D$6,$F$2,,,Ccy,Conv)</f>
        <v>50691</v>
      </c>
      <c r="E435" s="18">
        <f>_xll.ciqfunctions.udf.CIQ($C$2, "IQ_FINANCING_OBLIG_NON_CURRENT_EXCL_OPER_LEASES", E$6,$F$2,,,Ccy,Conv)</f>
        <v>48828</v>
      </c>
      <c r="F435" s="18">
        <f>_xll.ciqfunctions.udf.CIQ($C$2, "IQ_FINANCING_OBLIG_NON_CURRENT_EXCL_OPER_LEASES", F$6,$F$2,,,Ccy,Conv)</f>
        <v>50121</v>
      </c>
      <c r="G435" s="18">
        <f>_xll.ciqfunctions.udf.CIQ($C$2, "IQ_FINANCING_OBLIG_NON_CURRENT_EXCL_OPER_LEASES", G$6,$F$2,,,Ccy,Conv)</f>
        <v>54033</v>
      </c>
      <c r="H435" s="18">
        <f>_xll.ciqfunctions.udf.CIQ($C$2, "IQ_FINANCING_OBLIG_NON_CURRENT_EXCL_OPER_LEASES", H$6,$F$2,,,Ccy,Conv)</f>
        <v>52929</v>
      </c>
      <c r="I435" s="18">
        <f>_xll.ciqfunctions.udf.CIQ($C$2, "IQ_FINANCING_OBLIG_NON_CURRENT_EXCL_OPER_LEASES", I$6,$F$2,,,Ccy,Conv)</f>
        <v>52980</v>
      </c>
      <c r="J435" s="18">
        <f>_xll.ciqfunctions.udf.CIQ($C$2, "IQ_FINANCING_OBLIG_NON_CURRENT_EXCL_OPER_LEASES", J$6,$F$2,,,Ccy,Conv)</f>
        <v>49884</v>
      </c>
      <c r="K435" s="18">
        <f>_xll.ciqfunctions.udf.CIQ($C$2, "IQ_FINANCING_OBLIG_NON_CURRENT_EXCL_OPER_LEASES", K$6,$F$2,,,Ccy,Conv)</f>
        <v>56371</v>
      </c>
      <c r="L435" s="18">
        <f>_xll.ciqfunctions.udf.CIQ($C$2, "IQ_FINANCING_OBLIG_NON_CURRENT_EXCL_OPER_LEASES", L$6,$F$2,,,Ccy,Conv)</f>
        <v>55219</v>
      </c>
      <c r="M435" s="18">
        <f>_xll.ciqfunctions.udf.CIQ($C$2, "IQ_FINANCING_OBLIG_NON_CURRENT_EXCL_OPER_LEASES", M$6,$F$2,,,Ccy,Conv)</f>
        <v>55174</v>
      </c>
      <c r="N435" s="18">
        <f>_xll.ciqfunctions.udf.CIQ($C$2, "IQ_FINANCING_OBLIG_NON_CURRENT_EXCL_OPER_LEASES", N$6,$F$2,,,Ccy,Conv)</f>
        <v>54836</v>
      </c>
      <c r="O435" s="18"/>
      <c r="P435" s="18">
        <f>_xll.ciqfunctions.udf.CIQ($C$2, "IQ_FINANCING_OBLIG_NON_CURRENT_EXCL_OPER_LEASES", P$6,$F$2,,,Ccy,Conv)</f>
        <v>54836</v>
      </c>
      <c r="Q435" s="215"/>
      <c r="R435" s="215"/>
      <c r="S435" s="215"/>
      <c r="T435" s="215"/>
      <c r="U435" s="215"/>
      <c r="V435" s="222"/>
      <c r="W435" s="222"/>
      <c r="X435" s="222"/>
      <c r="Y435" s="215"/>
      <c r="Z435" s="215"/>
      <c r="AA435" s="215"/>
      <c r="AB435" s="215"/>
      <c r="AC435" s="215"/>
      <c r="AD435" s="215"/>
      <c r="AE435" s="215"/>
      <c r="AF435" s="215"/>
      <c r="AG435" s="215"/>
      <c r="AH435" s="215"/>
      <c r="AI435" s="215"/>
      <c r="AJ435" s="215"/>
      <c r="AK435" s="215"/>
      <c r="AL435" s="215"/>
      <c r="AM435" s="215"/>
      <c r="AN435" s="215"/>
      <c r="AO435" s="215"/>
      <c r="AP435" s="215"/>
      <c r="AQ435" s="215"/>
      <c r="AR435" s="215"/>
      <c r="AS435" s="215"/>
      <c r="AT435" s="215"/>
      <c r="AU435" s="215"/>
      <c r="AV435" s="215"/>
      <c r="AW435" s="215"/>
      <c r="AX435" s="215"/>
      <c r="AY435" s="215"/>
      <c r="AZ435" s="215"/>
      <c r="BA435" s="215"/>
      <c r="BB435" s="215"/>
      <c r="BC435" s="215"/>
      <c r="BD435" s="215"/>
      <c r="BE435" s="215"/>
      <c r="BF435" s="215"/>
      <c r="BG435" s="215"/>
      <c r="BH435" s="215"/>
      <c r="BI435" s="215"/>
      <c r="BJ435" s="215"/>
      <c r="BK435" s="215"/>
      <c r="BL435" s="215"/>
      <c r="BM435" s="215"/>
      <c r="BN435" s="215"/>
      <c r="BO435" s="215"/>
      <c r="BP435" s="215"/>
      <c r="BQ435" s="215"/>
      <c r="BR435" s="215"/>
      <c r="BS435" s="215"/>
      <c r="BT435" s="215"/>
      <c r="BU435" s="215"/>
      <c r="BV435" s="215"/>
      <c r="BW435" s="215"/>
      <c r="BX435" s="215"/>
      <c r="BY435" s="215"/>
      <c r="BZ435" s="215"/>
    </row>
    <row r="436" spans="1:78" x14ac:dyDescent="0.2">
      <c r="A436" s="2" t="str">
        <f>'Language Index'!A390</f>
        <v>Total Debt, Excl. Operating Leases</v>
      </c>
      <c r="B436" s="48"/>
      <c r="C436" s="48"/>
      <c r="D436" s="18">
        <f>_xll.ciqfunctions.udf.CIQ($C$2, "IQ_TOTAL_DEBT_EXCL_OPER_LEASES", D$6,$F$2,,,Ccy,Conv)</f>
        <v>57476</v>
      </c>
      <c r="E436" s="18">
        <f>_xll.ciqfunctions.udf.CIQ($C$2, "IQ_TOTAL_DEBT_EXCL_OPER_LEASES", E$6,$F$2,,,Ccy,Conv)</f>
        <v>55242</v>
      </c>
      <c r="F436" s="18">
        <f>_xll.ciqfunctions.udf.CIQ($C$2, "IQ_TOTAL_DEBT_EXCL_OPER_LEASES", F$6,$F$2,,,Ccy,Conv)</f>
        <v>56547</v>
      </c>
      <c r="G436" s="18">
        <f>_xll.ciqfunctions.udf.CIQ($C$2, "IQ_TOTAL_DEBT_EXCL_OPER_LEASES", G$6,$F$2,,,Ccy,Conv)</f>
        <v>59504</v>
      </c>
      <c r="H436" s="18">
        <f>_xll.ciqfunctions.udf.CIQ($C$2, "IQ_TOTAL_DEBT_EXCL_OPER_LEASES", H$6,$F$2,,,Ccy,Conv)</f>
        <v>56531</v>
      </c>
      <c r="I436" s="18">
        <f>_xll.ciqfunctions.udf.CIQ($C$2, "IQ_TOTAL_DEBT_EXCL_OPER_LEASES", I$6,$F$2,,,Ccy,Conv)</f>
        <v>56579</v>
      </c>
      <c r="J436" s="18">
        <f>_xll.ciqfunctions.udf.CIQ($C$2, "IQ_TOTAL_DEBT_EXCL_OPER_LEASES", J$6,$F$2,,,Ccy,Conv)</f>
        <v>54973</v>
      </c>
      <c r="K436" s="18">
        <f>_xll.ciqfunctions.udf.CIQ($C$2, "IQ_TOTAL_DEBT_EXCL_OPER_LEASES", K$6,$F$2,,,Ccy,Conv)</f>
        <v>63284</v>
      </c>
      <c r="L436" s="18">
        <f>_xll.ciqfunctions.udf.CIQ($C$2, "IQ_TOTAL_DEBT_EXCL_OPER_LEASES", L$6,$F$2,,,Ccy,Conv)</f>
        <v>64164</v>
      </c>
      <c r="M436" s="18">
        <f>_xll.ciqfunctions.udf.CIQ($C$2, "IQ_TOTAL_DEBT_EXCL_OPER_LEASES", M$6,$F$2,,,Ccy,Conv)</f>
        <v>63116</v>
      </c>
      <c r="N436" s="18">
        <f>_xll.ciqfunctions.udf.CIQ($C$2, "IQ_TOTAL_DEBT_EXCL_OPER_LEASES", N$6,$F$2,,,Ccy,Conv)</f>
        <v>61260</v>
      </c>
      <c r="O436" s="18"/>
      <c r="P436" s="18">
        <f>_xll.ciqfunctions.udf.CIQ($C$2, "IQ_TOTAL_DEBT_EXCL_OPER_LEASES", P$6,$F$2,,,Ccy,Conv)</f>
        <v>61260</v>
      </c>
      <c r="Q436" s="215"/>
      <c r="R436" s="215"/>
      <c r="S436" s="215"/>
      <c r="T436" s="215"/>
      <c r="U436" s="215"/>
      <c r="V436" s="222"/>
      <c r="W436" s="222"/>
      <c r="X436" s="222"/>
      <c r="Y436" s="215"/>
      <c r="Z436" s="215"/>
      <c r="AA436" s="215"/>
      <c r="AB436" s="215"/>
      <c r="AC436" s="215"/>
      <c r="AD436" s="215"/>
      <c r="AE436" s="215"/>
      <c r="AF436" s="215"/>
      <c r="AG436" s="215"/>
      <c r="AH436" s="215"/>
      <c r="AI436" s="215"/>
      <c r="AJ436" s="215"/>
      <c r="AK436" s="215"/>
      <c r="AL436" s="215"/>
      <c r="AM436" s="215"/>
      <c r="AN436" s="215"/>
      <c r="AO436" s="215"/>
      <c r="AP436" s="215"/>
      <c r="AQ436" s="215"/>
      <c r="AR436" s="215"/>
      <c r="AS436" s="215"/>
      <c r="AT436" s="215"/>
      <c r="AU436" s="215"/>
      <c r="AV436" s="215"/>
      <c r="AW436" s="215"/>
      <c r="AX436" s="215"/>
      <c r="AY436" s="215"/>
      <c r="AZ436" s="215"/>
      <c r="BA436" s="215"/>
      <c r="BB436" s="215"/>
      <c r="BC436" s="215"/>
      <c r="BD436" s="215"/>
      <c r="BE436" s="215"/>
      <c r="BF436" s="215"/>
      <c r="BG436" s="215"/>
      <c r="BH436" s="215"/>
      <c r="BI436" s="215"/>
      <c r="BJ436" s="215"/>
      <c r="BK436" s="215"/>
      <c r="BL436" s="215"/>
      <c r="BM436" s="215"/>
      <c r="BN436" s="215"/>
      <c r="BO436" s="215"/>
      <c r="BP436" s="215"/>
      <c r="BQ436" s="215"/>
      <c r="BR436" s="215"/>
      <c r="BS436" s="215"/>
      <c r="BT436" s="215"/>
      <c r="BU436" s="215"/>
      <c r="BV436" s="215"/>
      <c r="BW436" s="215"/>
      <c r="BX436" s="215"/>
      <c r="BY436" s="215"/>
      <c r="BZ436" s="215"/>
    </row>
    <row r="437" spans="1:78" x14ac:dyDescent="0.2">
      <c r="A437" s="2" t="str">
        <f>'Language Index'!A391</f>
        <v>Total Debt, Excl. Leases</v>
      </c>
      <c r="B437" s="48"/>
      <c r="C437" s="48"/>
      <c r="D437" s="18">
        <f>_xll.ciqfunctions.udf.CIQ($C$2, "IQ_TOTAL_DEBT_EXCL_LEASES", D$6,$F$2,,,Ccy,Conv)</f>
        <v>57208</v>
      </c>
      <c r="E437" s="18">
        <f>_xll.ciqfunctions.udf.CIQ($C$2, "IQ_TOTAL_DEBT_EXCL_LEASES", E$6,$F$2,,,Ccy,Conv)</f>
        <v>54939</v>
      </c>
      <c r="F437" s="18">
        <f>_xll.ciqfunctions.udf.CIQ($C$2, "IQ_TOTAL_DEBT_EXCL_LEASES", F$6,$F$2,,,Ccy,Conv)</f>
        <v>56047</v>
      </c>
      <c r="G437" s="18">
        <f>_xll.ciqfunctions.udf.CIQ($C$2, "IQ_TOTAL_DEBT_EXCL_LEASES", G$6,$F$2,,,Ccy,Conv)</f>
        <v>58799</v>
      </c>
      <c r="H437" s="18">
        <f>_xll.ciqfunctions.udf.CIQ($C$2, "IQ_TOTAL_DEBT_EXCL_LEASES", H$6,$F$2,,,Ccy,Conv)</f>
        <v>55708</v>
      </c>
      <c r="I437" s="18">
        <f>_xll.ciqfunctions.udf.CIQ($C$2, "IQ_TOTAL_DEBT_EXCL_LEASES", I$6,$F$2,,,Ccy,Conv)</f>
        <v>55701</v>
      </c>
      <c r="J437" s="18">
        <f>_xll.ciqfunctions.udf.CIQ($C$2, "IQ_TOTAL_DEBT_EXCL_LEASES", J$6,$F$2,,,Ccy,Conv)</f>
        <v>53972</v>
      </c>
      <c r="K437" s="18">
        <f>_xll.ciqfunctions.udf.CIQ($C$2, "IQ_TOTAL_DEBT_EXCL_LEASES", K$6,$F$2,,,Ccy,Conv)</f>
        <v>62253</v>
      </c>
      <c r="L437" s="18">
        <f>_xll.ciqfunctions.udf.CIQ($C$2, "IQ_TOTAL_DEBT_EXCL_LEASES", L$6,$F$2,,,Ccy,Conv)</f>
        <v>62984</v>
      </c>
      <c r="M437" s="18">
        <f>_xll.ciqfunctions.udf.CIQ($C$2, "IQ_TOTAL_DEBT_EXCL_LEASES", M$6,$F$2,,,Ccy,Conv)</f>
        <v>61969</v>
      </c>
      <c r="N437" s="18">
        <f>_xll.ciqfunctions.udf.CIQ($C$2, "IQ_TOTAL_DEBT_EXCL_LEASES", N$6,$F$2,,,Ccy,Conv)</f>
        <v>60107</v>
      </c>
      <c r="O437" s="18"/>
      <c r="P437" s="18">
        <f>_xll.ciqfunctions.udf.CIQ($C$2, "IQ_TOTAL_DEBT_EXCL_LEASES", P$6,$F$2,,,Ccy,Conv)</f>
        <v>60107</v>
      </c>
      <c r="Q437" s="215"/>
      <c r="R437" s="215"/>
      <c r="S437" s="215"/>
      <c r="T437" s="215"/>
      <c r="U437" s="215"/>
      <c r="V437" s="222"/>
      <c r="W437" s="222"/>
      <c r="X437" s="222"/>
      <c r="Y437" s="215"/>
      <c r="Z437" s="215"/>
      <c r="AA437" s="215"/>
      <c r="AB437" s="215"/>
      <c r="AC437" s="215"/>
      <c r="AD437" s="215"/>
      <c r="AE437" s="215"/>
      <c r="AF437" s="215"/>
      <c r="AG437" s="215"/>
      <c r="AH437" s="215"/>
      <c r="AI437" s="215"/>
      <c r="AJ437" s="215"/>
      <c r="AK437" s="215"/>
      <c r="AL437" s="215"/>
      <c r="AM437" s="215"/>
      <c r="AN437" s="215"/>
      <c r="AO437" s="215"/>
      <c r="AP437" s="215"/>
      <c r="AQ437" s="215"/>
      <c r="AR437" s="215"/>
      <c r="AS437" s="215"/>
      <c r="AT437" s="215"/>
      <c r="AU437" s="215"/>
      <c r="AV437" s="215"/>
      <c r="AW437" s="215"/>
      <c r="AX437" s="215"/>
      <c r="AY437" s="215"/>
      <c r="AZ437" s="215"/>
      <c r="BA437" s="215"/>
      <c r="BB437" s="215"/>
      <c r="BC437" s="215"/>
      <c r="BD437" s="215"/>
      <c r="BE437" s="215"/>
      <c r="BF437" s="215"/>
      <c r="BG437" s="215"/>
      <c r="BH437" s="215"/>
      <c r="BI437" s="215"/>
      <c r="BJ437" s="215"/>
      <c r="BK437" s="215"/>
      <c r="BL437" s="215"/>
      <c r="BM437" s="215"/>
      <c r="BN437" s="215"/>
      <c r="BO437" s="215"/>
      <c r="BP437" s="215"/>
      <c r="BQ437" s="215"/>
      <c r="BR437" s="215"/>
      <c r="BS437" s="215"/>
      <c r="BT437" s="215"/>
      <c r="BU437" s="215"/>
      <c r="BV437" s="215"/>
      <c r="BW437" s="215"/>
      <c r="BX437" s="215"/>
      <c r="BY437" s="215"/>
      <c r="BZ437" s="215"/>
    </row>
    <row r="438" spans="1:78" x14ac:dyDescent="0.2">
      <c r="A438" s="2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215"/>
      <c r="R438" s="215"/>
      <c r="S438" s="215"/>
      <c r="T438" s="215"/>
      <c r="U438" s="215"/>
      <c r="V438" s="222"/>
      <c r="W438" s="222"/>
      <c r="X438" s="222"/>
      <c r="Y438" s="215"/>
      <c r="Z438" s="215"/>
      <c r="AA438" s="215"/>
      <c r="AB438" s="215"/>
      <c r="AC438" s="215"/>
      <c r="AD438" s="215"/>
      <c r="AE438" s="215"/>
      <c r="AF438" s="215"/>
      <c r="AG438" s="215"/>
      <c r="AH438" s="215"/>
      <c r="AI438" s="215"/>
      <c r="AJ438" s="215"/>
      <c r="AK438" s="215"/>
      <c r="AL438" s="215"/>
      <c r="AM438" s="215"/>
      <c r="AN438" s="215"/>
      <c r="AO438" s="215"/>
      <c r="AP438" s="215"/>
      <c r="AQ438" s="215"/>
      <c r="AR438" s="215"/>
      <c r="AS438" s="215"/>
      <c r="AT438" s="215"/>
      <c r="AU438" s="215"/>
      <c r="AV438" s="215"/>
      <c r="AW438" s="215"/>
      <c r="AX438" s="215"/>
      <c r="AY438" s="215"/>
      <c r="AZ438" s="215"/>
      <c r="BA438" s="215"/>
      <c r="BB438" s="215"/>
      <c r="BC438" s="215"/>
      <c r="BD438" s="215"/>
      <c r="BE438" s="215"/>
      <c r="BF438" s="215"/>
      <c r="BG438" s="215"/>
      <c r="BH438" s="215"/>
      <c r="BI438" s="215"/>
      <c r="BJ438" s="215"/>
      <c r="BK438" s="215"/>
      <c r="BL438" s="215"/>
      <c r="BM438" s="215"/>
      <c r="BN438" s="215"/>
      <c r="BO438" s="215"/>
      <c r="BP438" s="215"/>
      <c r="BQ438" s="215"/>
      <c r="BR438" s="215"/>
      <c r="BS438" s="215"/>
      <c r="BT438" s="215"/>
      <c r="BU438" s="215"/>
      <c r="BV438" s="215"/>
      <c r="BW438" s="215"/>
      <c r="BX438" s="215"/>
      <c r="BY438" s="215"/>
      <c r="BZ438" s="215"/>
    </row>
    <row r="439" spans="1:78" x14ac:dyDescent="0.2">
      <c r="A439" s="9"/>
      <c r="B439" s="1"/>
      <c r="C439" s="1"/>
      <c r="D439" s="14" t="str">
        <f>$T$2&amp; " "&amp;'Language Index'!A31&amp;","</f>
        <v>Last Twelve Months Ended,</v>
      </c>
      <c r="E439" s="14"/>
      <c r="F439" s="15"/>
      <c r="G439" s="15"/>
      <c r="H439" s="15"/>
      <c r="I439" s="15"/>
      <c r="J439" s="15"/>
      <c r="K439" s="15"/>
      <c r="L439" s="15"/>
      <c r="M439" s="15"/>
      <c r="N439" s="15"/>
      <c r="O439" s="4"/>
      <c r="P439" s="14" t="str">
        <f>'Language Index'!A14</f>
        <v>LTM</v>
      </c>
      <c r="Q439" s="234"/>
      <c r="R439" s="215"/>
      <c r="S439" s="215"/>
      <c r="T439" s="215"/>
      <c r="U439" s="215"/>
      <c r="V439" s="222"/>
      <c r="W439" s="222"/>
      <c r="X439" s="222"/>
      <c r="Y439" s="215"/>
      <c r="Z439" s="215"/>
      <c r="AA439" s="215"/>
      <c r="AB439" s="215"/>
      <c r="AC439" s="215"/>
      <c r="AD439" s="215"/>
      <c r="AE439" s="215"/>
      <c r="AF439" s="215"/>
      <c r="AG439" s="215"/>
      <c r="AH439" s="215"/>
      <c r="AI439" s="215"/>
      <c r="AJ439" s="215"/>
      <c r="AK439" s="215"/>
      <c r="AL439" s="215"/>
      <c r="AM439" s="215"/>
      <c r="AN439" s="215"/>
      <c r="AO439" s="215"/>
      <c r="AP439" s="215"/>
      <c r="AQ439" s="215"/>
      <c r="AR439" s="215"/>
      <c r="AS439" s="215"/>
      <c r="AT439" s="215"/>
      <c r="AU439" s="215"/>
      <c r="AV439" s="215"/>
      <c r="AW439" s="215"/>
      <c r="AX439" s="215"/>
      <c r="AY439" s="215"/>
      <c r="AZ439" s="215"/>
      <c r="BA439" s="215"/>
      <c r="BB439" s="215"/>
      <c r="BC439" s="215"/>
      <c r="BD439" s="215"/>
      <c r="BE439" s="215"/>
      <c r="BF439" s="215"/>
      <c r="BG439" s="215"/>
      <c r="BH439" s="215"/>
      <c r="BI439" s="215"/>
      <c r="BJ439" s="215"/>
      <c r="BK439" s="215"/>
      <c r="BL439" s="215"/>
      <c r="BM439" s="215"/>
      <c r="BN439" s="215"/>
      <c r="BO439" s="215"/>
      <c r="BP439" s="215"/>
      <c r="BQ439" s="215"/>
      <c r="BR439" s="215"/>
      <c r="BS439" s="215"/>
      <c r="BT439" s="215"/>
      <c r="BU439" s="215"/>
      <c r="BV439" s="215"/>
      <c r="BW439" s="215"/>
      <c r="BX439" s="215"/>
      <c r="BY439" s="215"/>
      <c r="BZ439" s="215"/>
    </row>
    <row r="440" spans="1:78" x14ac:dyDescent="0.2">
      <c r="A440" s="9"/>
      <c r="B440" s="2"/>
      <c r="C440" s="2"/>
      <c r="D440" s="64">
        <f>_xll.ciqfunctions.udf.CIQ($C$2, "IQ_PERIODDATE", D$6,$F$2)</f>
        <v>45107</v>
      </c>
      <c r="E440" s="64">
        <f>_xll.ciqfunctions.udf.CIQ($C$2, "IQ_PERIODDATE", E$6,$F$2)</f>
        <v>45199</v>
      </c>
      <c r="F440" s="64">
        <f>_xll.ciqfunctions.udf.CIQ($C$2, "IQ_PERIODDATE", F$6,$F$2)</f>
        <v>45291</v>
      </c>
      <c r="G440" s="64">
        <f>_xll.ciqfunctions.udf.CIQ($C$2, "IQ_PERIODDATE", G$6,$F$2)</f>
        <v>45382</v>
      </c>
      <c r="H440" s="64">
        <f>_xll.ciqfunctions.udf.CIQ($C$2, "IQ_PERIODDATE", H$6,$F$2)</f>
        <v>45473</v>
      </c>
      <c r="I440" s="64">
        <f>_xll.ciqfunctions.udf.CIQ($C$2, "IQ_PERIODDATE", I$6,$F$2)</f>
        <v>45565</v>
      </c>
      <c r="J440" s="64">
        <f>_xll.ciqfunctions.udf.CIQ($C$2, "IQ_PERIODDATE", J$6,$F$2)</f>
        <v>45657</v>
      </c>
      <c r="K440" s="64">
        <f>_xll.ciqfunctions.udf.CIQ($C$2, "IQ_PERIODDATE", K$6,$F$2)</f>
        <v>45747</v>
      </c>
      <c r="L440" s="64">
        <f>_xll.ciqfunctions.udf.CIQ($C$2, "IQ_PERIODDATE", L$6,$F$2)</f>
        <v>45838</v>
      </c>
      <c r="M440" s="64">
        <f>_xll.ciqfunctions.udf.CIQ($C$2, "IQ_PERIODDATE", M$6,$F$2)</f>
        <v>45930</v>
      </c>
      <c r="N440" s="64">
        <f>_xll.ciqfunctions.udf.CIQ($C$2, "IQ_PERIODDATE", N$6,$F$2)</f>
        <v>46022</v>
      </c>
      <c r="O440" s="65"/>
      <c r="P440" s="64">
        <f>_xll.ciqfunctions.udf.CIQ($C$2, "IQ_PERIODDATE", P$6,$F$2)</f>
        <v>46022</v>
      </c>
      <c r="Q440" s="234"/>
      <c r="R440" s="215"/>
      <c r="S440" s="215"/>
      <c r="T440" s="215"/>
      <c r="U440" s="215"/>
      <c r="V440" s="222"/>
      <c r="W440" s="222"/>
      <c r="X440" s="222"/>
      <c r="Y440" s="215"/>
      <c r="Z440" s="215"/>
      <c r="AA440" s="215"/>
      <c r="AB440" s="215"/>
      <c r="AC440" s="215"/>
      <c r="AD440" s="215"/>
      <c r="AE440" s="215"/>
      <c r="AF440" s="215"/>
      <c r="AG440" s="215"/>
      <c r="AH440" s="215"/>
      <c r="AI440" s="215"/>
      <c r="AJ440" s="215"/>
      <c r="AK440" s="215"/>
      <c r="AL440" s="215"/>
      <c r="AM440" s="215"/>
      <c r="AN440" s="215"/>
      <c r="AO440" s="215"/>
      <c r="AP440" s="215"/>
      <c r="AQ440" s="215"/>
      <c r="AR440" s="215"/>
      <c r="AS440" s="215"/>
      <c r="AT440" s="215"/>
      <c r="AU440" s="215"/>
      <c r="AV440" s="215"/>
      <c r="AW440" s="215"/>
      <c r="AX440" s="215"/>
      <c r="AY440" s="215"/>
      <c r="AZ440" s="215"/>
      <c r="BA440" s="215"/>
      <c r="BB440" s="215"/>
      <c r="BC440" s="215"/>
      <c r="BD440" s="215"/>
      <c r="BE440" s="215"/>
      <c r="BF440" s="215"/>
      <c r="BG440" s="215"/>
      <c r="BH440" s="215"/>
      <c r="BI440" s="215"/>
      <c r="BJ440" s="215"/>
      <c r="BK440" s="215"/>
      <c r="BL440" s="215"/>
      <c r="BM440" s="215"/>
      <c r="BN440" s="215"/>
      <c r="BO440" s="215"/>
      <c r="BP440" s="215"/>
      <c r="BQ440" s="215"/>
      <c r="BR440" s="215"/>
      <c r="BS440" s="215"/>
      <c r="BT440" s="215"/>
      <c r="BU440" s="215"/>
      <c r="BV440" s="215"/>
      <c r="BW440" s="215"/>
      <c r="BX440" s="215"/>
      <c r="BY440" s="215"/>
      <c r="BZ440" s="215"/>
    </row>
    <row r="441" spans="1:78" x14ac:dyDescent="0.2">
      <c r="A441" s="9" t="str">
        <f>'Language Index'!A102</f>
        <v>Supplemental Items</v>
      </c>
      <c r="B441" s="1"/>
      <c r="C441" s="1"/>
      <c r="D441" s="1"/>
      <c r="E441" s="1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234"/>
      <c r="R441" s="215"/>
      <c r="S441" s="215"/>
      <c r="T441" s="215"/>
      <c r="U441" s="215"/>
      <c r="V441" s="222"/>
      <c r="W441" s="222"/>
      <c r="X441" s="222"/>
      <c r="Y441" s="215"/>
      <c r="Z441" s="215"/>
      <c r="AA441" s="215"/>
      <c r="AB441" s="215"/>
      <c r="AC441" s="215"/>
      <c r="AD441" s="215"/>
      <c r="AE441" s="215"/>
      <c r="AF441" s="215"/>
      <c r="AG441" s="215"/>
      <c r="AH441" s="215"/>
      <c r="AI441" s="215"/>
      <c r="AJ441" s="215"/>
      <c r="AK441" s="215"/>
      <c r="AL441" s="215"/>
      <c r="AM441" s="215"/>
      <c r="AN441" s="215"/>
      <c r="AO441" s="215"/>
      <c r="AP441" s="215"/>
      <c r="AQ441" s="215"/>
      <c r="AR441" s="215"/>
      <c r="AS441" s="215"/>
      <c r="AT441" s="215"/>
      <c r="AU441" s="215"/>
      <c r="AV441" s="215"/>
      <c r="AW441" s="215"/>
      <c r="AX441" s="215"/>
      <c r="AY441" s="215"/>
      <c r="AZ441" s="215"/>
      <c r="BA441" s="215"/>
      <c r="BB441" s="215"/>
      <c r="BC441" s="215"/>
      <c r="BD441" s="215"/>
      <c r="BE441" s="215"/>
      <c r="BF441" s="215"/>
      <c r="BG441" s="215"/>
      <c r="BH441" s="215"/>
      <c r="BI441" s="215"/>
      <c r="BJ441" s="215"/>
      <c r="BK441" s="215"/>
      <c r="BL441" s="215"/>
      <c r="BM441" s="215"/>
      <c r="BN441" s="215"/>
      <c r="BO441" s="215"/>
      <c r="BP441" s="215"/>
      <c r="BQ441" s="215"/>
      <c r="BR441" s="215"/>
      <c r="BS441" s="215"/>
      <c r="BT441" s="215"/>
      <c r="BU441" s="215"/>
      <c r="BV441" s="215"/>
      <c r="BW441" s="215"/>
      <c r="BX441" s="215"/>
      <c r="BY441" s="215"/>
      <c r="BZ441" s="215"/>
    </row>
    <row r="442" spans="1:78" x14ac:dyDescent="0.2">
      <c r="A442" s="2" t="str">
        <f>'Language Index'!A103</f>
        <v>Filing Date</v>
      </c>
      <c r="B442" s="26"/>
      <c r="C442" s="26"/>
      <c r="D442" s="35">
        <f>_xll.ciqfunctions.udf.CIQ($C$2,"IQ_FILINGDATE_BS", D$6,$F$2)</f>
        <v>45503</v>
      </c>
      <c r="E442" s="35">
        <f>_xll.ciqfunctions.udf.CIQ($C$2,"IQ_FILINGDATE_BS", E$6,$F$2)</f>
        <v>45595</v>
      </c>
      <c r="F442" s="35">
        <f>_xll.ciqfunctions.udf.CIQ($C$2,"IQ_FILINGDATE_BS", F$6,$F$2)</f>
        <v>46077</v>
      </c>
      <c r="G442" s="35">
        <f>_xll.ciqfunctions.udf.CIQ($C$2,"IQ_FILINGDATE_BS", G$6,$F$2)</f>
        <v>45771</v>
      </c>
      <c r="H442" s="35">
        <f>_xll.ciqfunctions.udf.CIQ($C$2,"IQ_FILINGDATE_BS", H$6,$F$2)</f>
        <v>45953</v>
      </c>
      <c r="I442" s="35">
        <f>_xll.ciqfunctions.udf.CIQ($C$2,"IQ_FILINGDATE_BS", I$6,$F$2)</f>
        <v>45953</v>
      </c>
      <c r="J442" s="35">
        <f>_xll.ciqfunctions.udf.CIQ($C$2,"IQ_FILINGDATE_BS", J$6,$F$2)</f>
        <v>46077</v>
      </c>
      <c r="K442" s="35">
        <f>_xll.ciqfunctions.udf.CIQ($C$2,"IQ_FILINGDATE_BS", K$6,$F$2)</f>
        <v>45771</v>
      </c>
      <c r="L442" s="35">
        <f>_xll.ciqfunctions.udf.CIQ($C$2,"IQ_FILINGDATE_BS", L$6,$F$2)</f>
        <v>45862</v>
      </c>
      <c r="M442" s="35">
        <f>_xll.ciqfunctions.udf.CIQ($C$2,"IQ_FILINGDATE_BS", M$6,$F$2)</f>
        <v>45953</v>
      </c>
      <c r="N442" s="35">
        <f>_xll.ciqfunctions.udf.CIQ($C$2,"IQ_FILINGDATE_BS", N$6,$F$2)</f>
        <v>46077</v>
      </c>
      <c r="O442" s="36"/>
      <c r="P442" s="35">
        <f>_xll.ciqfunctions.udf.CIQ($C$2,"IQ_FILINGDATE_BS", P$6,$F$2)</f>
        <v>46077</v>
      </c>
      <c r="Q442" s="244"/>
      <c r="R442" s="215"/>
      <c r="S442" s="215"/>
      <c r="T442" s="215"/>
      <c r="U442" s="215"/>
      <c r="V442" s="222"/>
      <c r="W442" s="222"/>
      <c r="X442" s="222"/>
      <c r="Y442" s="215"/>
      <c r="Z442" s="215"/>
      <c r="AA442" s="215"/>
      <c r="AB442" s="215"/>
      <c r="AC442" s="215"/>
      <c r="AD442" s="215"/>
      <c r="AE442" s="215"/>
      <c r="AF442" s="215"/>
      <c r="AG442" s="215"/>
      <c r="AH442" s="215"/>
      <c r="AI442" s="215"/>
      <c r="AJ442" s="215"/>
      <c r="AK442" s="215"/>
      <c r="AL442" s="215"/>
      <c r="AM442" s="215"/>
      <c r="AN442" s="215"/>
      <c r="AO442" s="215"/>
      <c r="AP442" s="215"/>
      <c r="AQ442" s="215"/>
      <c r="AR442" s="215"/>
      <c r="AS442" s="215"/>
      <c r="AT442" s="215"/>
      <c r="AU442" s="215"/>
      <c r="AV442" s="215"/>
      <c r="AW442" s="215"/>
      <c r="AX442" s="215"/>
      <c r="AY442" s="215"/>
      <c r="AZ442" s="215"/>
      <c r="BA442" s="215"/>
      <c r="BB442" s="215"/>
      <c r="BC442" s="215"/>
      <c r="BD442" s="215"/>
      <c r="BE442" s="215"/>
      <c r="BF442" s="215"/>
      <c r="BG442" s="215"/>
      <c r="BH442" s="215"/>
      <c r="BI442" s="215"/>
      <c r="BJ442" s="215"/>
      <c r="BK442" s="215"/>
      <c r="BL442" s="215"/>
      <c r="BM442" s="215"/>
      <c r="BN442" s="215"/>
      <c r="BO442" s="215"/>
      <c r="BP442" s="215"/>
      <c r="BQ442" s="215"/>
      <c r="BR442" s="215"/>
      <c r="BS442" s="215"/>
      <c r="BT442" s="215"/>
      <c r="BU442" s="215"/>
      <c r="BV442" s="215"/>
      <c r="BW442" s="215"/>
      <c r="BX442" s="215"/>
      <c r="BY442" s="215"/>
      <c r="BZ442" s="215"/>
    </row>
    <row r="443" spans="1:78" x14ac:dyDescent="0.2">
      <c r="A443" s="2" t="str">
        <f>'Language Index'!A393</f>
        <v>Total Shares Out. on Filing Date</v>
      </c>
      <c r="B443" s="17"/>
      <c r="C443" s="17"/>
      <c r="D443" s="30">
        <f>_xll.ciqfunctions.udf.CIQ($C$2, "IQ_TOTAL_OUTSTANDING_FILING_DATE", D$6,$F$2)</f>
        <v>911.00624000000005</v>
      </c>
      <c r="E443" s="30">
        <f>_xll.ciqfunctions.udf.CIQ($C$2, "IQ_TOTAL_OUTSTANDING_FILING_DATE", E$6,$F$2)</f>
        <v>913.11857999999995</v>
      </c>
      <c r="F443" s="30">
        <f>_xll.ciqfunctions.udf.CIQ($C$2, "IQ_TOTAL_OUTSTANDING_FILING_DATE", F$6,$F$2)</f>
        <v>916.74485000000004</v>
      </c>
      <c r="G443" s="30">
        <f>_xll.ciqfunctions.udf.CIQ($C$2, "IQ_TOTAL_OUTSTANDING_FILING_DATE", G$6,$F$2)</f>
        <v>918.60266999999999</v>
      </c>
      <c r="H443" s="30">
        <f>_xll.ciqfunctions.udf.CIQ($C$2, "IQ_TOTAL_OUTSTANDING_FILING_DATE", H$6,$F$2)</f>
        <v>921.14819999999997</v>
      </c>
      <c r="I443" s="30">
        <f>_xll.ciqfunctions.udf.CIQ($C$2, "IQ_TOTAL_OUTSTANDING_FILING_DATE", I$6,$F$2)</f>
        <v>924.64514999999994</v>
      </c>
      <c r="J443" s="30">
        <f>_xll.ciqfunctions.udf.CIQ($C$2, "IQ_TOTAL_OUTSTANDING_FILING_DATE", J$6,$F$2)</f>
        <v>927.26432999999997</v>
      </c>
      <c r="K443" s="30">
        <f>_xll.ciqfunctions.udf.CIQ($C$2, "IQ_TOTAL_OUTSTANDING_FILING_DATE", K$6,$F$2)</f>
        <v>929.39657999999997</v>
      </c>
      <c r="L443" s="30">
        <f>_xll.ciqfunctions.udf.CIQ($C$2, "IQ_TOTAL_OUTSTANDING_FILING_DATE", L$6,$F$2)</f>
        <v>931.51923999999997</v>
      </c>
      <c r="M443" s="30">
        <f>_xll.ciqfunctions.udf.CIQ($C$2, "IQ_TOTAL_OUTSTANDING_FILING_DATE", M$6,$F$2)</f>
        <v>934.73521000000005</v>
      </c>
      <c r="N443" s="30">
        <f>_xll.ciqfunctions.udf.CIQ($C$2, "IQ_TOTAL_OUTSTANDING_FILING_DATE", N$6,$F$2)</f>
        <v>938.03440000000001</v>
      </c>
      <c r="O443" s="30"/>
      <c r="P443" s="30">
        <f>_xll.ciqfunctions.udf.CIQ($C$2, "IQ_TOTAL_OUTSTANDING_FILING_DATE", P$6,$F$2)</f>
        <v>938.03440000000001</v>
      </c>
      <c r="Q443" s="245"/>
      <c r="R443" s="215"/>
      <c r="S443" s="215"/>
      <c r="T443" s="215"/>
      <c r="U443" s="215"/>
      <c r="V443" s="222"/>
      <c r="W443" s="222"/>
      <c r="X443" s="222"/>
      <c r="Y443" s="215"/>
      <c r="Z443" s="215"/>
      <c r="AA443" s="215"/>
      <c r="AB443" s="215"/>
      <c r="AC443" s="215"/>
      <c r="AD443" s="215"/>
      <c r="AE443" s="215"/>
      <c r="AF443" s="215"/>
      <c r="AG443" s="215"/>
      <c r="AH443" s="215"/>
      <c r="AI443" s="215"/>
      <c r="AJ443" s="215"/>
      <c r="AK443" s="215"/>
      <c r="AL443" s="215"/>
      <c r="AM443" s="215"/>
      <c r="AN443" s="215"/>
      <c r="AO443" s="215"/>
      <c r="AP443" s="215"/>
      <c r="AQ443" s="215"/>
      <c r="AR443" s="215"/>
      <c r="AS443" s="215"/>
      <c r="AT443" s="215"/>
      <c r="AU443" s="215"/>
      <c r="AV443" s="215"/>
      <c r="AW443" s="215"/>
      <c r="AX443" s="215"/>
      <c r="AY443" s="215"/>
      <c r="AZ443" s="215"/>
      <c r="BA443" s="215"/>
      <c r="BB443" s="215"/>
      <c r="BC443" s="215"/>
      <c r="BD443" s="215"/>
      <c r="BE443" s="215"/>
      <c r="BF443" s="215"/>
      <c r="BG443" s="215"/>
      <c r="BH443" s="215"/>
      <c r="BI443" s="215"/>
      <c r="BJ443" s="215"/>
      <c r="BK443" s="215"/>
      <c r="BL443" s="215"/>
      <c r="BM443" s="215"/>
      <c r="BN443" s="215"/>
      <c r="BO443" s="215"/>
      <c r="BP443" s="215"/>
      <c r="BQ443" s="215"/>
      <c r="BR443" s="215"/>
      <c r="BS443" s="215"/>
      <c r="BT443" s="215"/>
      <c r="BU443" s="215"/>
      <c r="BV443" s="215"/>
      <c r="BW443" s="215"/>
      <c r="BX443" s="215"/>
      <c r="BY443" s="215"/>
      <c r="BZ443" s="215"/>
    </row>
    <row r="444" spans="1:78" x14ac:dyDescent="0.2">
      <c r="A444" s="2" t="str">
        <f>'Language Index'!A394</f>
        <v>Total Shares Out. on Balance Sheet Date</v>
      </c>
      <c r="B444" s="17"/>
      <c r="C444" s="17"/>
      <c r="D444" s="30">
        <f>_xll.ciqfunctions.udf.CIQ($C$2,"IQ_TOTAL_OUTSTANDING_BS_DATE", D$6,$F$2)</f>
        <v>911.00624000000005</v>
      </c>
      <c r="E444" s="30">
        <f>_xll.ciqfunctions.udf.CIQ($C$2,"IQ_TOTAL_OUTSTANDING_BS_DATE", E$6,$F$2)</f>
        <v>913.11857999999995</v>
      </c>
      <c r="F444" s="30">
        <f>_xll.ciqfunctions.udf.CIQ($C$2,"IQ_TOTAL_OUTSTANDING_BS_DATE", F$6,$F$2)</f>
        <v>915.01364999999998</v>
      </c>
      <c r="G444" s="30">
        <f>_xll.ciqfunctions.udf.CIQ($C$2,"IQ_TOTAL_OUTSTANDING_BS_DATE", G$6,$F$2)</f>
        <v>918.60266999999999</v>
      </c>
      <c r="H444" s="30">
        <f>_xll.ciqfunctions.udf.CIQ($C$2,"IQ_TOTAL_OUTSTANDING_BS_DATE", H$6,$F$2)</f>
        <v>921.14819999999997</v>
      </c>
      <c r="I444" s="30">
        <f>_xll.ciqfunctions.udf.CIQ($C$2,"IQ_TOTAL_OUTSTANDING_BS_DATE", I$6,$F$2)</f>
        <v>924.64514999999994</v>
      </c>
      <c r="J444" s="30">
        <f>_xll.ciqfunctions.udf.CIQ($C$2,"IQ_TOTAL_OUTSTANDING_BS_DATE", J$6,$F$2)</f>
        <v>926.29007000000001</v>
      </c>
      <c r="K444" s="30">
        <f>_xll.ciqfunctions.udf.CIQ($C$2,"IQ_TOTAL_OUTSTANDING_BS_DATE", K$6,$F$2)</f>
        <v>929.39657999999997</v>
      </c>
      <c r="L444" s="30">
        <f>_xll.ciqfunctions.udf.CIQ($C$2,"IQ_TOTAL_OUTSTANDING_BS_DATE", L$6,$F$2)</f>
        <v>931.51923999999997</v>
      </c>
      <c r="M444" s="30">
        <f>_xll.ciqfunctions.udf.CIQ($C$2,"IQ_TOTAL_OUTSTANDING_BS_DATE", M$6,$F$2)</f>
        <v>934.73521000000005</v>
      </c>
      <c r="N444" s="30">
        <f>_xll.ciqfunctions.udf.CIQ($C$2,"IQ_TOTAL_OUTSTANDING_BS_DATE", N$6,$F$2)</f>
        <v>936.95213000000001</v>
      </c>
      <c r="O444" s="30"/>
      <c r="P444" s="30">
        <f>_xll.ciqfunctions.udf.CIQ($C$2,"IQ_TOTAL_OUTSTANDING_BS_DATE", P$6,$F$2)</f>
        <v>936.95213000000001</v>
      </c>
      <c r="Q444" s="245"/>
      <c r="R444" s="215"/>
      <c r="S444" s="215"/>
      <c r="T444" s="215"/>
      <c r="U444" s="215"/>
      <c r="V444" s="222"/>
      <c r="W444" s="222"/>
      <c r="X444" s="222"/>
      <c r="Y444" s="215"/>
      <c r="Z444" s="215"/>
      <c r="AA444" s="215"/>
      <c r="AB444" s="215"/>
      <c r="AC444" s="215"/>
      <c r="AD444" s="215"/>
      <c r="AE444" s="215"/>
      <c r="AF444" s="215"/>
      <c r="AG444" s="215"/>
      <c r="AH444" s="215"/>
      <c r="AI444" s="215"/>
      <c r="AJ444" s="215"/>
      <c r="AK444" s="215"/>
      <c r="AL444" s="215"/>
      <c r="AM444" s="215"/>
      <c r="AN444" s="215"/>
      <c r="AO444" s="215"/>
      <c r="AP444" s="215"/>
      <c r="AQ444" s="215"/>
      <c r="AR444" s="215"/>
      <c r="AS444" s="215"/>
      <c r="AT444" s="215"/>
      <c r="AU444" s="215"/>
      <c r="AV444" s="215"/>
      <c r="AW444" s="215"/>
      <c r="AX444" s="215"/>
      <c r="AY444" s="215"/>
      <c r="AZ444" s="215"/>
      <c r="BA444" s="215"/>
      <c r="BB444" s="215"/>
      <c r="BC444" s="215"/>
      <c r="BD444" s="215"/>
      <c r="BE444" s="215"/>
      <c r="BF444" s="215"/>
      <c r="BG444" s="215"/>
      <c r="BH444" s="215"/>
      <c r="BI444" s="215"/>
      <c r="BJ444" s="215"/>
      <c r="BK444" s="215"/>
      <c r="BL444" s="215"/>
      <c r="BM444" s="215"/>
      <c r="BN444" s="215"/>
      <c r="BO444" s="215"/>
      <c r="BP444" s="215"/>
      <c r="BQ444" s="215"/>
      <c r="BR444" s="215"/>
      <c r="BS444" s="215"/>
      <c r="BT444" s="215"/>
      <c r="BU444" s="215"/>
      <c r="BV444" s="215"/>
      <c r="BW444" s="215"/>
      <c r="BX444" s="215"/>
      <c r="BY444" s="215"/>
      <c r="BZ444" s="215"/>
    </row>
    <row r="445" spans="1:78" x14ac:dyDescent="0.2">
      <c r="A445" s="2" t="str">
        <f>'Language Index'!A395</f>
        <v>Book Value/Share</v>
      </c>
      <c r="B445" s="17"/>
      <c r="C445" s="17"/>
      <c r="D445" s="29">
        <f>_xll.ciqfunctions.udf.CIQ($C$2,"IQ_BV_SHARE", D$6,$F$2,,,Ccy,Conv)</f>
        <v>24.369759999999999</v>
      </c>
      <c r="E445" s="29">
        <f>_xll.ciqfunctions.udf.CIQ($C$2,"IQ_BV_SHARE", E$6,$F$2,,,Ccy,Conv)</f>
        <v>25.27711</v>
      </c>
      <c r="F445" s="29">
        <f>_xll.ciqfunctions.udf.CIQ($C$2,"IQ_BV_SHARE", F$6,$F$2,,,Ccy,Conv)</f>
        <v>24.625859999999999</v>
      </c>
      <c r="G445" s="29">
        <f>_xll.ciqfunctions.udf.CIQ($C$2,"IQ_BV_SHARE", G$6,$F$2,,,Ccy,Conv)</f>
        <v>25.32216</v>
      </c>
      <c r="H445" s="29">
        <f>_xll.ciqfunctions.udf.CIQ($C$2,"IQ_BV_SHARE", H$6,$F$2,,,Ccy,Conv)</f>
        <v>26.08267</v>
      </c>
      <c r="I445" s="29">
        <f>_xll.ciqfunctions.udf.CIQ($C$2,"IQ_BV_SHARE", I$6,$F$2,,,Ccy,Conv)</f>
        <v>26.44041</v>
      </c>
      <c r="J445" s="29">
        <f>_xll.ciqfunctions.udf.CIQ($C$2,"IQ_BV_SHARE", J$6,$F$2,,,Ccy,Conv)</f>
        <v>29.479970000000002</v>
      </c>
      <c r="K445" s="29">
        <f>_xll.ciqfunctions.udf.CIQ($C$2,"IQ_BV_SHARE", K$6,$F$2,,,Ccy,Conv)</f>
        <v>28.921990000000001</v>
      </c>
      <c r="L445" s="29">
        <f>_xll.ciqfunctions.udf.CIQ($C$2,"IQ_BV_SHARE", L$6,$F$2,,,Ccy,Conv)</f>
        <v>29.531330000000001</v>
      </c>
      <c r="M445" s="29">
        <f>_xll.ciqfunctions.udf.CIQ($C$2,"IQ_BV_SHARE", M$6,$F$2,,,Ccy,Conv)</f>
        <v>29.853370000000002</v>
      </c>
      <c r="N445" s="29">
        <f>_xll.ciqfunctions.udf.CIQ($C$2,"IQ_BV_SHARE", N$6,$F$2,,,Ccy,Conv)</f>
        <v>34.844900000000003</v>
      </c>
      <c r="O445" s="29"/>
      <c r="P445" s="29">
        <f>_xll.ciqfunctions.udf.CIQ($C$2,"IQ_BV_SHARE", P$6,$F$2,,,Ccy,Conv)</f>
        <v>34.844900000000003</v>
      </c>
      <c r="Q445" s="245"/>
      <c r="R445" s="215"/>
      <c r="S445" s="215"/>
      <c r="T445" s="215"/>
      <c r="U445" s="215"/>
      <c r="V445" s="222"/>
      <c r="W445" s="222"/>
      <c r="X445" s="222"/>
      <c r="Y445" s="215"/>
      <c r="Z445" s="215"/>
      <c r="AA445" s="215"/>
      <c r="AB445" s="215"/>
      <c r="AC445" s="215"/>
      <c r="AD445" s="215"/>
      <c r="AE445" s="215"/>
      <c r="AF445" s="215"/>
      <c r="AG445" s="215"/>
      <c r="AH445" s="215"/>
      <c r="AI445" s="215"/>
      <c r="AJ445" s="215"/>
      <c r="AK445" s="215"/>
      <c r="AL445" s="215"/>
      <c r="AM445" s="215"/>
      <c r="AN445" s="215"/>
      <c r="AO445" s="215"/>
      <c r="AP445" s="215"/>
      <c r="AQ445" s="215"/>
      <c r="AR445" s="215"/>
      <c r="AS445" s="215"/>
      <c r="AT445" s="215"/>
      <c r="AU445" s="215"/>
      <c r="AV445" s="215"/>
      <c r="AW445" s="215"/>
      <c r="AX445" s="215"/>
      <c r="AY445" s="215"/>
      <c r="AZ445" s="215"/>
      <c r="BA445" s="215"/>
      <c r="BB445" s="215"/>
      <c r="BC445" s="215"/>
      <c r="BD445" s="215"/>
      <c r="BE445" s="215"/>
      <c r="BF445" s="215"/>
      <c r="BG445" s="215"/>
      <c r="BH445" s="215"/>
      <c r="BI445" s="215"/>
      <c r="BJ445" s="215"/>
      <c r="BK445" s="215"/>
      <c r="BL445" s="215"/>
      <c r="BM445" s="215"/>
      <c r="BN445" s="215"/>
      <c r="BO445" s="215"/>
      <c r="BP445" s="215"/>
      <c r="BQ445" s="215"/>
      <c r="BR445" s="215"/>
      <c r="BS445" s="215"/>
      <c r="BT445" s="215"/>
      <c r="BU445" s="215"/>
      <c r="BV445" s="215"/>
      <c r="BW445" s="215"/>
      <c r="BX445" s="215"/>
      <c r="BY445" s="215"/>
      <c r="BZ445" s="215"/>
    </row>
    <row r="446" spans="1:78" x14ac:dyDescent="0.2">
      <c r="A446" s="2" t="str">
        <f>'Language Index'!A396</f>
        <v>Book Value/Share (Reported)</v>
      </c>
      <c r="B446" s="17"/>
      <c r="C446" s="17"/>
      <c r="D446" s="29">
        <f>_xll.ciqfunctions.udf.CIQ($C$2,"IQ_BV_SHARE_REPORTED", D$6,$F$2,,,Ccy,Conv)</f>
        <v>0</v>
      </c>
      <c r="E446" s="29">
        <f>_xll.ciqfunctions.udf.CIQ($C$2,"IQ_BV_SHARE_REPORTED", E$6,$F$2,,,Ccy,Conv)</f>
        <v>0</v>
      </c>
      <c r="F446" s="29">
        <f>_xll.ciqfunctions.udf.CIQ($C$2,"IQ_BV_SHARE_REPORTED", F$6,$F$2,,,Ccy,Conv)</f>
        <v>0</v>
      </c>
      <c r="G446" s="29">
        <f>_xll.ciqfunctions.udf.CIQ($C$2,"IQ_BV_SHARE_REPORTED", G$6,$F$2,,,Ccy,Conv)</f>
        <v>0</v>
      </c>
      <c r="H446" s="29">
        <f>_xll.ciqfunctions.udf.CIQ($C$2,"IQ_BV_SHARE_REPORTED", H$6,$F$2,,,Ccy,Conv)</f>
        <v>0</v>
      </c>
      <c r="I446" s="29">
        <f>_xll.ciqfunctions.udf.CIQ($C$2,"IQ_BV_SHARE_REPORTED", I$6,$F$2,,,Ccy,Conv)</f>
        <v>0</v>
      </c>
      <c r="J446" s="29">
        <f>_xll.ciqfunctions.udf.CIQ($C$2,"IQ_BV_SHARE_REPORTED", J$6,$F$2,,,Ccy,Conv)</f>
        <v>0</v>
      </c>
      <c r="K446" s="29">
        <f>_xll.ciqfunctions.udf.CIQ($C$2,"IQ_BV_SHARE_REPORTED", K$6,$F$2,,,Ccy,Conv)</f>
        <v>0</v>
      </c>
      <c r="L446" s="29">
        <f>_xll.ciqfunctions.udf.CIQ($C$2,"IQ_BV_SHARE_REPORTED", L$6,$F$2,,,Ccy,Conv)</f>
        <v>0</v>
      </c>
      <c r="M446" s="29">
        <f>_xll.ciqfunctions.udf.CIQ($C$2,"IQ_BV_SHARE_REPORTED", M$6,$F$2,,,Ccy,Conv)</f>
        <v>0</v>
      </c>
      <c r="N446" s="29">
        <f>_xll.ciqfunctions.udf.CIQ($C$2,"IQ_BV_SHARE_REPORTED", N$6,$F$2,,,Ccy,Conv)</f>
        <v>0</v>
      </c>
      <c r="O446" s="29"/>
      <c r="P446" s="29">
        <f>_xll.ciqfunctions.udf.CIQ($C$2,"IQ_BV_SHARE_REPORTED", P$6,$F$2,,,Ccy,Conv)</f>
        <v>0</v>
      </c>
      <c r="Q446" s="215"/>
      <c r="R446" s="215"/>
      <c r="S446" s="215"/>
      <c r="T446" s="215"/>
      <c r="U446" s="215"/>
      <c r="V446" s="222"/>
      <c r="W446" s="222"/>
      <c r="X446" s="222"/>
      <c r="Y446" s="215"/>
      <c r="Z446" s="215"/>
      <c r="AA446" s="215"/>
      <c r="AB446" s="215"/>
      <c r="AC446" s="215"/>
      <c r="AD446" s="215"/>
      <c r="AE446" s="215"/>
      <c r="AF446" s="215"/>
      <c r="AG446" s="215"/>
      <c r="AH446" s="215"/>
      <c r="AI446" s="215"/>
      <c r="AJ446" s="215"/>
      <c r="AK446" s="215"/>
      <c r="AL446" s="215"/>
      <c r="AM446" s="215"/>
      <c r="AN446" s="215"/>
      <c r="AO446" s="215"/>
      <c r="AP446" s="215"/>
      <c r="AQ446" s="215"/>
      <c r="AR446" s="215"/>
      <c r="AS446" s="215"/>
      <c r="AT446" s="215"/>
      <c r="AU446" s="215"/>
      <c r="AV446" s="215"/>
      <c r="AW446" s="215"/>
      <c r="AX446" s="215"/>
      <c r="AY446" s="215"/>
      <c r="AZ446" s="215"/>
      <c r="BA446" s="215"/>
      <c r="BB446" s="215"/>
      <c r="BC446" s="215"/>
      <c r="BD446" s="215"/>
      <c r="BE446" s="215"/>
      <c r="BF446" s="215"/>
      <c r="BG446" s="215"/>
      <c r="BH446" s="215"/>
      <c r="BI446" s="215"/>
      <c r="BJ446" s="215"/>
      <c r="BK446" s="215"/>
      <c r="BL446" s="215"/>
      <c r="BM446" s="215"/>
      <c r="BN446" s="215"/>
      <c r="BO446" s="215"/>
      <c r="BP446" s="215"/>
      <c r="BQ446" s="215"/>
      <c r="BR446" s="215"/>
      <c r="BS446" s="215"/>
      <c r="BT446" s="215"/>
      <c r="BU446" s="215"/>
      <c r="BV446" s="215"/>
      <c r="BW446" s="215"/>
      <c r="BX446" s="215"/>
      <c r="BY446" s="215"/>
      <c r="BZ446" s="215"/>
    </row>
    <row r="447" spans="1:78" x14ac:dyDescent="0.2">
      <c r="A447" s="2" t="str">
        <f>'Language Index'!A397</f>
        <v>Tangible Book Value/Share</v>
      </c>
      <c r="B447" s="17"/>
      <c r="C447" s="17"/>
      <c r="D447" s="29">
        <f>_xll.ciqfunctions.udf.CIQ($C$2, "IQ_TBV_SHARE", D$6,$F$2,,,Ccy,Conv)</f>
        <v>-49.044670000000004</v>
      </c>
      <c r="E447" s="29">
        <f>_xll.ciqfunctions.udf.CIQ($C$2, "IQ_TBV_SHARE", E$6,$F$2,,,Ccy,Conv)</f>
        <v>-52.340409999999999</v>
      </c>
      <c r="F447" s="29">
        <f>_xll.ciqfunctions.udf.CIQ($C$2, "IQ_TBV_SHARE", F$6,$F$2,,,Ccy,Conv)</f>
        <v>-53.202489999999997</v>
      </c>
      <c r="G447" s="29">
        <f>_xll.ciqfunctions.udf.CIQ($C$2, "IQ_TBV_SHARE", G$6,$F$2,,,Ccy,Conv)</f>
        <v>-51.189709999999998</v>
      </c>
      <c r="H447" s="29">
        <f>_xll.ciqfunctions.udf.CIQ($C$2, "IQ_TBV_SHARE", H$6,$F$2,,,Ccy,Conv)</f>
        <v>-49.547939999999997</v>
      </c>
      <c r="I447" s="29">
        <f>_xll.ciqfunctions.udf.CIQ($C$2, "IQ_TBV_SHARE", I$6,$F$2,,,Ccy,Conv)</f>
        <v>-51.624130000000001</v>
      </c>
      <c r="J447" s="29">
        <f>_xll.ciqfunctions.udf.CIQ($C$2, "IQ_TBV_SHARE", J$6,$F$2,,,Ccy,Conv)</f>
        <v>-47.565010000000001</v>
      </c>
      <c r="K447" s="29">
        <f>_xll.ciqfunctions.udf.CIQ($C$2, "IQ_TBV_SHARE", K$6,$F$2,,,Ccy,Conv)</f>
        <v>-55.495150000000002</v>
      </c>
      <c r="L447" s="29">
        <f>_xll.ciqfunctions.udf.CIQ($C$2, "IQ_TBV_SHARE", L$6,$F$2,,,Ccy,Conv)</f>
        <v>-56.091169999999998</v>
      </c>
      <c r="M447" s="29">
        <f>_xll.ciqfunctions.udf.CIQ($C$2, "IQ_TBV_SHARE", M$6,$F$2,,,Ccy,Conv)</f>
        <v>-54.79627</v>
      </c>
      <c r="N447" s="29">
        <f>_xll.ciqfunctions.udf.CIQ($C$2, "IQ_TBV_SHARE", N$6,$F$2,,,Ccy,Conv)</f>
        <v>-49.586309999999997</v>
      </c>
      <c r="O447" s="29"/>
      <c r="P447" s="29">
        <f>_xll.ciqfunctions.udf.CIQ($C$2, "IQ_TBV_SHARE", P$6,$F$2,,,Ccy,Conv)</f>
        <v>-49.586309999999997</v>
      </c>
      <c r="Q447" s="215"/>
      <c r="R447" s="215"/>
      <c r="S447" s="215"/>
      <c r="T447" s="215"/>
      <c r="U447" s="215"/>
      <c r="V447" s="222"/>
      <c r="W447" s="222"/>
      <c r="X447" s="222"/>
      <c r="Y447" s="215"/>
      <c r="Z447" s="215"/>
      <c r="AA447" s="215"/>
      <c r="AB447" s="215"/>
      <c r="AC447" s="215"/>
      <c r="AD447" s="215"/>
      <c r="AE447" s="215"/>
      <c r="AF447" s="215"/>
      <c r="AG447" s="215"/>
      <c r="AH447" s="215"/>
      <c r="AI447" s="215"/>
      <c r="AJ447" s="215"/>
      <c r="AK447" s="215"/>
      <c r="AL447" s="215"/>
      <c r="AM447" s="215"/>
      <c r="AN447" s="215"/>
      <c r="AO447" s="215"/>
      <c r="AP447" s="215"/>
      <c r="AQ447" s="215"/>
      <c r="AR447" s="215"/>
      <c r="AS447" s="215"/>
      <c r="AT447" s="215"/>
      <c r="AU447" s="215"/>
      <c r="AV447" s="215"/>
      <c r="AW447" s="215"/>
      <c r="AX447" s="215"/>
      <c r="AY447" s="215"/>
      <c r="AZ447" s="215"/>
      <c r="BA447" s="215"/>
      <c r="BB447" s="215"/>
      <c r="BC447" s="215"/>
      <c r="BD447" s="215"/>
      <c r="BE447" s="215"/>
      <c r="BF447" s="215"/>
      <c r="BG447" s="215"/>
      <c r="BH447" s="215"/>
      <c r="BI447" s="215"/>
      <c r="BJ447" s="215"/>
      <c r="BK447" s="215"/>
      <c r="BL447" s="215"/>
      <c r="BM447" s="215"/>
      <c r="BN447" s="215"/>
      <c r="BO447" s="215"/>
      <c r="BP447" s="215"/>
      <c r="BQ447" s="215"/>
      <c r="BR447" s="215"/>
      <c r="BS447" s="215"/>
      <c r="BT447" s="215"/>
      <c r="BU447" s="215"/>
      <c r="BV447" s="215"/>
      <c r="BW447" s="215"/>
      <c r="BX447" s="215"/>
      <c r="BY447" s="215"/>
      <c r="BZ447" s="215"/>
    </row>
    <row r="448" spans="1:78" x14ac:dyDescent="0.2">
      <c r="A448" s="2" t="str">
        <f>'Language Index'!A398</f>
        <v>Tangible Book Value Per Share (Reported)</v>
      </c>
      <c r="B448" s="17"/>
      <c r="C448" s="17"/>
      <c r="D448" s="29">
        <f>_xll.ciqfunctions.udf.CIQ($C$2, "IQ_TBV_SHARE_REPORTED", D$6,$F$2,,,Ccy,Conv)</f>
        <v>0</v>
      </c>
      <c r="E448" s="29">
        <f>_xll.ciqfunctions.udf.CIQ($C$2, "IQ_TBV_SHARE_REPORTED", E$6,$F$2,,,Ccy,Conv)</f>
        <v>0</v>
      </c>
      <c r="F448" s="29">
        <f>_xll.ciqfunctions.udf.CIQ($C$2, "IQ_TBV_SHARE_REPORTED", F$6,$F$2,,,Ccy,Conv)</f>
        <v>0</v>
      </c>
      <c r="G448" s="29">
        <f>_xll.ciqfunctions.udf.CIQ($C$2, "IQ_TBV_SHARE_REPORTED", G$6,$F$2,,,Ccy,Conv)</f>
        <v>0</v>
      </c>
      <c r="H448" s="29">
        <f>_xll.ciqfunctions.udf.CIQ($C$2, "IQ_TBV_SHARE_REPORTED", H$6,$F$2,,,Ccy,Conv)</f>
        <v>0</v>
      </c>
      <c r="I448" s="29">
        <f>_xll.ciqfunctions.udf.CIQ($C$2, "IQ_TBV_SHARE_REPORTED", I$6,$F$2,,,Ccy,Conv)</f>
        <v>0</v>
      </c>
      <c r="J448" s="29">
        <f>_xll.ciqfunctions.udf.CIQ($C$2, "IQ_TBV_SHARE_REPORTED", J$6,$F$2,,,Ccy,Conv)</f>
        <v>0</v>
      </c>
      <c r="K448" s="29">
        <f>_xll.ciqfunctions.udf.CIQ($C$2, "IQ_TBV_SHARE_REPORTED", K$6,$F$2,,,Ccy,Conv)</f>
        <v>0</v>
      </c>
      <c r="L448" s="29">
        <f>_xll.ciqfunctions.udf.CIQ($C$2, "IQ_TBV_SHARE_REPORTED", L$6,$F$2,,,Ccy,Conv)</f>
        <v>0</v>
      </c>
      <c r="M448" s="29">
        <f>_xll.ciqfunctions.udf.CIQ($C$2, "IQ_TBV_SHARE_REPORTED", M$6,$F$2,,,Ccy,Conv)</f>
        <v>0</v>
      </c>
      <c r="N448" s="29">
        <f>_xll.ciqfunctions.udf.CIQ($C$2, "IQ_TBV_SHARE_REPORTED", N$6,$F$2,,,Ccy,Conv)</f>
        <v>0</v>
      </c>
      <c r="O448" s="29"/>
      <c r="P448" s="29">
        <f>_xll.ciqfunctions.udf.CIQ($C$2, "IQ_TBV_SHARE_REPORTED", P$6,$F$2,,,Ccy,Conv)</f>
        <v>0</v>
      </c>
      <c r="Q448" s="215"/>
      <c r="R448" s="215"/>
      <c r="S448" s="215"/>
      <c r="T448" s="215"/>
      <c r="U448" s="215"/>
      <c r="V448" s="222"/>
      <c r="W448" s="222"/>
      <c r="X448" s="222"/>
      <c r="Y448" s="215"/>
      <c r="Z448" s="215"/>
      <c r="AA448" s="215"/>
      <c r="AB448" s="215"/>
      <c r="AC448" s="215"/>
      <c r="AD448" s="215"/>
      <c r="AE448" s="215"/>
      <c r="AF448" s="215"/>
      <c r="AG448" s="215"/>
      <c r="AH448" s="215"/>
      <c r="AI448" s="215"/>
      <c r="AJ448" s="215"/>
      <c r="AK448" s="215"/>
      <c r="AL448" s="215"/>
      <c r="AM448" s="215"/>
      <c r="AN448" s="215"/>
      <c r="AO448" s="215"/>
      <c r="AP448" s="215"/>
      <c r="AQ448" s="215"/>
      <c r="AR448" s="215"/>
      <c r="AS448" s="215"/>
      <c r="AT448" s="215"/>
      <c r="AU448" s="215"/>
      <c r="AV448" s="215"/>
      <c r="AW448" s="215"/>
      <c r="AX448" s="215"/>
      <c r="AY448" s="215"/>
      <c r="AZ448" s="215"/>
      <c r="BA448" s="215"/>
      <c r="BB448" s="215"/>
      <c r="BC448" s="215"/>
      <c r="BD448" s="215"/>
      <c r="BE448" s="215"/>
      <c r="BF448" s="215"/>
      <c r="BG448" s="215"/>
      <c r="BH448" s="215"/>
      <c r="BI448" s="215"/>
      <c r="BJ448" s="215"/>
      <c r="BK448" s="215"/>
      <c r="BL448" s="215"/>
      <c r="BM448" s="215"/>
      <c r="BN448" s="215"/>
      <c r="BO448" s="215"/>
      <c r="BP448" s="215"/>
      <c r="BQ448" s="215"/>
      <c r="BR448" s="215"/>
      <c r="BS448" s="215"/>
      <c r="BT448" s="215"/>
      <c r="BU448" s="215"/>
      <c r="BV448" s="215"/>
      <c r="BW448" s="215"/>
      <c r="BX448" s="215"/>
      <c r="BY448" s="215"/>
      <c r="BZ448" s="215"/>
    </row>
    <row r="449" spans="1:78" x14ac:dyDescent="0.2">
      <c r="A449" s="2" t="str">
        <f>'Language Index'!A399</f>
        <v>Tangible Book Value</v>
      </c>
      <c r="B449" s="38"/>
      <c r="C449" s="38"/>
      <c r="D449" s="18">
        <f>_xll.ciqfunctions.udf.CIQ($C$2, "IQ_TBV", D$6,$F$2,,,Ccy,Conv)</f>
        <v>-44680</v>
      </c>
      <c r="E449" s="18">
        <f>_xll.ciqfunctions.udf.CIQ($C$2, "IQ_TBV", E$6,$F$2,,,Ccy,Conv)</f>
        <v>-47793</v>
      </c>
      <c r="F449" s="18">
        <f>_xll.ciqfunctions.udf.CIQ($C$2, "IQ_TBV", F$6,$F$2,,,Ccy,Conv)</f>
        <v>-48681</v>
      </c>
      <c r="G449" s="18">
        <f>_xll.ciqfunctions.udf.CIQ($C$2, "IQ_TBV", G$6,$F$2,,,Ccy,Conv)</f>
        <v>-47023</v>
      </c>
      <c r="H449" s="18">
        <f>_xll.ciqfunctions.udf.CIQ($C$2, "IQ_TBV", H$6,$F$2,,,Ccy,Conv)</f>
        <v>-45641</v>
      </c>
      <c r="I449" s="18">
        <f>_xll.ciqfunctions.udf.CIQ($C$2, "IQ_TBV", I$6,$F$2,,,Ccy,Conv)</f>
        <v>-47734</v>
      </c>
      <c r="J449" s="18">
        <f>_xll.ciqfunctions.udf.CIQ($C$2, "IQ_TBV", J$6,$F$2,,,Ccy,Conv)</f>
        <v>-44059</v>
      </c>
      <c r="K449" s="18">
        <f>_xll.ciqfunctions.udf.CIQ($C$2, "IQ_TBV", K$6,$F$2,,,Ccy,Conv)</f>
        <v>-51577</v>
      </c>
      <c r="L449" s="18">
        <f>_xll.ciqfunctions.udf.CIQ($C$2, "IQ_TBV", L$6,$F$2,,,Ccy,Conv)</f>
        <v>-52250</v>
      </c>
      <c r="M449" s="18">
        <f>_xll.ciqfunctions.udf.CIQ($C$2, "IQ_TBV", M$6,$F$2,,,Ccy,Conv)</f>
        <v>-51220</v>
      </c>
      <c r="N449" s="18">
        <f>_xll.ciqfunctions.udf.CIQ($C$2, "IQ_TBV", N$6,$F$2,,,Ccy,Conv)</f>
        <v>-46460</v>
      </c>
      <c r="O449" s="30"/>
      <c r="P449" s="18">
        <f>_xll.ciqfunctions.udf.CIQ($C$2, "IQ_TBV", P$6,$F$2,,,Ccy,Conv)</f>
        <v>-46460</v>
      </c>
      <c r="Q449" s="215"/>
      <c r="R449" s="215"/>
      <c r="S449" s="215"/>
      <c r="T449" s="215"/>
      <c r="U449" s="215"/>
      <c r="V449" s="222"/>
      <c r="W449" s="222"/>
      <c r="X449" s="222"/>
      <c r="Y449" s="215"/>
      <c r="Z449" s="215"/>
      <c r="AA449" s="215"/>
      <c r="AB449" s="215"/>
      <c r="AC449" s="215"/>
      <c r="AD449" s="215"/>
      <c r="AE449" s="215"/>
      <c r="AF449" s="215"/>
      <c r="AG449" s="215"/>
      <c r="AH449" s="215"/>
      <c r="AI449" s="215"/>
      <c r="AJ449" s="215"/>
      <c r="AK449" s="215"/>
      <c r="AL449" s="215"/>
      <c r="AM449" s="215"/>
      <c r="AN449" s="215"/>
      <c r="AO449" s="215"/>
      <c r="AP449" s="215"/>
      <c r="AQ449" s="215"/>
      <c r="AR449" s="215"/>
      <c r="AS449" s="215"/>
      <c r="AT449" s="215"/>
      <c r="AU449" s="215"/>
      <c r="AV449" s="215"/>
      <c r="AW449" s="215"/>
      <c r="AX449" s="215"/>
      <c r="AY449" s="215"/>
      <c r="AZ449" s="215"/>
      <c r="BA449" s="215"/>
      <c r="BB449" s="215"/>
      <c r="BC449" s="215"/>
      <c r="BD449" s="215"/>
      <c r="BE449" s="215"/>
      <c r="BF449" s="215"/>
      <c r="BG449" s="215"/>
      <c r="BH449" s="215"/>
      <c r="BI449" s="215"/>
      <c r="BJ449" s="215"/>
      <c r="BK449" s="215"/>
      <c r="BL449" s="215"/>
      <c r="BM449" s="215"/>
      <c r="BN449" s="215"/>
      <c r="BO449" s="215"/>
      <c r="BP449" s="215"/>
      <c r="BQ449" s="215"/>
      <c r="BR449" s="215"/>
      <c r="BS449" s="215"/>
      <c r="BT449" s="215"/>
      <c r="BU449" s="215"/>
      <c r="BV449" s="215"/>
      <c r="BW449" s="215"/>
      <c r="BX449" s="215"/>
      <c r="BY449" s="215"/>
      <c r="BZ449" s="215"/>
    </row>
    <row r="450" spans="1:78" x14ac:dyDescent="0.2">
      <c r="A450" s="2" t="str">
        <f>'Language Index'!A400</f>
        <v>Total Intangibles</v>
      </c>
      <c r="B450" s="38"/>
      <c r="C450" s="38"/>
      <c r="D450" s="29">
        <f>_xll.ciqfunctions.udf.CIQ($C$2, "IQ_GW_INTAN", D$6,$F$2,,,Ccy,Conv)</f>
        <v>66881</v>
      </c>
      <c r="E450" s="29">
        <f>_xll.ciqfunctions.udf.CIQ($C$2, "IQ_GW_INTAN", E$6,$F$2,,,Ccy,Conv)</f>
        <v>70874</v>
      </c>
      <c r="F450" s="29">
        <f>_xll.ciqfunctions.udf.CIQ($C$2, "IQ_GW_INTAN", F$6,$F$2,,,Ccy,Conv)</f>
        <v>71214</v>
      </c>
      <c r="G450" s="29">
        <f>_xll.ciqfunctions.udf.CIQ($C$2, "IQ_GW_INTAN", G$6,$F$2,,,Ccy,Conv)</f>
        <v>70284</v>
      </c>
      <c r="H450" s="29">
        <f>_xll.ciqfunctions.udf.CIQ($C$2, "IQ_GW_INTAN", H$6,$F$2,,,Ccy,Conv)</f>
        <v>69667</v>
      </c>
      <c r="I450" s="29">
        <f>_xll.ciqfunctions.udf.CIQ($C$2, "IQ_GW_INTAN", I$6,$F$2,,,Ccy,Conv)</f>
        <v>72182</v>
      </c>
      <c r="J450" s="29">
        <f>_xll.ciqfunctions.udf.CIQ($C$2, "IQ_GW_INTAN", J$6,$F$2,,,Ccy,Conv)</f>
        <v>71366</v>
      </c>
      <c r="K450" s="29">
        <f>_xll.ciqfunctions.udf.CIQ($C$2, "IQ_GW_INTAN", K$6,$F$2,,,Ccy,Conv)</f>
        <v>78457</v>
      </c>
      <c r="L450" s="29">
        <f>_xll.ciqfunctions.udf.CIQ($C$2, "IQ_GW_INTAN", L$6,$F$2,,,Ccy,Conv)</f>
        <v>79759</v>
      </c>
      <c r="M450" s="29">
        <f>_xll.ciqfunctions.udf.CIQ($C$2, "IQ_GW_INTAN", M$6,$F$2,,,Ccy,Conv)</f>
        <v>79125</v>
      </c>
      <c r="N450" s="29">
        <f>_xll.ciqfunctions.udf.CIQ($C$2, "IQ_GW_INTAN", N$6,$F$2,,,Ccy,Conv)</f>
        <v>79108</v>
      </c>
      <c r="O450" s="30"/>
      <c r="P450" s="29">
        <f>_xll.ciqfunctions.udf.CIQ($C$2, "IQ_GW_INTAN", P$6,$F$2,,,Ccy,Conv)</f>
        <v>79108</v>
      </c>
      <c r="Q450" s="215"/>
      <c r="R450" s="215"/>
      <c r="S450" s="215"/>
      <c r="T450" s="215"/>
      <c r="U450" s="215"/>
      <c r="V450" s="222"/>
      <c r="W450" s="222"/>
      <c r="X450" s="222"/>
      <c r="Y450" s="215"/>
      <c r="Z450" s="215"/>
      <c r="AA450" s="215"/>
      <c r="AB450" s="215"/>
      <c r="AC450" s="215"/>
      <c r="AD450" s="215"/>
      <c r="AE450" s="215"/>
      <c r="AF450" s="215"/>
      <c r="AG450" s="215"/>
      <c r="AH450" s="215"/>
      <c r="AI450" s="215"/>
      <c r="AJ450" s="215"/>
      <c r="AK450" s="215"/>
      <c r="AL450" s="215"/>
      <c r="AM450" s="215"/>
      <c r="AN450" s="215"/>
      <c r="AO450" s="215"/>
      <c r="AP450" s="215"/>
      <c r="AQ450" s="215"/>
      <c r="AR450" s="215"/>
      <c r="AS450" s="215"/>
      <c r="AT450" s="215"/>
      <c r="AU450" s="215"/>
      <c r="AV450" s="215"/>
      <c r="AW450" s="215"/>
      <c r="AX450" s="215"/>
      <c r="AY450" s="215"/>
      <c r="AZ450" s="215"/>
      <c r="BA450" s="215"/>
      <c r="BB450" s="215"/>
      <c r="BC450" s="215"/>
      <c r="BD450" s="215"/>
      <c r="BE450" s="215"/>
      <c r="BF450" s="215"/>
      <c r="BG450" s="215"/>
      <c r="BH450" s="215"/>
      <c r="BI450" s="215"/>
      <c r="BJ450" s="215"/>
      <c r="BK450" s="215"/>
      <c r="BL450" s="215"/>
      <c r="BM450" s="215"/>
      <c r="BN450" s="215"/>
      <c r="BO450" s="215"/>
      <c r="BP450" s="215"/>
      <c r="BQ450" s="215"/>
      <c r="BR450" s="215"/>
      <c r="BS450" s="215"/>
      <c r="BT450" s="215"/>
      <c r="BU450" s="215"/>
      <c r="BV450" s="215"/>
      <c r="BW450" s="215"/>
      <c r="BX450" s="215"/>
      <c r="BY450" s="215"/>
      <c r="BZ450" s="215"/>
    </row>
    <row r="451" spans="1:78" x14ac:dyDescent="0.2">
      <c r="A451" s="2" t="str">
        <f>'Language Index'!A401</f>
        <v>Cash per Share</v>
      </c>
      <c r="B451" s="38"/>
      <c r="C451" s="38"/>
      <c r="D451" s="29">
        <f>_xll.ciqfunctions.udf.CIQ($C$2, "IQ_CASH_SHARE", D$6,$F$2,,,Ccy,Conv)</f>
        <v>10.311669999999999</v>
      </c>
      <c r="E451" s="29">
        <f>_xll.ciqfunctions.udf.CIQ($C$2, "IQ_CASH_SHARE", E$6,$F$2,,,Ccy,Conv)</f>
        <v>7.9474900000000002</v>
      </c>
      <c r="F451" s="29">
        <f>_xll.ciqfunctions.udf.CIQ($C$2, "IQ_CASH_SHARE", F$6,$F$2,,,Ccy,Conv)</f>
        <v>14.281750000000001</v>
      </c>
      <c r="G451" s="29">
        <f>_xll.ciqfunctions.udf.CIQ($C$2, "IQ_CASH_SHARE", G$6,$F$2,,,Ccy,Conv)</f>
        <v>15.89697</v>
      </c>
      <c r="H451" s="29">
        <f>_xll.ciqfunctions.udf.CIQ($C$2, "IQ_CASH_SHARE", H$6,$F$2,,,Ccy,Conv)</f>
        <v>13.2552</v>
      </c>
      <c r="I451" s="29">
        <f>_xll.ciqfunctions.udf.CIQ($C$2, "IQ_CASH_SHARE", I$6,$F$2,,,Ccy,Conv)</f>
        <v>14.272500000000001</v>
      </c>
      <c r="J451" s="29">
        <f>_xll.ciqfunctions.udf.CIQ($C$2, "IQ_CASH_SHARE", J$6,$F$2,,,Ccy,Conv)</f>
        <v>15.056839999999999</v>
      </c>
      <c r="K451" s="29">
        <f>_xll.ciqfunctions.udf.CIQ($C$2, "IQ_CASH_SHARE", K$6,$F$2,,,Ccy,Conv)</f>
        <v>11.8733</v>
      </c>
      <c r="L451" s="29">
        <f>_xll.ciqfunctions.udf.CIQ($C$2, "IQ_CASH_SHARE", L$6,$F$2,,,Ccy,Conv)</f>
        <v>12.82099</v>
      </c>
      <c r="M451" s="29">
        <f>_xll.ciqfunctions.udf.CIQ($C$2, "IQ_CASH_SHARE", M$6,$F$2,,,Ccy,Conv)</f>
        <v>12.37677</v>
      </c>
      <c r="N451" s="29">
        <f>_xll.ciqfunctions.udf.CIQ($C$2, "IQ_CASH_SHARE", N$6,$F$2,,,Ccy,Conv)</f>
        <v>14.50127</v>
      </c>
      <c r="O451" s="30"/>
      <c r="P451" s="29">
        <f>_xll.ciqfunctions.udf.CIQ($C$2, "IQ_CASH_SHARE", P$6,$F$2,,,Ccy,Conv)</f>
        <v>14.50127</v>
      </c>
      <c r="Q451" s="215"/>
      <c r="R451" s="215"/>
      <c r="S451" s="215"/>
      <c r="T451" s="215"/>
      <c r="U451" s="215"/>
      <c r="V451" s="222"/>
      <c r="W451" s="222"/>
      <c r="X451" s="222"/>
      <c r="Y451" s="215"/>
      <c r="Z451" s="215"/>
      <c r="AA451" s="215"/>
      <c r="AB451" s="215"/>
      <c r="AC451" s="215"/>
      <c r="AD451" s="215"/>
      <c r="AE451" s="215"/>
      <c r="AF451" s="215"/>
      <c r="AG451" s="215"/>
      <c r="AH451" s="215"/>
      <c r="AI451" s="215"/>
      <c r="AJ451" s="215"/>
      <c r="AK451" s="215"/>
      <c r="AL451" s="215"/>
      <c r="AM451" s="215"/>
      <c r="AN451" s="215"/>
      <c r="AO451" s="215"/>
      <c r="AP451" s="215"/>
      <c r="AQ451" s="215"/>
      <c r="AR451" s="215"/>
      <c r="AS451" s="215"/>
      <c r="AT451" s="215"/>
      <c r="AU451" s="215"/>
      <c r="AV451" s="215"/>
      <c r="AW451" s="215"/>
      <c r="AX451" s="215"/>
      <c r="AY451" s="215"/>
      <c r="AZ451" s="215"/>
      <c r="BA451" s="215"/>
      <c r="BB451" s="215"/>
      <c r="BC451" s="215"/>
      <c r="BD451" s="215"/>
      <c r="BE451" s="215"/>
      <c r="BF451" s="215"/>
      <c r="BG451" s="215"/>
      <c r="BH451" s="215"/>
      <c r="BI451" s="215"/>
      <c r="BJ451" s="215"/>
      <c r="BK451" s="215"/>
      <c r="BL451" s="215"/>
      <c r="BM451" s="215"/>
      <c r="BN451" s="215"/>
      <c r="BO451" s="215"/>
      <c r="BP451" s="215"/>
      <c r="BQ451" s="215"/>
      <c r="BR451" s="215"/>
      <c r="BS451" s="215"/>
      <c r="BT451" s="215"/>
      <c r="BU451" s="215"/>
      <c r="BV451" s="215"/>
      <c r="BW451" s="215"/>
      <c r="BX451" s="215"/>
      <c r="BY451" s="215"/>
      <c r="BZ451" s="215"/>
    </row>
    <row r="452" spans="1:78" x14ac:dyDescent="0.2">
      <c r="A452" s="2" t="str">
        <f>'Language Index'!A402</f>
        <v>Total Debt</v>
      </c>
      <c r="B452" s="17"/>
      <c r="C452" s="17"/>
      <c r="D452" s="18">
        <f>_xll.ciqfunctions.udf.CIQ($C$2, "IQ_TOTAL_DEBT", D$6,$F$2,,,Ccy,Conv)</f>
        <v>60304</v>
      </c>
      <c r="E452" s="18">
        <f>_xll.ciqfunctions.udf.CIQ($C$2, "IQ_TOTAL_DEBT", E$6,$F$2,,,Ccy,Conv)</f>
        <v>58525</v>
      </c>
      <c r="F452" s="18">
        <f>_xll.ciqfunctions.udf.CIQ($C$2, "IQ_TOTAL_DEBT", F$6,$F$2,,,Ccy,Conv)</f>
        <v>59935</v>
      </c>
      <c r="G452" s="18">
        <f>_xll.ciqfunctions.udf.CIQ($C$2, "IQ_TOTAL_DEBT", G$6,$F$2,,,Ccy,Conv)</f>
        <v>62871</v>
      </c>
      <c r="H452" s="18">
        <f>_xll.ciqfunctions.udf.CIQ($C$2, "IQ_TOTAL_DEBT", H$6,$F$2,,,Ccy,Conv)</f>
        <v>59839</v>
      </c>
      <c r="I452" s="18">
        <f>_xll.ciqfunctions.udf.CIQ($C$2, "IQ_TOTAL_DEBT", I$6,$F$2,,,Ccy,Conv)</f>
        <v>60126</v>
      </c>
      <c r="J452" s="18">
        <f>_xll.ciqfunctions.udf.CIQ($C$2, "IQ_TOTAL_DEBT", J$6,$F$2,,,Ccy,Conv)</f>
        <v>58396</v>
      </c>
      <c r="K452" s="18">
        <f>_xll.ciqfunctions.udf.CIQ($C$2, "IQ_TOTAL_DEBT", K$6,$F$2,,,Ccy,Conv)</f>
        <v>66835</v>
      </c>
      <c r="L452" s="18">
        <f>_xll.ciqfunctions.udf.CIQ($C$2, "IQ_TOTAL_DEBT", L$6,$F$2,,,Ccy,Conv)</f>
        <v>67719</v>
      </c>
      <c r="M452" s="18">
        <f>_xll.ciqfunctions.udf.CIQ($C$2, "IQ_TOTAL_DEBT", M$6,$F$2,,,Ccy,Conv)</f>
        <v>66569</v>
      </c>
      <c r="N452" s="18">
        <f>_xll.ciqfunctions.udf.CIQ($C$2, "IQ_TOTAL_DEBT", N$6,$F$2,,,Ccy,Conv)</f>
        <v>64607</v>
      </c>
      <c r="O452" s="30"/>
      <c r="P452" s="18">
        <f>_xll.ciqfunctions.udf.CIQ($C$2, "IQ_TOTAL_DEBT", P$6,$F$2,,,Ccy,Conv)</f>
        <v>64607</v>
      </c>
      <c r="Q452" s="245"/>
      <c r="R452" s="215"/>
      <c r="S452" s="215"/>
      <c r="T452" s="215"/>
      <c r="U452" s="215"/>
      <c r="V452" s="222"/>
      <c r="W452" s="222"/>
      <c r="X452" s="222"/>
      <c r="Y452" s="215"/>
      <c r="Z452" s="215"/>
      <c r="AA452" s="215"/>
      <c r="AB452" s="215"/>
      <c r="AC452" s="215"/>
      <c r="AD452" s="215"/>
      <c r="AE452" s="215"/>
      <c r="AF452" s="215"/>
      <c r="AG452" s="215"/>
      <c r="AH452" s="215"/>
      <c r="AI452" s="215"/>
      <c r="AJ452" s="215"/>
      <c r="AK452" s="215"/>
      <c r="AL452" s="215"/>
      <c r="AM452" s="215"/>
      <c r="AN452" s="215"/>
      <c r="AO452" s="215"/>
      <c r="AP452" s="215"/>
      <c r="AQ452" s="215"/>
      <c r="AR452" s="215"/>
      <c r="AS452" s="215"/>
      <c r="AT452" s="215"/>
      <c r="AU452" s="215"/>
      <c r="AV452" s="215"/>
      <c r="AW452" s="215"/>
      <c r="AX452" s="215"/>
      <c r="AY452" s="215"/>
      <c r="AZ452" s="215"/>
      <c r="BA452" s="215"/>
      <c r="BB452" s="215"/>
      <c r="BC452" s="215"/>
      <c r="BD452" s="215"/>
      <c r="BE452" s="215"/>
      <c r="BF452" s="215"/>
      <c r="BG452" s="215"/>
      <c r="BH452" s="215"/>
      <c r="BI452" s="215"/>
      <c r="BJ452" s="215"/>
      <c r="BK452" s="215"/>
      <c r="BL452" s="215"/>
      <c r="BM452" s="215"/>
      <c r="BN452" s="215"/>
      <c r="BO452" s="215"/>
      <c r="BP452" s="215"/>
      <c r="BQ452" s="215"/>
      <c r="BR452" s="215"/>
      <c r="BS452" s="215"/>
      <c r="BT452" s="215"/>
      <c r="BU452" s="215"/>
      <c r="BV452" s="215"/>
      <c r="BW452" s="215"/>
      <c r="BX452" s="215"/>
      <c r="BY452" s="215"/>
      <c r="BZ452" s="215"/>
    </row>
    <row r="453" spans="1:78" x14ac:dyDescent="0.2">
      <c r="A453" s="2" t="str">
        <f>'Language Index'!A403</f>
        <v>Total Debt Current</v>
      </c>
      <c r="B453" s="17"/>
      <c r="C453" s="17"/>
      <c r="D453" s="18">
        <f>_xll.ciqfunctions.udf.CIQ($C$2, "IQ_TOTAL_DEBT_CURRENT", D$6,$F$2,,,Ccy,Conv)</f>
        <v>7627</v>
      </c>
      <c r="E453" s="18">
        <f>_xll.ciqfunctions.udf.CIQ($C$2, "IQ_TOTAL_DEBT_CURRENT", E$6,$F$2,,,Ccy,Conv)</f>
        <v>7221</v>
      </c>
      <c r="F453" s="18">
        <f>_xll.ciqfunctions.udf.CIQ($C$2, "IQ_TOTAL_DEBT_CURRENT", F$6,$F$2,,,Ccy,Conv)</f>
        <v>7246</v>
      </c>
      <c r="G453" s="18">
        <f>_xll.ciqfunctions.udf.CIQ($C$2, "IQ_TOTAL_DEBT_CURRENT", G$6,$F$2,,,Ccy,Conv)</f>
        <v>6255</v>
      </c>
      <c r="H453" s="18">
        <f>_xll.ciqfunctions.udf.CIQ($C$2, "IQ_TOTAL_DEBT_CURRENT", H$6,$F$2,,,Ccy,Conv)</f>
        <v>4364</v>
      </c>
      <c r="I453" s="18">
        <f>_xll.ciqfunctions.udf.CIQ($C$2, "IQ_TOTAL_DEBT_CURRENT", I$6,$F$2,,,Ccy,Conv)</f>
        <v>4389</v>
      </c>
      <c r="J453" s="18">
        <f>_xll.ciqfunctions.udf.CIQ($C$2, "IQ_TOTAL_DEBT_CURRENT", J$6,$F$2,,,Ccy,Conv)</f>
        <v>5857</v>
      </c>
      <c r="K453" s="18">
        <f>_xll.ciqfunctions.udf.CIQ($C$2, "IQ_TOTAL_DEBT_CURRENT", K$6,$F$2,,,Ccy,Conv)</f>
        <v>7711</v>
      </c>
      <c r="L453" s="18">
        <f>_xll.ciqfunctions.udf.CIQ($C$2, "IQ_TOTAL_DEBT_CURRENT", L$6,$F$2,,,Ccy,Conv)</f>
        <v>9765</v>
      </c>
      <c r="M453" s="18">
        <f>_xll.ciqfunctions.udf.CIQ($C$2, "IQ_TOTAL_DEBT_CURRENT", M$6,$F$2,,,Ccy,Conv)</f>
        <v>8749</v>
      </c>
      <c r="N453" s="18">
        <f>_xll.ciqfunctions.udf.CIQ($C$2, "IQ_TOTAL_DEBT_CURRENT", N$6,$F$2,,,Ccy,Conv)</f>
        <v>7224</v>
      </c>
      <c r="O453" s="30"/>
      <c r="P453" s="18">
        <f>_xll.ciqfunctions.udf.CIQ($C$2, "IQ_TOTAL_DEBT_CURRENT", P$6,$F$2,,,Ccy,Conv)</f>
        <v>7224</v>
      </c>
      <c r="Q453" s="245"/>
      <c r="R453" s="215"/>
      <c r="S453" s="215"/>
      <c r="T453" s="215"/>
      <c r="U453" s="215"/>
      <c r="V453" s="222"/>
      <c r="W453" s="222"/>
      <c r="X453" s="222"/>
      <c r="Y453" s="215"/>
      <c r="Z453" s="215"/>
      <c r="AA453" s="215"/>
      <c r="AB453" s="215"/>
      <c r="AC453" s="215"/>
      <c r="AD453" s="215"/>
      <c r="AE453" s="215"/>
      <c r="AF453" s="215"/>
      <c r="AG453" s="215"/>
      <c r="AH453" s="215"/>
      <c r="AI453" s="215"/>
      <c r="AJ453" s="215"/>
      <c r="AK453" s="215"/>
      <c r="AL453" s="215"/>
      <c r="AM453" s="215"/>
      <c r="AN453" s="215"/>
      <c r="AO453" s="215"/>
      <c r="AP453" s="215"/>
      <c r="AQ453" s="215"/>
      <c r="AR453" s="215"/>
      <c r="AS453" s="215"/>
      <c r="AT453" s="215"/>
      <c r="AU453" s="215"/>
      <c r="AV453" s="215"/>
      <c r="AW453" s="215"/>
      <c r="AX453" s="215"/>
      <c r="AY453" s="215"/>
      <c r="AZ453" s="215"/>
      <c r="BA453" s="215"/>
      <c r="BB453" s="215"/>
      <c r="BC453" s="215"/>
      <c r="BD453" s="215"/>
      <c r="BE453" s="215"/>
      <c r="BF453" s="215"/>
      <c r="BG453" s="215"/>
      <c r="BH453" s="215"/>
      <c r="BI453" s="215"/>
      <c r="BJ453" s="215"/>
      <c r="BK453" s="215"/>
      <c r="BL453" s="215"/>
      <c r="BM453" s="215"/>
      <c r="BN453" s="215"/>
      <c r="BO453" s="215"/>
      <c r="BP453" s="215"/>
      <c r="BQ453" s="215"/>
      <c r="BR453" s="215"/>
      <c r="BS453" s="215"/>
      <c r="BT453" s="215"/>
      <c r="BU453" s="215"/>
      <c r="BV453" s="215"/>
      <c r="BW453" s="215"/>
      <c r="BX453" s="215"/>
      <c r="BY453" s="215"/>
      <c r="BZ453" s="215"/>
    </row>
    <row r="454" spans="1:78" x14ac:dyDescent="0.2">
      <c r="A454" s="2" t="str">
        <f>'Language Index'!A404</f>
        <v>Total Non-Current Debt</v>
      </c>
      <c r="B454" s="17"/>
      <c r="C454" s="17"/>
      <c r="D454" s="18">
        <f>_xll.ciqfunctions.udf.CIQ($C$2, "IQ_TOTAL_DEBT_NON_CURRENT", D$6,$F$2,,,Ccy,Conv)</f>
        <v>52677</v>
      </c>
      <c r="E454" s="18">
        <f>_xll.ciqfunctions.udf.CIQ($C$2, "IQ_TOTAL_DEBT_NON_CURRENT", E$6,$F$2,,,Ccy,Conv)</f>
        <v>51304</v>
      </c>
      <c r="F454" s="18">
        <f>_xll.ciqfunctions.udf.CIQ($C$2, "IQ_TOTAL_DEBT_NON_CURRENT", F$6,$F$2,,,Ccy,Conv)</f>
        <v>52689</v>
      </c>
      <c r="G454" s="18">
        <f>_xll.ciqfunctions.udf.CIQ($C$2, "IQ_TOTAL_DEBT_NON_CURRENT", G$6,$F$2,,,Ccy,Conv)</f>
        <v>56616</v>
      </c>
      <c r="H454" s="18">
        <f>_xll.ciqfunctions.udf.CIQ($C$2, "IQ_TOTAL_DEBT_NON_CURRENT", H$6,$F$2,,,Ccy,Conv)</f>
        <v>55475</v>
      </c>
      <c r="I454" s="18">
        <f>_xll.ciqfunctions.udf.CIQ($C$2, "IQ_TOTAL_DEBT_NON_CURRENT", I$6,$F$2,,,Ccy,Conv)</f>
        <v>55737</v>
      </c>
      <c r="J454" s="18">
        <f>_xll.ciqfunctions.udf.CIQ($C$2, "IQ_TOTAL_DEBT_NON_CURRENT", J$6,$F$2,,,Ccy,Conv)</f>
        <v>52539</v>
      </c>
      <c r="K454" s="18">
        <f>_xll.ciqfunctions.udf.CIQ($C$2, "IQ_TOTAL_DEBT_NON_CURRENT", K$6,$F$2,,,Ccy,Conv)</f>
        <v>59124</v>
      </c>
      <c r="L454" s="18">
        <f>_xll.ciqfunctions.udf.CIQ($C$2, "IQ_TOTAL_DEBT_NON_CURRENT", L$6,$F$2,,,Ccy,Conv)</f>
        <v>57954</v>
      </c>
      <c r="M454" s="18">
        <f>_xll.ciqfunctions.udf.CIQ($C$2, "IQ_TOTAL_DEBT_NON_CURRENT", M$6,$F$2,,,Ccy,Conv)</f>
        <v>57820</v>
      </c>
      <c r="N454" s="18">
        <f>_xll.ciqfunctions.udf.CIQ($C$2, "IQ_TOTAL_DEBT_NON_CURRENT", N$6,$F$2,,,Ccy,Conv)</f>
        <v>57383</v>
      </c>
      <c r="O454" s="30"/>
      <c r="P454" s="18">
        <f>_xll.ciqfunctions.udf.CIQ($C$2, "IQ_TOTAL_DEBT_NON_CURRENT", P$6,$F$2,,,Ccy,Conv)</f>
        <v>57383</v>
      </c>
      <c r="Q454" s="245"/>
      <c r="R454" s="215"/>
      <c r="S454" s="215"/>
      <c r="T454" s="215"/>
      <c r="U454" s="215"/>
      <c r="V454" s="222"/>
      <c r="W454" s="222"/>
      <c r="X454" s="222"/>
      <c r="Y454" s="215"/>
      <c r="Z454" s="215"/>
      <c r="AA454" s="215"/>
      <c r="AB454" s="215"/>
      <c r="AC454" s="215"/>
      <c r="AD454" s="215"/>
      <c r="AE454" s="215"/>
      <c r="AF454" s="215"/>
      <c r="AG454" s="215"/>
      <c r="AH454" s="215"/>
      <c r="AI454" s="215"/>
      <c r="AJ454" s="215"/>
      <c r="AK454" s="215"/>
      <c r="AL454" s="215"/>
      <c r="AM454" s="215"/>
      <c r="AN454" s="215"/>
      <c r="AO454" s="215"/>
      <c r="AP454" s="215"/>
      <c r="AQ454" s="215"/>
      <c r="AR454" s="215"/>
      <c r="AS454" s="215"/>
      <c r="AT454" s="215"/>
      <c r="AU454" s="215"/>
      <c r="AV454" s="215"/>
      <c r="AW454" s="215"/>
      <c r="AX454" s="215"/>
      <c r="AY454" s="215"/>
      <c r="AZ454" s="215"/>
      <c r="BA454" s="215"/>
      <c r="BB454" s="215"/>
      <c r="BC454" s="215"/>
      <c r="BD454" s="215"/>
      <c r="BE454" s="215"/>
      <c r="BF454" s="215"/>
      <c r="BG454" s="215"/>
      <c r="BH454" s="215"/>
      <c r="BI454" s="215"/>
      <c r="BJ454" s="215"/>
      <c r="BK454" s="215"/>
      <c r="BL454" s="215"/>
      <c r="BM454" s="215"/>
      <c r="BN454" s="215"/>
      <c r="BO454" s="215"/>
      <c r="BP454" s="215"/>
      <c r="BQ454" s="215"/>
      <c r="BR454" s="215"/>
      <c r="BS454" s="215"/>
      <c r="BT454" s="215"/>
      <c r="BU454" s="215"/>
      <c r="BV454" s="215"/>
      <c r="BW454" s="215"/>
      <c r="BX454" s="215"/>
      <c r="BY454" s="215"/>
      <c r="BZ454" s="215"/>
    </row>
    <row r="455" spans="1:78" x14ac:dyDescent="0.2">
      <c r="A455" s="2" t="str">
        <f>'Language Index'!A405</f>
        <v>Net Debt</v>
      </c>
      <c r="B455" s="17"/>
      <c r="C455" s="17"/>
      <c r="D455" s="18">
        <f>_xll.ciqfunctions.udf.CIQ($C$2, "IQ_NET_DEBT", D$6,$F$2,,,Ccy,Conv)</f>
        <v>44006</v>
      </c>
      <c r="E455" s="18">
        <f>_xll.ciqfunctions.udf.CIQ($C$2, "IQ_NET_DEBT", E$6,$F$2,,,Ccy,Conv)</f>
        <v>47547</v>
      </c>
      <c r="F455" s="18">
        <f>_xll.ciqfunctions.udf.CIQ($C$2, "IQ_NET_DEBT", F$6,$F$2,,,Ccy,Conv)</f>
        <v>46494</v>
      </c>
      <c r="G455" s="18">
        <f>_xll.ciqfunctions.udf.CIQ($C$2, "IQ_NET_DEBT", G$6,$F$2,,,Ccy,Conv)</f>
        <v>43756</v>
      </c>
      <c r="H455" s="18">
        <f>_xll.ciqfunctions.udf.CIQ($C$2, "IQ_NET_DEBT", H$6,$F$2,,,Ccy,Conv)</f>
        <v>46148</v>
      </c>
      <c r="I455" s="18">
        <f>_xll.ciqfunctions.udf.CIQ($C$2, "IQ_NET_DEBT", I$6,$F$2,,,Ccy,Conv)</f>
        <v>46424</v>
      </c>
      <c r="J455" s="18">
        <f>_xll.ciqfunctions.udf.CIQ($C$2, "IQ_NET_DEBT", J$6,$F$2,,,Ccy,Conv)</f>
        <v>43805</v>
      </c>
      <c r="K455" s="18">
        <f>_xll.ciqfunctions.udf.CIQ($C$2, "IQ_NET_DEBT", K$6,$F$2,,,Ccy,Conv)</f>
        <v>49370</v>
      </c>
      <c r="L455" s="18">
        <f>_xll.ciqfunctions.udf.CIQ($C$2, "IQ_NET_DEBT", L$6,$F$2,,,Ccy,Conv)</f>
        <v>52272</v>
      </c>
      <c r="M455" s="18">
        <f>_xll.ciqfunctions.udf.CIQ($C$2, "IQ_NET_DEBT", M$6,$F$2,,,Ccy,Conv)</f>
        <v>51714</v>
      </c>
      <c r="N455" s="18">
        <f>_xll.ciqfunctions.udf.CIQ($C$2, "IQ_NET_DEBT", N$6,$F$2,,,Ccy,Conv)</f>
        <v>50190</v>
      </c>
      <c r="O455" s="30"/>
      <c r="P455" s="18">
        <f>_xll.ciqfunctions.udf.CIQ($C$2, "IQ_NET_DEBT", P$6,$F$2,,,Ccy,Conv)</f>
        <v>50190</v>
      </c>
      <c r="Q455" s="245"/>
      <c r="R455" s="215"/>
      <c r="S455" s="215"/>
      <c r="T455" s="215"/>
      <c r="U455" s="215"/>
      <c r="V455" s="222"/>
      <c r="W455" s="222"/>
      <c r="X455" s="222"/>
      <c r="Y455" s="215"/>
      <c r="Z455" s="215"/>
      <c r="AA455" s="215"/>
      <c r="AB455" s="215"/>
      <c r="AC455" s="215"/>
      <c r="AD455" s="215"/>
      <c r="AE455" s="215"/>
      <c r="AF455" s="215"/>
      <c r="AG455" s="215"/>
      <c r="AH455" s="215"/>
      <c r="AI455" s="215"/>
      <c r="AJ455" s="215"/>
      <c r="AK455" s="215"/>
      <c r="AL455" s="215"/>
      <c r="AM455" s="215"/>
      <c r="AN455" s="215"/>
      <c r="AO455" s="215"/>
      <c r="AP455" s="215"/>
      <c r="AQ455" s="215"/>
      <c r="AR455" s="215"/>
      <c r="AS455" s="215"/>
      <c r="AT455" s="215"/>
      <c r="AU455" s="215"/>
      <c r="AV455" s="215"/>
      <c r="AW455" s="215"/>
      <c r="AX455" s="215"/>
      <c r="AY455" s="215"/>
      <c r="AZ455" s="215"/>
      <c r="BA455" s="215"/>
      <c r="BB455" s="215"/>
      <c r="BC455" s="215"/>
      <c r="BD455" s="215"/>
      <c r="BE455" s="215"/>
      <c r="BF455" s="215"/>
      <c r="BG455" s="215"/>
      <c r="BH455" s="215"/>
      <c r="BI455" s="215"/>
      <c r="BJ455" s="215"/>
      <c r="BK455" s="215"/>
      <c r="BL455" s="215"/>
      <c r="BM455" s="215"/>
      <c r="BN455" s="215"/>
      <c r="BO455" s="215"/>
      <c r="BP455" s="215"/>
      <c r="BQ455" s="215"/>
      <c r="BR455" s="215"/>
      <c r="BS455" s="215"/>
      <c r="BT455" s="215"/>
      <c r="BU455" s="215"/>
      <c r="BV455" s="215"/>
      <c r="BW455" s="215"/>
      <c r="BX455" s="215"/>
      <c r="BY455" s="215"/>
      <c r="BZ455" s="215"/>
    </row>
    <row r="456" spans="1:78" x14ac:dyDescent="0.2">
      <c r="A456" s="2" t="str">
        <f>'Language Index'!A406</f>
        <v>Minority Interest, Total</v>
      </c>
      <c r="B456" s="17"/>
      <c r="C456" s="17"/>
      <c r="D456" s="18">
        <f>_xll.ciqfunctions.udf.CIQ($C$2, "IQ_MINORITY_INTEREST_TOTAL", D$6,$F$2,,,Ccy,Conv)</f>
        <v>70</v>
      </c>
      <c r="E456" s="18">
        <f>_xll.ciqfunctions.udf.CIQ($C$2, "IQ_MINORITY_INTEREST_TOTAL", E$6,$F$2,,,Ccy,Conv)</f>
        <v>75</v>
      </c>
      <c r="F456" s="18">
        <f>_xll.ciqfunctions.udf.CIQ($C$2, "IQ_MINORITY_INTEREST_TOTAL", F$6,$F$2,,,Ccy,Conv)</f>
        <v>80</v>
      </c>
      <c r="G456" s="18">
        <f>_xll.ciqfunctions.udf.CIQ($C$2, "IQ_MINORITY_INTEREST_TOTAL", G$6,$F$2,,,Ccy,Conv)</f>
        <v>72</v>
      </c>
      <c r="H456" s="18">
        <f>_xll.ciqfunctions.udf.CIQ($C$2, "IQ_MINORITY_INTEREST_TOTAL", H$6,$F$2,,,Ccy,Conv)</f>
        <v>77</v>
      </c>
      <c r="I456" s="18">
        <f>_xll.ciqfunctions.udf.CIQ($C$2, "IQ_MINORITY_INTEREST_TOTAL", I$6,$F$2,,,Ccy,Conv)</f>
        <v>82</v>
      </c>
      <c r="J456" s="18">
        <f>_xll.ciqfunctions.udf.CIQ($C$2, "IQ_MINORITY_INTEREST_TOTAL", J$6,$F$2,,,Ccy,Conv)</f>
        <v>86</v>
      </c>
      <c r="K456" s="18">
        <f>_xll.ciqfunctions.udf.CIQ($C$2, "IQ_MINORITY_INTEREST_TOTAL", K$6,$F$2,,,Ccy,Conv)</f>
        <v>72</v>
      </c>
      <c r="L456" s="18">
        <f>_xll.ciqfunctions.udf.CIQ($C$2, "IQ_MINORITY_INTEREST_TOTAL", L$6,$F$2,,,Ccy,Conv)</f>
        <v>79</v>
      </c>
      <c r="M456" s="18">
        <f>_xll.ciqfunctions.udf.CIQ($C$2, "IQ_MINORITY_INTEREST_TOTAL", M$6,$F$2,,,Ccy,Conv)</f>
        <v>85</v>
      </c>
      <c r="N456" s="18">
        <f>_xll.ciqfunctions.udf.CIQ($C$2, "IQ_MINORITY_INTEREST_TOTAL", N$6,$F$2,,,Ccy,Conv)</f>
        <v>93</v>
      </c>
      <c r="O456" s="30"/>
      <c r="P456" s="18">
        <f>_xll.ciqfunctions.udf.CIQ($C$2, "IQ_MINORITY_INTEREST_TOTAL", P$6,$F$2,,,Ccy,Conv)</f>
        <v>93</v>
      </c>
      <c r="Q456" s="245"/>
      <c r="R456" s="215"/>
      <c r="S456" s="215"/>
      <c r="T456" s="215"/>
      <c r="U456" s="215"/>
      <c r="V456" s="222"/>
      <c r="W456" s="222"/>
      <c r="X456" s="222"/>
      <c r="Y456" s="215"/>
      <c r="Z456" s="215"/>
      <c r="AA456" s="215"/>
      <c r="AB456" s="215"/>
      <c r="AC456" s="215"/>
      <c r="AD456" s="215"/>
      <c r="AE456" s="215"/>
      <c r="AF456" s="215"/>
      <c r="AG456" s="215"/>
      <c r="AH456" s="215"/>
      <c r="AI456" s="215"/>
      <c r="AJ456" s="215"/>
      <c r="AK456" s="215"/>
      <c r="AL456" s="215"/>
      <c r="AM456" s="215"/>
      <c r="AN456" s="215"/>
      <c r="AO456" s="215"/>
      <c r="AP456" s="215"/>
      <c r="AQ456" s="215"/>
      <c r="AR456" s="215"/>
      <c r="AS456" s="215"/>
      <c r="AT456" s="215"/>
      <c r="AU456" s="215"/>
      <c r="AV456" s="215"/>
      <c r="AW456" s="215"/>
      <c r="AX456" s="215"/>
      <c r="AY456" s="215"/>
      <c r="AZ456" s="215"/>
      <c r="BA456" s="215"/>
      <c r="BB456" s="215"/>
      <c r="BC456" s="215"/>
      <c r="BD456" s="215"/>
      <c r="BE456" s="215"/>
      <c r="BF456" s="215"/>
      <c r="BG456" s="215"/>
      <c r="BH456" s="215"/>
      <c r="BI456" s="215"/>
      <c r="BJ456" s="215"/>
      <c r="BK456" s="215"/>
      <c r="BL456" s="215"/>
      <c r="BM456" s="215"/>
      <c r="BN456" s="215"/>
      <c r="BO456" s="215"/>
      <c r="BP456" s="215"/>
      <c r="BQ456" s="215"/>
      <c r="BR456" s="215"/>
      <c r="BS456" s="215"/>
      <c r="BT456" s="215"/>
      <c r="BU456" s="215"/>
      <c r="BV456" s="215"/>
      <c r="BW456" s="215"/>
      <c r="BX456" s="215"/>
      <c r="BY456" s="215"/>
      <c r="BZ456" s="215"/>
    </row>
    <row r="457" spans="1:78" x14ac:dyDescent="0.2">
      <c r="A457" s="2" t="str">
        <f>'Language Index'!A407</f>
        <v>Total Capitalization</v>
      </c>
      <c r="B457" s="17"/>
      <c r="C457" s="17"/>
      <c r="D457" s="18">
        <f>_xll.ciqfunctions.udf.CIQ($C$2, "IQ_TOTAL_CAP", D$6,$F$2,,,Ccy,Conv)</f>
        <v>82575</v>
      </c>
      <c r="E457" s="18">
        <f>_xll.ciqfunctions.udf.CIQ($C$2, "IQ_TOTAL_CAP", E$6,$F$2,,,Ccy,Conv)</f>
        <v>81681</v>
      </c>
      <c r="F457" s="18">
        <f>_xll.ciqfunctions.udf.CIQ($C$2, "IQ_TOTAL_CAP", F$6,$F$2,,,Ccy,Conv)</f>
        <v>82548</v>
      </c>
      <c r="G457" s="18">
        <f>_xll.ciqfunctions.udf.CIQ($C$2, "IQ_TOTAL_CAP", G$6,$F$2,,,Ccy,Conv)</f>
        <v>86204</v>
      </c>
      <c r="H457" s="18">
        <f>_xll.ciqfunctions.udf.CIQ($C$2, "IQ_TOTAL_CAP", H$6,$F$2,,,Ccy,Conv)</f>
        <v>83942</v>
      </c>
      <c r="I457" s="18">
        <f>_xll.ciqfunctions.udf.CIQ($C$2, "IQ_TOTAL_CAP", I$6,$F$2,,,Ccy,Conv)</f>
        <v>84656</v>
      </c>
      <c r="J457" s="18">
        <f>_xll.ciqfunctions.udf.CIQ($C$2, "IQ_TOTAL_CAP", J$6,$F$2,,,Ccy,Conv)</f>
        <v>85789</v>
      </c>
      <c r="K457" s="18">
        <f>_xll.ciqfunctions.udf.CIQ($C$2, "IQ_TOTAL_CAP", K$6,$F$2,,,Ccy,Conv)</f>
        <v>93787</v>
      </c>
      <c r="L457" s="18">
        <f>_xll.ciqfunctions.udf.CIQ($C$2, "IQ_TOTAL_CAP", L$6,$F$2,,,Ccy,Conv)</f>
        <v>95307</v>
      </c>
      <c r="M457" s="18">
        <f>_xll.ciqfunctions.udf.CIQ($C$2, "IQ_TOTAL_CAP", M$6,$F$2,,,Ccy,Conv)</f>
        <v>94559</v>
      </c>
      <c r="N457" s="18">
        <f>_xll.ciqfunctions.udf.CIQ($C$2, "IQ_TOTAL_CAP", N$6,$F$2,,,Ccy,Conv)</f>
        <v>97348</v>
      </c>
      <c r="O457" s="30"/>
      <c r="P457" s="18">
        <f>_xll.ciqfunctions.udf.CIQ($C$2, "IQ_TOTAL_CAP", P$6,$F$2,,,Ccy,Conv)</f>
        <v>97348</v>
      </c>
      <c r="Q457" s="245"/>
      <c r="R457" s="215"/>
      <c r="S457" s="215"/>
      <c r="T457" s="215"/>
      <c r="U457" s="215"/>
      <c r="V457" s="222"/>
      <c r="W457" s="222"/>
      <c r="X457" s="222"/>
      <c r="Y457" s="215"/>
      <c r="Z457" s="215"/>
      <c r="AA457" s="215"/>
      <c r="AB457" s="215"/>
      <c r="AC457" s="215"/>
      <c r="AD457" s="215"/>
      <c r="AE457" s="215"/>
      <c r="AF457" s="215"/>
      <c r="AG457" s="215"/>
      <c r="AH457" s="215"/>
      <c r="AI457" s="215"/>
      <c r="AJ457" s="215"/>
      <c r="AK457" s="215"/>
      <c r="AL457" s="215"/>
      <c r="AM457" s="215"/>
      <c r="AN457" s="215"/>
      <c r="AO457" s="215"/>
      <c r="AP457" s="215"/>
      <c r="AQ457" s="215"/>
      <c r="AR457" s="215"/>
      <c r="AS457" s="215"/>
      <c r="AT457" s="215"/>
      <c r="AU457" s="215"/>
      <c r="AV457" s="215"/>
      <c r="AW457" s="215"/>
      <c r="AX457" s="215"/>
      <c r="AY457" s="215"/>
      <c r="AZ457" s="215"/>
      <c r="BA457" s="215"/>
      <c r="BB457" s="215"/>
      <c r="BC457" s="215"/>
      <c r="BD457" s="215"/>
      <c r="BE457" s="215"/>
      <c r="BF457" s="215"/>
      <c r="BG457" s="215"/>
      <c r="BH457" s="215"/>
      <c r="BI457" s="215"/>
      <c r="BJ457" s="215"/>
      <c r="BK457" s="215"/>
      <c r="BL457" s="215"/>
      <c r="BM457" s="215"/>
      <c r="BN457" s="215"/>
      <c r="BO457" s="215"/>
      <c r="BP457" s="215"/>
      <c r="BQ457" s="215"/>
      <c r="BR457" s="215"/>
      <c r="BS457" s="215"/>
      <c r="BT457" s="215"/>
      <c r="BU457" s="215"/>
      <c r="BV457" s="215"/>
      <c r="BW457" s="215"/>
      <c r="BX457" s="215"/>
      <c r="BY457" s="215"/>
      <c r="BZ457" s="215"/>
    </row>
    <row r="458" spans="1:78" x14ac:dyDescent="0.2">
      <c r="A458" s="2" t="str">
        <f>'Language Index'!A408</f>
        <v>Working Capital</v>
      </c>
      <c r="B458" s="17"/>
      <c r="C458" s="17"/>
      <c r="D458" s="18">
        <f>_xll.ciqfunctions.udf.CIQ($C$2, "IQ_WORKING_CAP", D$6,$F$2,,,Ccy,Conv)</f>
        <v>1945</v>
      </c>
      <c r="E458" s="18">
        <f>_xll.ciqfunctions.udf.CIQ($C$2, "IQ_WORKING_CAP", E$6,$F$2,,,Ccy,Conv)</f>
        <v>-2901</v>
      </c>
      <c r="F458" s="18">
        <f>_xll.ciqfunctions.udf.CIQ($C$2, "IQ_WORKING_CAP", F$6,$F$2,,,Ccy,Conv)</f>
        <v>-1214</v>
      </c>
      <c r="G458" s="18">
        <f>_xll.ciqfunctions.udf.CIQ($C$2, "IQ_WORKING_CAP", G$6,$F$2,,,Ccy,Conv)</f>
        <v>4266</v>
      </c>
      <c r="H458" s="18">
        <f>_xll.ciqfunctions.udf.CIQ($C$2, "IQ_WORKING_CAP", H$6,$F$2,,,Ccy,Conv)</f>
        <v>3651</v>
      </c>
      <c r="I458" s="18">
        <f>_xll.ciqfunctions.udf.CIQ($C$2, "IQ_WORKING_CAP", I$6,$F$2,,,Ccy,Conv)</f>
        <v>1690</v>
      </c>
      <c r="J458" s="18">
        <f>_xll.ciqfunctions.udf.CIQ($C$2, "IQ_WORKING_CAP", J$6,$F$2,,,Ccy,Conv)</f>
        <v>1340</v>
      </c>
      <c r="K458" s="18">
        <f>_xll.ciqfunctions.udf.CIQ($C$2, "IQ_WORKING_CAP", K$6,$F$2,,,Ccy,Conv)</f>
        <v>230</v>
      </c>
      <c r="L458" s="18">
        <f>_xll.ciqfunctions.udf.CIQ($C$2, "IQ_WORKING_CAP", L$6,$F$2,,,Ccy,Conv)</f>
        <v>-3473</v>
      </c>
      <c r="M458" s="18">
        <f>_xll.ciqfunctions.udf.CIQ($C$2, "IQ_WORKING_CAP", M$6,$F$2,,,Ccy,Conv)</f>
        <v>-2402</v>
      </c>
      <c r="N458" s="18">
        <f>_xll.ciqfunctions.udf.CIQ($C$2, "IQ_WORKING_CAP", N$6,$F$2,,,Ccy,Conv)</f>
        <v>-1714</v>
      </c>
      <c r="O458" s="30"/>
      <c r="P458" s="18">
        <f>_xll.ciqfunctions.udf.CIQ($C$2, "IQ_WORKING_CAP", P$6,$F$2,,,Ccy,Conv)</f>
        <v>-1714</v>
      </c>
      <c r="Q458" s="215"/>
      <c r="R458" s="215"/>
      <c r="S458" s="215"/>
      <c r="T458" s="215"/>
      <c r="U458" s="215"/>
      <c r="V458" s="222"/>
      <c r="W458" s="222"/>
      <c r="X458" s="222"/>
      <c r="Y458" s="215"/>
      <c r="Z458" s="215"/>
      <c r="AA458" s="215"/>
      <c r="AB458" s="215"/>
      <c r="AC458" s="215"/>
      <c r="AD458" s="215"/>
      <c r="AE458" s="215"/>
      <c r="AF458" s="215"/>
      <c r="AG458" s="215"/>
      <c r="AH458" s="215"/>
      <c r="AI458" s="215"/>
      <c r="AJ458" s="215"/>
      <c r="AK458" s="215"/>
      <c r="AL458" s="215"/>
      <c r="AM458" s="215"/>
      <c r="AN458" s="215"/>
      <c r="AO458" s="215"/>
      <c r="AP458" s="215"/>
      <c r="AQ458" s="215"/>
      <c r="AR458" s="215"/>
      <c r="AS458" s="215"/>
      <c r="AT458" s="215"/>
      <c r="AU458" s="215"/>
      <c r="AV458" s="215"/>
      <c r="AW458" s="215"/>
      <c r="AX458" s="215"/>
      <c r="AY458" s="215"/>
      <c r="AZ458" s="215"/>
      <c r="BA458" s="215"/>
      <c r="BB458" s="215"/>
      <c r="BC458" s="215"/>
      <c r="BD458" s="215"/>
      <c r="BE458" s="215"/>
      <c r="BF458" s="215"/>
      <c r="BG458" s="215"/>
      <c r="BH458" s="215"/>
      <c r="BI458" s="215"/>
      <c r="BJ458" s="215"/>
      <c r="BK458" s="215"/>
      <c r="BL458" s="215"/>
      <c r="BM458" s="215"/>
      <c r="BN458" s="215"/>
      <c r="BO458" s="215"/>
      <c r="BP458" s="215"/>
      <c r="BQ458" s="215"/>
      <c r="BR458" s="215"/>
      <c r="BS458" s="215"/>
      <c r="BT458" s="215"/>
      <c r="BU458" s="215"/>
      <c r="BV458" s="215"/>
      <c r="BW458" s="215"/>
      <c r="BX458" s="215"/>
      <c r="BY458" s="215"/>
      <c r="BZ458" s="215"/>
    </row>
    <row r="459" spans="1:78" x14ac:dyDescent="0.2">
      <c r="A459" s="2" t="str">
        <f>'Language Index'!A409</f>
        <v>Net Working Capital</v>
      </c>
      <c r="B459" s="17"/>
      <c r="C459" s="17"/>
      <c r="D459" s="18">
        <f>_xll.ciqfunctions.udf.CIQ($C$2, "IQ_NET_WORKING_CAP", D$6,$F$2,,,Ccy,Conv)</f>
        <v>-6726</v>
      </c>
      <c r="E459" s="18">
        <f>_xll.ciqfunctions.udf.CIQ($C$2, "IQ_NET_WORKING_CAP", E$6,$F$2,,,Ccy,Conv)</f>
        <v>-6658</v>
      </c>
      <c r="F459" s="18">
        <f>_xll.ciqfunctions.udf.CIQ($C$2, "IQ_NET_WORKING_CAP", F$6,$F$2,,,Ccy,Conv)</f>
        <v>-7409</v>
      </c>
      <c r="G459" s="18">
        <f>_xll.ciqfunctions.udf.CIQ($C$2, "IQ_NET_WORKING_CAP", G$6,$F$2,,,Ccy,Conv)</f>
        <v>-8594</v>
      </c>
      <c r="H459" s="18">
        <f>_xll.ciqfunctions.udf.CIQ($C$2, "IQ_NET_WORKING_CAP", H$6,$F$2,,,Ccy,Conv)</f>
        <v>-5676</v>
      </c>
      <c r="I459" s="18">
        <f>_xll.ciqfunctions.udf.CIQ($C$2, "IQ_NET_WORKING_CAP", I$6,$F$2,,,Ccy,Conv)</f>
        <v>-7623</v>
      </c>
      <c r="J459" s="18">
        <f>_xll.ciqfunctions.udf.CIQ($C$2, "IQ_NET_WORKING_CAP", J$6,$F$2,,,Ccy,Conv)</f>
        <v>-7394</v>
      </c>
      <c r="K459" s="18">
        <f>_xll.ciqfunctions.udf.CIQ($C$2, "IQ_NET_WORKING_CAP", K$6,$F$2,,,Ccy,Conv)</f>
        <v>-9524</v>
      </c>
      <c r="L459" s="18">
        <f>_xll.ciqfunctions.udf.CIQ($C$2, "IQ_NET_WORKING_CAP", L$6,$F$2,,,Ccy,Conv)</f>
        <v>-9155</v>
      </c>
      <c r="M459" s="18">
        <f>_xll.ciqfunctions.udf.CIQ($C$2, "IQ_NET_WORKING_CAP", M$6,$F$2,,,Ccy,Conv)</f>
        <v>-8508</v>
      </c>
      <c r="N459" s="18">
        <f>_xll.ciqfunctions.udf.CIQ($C$2, "IQ_NET_WORKING_CAP", N$6,$F$2,,,Ccy,Conv)</f>
        <v>-8907</v>
      </c>
      <c r="O459" s="30"/>
      <c r="P459" s="18">
        <f>_xll.ciqfunctions.udf.CIQ($C$2, "IQ_NET_WORKING_CAP", P$6,$F$2,,,Ccy,Conv)</f>
        <v>-8907</v>
      </c>
      <c r="Q459" s="215"/>
      <c r="R459" s="215"/>
      <c r="S459" s="215"/>
      <c r="T459" s="215"/>
      <c r="U459" s="215"/>
      <c r="V459" s="222"/>
      <c r="W459" s="222"/>
      <c r="X459" s="222"/>
      <c r="Y459" s="215"/>
      <c r="Z459" s="215"/>
      <c r="AA459" s="215"/>
      <c r="AB459" s="215"/>
      <c r="AC459" s="215"/>
      <c r="AD459" s="215"/>
      <c r="AE459" s="215"/>
      <c r="AF459" s="215"/>
      <c r="AG459" s="215"/>
      <c r="AH459" s="215"/>
      <c r="AI459" s="215"/>
      <c r="AJ459" s="215"/>
      <c r="AK459" s="215"/>
      <c r="AL459" s="215"/>
      <c r="AM459" s="215"/>
      <c r="AN459" s="215"/>
      <c r="AO459" s="215"/>
      <c r="AP459" s="215"/>
      <c r="AQ459" s="215"/>
      <c r="AR459" s="215"/>
      <c r="AS459" s="215"/>
      <c r="AT459" s="215"/>
      <c r="AU459" s="215"/>
      <c r="AV459" s="215"/>
      <c r="AW459" s="215"/>
      <c r="AX459" s="215"/>
      <c r="AY459" s="215"/>
      <c r="AZ459" s="215"/>
      <c r="BA459" s="215"/>
      <c r="BB459" s="215"/>
      <c r="BC459" s="215"/>
      <c r="BD459" s="215"/>
      <c r="BE459" s="215"/>
      <c r="BF459" s="215"/>
      <c r="BG459" s="215"/>
      <c r="BH459" s="215"/>
      <c r="BI459" s="215"/>
      <c r="BJ459" s="215"/>
      <c r="BK459" s="215"/>
      <c r="BL459" s="215"/>
      <c r="BM459" s="215"/>
      <c r="BN459" s="215"/>
      <c r="BO459" s="215"/>
      <c r="BP459" s="215"/>
      <c r="BQ459" s="215"/>
      <c r="BR459" s="215"/>
      <c r="BS459" s="215"/>
      <c r="BT459" s="215"/>
      <c r="BU459" s="215"/>
      <c r="BV459" s="215"/>
      <c r="BW459" s="215"/>
      <c r="BX459" s="215"/>
      <c r="BY459" s="215"/>
      <c r="BZ459" s="215"/>
    </row>
    <row r="460" spans="1:78" x14ac:dyDescent="0.2">
      <c r="A460" s="2" t="str">
        <f>'Language Index'!A410</f>
        <v>Accumulated Allowance for Doubtful Accounts</v>
      </c>
      <c r="B460" s="17"/>
      <c r="C460" s="17"/>
      <c r="D460" s="18">
        <f>_xll.ciqfunctions.udf.CIQ($C$2, "IQ_ALLOW_DOUBT_ACCT", D$6,$F$2,,,Ccy,Conv)</f>
        <v>217</v>
      </c>
      <c r="E460" s="18">
        <f>_xll.ciqfunctions.udf.CIQ($C$2, "IQ_ALLOW_DOUBT_ACCT", E$6,$F$2,,,Ccy,Conv)</f>
        <v>198</v>
      </c>
      <c r="F460" s="18">
        <f>_xll.ciqfunctions.udf.CIQ($C$2, "IQ_ALLOW_DOUBT_ACCT", F$6,$F$2,,,Ccy,Conv)</f>
        <v>192</v>
      </c>
      <c r="G460" s="18">
        <f>_xll.ciqfunctions.udf.CIQ($C$2, "IQ_ALLOW_DOUBT_ACCT", G$6,$F$2,,,Ccy,Conv)</f>
        <v>152</v>
      </c>
      <c r="H460" s="18">
        <f>_xll.ciqfunctions.udf.CIQ($C$2, "IQ_ALLOW_DOUBT_ACCT", H$6,$F$2,,,Ccy,Conv)</f>
        <v>129</v>
      </c>
      <c r="I460" s="18">
        <f>_xll.ciqfunctions.udf.CIQ($C$2, "IQ_ALLOW_DOUBT_ACCT", I$6,$F$2,,,Ccy,Conv)</f>
        <v>132</v>
      </c>
      <c r="J460" s="18">
        <f>_xll.ciqfunctions.udf.CIQ($C$2, "IQ_ALLOW_DOUBT_ACCT", J$6,$F$2,,,Ccy,Conv)</f>
        <v>114</v>
      </c>
      <c r="K460" s="18">
        <f>_xll.ciqfunctions.udf.CIQ($C$2, "IQ_ALLOW_DOUBT_ACCT", K$6,$F$2,,,Ccy,Conv)</f>
        <v>102</v>
      </c>
      <c r="L460" s="18">
        <f>_xll.ciqfunctions.udf.CIQ($C$2, "IQ_ALLOW_DOUBT_ACCT", L$6,$F$2,,,Ccy,Conv)</f>
        <v>109</v>
      </c>
      <c r="M460" s="18">
        <f>_xll.ciqfunctions.udf.CIQ($C$2, "IQ_ALLOW_DOUBT_ACCT", M$6,$F$2,,,Ccy,Conv)</f>
        <v>116</v>
      </c>
      <c r="N460" s="18">
        <f>_xll.ciqfunctions.udf.CIQ($C$2, "IQ_ALLOW_DOUBT_ACCT", N$6,$F$2,,,Ccy,Conv)</f>
        <v>99</v>
      </c>
      <c r="O460" s="30"/>
      <c r="P460" s="18">
        <f>_xll.ciqfunctions.udf.CIQ($C$2, "IQ_ALLOW_DOUBT_ACCT", P$6,$F$2,,,Ccy,Conv)</f>
        <v>99</v>
      </c>
      <c r="Q460" s="215"/>
      <c r="R460" s="215"/>
      <c r="S460" s="215"/>
      <c r="T460" s="215"/>
      <c r="U460" s="215"/>
      <c r="V460" s="222"/>
      <c r="W460" s="222"/>
      <c r="X460" s="222"/>
      <c r="Y460" s="215"/>
      <c r="Z460" s="215"/>
      <c r="AA460" s="215"/>
      <c r="AB460" s="215"/>
      <c r="AC460" s="215"/>
      <c r="AD460" s="215"/>
      <c r="AE460" s="215"/>
      <c r="AF460" s="215"/>
      <c r="AG460" s="215"/>
      <c r="AH460" s="215"/>
      <c r="AI460" s="215"/>
      <c r="AJ460" s="215"/>
      <c r="AK460" s="215"/>
      <c r="AL460" s="215"/>
      <c r="AM460" s="215"/>
      <c r="AN460" s="215"/>
      <c r="AO460" s="215"/>
      <c r="AP460" s="215"/>
      <c r="AQ460" s="215"/>
      <c r="AR460" s="215"/>
      <c r="AS460" s="215"/>
      <c r="AT460" s="215"/>
      <c r="AU460" s="215"/>
      <c r="AV460" s="215"/>
      <c r="AW460" s="215"/>
      <c r="AX460" s="215"/>
      <c r="AY460" s="215"/>
      <c r="AZ460" s="215"/>
      <c r="BA460" s="215"/>
      <c r="BB460" s="215"/>
      <c r="BC460" s="215"/>
      <c r="BD460" s="215"/>
      <c r="BE460" s="215"/>
      <c r="BF460" s="215"/>
      <c r="BG460" s="215"/>
      <c r="BH460" s="215"/>
      <c r="BI460" s="215"/>
      <c r="BJ460" s="215"/>
      <c r="BK460" s="215"/>
      <c r="BL460" s="215"/>
      <c r="BM460" s="215"/>
      <c r="BN460" s="215"/>
      <c r="BO460" s="215"/>
      <c r="BP460" s="215"/>
      <c r="BQ460" s="215"/>
      <c r="BR460" s="215"/>
      <c r="BS460" s="215"/>
      <c r="BT460" s="215"/>
      <c r="BU460" s="215"/>
      <c r="BV460" s="215"/>
      <c r="BW460" s="215"/>
      <c r="BX460" s="215"/>
      <c r="BY460" s="215"/>
      <c r="BZ460" s="215"/>
    </row>
    <row r="461" spans="1:78" x14ac:dyDescent="0.2">
      <c r="A461" s="2" t="str">
        <f>'Language Index'!A411</f>
        <v>Equity Method Investments</v>
      </c>
      <c r="B461" s="17"/>
      <c r="C461" s="17"/>
      <c r="D461" s="18">
        <f>_xll.ciqfunctions.udf.CIQ($C$2, "IQ_EQUITY_METHOD", D$6,$F$2,,,Ccy,Conv)</f>
        <v>0</v>
      </c>
      <c r="E461" s="18">
        <f>_xll.ciqfunctions.udf.CIQ($C$2, "IQ_EQUITY_METHOD", E$6,$F$2,,,Ccy,Conv)</f>
        <v>0</v>
      </c>
      <c r="F461" s="18">
        <f>_xll.ciqfunctions.udf.CIQ($C$2, "IQ_EQUITY_METHOD", F$6,$F$2,,,Ccy,Conv)</f>
        <v>125</v>
      </c>
      <c r="G461" s="18">
        <f>_xll.ciqfunctions.udf.CIQ($C$2, "IQ_EQUITY_METHOD", G$6,$F$2,,,Ccy,Conv)</f>
        <v>0</v>
      </c>
      <c r="H461" s="18">
        <f>_xll.ciqfunctions.udf.CIQ($C$2, "IQ_EQUITY_METHOD", H$6,$F$2,,,Ccy,Conv)</f>
        <v>0</v>
      </c>
      <c r="I461" s="18">
        <f>_xll.ciqfunctions.udf.CIQ($C$2, "IQ_EQUITY_METHOD", I$6,$F$2,,,Ccy,Conv)</f>
        <v>0</v>
      </c>
      <c r="J461" s="18">
        <f>_xll.ciqfunctions.udf.CIQ($C$2, "IQ_EQUITY_METHOD", J$6,$F$2,,,Ccy,Conv)</f>
        <v>108</v>
      </c>
      <c r="K461" s="18">
        <f>_xll.ciqfunctions.udf.CIQ($C$2, "IQ_EQUITY_METHOD", K$6,$F$2,,,Ccy,Conv)</f>
        <v>0</v>
      </c>
      <c r="L461" s="18">
        <f>_xll.ciqfunctions.udf.CIQ($C$2, "IQ_EQUITY_METHOD", L$6,$F$2,,,Ccy,Conv)</f>
        <v>0</v>
      </c>
      <c r="M461" s="18">
        <f>_xll.ciqfunctions.udf.CIQ($C$2, "IQ_EQUITY_METHOD", M$6,$F$2,,,Ccy,Conv)</f>
        <v>0</v>
      </c>
      <c r="N461" s="18">
        <f>_xll.ciqfunctions.udf.CIQ($C$2, "IQ_EQUITY_METHOD", N$6,$F$2,,,Ccy,Conv)</f>
        <v>60</v>
      </c>
      <c r="O461" s="30"/>
      <c r="P461" s="18">
        <f>_xll.ciqfunctions.udf.CIQ($C$2, "IQ_EQUITY_METHOD", P$6,$F$2,,,Ccy,Conv)</f>
        <v>60</v>
      </c>
      <c r="Q461" s="215"/>
      <c r="R461" s="215"/>
      <c r="S461" s="215"/>
      <c r="T461" s="215"/>
      <c r="U461" s="215"/>
      <c r="V461" s="222"/>
      <c r="W461" s="222"/>
      <c r="X461" s="222"/>
      <c r="Y461" s="215"/>
      <c r="Z461" s="215"/>
      <c r="AA461" s="215"/>
      <c r="AB461" s="215"/>
      <c r="AC461" s="215"/>
      <c r="AD461" s="215"/>
      <c r="AE461" s="215"/>
      <c r="AF461" s="215"/>
      <c r="AG461" s="215"/>
      <c r="AH461" s="215"/>
      <c r="AI461" s="215"/>
      <c r="AJ461" s="215"/>
      <c r="AK461" s="215"/>
      <c r="AL461" s="215"/>
      <c r="AM461" s="215"/>
      <c r="AN461" s="215"/>
      <c r="AO461" s="215"/>
      <c r="AP461" s="215"/>
      <c r="AQ461" s="215"/>
      <c r="AR461" s="215"/>
      <c r="AS461" s="215"/>
      <c r="AT461" s="215"/>
      <c r="AU461" s="215"/>
      <c r="AV461" s="215"/>
      <c r="AW461" s="215"/>
      <c r="AX461" s="215"/>
      <c r="AY461" s="215"/>
      <c r="AZ461" s="215"/>
      <c r="BA461" s="215"/>
      <c r="BB461" s="215"/>
      <c r="BC461" s="215"/>
      <c r="BD461" s="215"/>
      <c r="BE461" s="215"/>
      <c r="BF461" s="215"/>
      <c r="BG461" s="215"/>
      <c r="BH461" s="215"/>
      <c r="BI461" s="215"/>
      <c r="BJ461" s="215"/>
      <c r="BK461" s="215"/>
      <c r="BL461" s="215"/>
      <c r="BM461" s="215"/>
      <c r="BN461" s="215"/>
      <c r="BO461" s="215"/>
      <c r="BP461" s="215"/>
      <c r="BQ461" s="215"/>
      <c r="BR461" s="215"/>
      <c r="BS461" s="215"/>
      <c r="BT461" s="215"/>
      <c r="BU461" s="215"/>
      <c r="BV461" s="215"/>
      <c r="BW461" s="215"/>
      <c r="BX461" s="215"/>
      <c r="BY461" s="215"/>
      <c r="BZ461" s="215"/>
    </row>
    <row r="462" spans="1:78" x14ac:dyDescent="0.2">
      <c r="A462" s="2" t="str">
        <f>'Language Index'!A412</f>
        <v>Accounts Receivables - Unbilled</v>
      </c>
      <c r="B462" s="17"/>
      <c r="C462" s="17"/>
      <c r="D462" s="18">
        <f>_xll.ciqfunctions.udf.CIQ($C$2, "IQ_AR_UNBILLED", D$6,$F$2,,,Ccy,Conv)</f>
        <v>447</v>
      </c>
      <c r="E462" s="18">
        <f>_xll.ciqfunctions.udf.CIQ($C$2, "IQ_AR_UNBILLED", E$6,$F$2,,,Ccy,Conv)</f>
        <v>454</v>
      </c>
      <c r="F462" s="18">
        <f>_xll.ciqfunctions.udf.CIQ($C$2, "IQ_AR_UNBILLED", F$6,$F$2,,,Ccy,Conv)</f>
        <v>1321</v>
      </c>
      <c r="G462" s="18">
        <f>_xll.ciqfunctions.udf.CIQ($C$2, "IQ_AR_UNBILLED", G$6,$F$2,,,Ccy,Conv)</f>
        <v>527</v>
      </c>
      <c r="H462" s="18">
        <f>_xll.ciqfunctions.udf.CIQ($C$2, "IQ_AR_UNBILLED", H$6,$F$2,,,Ccy,Conv)</f>
        <v>540</v>
      </c>
      <c r="I462" s="18">
        <f>_xll.ciqfunctions.udf.CIQ($C$2, "IQ_AR_UNBILLED", I$6,$F$2,,,Ccy,Conv)</f>
        <v>572</v>
      </c>
      <c r="J462" s="18">
        <f>_xll.ciqfunctions.udf.CIQ($C$2, "IQ_AR_UNBILLED", J$6,$F$2,,,Ccy,Conv)</f>
        <v>433</v>
      </c>
      <c r="K462" s="18">
        <f>_xll.ciqfunctions.udf.CIQ($C$2, "IQ_AR_UNBILLED", K$6,$F$2,,,Ccy,Conv)</f>
        <v>465</v>
      </c>
      <c r="L462" s="18">
        <f>_xll.ciqfunctions.udf.CIQ($C$2, "IQ_AR_UNBILLED", L$6,$F$2,,,Ccy,Conv)</f>
        <v>495</v>
      </c>
      <c r="M462" s="18">
        <f>_xll.ciqfunctions.udf.CIQ($C$2, "IQ_AR_UNBILLED", M$6,$F$2,,,Ccy,Conv)</f>
        <v>533</v>
      </c>
      <c r="N462" s="18">
        <f>_xll.ciqfunctions.udf.CIQ($C$2, "IQ_AR_UNBILLED", N$6,$F$2,,,Ccy,Conv)</f>
        <v>482</v>
      </c>
      <c r="O462" s="30"/>
      <c r="P462" s="18">
        <f>_xll.ciqfunctions.udf.CIQ($C$2, "IQ_AR_UNBILLED", P$6,$F$2,,,Ccy,Conv)</f>
        <v>482</v>
      </c>
      <c r="Q462" s="215"/>
      <c r="R462" s="215"/>
      <c r="S462" s="215"/>
      <c r="T462" s="215"/>
      <c r="U462" s="215"/>
      <c r="V462" s="222"/>
      <c r="W462" s="222"/>
      <c r="X462" s="222"/>
      <c r="Y462" s="215"/>
      <c r="Z462" s="215"/>
      <c r="AA462" s="215"/>
      <c r="AB462" s="215"/>
      <c r="AC462" s="215"/>
      <c r="AD462" s="215"/>
      <c r="AE462" s="215"/>
      <c r="AF462" s="215"/>
      <c r="AG462" s="215"/>
      <c r="AH462" s="215"/>
      <c r="AI462" s="215"/>
      <c r="AJ462" s="215"/>
      <c r="AK462" s="215"/>
      <c r="AL462" s="215"/>
      <c r="AM462" s="215"/>
      <c r="AN462" s="215"/>
      <c r="AO462" s="215"/>
      <c r="AP462" s="215"/>
      <c r="AQ462" s="215"/>
      <c r="AR462" s="215"/>
      <c r="AS462" s="215"/>
      <c r="AT462" s="215"/>
      <c r="AU462" s="215"/>
      <c r="AV462" s="215"/>
      <c r="AW462" s="215"/>
      <c r="AX462" s="215"/>
      <c r="AY462" s="215"/>
      <c r="AZ462" s="215"/>
      <c r="BA462" s="215"/>
      <c r="BB462" s="215"/>
      <c r="BC462" s="215"/>
      <c r="BD462" s="215"/>
      <c r="BE462" s="215"/>
      <c r="BF462" s="215"/>
      <c r="BG462" s="215"/>
      <c r="BH462" s="215"/>
      <c r="BI462" s="215"/>
      <c r="BJ462" s="215"/>
      <c r="BK462" s="215"/>
      <c r="BL462" s="215"/>
      <c r="BM462" s="215"/>
      <c r="BN462" s="215"/>
      <c r="BO462" s="215"/>
      <c r="BP462" s="215"/>
      <c r="BQ462" s="215"/>
      <c r="BR462" s="215"/>
      <c r="BS462" s="215"/>
      <c r="BT462" s="215"/>
      <c r="BU462" s="215"/>
      <c r="BV462" s="215"/>
      <c r="BW462" s="215"/>
      <c r="BX462" s="215"/>
      <c r="BY462" s="215"/>
      <c r="BZ462" s="215"/>
    </row>
    <row r="463" spans="1:78" x14ac:dyDescent="0.2">
      <c r="A463" s="2" t="str">
        <f>'Language Index'!A413</f>
        <v>Inventory Method</v>
      </c>
      <c r="B463" s="17"/>
      <c r="C463" s="17"/>
      <c r="D463" s="18">
        <f>_xll.ciqfunctions.udf.CIQ($C$2, "IQ_INV_METHOD", D$6,$F$2)</f>
        <v>0</v>
      </c>
      <c r="E463" s="18">
        <f>_xll.ciqfunctions.udf.CIQ($C$2, "IQ_INV_METHOD", E$6,$F$2)</f>
        <v>0</v>
      </c>
      <c r="F463" s="18" t="str">
        <f>_xll.ciqfunctions.udf.CIQ($C$2, "IQ_INV_METHOD", F$6,$F$2)</f>
        <v>Avg Cost</v>
      </c>
      <c r="G463" s="18">
        <f>_xll.ciqfunctions.udf.CIQ($C$2, "IQ_INV_METHOD", G$6,$F$2)</f>
        <v>0</v>
      </c>
      <c r="H463" s="18">
        <f>_xll.ciqfunctions.udf.CIQ($C$2, "IQ_INV_METHOD", H$6,$F$2)</f>
        <v>0</v>
      </c>
      <c r="I463" s="18">
        <f>_xll.ciqfunctions.udf.CIQ($C$2, "IQ_INV_METHOD", I$6,$F$2)</f>
        <v>0</v>
      </c>
      <c r="J463" s="18" t="str">
        <f>_xll.ciqfunctions.udf.CIQ($C$2, "IQ_INV_METHOD", J$6,$F$2)</f>
        <v>Avg Cost</v>
      </c>
      <c r="K463" s="18">
        <f>_xll.ciqfunctions.udf.CIQ($C$2, "IQ_INV_METHOD", K$6,$F$2)</f>
        <v>0</v>
      </c>
      <c r="L463" s="18">
        <f>_xll.ciqfunctions.udf.CIQ($C$2, "IQ_INV_METHOD", L$6,$F$2)</f>
        <v>0</v>
      </c>
      <c r="M463" s="18">
        <f>_xll.ciqfunctions.udf.CIQ($C$2, "IQ_INV_METHOD", M$6,$F$2)</f>
        <v>0</v>
      </c>
      <c r="N463" s="18" t="str">
        <f>_xll.ciqfunctions.udf.CIQ($C$2, "IQ_INV_METHOD", N$6,$F$2)</f>
        <v>Avg Cost</v>
      </c>
      <c r="O463" s="30"/>
      <c r="P463" s="18" t="str">
        <f>_xll.ciqfunctions.udf.CIQ($C$2, "IQ_INV_METHOD", P$6,$F$2)</f>
        <v>Avg Cost</v>
      </c>
      <c r="Q463" s="215"/>
      <c r="R463" s="215"/>
      <c r="S463" s="215"/>
      <c r="T463" s="215"/>
      <c r="U463" s="215"/>
      <c r="V463" s="222"/>
      <c r="W463" s="222"/>
      <c r="X463" s="222"/>
      <c r="Y463" s="215"/>
      <c r="Z463" s="215"/>
      <c r="AA463" s="215"/>
      <c r="AB463" s="215"/>
      <c r="AC463" s="215"/>
      <c r="AD463" s="215"/>
      <c r="AE463" s="215"/>
      <c r="AF463" s="215"/>
      <c r="AG463" s="215"/>
      <c r="AH463" s="215"/>
      <c r="AI463" s="215"/>
      <c r="AJ463" s="215"/>
      <c r="AK463" s="215"/>
      <c r="AL463" s="215"/>
      <c r="AM463" s="215"/>
      <c r="AN463" s="215"/>
      <c r="AO463" s="215"/>
      <c r="AP463" s="215"/>
      <c r="AQ463" s="215"/>
      <c r="AR463" s="215"/>
      <c r="AS463" s="215"/>
      <c r="AT463" s="215"/>
      <c r="AU463" s="215"/>
      <c r="AV463" s="215"/>
      <c r="AW463" s="215"/>
      <c r="AX463" s="215"/>
      <c r="AY463" s="215"/>
      <c r="AZ463" s="215"/>
      <c r="BA463" s="215"/>
      <c r="BB463" s="215"/>
      <c r="BC463" s="215"/>
      <c r="BD463" s="215"/>
      <c r="BE463" s="215"/>
      <c r="BF463" s="215"/>
      <c r="BG463" s="215"/>
      <c r="BH463" s="215"/>
      <c r="BI463" s="215"/>
      <c r="BJ463" s="215"/>
      <c r="BK463" s="215"/>
      <c r="BL463" s="215"/>
      <c r="BM463" s="215"/>
      <c r="BN463" s="215"/>
      <c r="BO463" s="215"/>
      <c r="BP463" s="215"/>
      <c r="BQ463" s="215"/>
      <c r="BR463" s="215"/>
      <c r="BS463" s="215"/>
      <c r="BT463" s="215"/>
      <c r="BU463" s="215"/>
      <c r="BV463" s="215"/>
      <c r="BW463" s="215"/>
      <c r="BX463" s="215"/>
      <c r="BY463" s="215"/>
      <c r="BZ463" s="215"/>
    </row>
    <row r="464" spans="1:78" x14ac:dyDescent="0.2">
      <c r="A464" s="2" t="str">
        <f>'Language Index'!A414</f>
        <v>LIFO Reserve</v>
      </c>
      <c r="B464" s="17"/>
      <c r="C464" s="17"/>
      <c r="D464" s="18">
        <f>_xll.ciqfunctions.udf.CIQ($C$2, "IQ_LIFOR", D$6,$F$2,,,Ccy,Conv)</f>
        <v>0</v>
      </c>
      <c r="E464" s="18">
        <f>_xll.ciqfunctions.udf.CIQ($C$2, "IQ_LIFOR", E$6,$F$2,,,Ccy,Conv)</f>
        <v>0</v>
      </c>
      <c r="F464" s="18">
        <f>_xll.ciqfunctions.udf.CIQ($C$2, "IQ_LIFOR", F$6,$F$2,,,Ccy,Conv)</f>
        <v>0</v>
      </c>
      <c r="G464" s="18">
        <f>_xll.ciqfunctions.udf.CIQ($C$2, "IQ_LIFOR", G$6,$F$2,,,Ccy,Conv)</f>
        <v>0</v>
      </c>
      <c r="H464" s="18">
        <f>_xll.ciqfunctions.udf.CIQ($C$2, "IQ_LIFOR", H$6,$F$2,,,Ccy,Conv)</f>
        <v>0</v>
      </c>
      <c r="I464" s="18">
        <f>_xll.ciqfunctions.udf.CIQ($C$2, "IQ_LIFOR", I$6,$F$2,,,Ccy,Conv)</f>
        <v>0</v>
      </c>
      <c r="J464" s="18">
        <f>_xll.ciqfunctions.udf.CIQ($C$2, "IQ_LIFOR", J$6,$F$2,,,Ccy,Conv)</f>
        <v>0</v>
      </c>
      <c r="K464" s="18">
        <f>_xll.ciqfunctions.udf.CIQ($C$2, "IQ_LIFOR", K$6,$F$2,,,Ccy,Conv)</f>
        <v>0</v>
      </c>
      <c r="L464" s="18">
        <f>_xll.ciqfunctions.udf.CIQ($C$2, "IQ_LIFOR", L$6,$F$2,,,Ccy,Conv)</f>
        <v>0</v>
      </c>
      <c r="M464" s="18">
        <f>_xll.ciqfunctions.udf.CIQ($C$2, "IQ_LIFOR", M$6,$F$2,,,Ccy,Conv)</f>
        <v>0</v>
      </c>
      <c r="N464" s="18">
        <f>_xll.ciqfunctions.udf.CIQ($C$2, "IQ_LIFOR", N$6,$F$2,,,Ccy,Conv)</f>
        <v>0</v>
      </c>
      <c r="O464" s="18"/>
      <c r="P464" s="18">
        <f>_xll.ciqfunctions.udf.CIQ($C$2, "IQ_LIFOR", P$6,$F$2,,,Ccy,Conv)</f>
        <v>0</v>
      </c>
      <c r="Q464" s="215"/>
      <c r="R464" s="215"/>
      <c r="S464" s="215"/>
      <c r="T464" s="215"/>
      <c r="U464" s="215"/>
      <c r="V464" s="222"/>
      <c r="W464" s="222"/>
      <c r="X464" s="222"/>
      <c r="Y464" s="215"/>
      <c r="Z464" s="215"/>
      <c r="AA464" s="215"/>
      <c r="AB464" s="215"/>
      <c r="AC464" s="215"/>
      <c r="AD464" s="215"/>
      <c r="AE464" s="215"/>
      <c r="AF464" s="215"/>
      <c r="AG464" s="215"/>
      <c r="AH464" s="215"/>
      <c r="AI464" s="215"/>
      <c r="AJ464" s="215"/>
      <c r="AK464" s="215"/>
      <c r="AL464" s="215"/>
      <c r="AM464" s="215"/>
      <c r="AN464" s="215"/>
      <c r="AO464" s="215"/>
      <c r="AP464" s="215"/>
      <c r="AQ464" s="215"/>
      <c r="AR464" s="215"/>
      <c r="AS464" s="215"/>
      <c r="AT464" s="215"/>
      <c r="AU464" s="215"/>
      <c r="AV464" s="215"/>
      <c r="AW464" s="215"/>
      <c r="AX464" s="215"/>
      <c r="AY464" s="215"/>
      <c r="AZ464" s="215"/>
      <c r="BA464" s="215"/>
      <c r="BB464" s="215"/>
      <c r="BC464" s="215"/>
      <c r="BD464" s="215"/>
      <c r="BE464" s="215"/>
      <c r="BF464" s="215"/>
      <c r="BG464" s="215"/>
      <c r="BH464" s="215"/>
      <c r="BI464" s="215"/>
      <c r="BJ464" s="215"/>
      <c r="BK464" s="215"/>
      <c r="BL464" s="215"/>
      <c r="BM464" s="215"/>
      <c r="BN464" s="215"/>
      <c r="BO464" s="215"/>
      <c r="BP464" s="215"/>
      <c r="BQ464" s="215"/>
      <c r="BR464" s="215"/>
      <c r="BS464" s="215"/>
      <c r="BT464" s="215"/>
      <c r="BU464" s="215"/>
      <c r="BV464" s="215"/>
      <c r="BW464" s="215"/>
      <c r="BX464" s="215"/>
      <c r="BY464" s="215"/>
      <c r="BZ464" s="215"/>
    </row>
    <row r="465" spans="1:78" x14ac:dyDescent="0.2">
      <c r="A465" s="2" t="str">
        <f>'Language Index'!A415</f>
        <v>Raw Materials Inventory</v>
      </c>
      <c r="B465" s="17"/>
      <c r="C465" s="17"/>
      <c r="D465" s="18">
        <f>_xll.ciqfunctions.udf.CIQ($C$2,"IQ_RAW_INV", D$6,$F$2,,,Ccy,Conv)</f>
        <v>0</v>
      </c>
      <c r="E465" s="18">
        <f>_xll.ciqfunctions.udf.CIQ($C$2,"IQ_RAW_INV", E$6,$F$2,,,Ccy,Conv)</f>
        <v>0</v>
      </c>
      <c r="F465" s="18">
        <f>_xll.ciqfunctions.udf.CIQ($C$2,"IQ_RAW_INV", F$6,$F$2,,,Ccy,Conv)</f>
        <v>0</v>
      </c>
      <c r="G465" s="18">
        <f>_xll.ciqfunctions.udf.CIQ($C$2,"IQ_RAW_INV", G$6,$F$2,,,Ccy,Conv)</f>
        <v>0</v>
      </c>
      <c r="H465" s="18">
        <f>_xll.ciqfunctions.udf.CIQ($C$2,"IQ_RAW_INV", H$6,$F$2,,,Ccy,Conv)</f>
        <v>0</v>
      </c>
      <c r="I465" s="18">
        <f>_xll.ciqfunctions.udf.CIQ($C$2,"IQ_RAW_INV", I$6,$F$2,,,Ccy,Conv)</f>
        <v>0</v>
      </c>
      <c r="J465" s="18">
        <f>_xll.ciqfunctions.udf.CIQ($C$2,"IQ_RAW_INV", J$6,$F$2,,,Ccy,Conv)</f>
        <v>0</v>
      </c>
      <c r="K465" s="18">
        <f>_xll.ciqfunctions.udf.CIQ($C$2,"IQ_RAW_INV", K$6,$F$2,,,Ccy,Conv)</f>
        <v>0</v>
      </c>
      <c r="L465" s="18">
        <f>_xll.ciqfunctions.udf.CIQ($C$2,"IQ_RAW_INV", L$6,$F$2,,,Ccy,Conv)</f>
        <v>0</v>
      </c>
      <c r="M465" s="18">
        <f>_xll.ciqfunctions.udf.CIQ($C$2,"IQ_RAW_INV", M$6,$F$2,,,Ccy,Conv)</f>
        <v>0</v>
      </c>
      <c r="N465" s="18">
        <f>_xll.ciqfunctions.udf.CIQ($C$2,"IQ_RAW_INV", N$6,$F$2,,,Ccy,Conv)</f>
        <v>0</v>
      </c>
      <c r="O465" s="30"/>
      <c r="P465" s="18">
        <f>_xll.ciqfunctions.udf.CIQ($C$2,"IQ_RAW_INV", P$6,$F$2,,,Ccy,Conv)</f>
        <v>0</v>
      </c>
      <c r="Q465" s="215"/>
      <c r="R465" s="215"/>
      <c r="S465" s="215"/>
      <c r="T465" s="215"/>
      <c r="U465" s="215"/>
      <c r="V465" s="222"/>
      <c r="W465" s="222"/>
      <c r="X465" s="222"/>
      <c r="Y465" s="215"/>
      <c r="Z465" s="215"/>
      <c r="AA465" s="215"/>
      <c r="AB465" s="215"/>
      <c r="AC465" s="215"/>
      <c r="AD465" s="215"/>
      <c r="AE465" s="215"/>
      <c r="AF465" s="215"/>
      <c r="AG465" s="215"/>
      <c r="AH465" s="215"/>
      <c r="AI465" s="215"/>
      <c r="AJ465" s="215"/>
      <c r="AK465" s="215"/>
      <c r="AL465" s="215"/>
      <c r="AM465" s="215"/>
      <c r="AN465" s="215"/>
      <c r="AO465" s="215"/>
      <c r="AP465" s="215"/>
      <c r="AQ465" s="215"/>
      <c r="AR465" s="215"/>
      <c r="AS465" s="215"/>
      <c r="AT465" s="215"/>
      <c r="AU465" s="215"/>
      <c r="AV465" s="215"/>
      <c r="AW465" s="215"/>
      <c r="AX465" s="215"/>
      <c r="AY465" s="215"/>
      <c r="AZ465" s="215"/>
      <c r="BA465" s="215"/>
      <c r="BB465" s="215"/>
      <c r="BC465" s="215"/>
      <c r="BD465" s="215"/>
      <c r="BE465" s="215"/>
      <c r="BF465" s="215"/>
      <c r="BG465" s="215"/>
      <c r="BH465" s="215"/>
      <c r="BI465" s="215"/>
      <c r="BJ465" s="215"/>
      <c r="BK465" s="215"/>
      <c r="BL465" s="215"/>
      <c r="BM465" s="215"/>
      <c r="BN465" s="215"/>
      <c r="BO465" s="215"/>
      <c r="BP465" s="215"/>
      <c r="BQ465" s="215"/>
      <c r="BR465" s="215"/>
      <c r="BS465" s="215"/>
      <c r="BT465" s="215"/>
      <c r="BU465" s="215"/>
      <c r="BV465" s="215"/>
      <c r="BW465" s="215"/>
      <c r="BX465" s="215"/>
      <c r="BY465" s="215"/>
      <c r="BZ465" s="215"/>
    </row>
    <row r="466" spans="1:78" x14ac:dyDescent="0.2">
      <c r="A466" s="2" t="str">
        <f>'Language Index'!A416</f>
        <v>Work in Progress Inventory</v>
      </c>
      <c r="B466" s="17"/>
      <c r="C466" s="17"/>
      <c r="D466" s="18">
        <f>_xll.ciqfunctions.udf.CIQ($C$2, "IQ_WIP_INV", D$6,$F$2,,,Ccy,Conv)</f>
        <v>1327</v>
      </c>
      <c r="E466" s="18">
        <f>_xll.ciqfunctions.udf.CIQ($C$2, "IQ_WIP_INV", E$6,$F$2,,,Ccy,Conv)</f>
        <v>1239</v>
      </c>
      <c r="F466" s="18">
        <f>_xll.ciqfunctions.udf.CIQ($C$2, "IQ_WIP_INV", F$6,$F$2,,,Ccy,Conv)</f>
        <v>1083</v>
      </c>
      <c r="G466" s="18">
        <f>_xll.ciqfunctions.udf.CIQ($C$2, "IQ_WIP_INV", G$6,$F$2,,,Ccy,Conv)</f>
        <v>1081</v>
      </c>
      <c r="H466" s="18">
        <f>_xll.ciqfunctions.udf.CIQ($C$2, "IQ_WIP_INV", H$6,$F$2,,,Ccy,Conv)</f>
        <v>1093</v>
      </c>
      <c r="I466" s="18">
        <f>_xll.ciqfunctions.udf.CIQ($C$2, "IQ_WIP_INV", I$6,$F$2,,,Ccy,Conv)</f>
        <v>1199</v>
      </c>
      <c r="J466" s="18">
        <f>_xll.ciqfunctions.udf.CIQ($C$2, "IQ_WIP_INV", J$6,$F$2,,,Ccy,Conv)</f>
        <v>1155</v>
      </c>
      <c r="K466" s="18">
        <f>_xll.ciqfunctions.udf.CIQ($C$2, "IQ_WIP_INV", K$6,$F$2,,,Ccy,Conv)</f>
        <v>1228</v>
      </c>
      <c r="L466" s="18">
        <f>_xll.ciqfunctions.udf.CIQ($C$2, "IQ_WIP_INV", L$6,$F$2,,,Ccy,Conv)</f>
        <v>1063</v>
      </c>
      <c r="M466" s="18">
        <f>_xll.ciqfunctions.udf.CIQ($C$2, "IQ_WIP_INV", M$6,$F$2,,,Ccy,Conv)</f>
        <v>1083</v>
      </c>
      <c r="N466" s="18">
        <f>_xll.ciqfunctions.udf.CIQ($C$2, "IQ_WIP_INV", N$6,$F$2,,,Ccy,Conv)</f>
        <v>990</v>
      </c>
      <c r="O466" s="30"/>
      <c r="P466" s="18">
        <f>_xll.ciqfunctions.udf.CIQ($C$2, "IQ_WIP_INV", P$6,$F$2,,,Ccy,Conv)</f>
        <v>990</v>
      </c>
      <c r="Q466" s="215"/>
      <c r="R466" s="215"/>
      <c r="S466" s="215"/>
      <c r="T466" s="215"/>
      <c r="U466" s="215"/>
      <c r="V466" s="222"/>
      <c r="W466" s="222"/>
      <c r="X466" s="215"/>
      <c r="Y466" s="215"/>
      <c r="Z466" s="215"/>
      <c r="AA466" s="215"/>
      <c r="AB466" s="215"/>
      <c r="AC466" s="215"/>
      <c r="AD466" s="215"/>
      <c r="AE466" s="215"/>
      <c r="AF466" s="215"/>
      <c r="AG466" s="215"/>
      <c r="AH466" s="215"/>
      <c r="AI466" s="215"/>
      <c r="AJ466" s="215"/>
      <c r="AK466" s="215"/>
      <c r="AL466" s="215"/>
      <c r="AM466" s="215"/>
      <c r="AN466" s="215"/>
      <c r="AO466" s="215"/>
      <c r="AP466" s="215"/>
      <c r="AQ466" s="215"/>
      <c r="AR466" s="215"/>
      <c r="AS466" s="215"/>
      <c r="AT466" s="215"/>
      <c r="AU466" s="215"/>
      <c r="AV466" s="215"/>
      <c r="AW466" s="215"/>
      <c r="AX466" s="215"/>
      <c r="AY466" s="215"/>
      <c r="AZ466" s="215"/>
      <c r="BA466" s="215"/>
      <c r="BB466" s="215"/>
      <c r="BC466" s="215"/>
      <c r="BD466" s="215"/>
      <c r="BE466" s="215"/>
      <c r="BF466" s="215"/>
      <c r="BG466" s="215"/>
      <c r="BH466" s="215"/>
      <c r="BI466" s="215"/>
      <c r="BJ466" s="215"/>
      <c r="BK466" s="215"/>
      <c r="BL466" s="215"/>
      <c r="BM466" s="215"/>
      <c r="BN466" s="215"/>
      <c r="BO466" s="215"/>
      <c r="BP466" s="215"/>
      <c r="BQ466" s="215"/>
      <c r="BR466" s="215"/>
      <c r="BS466" s="215"/>
      <c r="BT466" s="215"/>
      <c r="BU466" s="215"/>
      <c r="BV466" s="215"/>
      <c r="BW466" s="215"/>
      <c r="BX466" s="215"/>
      <c r="BY466" s="215"/>
      <c r="BZ466" s="215"/>
    </row>
    <row r="467" spans="1:78" x14ac:dyDescent="0.2">
      <c r="A467" s="2" t="str">
        <f>'Language Index'!A417</f>
        <v>Finished Goods Inventory</v>
      </c>
      <c r="B467" s="17"/>
      <c r="C467" s="17"/>
      <c r="D467" s="18">
        <f>_xll.ciqfunctions.udf.CIQ($C$2, "IQ_FINISHED_INV", D$6,$F$2,,,Ccy,Conv)</f>
        <v>174</v>
      </c>
      <c r="E467" s="18">
        <f>_xll.ciqfunctions.udf.CIQ($C$2, "IQ_FINISHED_INV", E$6,$F$2,,,Ccy,Conv)</f>
        <v>159</v>
      </c>
      <c r="F467" s="18">
        <f>_xll.ciqfunctions.udf.CIQ($C$2, "IQ_FINISHED_INV", F$6,$F$2,,,Ccy,Conv)</f>
        <v>78</v>
      </c>
      <c r="G467" s="18">
        <f>_xll.ciqfunctions.udf.CIQ($C$2, "IQ_FINISHED_INV", G$6,$F$2,,,Ccy,Conv)</f>
        <v>131</v>
      </c>
      <c r="H467" s="18">
        <f>_xll.ciqfunctions.udf.CIQ($C$2, "IQ_FINISHED_INV", H$6,$F$2,,,Ccy,Conv)</f>
        <v>141</v>
      </c>
      <c r="I467" s="18">
        <f>_xll.ciqfunctions.udf.CIQ($C$2, "IQ_FINISHED_INV", I$6,$F$2,,,Ccy,Conv)</f>
        <v>169</v>
      </c>
      <c r="J467" s="18">
        <f>_xll.ciqfunctions.udf.CIQ($C$2, "IQ_FINISHED_INV", J$6,$F$2,,,Ccy,Conv)</f>
        <v>134</v>
      </c>
      <c r="K467" s="18">
        <f>_xll.ciqfunctions.udf.CIQ($C$2, "IQ_FINISHED_INV", K$6,$F$2,,,Ccy,Conv)</f>
        <v>203</v>
      </c>
      <c r="L467" s="18">
        <f>_xll.ciqfunctions.udf.CIQ($C$2, "IQ_FINISHED_INV", L$6,$F$2,,,Ccy,Conv)</f>
        <v>188</v>
      </c>
      <c r="M467" s="18">
        <f>_xll.ciqfunctions.udf.CIQ($C$2, "IQ_FINISHED_INV", M$6,$F$2,,,Ccy,Conv)</f>
        <v>314</v>
      </c>
      <c r="N467" s="18">
        <f>_xll.ciqfunctions.udf.CIQ($C$2, "IQ_FINISHED_INV", N$6,$F$2,,,Ccy,Conv)</f>
        <v>230</v>
      </c>
      <c r="O467" s="30"/>
      <c r="P467" s="18">
        <f>_xll.ciqfunctions.udf.CIQ($C$2, "IQ_FINISHED_INV", P$6,$F$2,,,Ccy,Conv)</f>
        <v>230</v>
      </c>
      <c r="Q467" s="245"/>
      <c r="R467" s="215"/>
      <c r="S467" s="215"/>
      <c r="T467" s="215"/>
      <c r="U467" s="215"/>
      <c r="V467" s="222"/>
      <c r="W467" s="222"/>
      <c r="X467" s="222"/>
      <c r="Y467" s="215"/>
      <c r="Z467" s="215"/>
      <c r="AA467" s="215"/>
      <c r="AB467" s="215"/>
      <c r="AC467" s="215"/>
      <c r="AD467" s="215"/>
      <c r="AE467" s="215"/>
      <c r="AF467" s="215"/>
      <c r="AG467" s="215"/>
      <c r="AH467" s="215"/>
      <c r="AI467" s="215"/>
      <c r="AJ467" s="215"/>
      <c r="AK467" s="215"/>
      <c r="AL467" s="215"/>
      <c r="AM467" s="215"/>
      <c r="AN467" s="215"/>
      <c r="AO467" s="215"/>
      <c r="AP467" s="215"/>
      <c r="AQ467" s="215"/>
      <c r="AR467" s="215"/>
      <c r="AS467" s="215"/>
      <c r="AT467" s="215"/>
      <c r="AU467" s="215"/>
      <c r="AV467" s="215"/>
      <c r="AW467" s="215"/>
      <c r="AX467" s="215"/>
      <c r="AY467" s="215"/>
      <c r="AZ467" s="215"/>
      <c r="BA467" s="215"/>
      <c r="BB467" s="215"/>
      <c r="BC467" s="215"/>
      <c r="BD467" s="215"/>
      <c r="BE467" s="215"/>
      <c r="BF467" s="215"/>
      <c r="BG467" s="215"/>
      <c r="BH467" s="215"/>
      <c r="BI467" s="215"/>
      <c r="BJ467" s="215"/>
      <c r="BK467" s="215"/>
      <c r="BL467" s="215"/>
      <c r="BM467" s="215"/>
      <c r="BN467" s="215"/>
      <c r="BO467" s="215"/>
      <c r="BP467" s="215"/>
      <c r="BQ467" s="215"/>
      <c r="BR467" s="215"/>
      <c r="BS467" s="215"/>
      <c r="BT467" s="215"/>
      <c r="BU467" s="215"/>
      <c r="BV467" s="215"/>
      <c r="BW467" s="215"/>
      <c r="BX467" s="215"/>
      <c r="BY467" s="215"/>
      <c r="BZ467" s="215"/>
    </row>
    <row r="468" spans="1:78" x14ac:dyDescent="0.2">
      <c r="A468" s="2" t="str">
        <f>'Language Index'!A418</f>
        <v>Other Inventory Accounts</v>
      </c>
      <c r="B468" s="17"/>
      <c r="C468" s="17"/>
      <c r="D468" s="18">
        <f>_xll.ciqfunctions.udf.CIQ($C$2, "IQ_OTHER_INV", D$6,$F$2,,,Ccy,Conv)</f>
        <v>0</v>
      </c>
      <c r="E468" s="18">
        <f>_xll.ciqfunctions.udf.CIQ($C$2, "IQ_OTHER_INV", E$6,$F$2,,,Ccy,Conv)</f>
        <v>0</v>
      </c>
      <c r="F468" s="18">
        <f>_xll.ciqfunctions.udf.CIQ($C$2, "IQ_OTHER_INV", F$6,$F$2,,,Ccy,Conv)</f>
        <v>0</v>
      </c>
      <c r="G468" s="18">
        <f>_xll.ciqfunctions.udf.CIQ($C$2, "IQ_OTHER_INV", G$6,$F$2,,,Ccy,Conv)</f>
        <v>0</v>
      </c>
      <c r="H468" s="18">
        <f>_xll.ciqfunctions.udf.CIQ($C$2, "IQ_OTHER_INV", H$6,$F$2,,,Ccy,Conv)</f>
        <v>0</v>
      </c>
      <c r="I468" s="18">
        <f>_xll.ciqfunctions.udf.CIQ($C$2, "IQ_OTHER_INV", I$6,$F$2,,,Ccy,Conv)</f>
        <v>0</v>
      </c>
      <c r="J468" s="18">
        <f>_xll.ciqfunctions.udf.CIQ($C$2, "IQ_OTHER_INV", J$6,$F$2,,,Ccy,Conv)</f>
        <v>0</v>
      </c>
      <c r="K468" s="18">
        <f>_xll.ciqfunctions.udf.CIQ($C$2, "IQ_OTHER_INV", K$6,$F$2,,,Ccy,Conv)</f>
        <v>0</v>
      </c>
      <c r="L468" s="18">
        <f>_xll.ciqfunctions.udf.CIQ($C$2, "IQ_OTHER_INV", L$6,$F$2,,,Ccy,Conv)</f>
        <v>0</v>
      </c>
      <c r="M468" s="18">
        <f>_xll.ciqfunctions.udf.CIQ($C$2, "IQ_OTHER_INV", M$6,$F$2,,,Ccy,Conv)</f>
        <v>0</v>
      </c>
      <c r="N468" s="18">
        <f>_xll.ciqfunctions.udf.CIQ($C$2, "IQ_OTHER_INV", N$6,$F$2,,,Ccy,Conv)</f>
        <v>0</v>
      </c>
      <c r="O468" s="30"/>
      <c r="P468" s="18">
        <f>_xll.ciqfunctions.udf.CIQ($C$2, "IQ_OTHER_INV", P$6,$F$2,,,Ccy,Conv)</f>
        <v>0</v>
      </c>
      <c r="Q468" s="245"/>
      <c r="R468" s="215"/>
      <c r="S468" s="215"/>
      <c r="T468" s="215"/>
      <c r="U468" s="215"/>
      <c r="V468" s="222"/>
      <c r="W468" s="222"/>
      <c r="X468" s="222"/>
      <c r="Y468" s="215"/>
      <c r="Z468" s="215"/>
      <c r="AA468" s="215"/>
      <c r="AB468" s="215"/>
      <c r="AC468" s="215"/>
      <c r="AD468" s="215"/>
      <c r="AE468" s="215"/>
      <c r="AF468" s="215"/>
      <c r="AG468" s="215"/>
      <c r="AH468" s="215"/>
      <c r="AI468" s="215"/>
      <c r="AJ468" s="215"/>
      <c r="AK468" s="215"/>
      <c r="AL468" s="215"/>
      <c r="AM468" s="215"/>
      <c r="AN468" s="215"/>
      <c r="AO468" s="215"/>
      <c r="AP468" s="215"/>
      <c r="AQ468" s="215"/>
      <c r="AR468" s="215"/>
      <c r="AS468" s="215"/>
      <c r="AT468" s="215"/>
      <c r="AU468" s="215"/>
      <c r="AV468" s="215"/>
      <c r="AW468" s="215"/>
      <c r="AX468" s="215"/>
      <c r="AY468" s="215"/>
      <c r="AZ468" s="215"/>
      <c r="BA468" s="215"/>
      <c r="BB468" s="215"/>
      <c r="BC468" s="215"/>
      <c r="BD468" s="215"/>
      <c r="BE468" s="215"/>
      <c r="BF468" s="215"/>
      <c r="BG468" s="215"/>
      <c r="BH468" s="215"/>
      <c r="BI468" s="215"/>
      <c r="BJ468" s="215"/>
      <c r="BK468" s="215"/>
      <c r="BL468" s="215"/>
      <c r="BM468" s="215"/>
      <c r="BN468" s="215"/>
      <c r="BO468" s="215"/>
      <c r="BP468" s="215"/>
      <c r="BQ468" s="215"/>
      <c r="BR468" s="215"/>
      <c r="BS468" s="215"/>
      <c r="BT468" s="215"/>
      <c r="BU468" s="215"/>
      <c r="BV468" s="215"/>
      <c r="BW468" s="215"/>
      <c r="BX468" s="215"/>
      <c r="BY468" s="215"/>
      <c r="BZ468" s="215"/>
    </row>
    <row r="469" spans="1:78" x14ac:dyDescent="0.2">
      <c r="A469" s="2" t="str">
        <f>'Language Index'!A419</f>
        <v>Land</v>
      </c>
      <c r="B469" s="17"/>
      <c r="C469" s="17"/>
      <c r="D469" s="18">
        <f>_xll.ciqfunctions.udf.CIQ($C$2, "IQ_LAND", D$6,$F$2,,,Ccy,Conv)</f>
        <v>0</v>
      </c>
      <c r="E469" s="18">
        <f>_xll.ciqfunctions.udf.CIQ($C$2, "IQ_LAND", E$6,$F$2,,,Ccy,Conv)</f>
        <v>0</v>
      </c>
      <c r="F469" s="18">
        <f>_xll.ciqfunctions.udf.CIQ($C$2, "IQ_LAND", F$6,$F$2,,,Ccy,Conv)</f>
        <v>182</v>
      </c>
      <c r="G469" s="18">
        <f>_xll.ciqfunctions.udf.CIQ($C$2, "IQ_LAND", G$6,$F$2,,,Ccy,Conv)</f>
        <v>0</v>
      </c>
      <c r="H469" s="18">
        <f>_xll.ciqfunctions.udf.CIQ($C$2, "IQ_LAND", H$6,$F$2,,,Ccy,Conv)</f>
        <v>0</v>
      </c>
      <c r="I469" s="18">
        <f>_xll.ciqfunctions.udf.CIQ($C$2, "IQ_LAND", I$6,$F$2,,,Ccy,Conv)</f>
        <v>0</v>
      </c>
      <c r="J469" s="18">
        <f>_xll.ciqfunctions.udf.CIQ($C$2, "IQ_LAND", J$6,$F$2,,,Ccy,Conv)</f>
        <v>179</v>
      </c>
      <c r="K469" s="18">
        <f>_xll.ciqfunctions.udf.CIQ($C$2, "IQ_LAND", K$6,$F$2,,,Ccy,Conv)</f>
        <v>0</v>
      </c>
      <c r="L469" s="18">
        <f>_xll.ciqfunctions.udf.CIQ($C$2, "IQ_LAND", L$6,$F$2,,,Ccy,Conv)</f>
        <v>0</v>
      </c>
      <c r="M469" s="18">
        <f>_xll.ciqfunctions.udf.CIQ($C$2, "IQ_LAND", M$6,$F$2,,,Ccy,Conv)</f>
        <v>0</v>
      </c>
      <c r="N469" s="18">
        <f>_xll.ciqfunctions.udf.CIQ($C$2, "IQ_LAND", N$6,$F$2,,,Ccy,Conv)</f>
        <v>182</v>
      </c>
      <c r="O469" s="30"/>
      <c r="P469" s="18">
        <f>_xll.ciqfunctions.udf.CIQ($C$2, "IQ_LAND", P$6,$F$2,,,Ccy,Conv)</f>
        <v>182</v>
      </c>
      <c r="Q469" s="245"/>
      <c r="R469" s="215"/>
      <c r="S469" s="215"/>
      <c r="T469" s="215"/>
      <c r="U469" s="215"/>
      <c r="V469" s="222"/>
      <c r="W469" s="222"/>
      <c r="X469" s="222"/>
      <c r="Y469" s="215"/>
      <c r="Z469" s="215"/>
      <c r="AA469" s="215"/>
      <c r="AB469" s="215"/>
      <c r="AC469" s="215"/>
      <c r="AD469" s="215"/>
      <c r="AE469" s="215"/>
      <c r="AF469" s="215"/>
      <c r="AG469" s="215"/>
      <c r="AH469" s="215"/>
      <c r="AI469" s="215"/>
      <c r="AJ469" s="215"/>
      <c r="AK469" s="215"/>
      <c r="AL469" s="215"/>
      <c r="AM469" s="215"/>
      <c r="AN469" s="215"/>
      <c r="AO469" s="215"/>
      <c r="AP469" s="215"/>
      <c r="AQ469" s="215"/>
      <c r="AR469" s="215"/>
      <c r="AS469" s="215"/>
      <c r="AT469" s="215"/>
      <c r="AU469" s="215"/>
      <c r="AV469" s="215"/>
      <c r="AW469" s="215"/>
      <c r="AX469" s="215"/>
      <c r="AY469" s="215"/>
      <c r="AZ469" s="215"/>
      <c r="BA469" s="215"/>
      <c r="BB469" s="215"/>
      <c r="BC469" s="215"/>
      <c r="BD469" s="215"/>
      <c r="BE469" s="215"/>
      <c r="BF469" s="215"/>
      <c r="BG469" s="215"/>
      <c r="BH469" s="215"/>
      <c r="BI469" s="215"/>
      <c r="BJ469" s="215"/>
      <c r="BK469" s="215"/>
      <c r="BL469" s="215"/>
      <c r="BM469" s="215"/>
      <c r="BN469" s="215"/>
      <c r="BO469" s="215"/>
      <c r="BP469" s="215"/>
      <c r="BQ469" s="215"/>
      <c r="BR469" s="215"/>
      <c r="BS469" s="215"/>
      <c r="BT469" s="215"/>
      <c r="BU469" s="215"/>
      <c r="BV469" s="215"/>
      <c r="BW469" s="215"/>
      <c r="BX469" s="215"/>
      <c r="BY469" s="215"/>
      <c r="BZ469" s="215"/>
    </row>
    <row r="470" spans="1:78" x14ac:dyDescent="0.2">
      <c r="A470" s="2" t="str">
        <f>'Language Index'!A420</f>
        <v>Buildings</v>
      </c>
      <c r="B470" s="17"/>
      <c r="C470" s="17"/>
      <c r="D470" s="18">
        <f>_xll.ciqfunctions.udf.CIQ($C$2, "IQ_BUILDINGS", D$6,$F$2,,,Ccy,Conv)</f>
        <v>0</v>
      </c>
      <c r="E470" s="18">
        <f>_xll.ciqfunctions.udf.CIQ($C$2, "IQ_BUILDINGS", E$6,$F$2,,,Ccy,Conv)</f>
        <v>0</v>
      </c>
      <c r="F470" s="18">
        <f>_xll.ciqfunctions.udf.CIQ($C$2, "IQ_BUILDINGS", F$6,$F$2,,,Ccy,Conv)</f>
        <v>5333</v>
      </c>
      <c r="G470" s="18">
        <f>_xll.ciqfunctions.udf.CIQ($C$2, "IQ_BUILDINGS", G$6,$F$2,,,Ccy,Conv)</f>
        <v>0</v>
      </c>
      <c r="H470" s="18">
        <f>_xll.ciqfunctions.udf.CIQ($C$2, "IQ_BUILDINGS", H$6,$F$2,,,Ccy,Conv)</f>
        <v>0</v>
      </c>
      <c r="I470" s="18">
        <f>_xll.ciqfunctions.udf.CIQ($C$2, "IQ_BUILDINGS", I$6,$F$2,,,Ccy,Conv)</f>
        <v>0</v>
      </c>
      <c r="J470" s="18">
        <f>_xll.ciqfunctions.udf.CIQ($C$2, "IQ_BUILDINGS", J$6,$F$2,,,Ccy,Conv)</f>
        <v>4825</v>
      </c>
      <c r="K470" s="18">
        <f>_xll.ciqfunctions.udf.CIQ($C$2, "IQ_BUILDINGS", K$6,$F$2,,,Ccy,Conv)</f>
        <v>0</v>
      </c>
      <c r="L470" s="18">
        <f>_xll.ciqfunctions.udf.CIQ($C$2, "IQ_BUILDINGS", L$6,$F$2,,,Ccy,Conv)</f>
        <v>0</v>
      </c>
      <c r="M470" s="18">
        <f>_xll.ciqfunctions.udf.CIQ($C$2, "IQ_BUILDINGS", M$6,$F$2,,,Ccy,Conv)</f>
        <v>0</v>
      </c>
      <c r="N470" s="18">
        <f>_xll.ciqfunctions.udf.CIQ($C$2, "IQ_BUILDINGS", N$6,$F$2,,,Ccy,Conv)</f>
        <v>4807</v>
      </c>
      <c r="O470" s="30"/>
      <c r="P470" s="18">
        <f>_xll.ciqfunctions.udf.CIQ($C$2, "IQ_BUILDINGS", P$6,$F$2,,,Ccy,Conv)</f>
        <v>4807</v>
      </c>
      <c r="Q470" s="245"/>
      <c r="R470" s="215"/>
      <c r="S470" s="215"/>
      <c r="T470" s="215"/>
      <c r="U470" s="215"/>
      <c r="V470" s="222"/>
      <c r="W470" s="222"/>
      <c r="X470" s="222"/>
      <c r="Y470" s="215"/>
      <c r="Z470" s="215"/>
      <c r="AA470" s="215"/>
      <c r="AB470" s="215"/>
      <c r="AC470" s="215"/>
      <c r="AD470" s="215"/>
      <c r="AE470" s="215"/>
      <c r="AF470" s="215"/>
      <c r="AG470" s="215"/>
      <c r="AH470" s="215"/>
      <c r="AI470" s="215"/>
      <c r="AJ470" s="215"/>
      <c r="AK470" s="215"/>
      <c r="AL470" s="215"/>
      <c r="AM470" s="215"/>
      <c r="AN470" s="215"/>
      <c r="AO470" s="215"/>
      <c r="AP470" s="215"/>
      <c r="AQ470" s="215"/>
      <c r="AR470" s="215"/>
      <c r="AS470" s="215"/>
      <c r="AT470" s="215"/>
      <c r="AU470" s="215"/>
      <c r="AV470" s="215"/>
      <c r="AW470" s="215"/>
      <c r="AX470" s="215"/>
      <c r="AY470" s="215"/>
      <c r="AZ470" s="215"/>
      <c r="BA470" s="215"/>
      <c r="BB470" s="215"/>
      <c r="BC470" s="215"/>
      <c r="BD470" s="215"/>
      <c r="BE470" s="215"/>
      <c r="BF470" s="215"/>
      <c r="BG470" s="215"/>
      <c r="BH470" s="215"/>
      <c r="BI470" s="215"/>
      <c r="BJ470" s="215"/>
      <c r="BK470" s="215"/>
      <c r="BL470" s="215"/>
      <c r="BM470" s="215"/>
      <c r="BN470" s="215"/>
      <c r="BO470" s="215"/>
      <c r="BP470" s="215"/>
      <c r="BQ470" s="215"/>
      <c r="BR470" s="215"/>
      <c r="BS470" s="215"/>
      <c r="BT470" s="215"/>
      <c r="BU470" s="215"/>
      <c r="BV470" s="215"/>
      <c r="BW470" s="215"/>
      <c r="BX470" s="215"/>
      <c r="BY470" s="215"/>
      <c r="BZ470" s="215"/>
    </row>
    <row r="471" spans="1:78" x14ac:dyDescent="0.2">
      <c r="A471" s="2" t="str">
        <f>'Language Index'!A421</f>
        <v>Machinery</v>
      </c>
      <c r="B471" s="17"/>
      <c r="C471" s="17"/>
      <c r="D471" s="18">
        <f>_xll.ciqfunctions.udf.CIQ($C$2, "IQ_MACHINERY", D$6,$F$2,,,Ccy,Conv)</f>
        <v>0</v>
      </c>
      <c r="E471" s="18">
        <f>_xll.ciqfunctions.udf.CIQ($C$2, "IQ_MACHINERY", E$6,$F$2,,,Ccy,Conv)</f>
        <v>0</v>
      </c>
      <c r="F471" s="18">
        <f>_xll.ciqfunctions.udf.CIQ($C$2, "IQ_MACHINERY", F$6,$F$2,,,Ccy,Conv)</f>
        <v>12607</v>
      </c>
      <c r="G471" s="18">
        <f>_xll.ciqfunctions.udf.CIQ($C$2, "IQ_MACHINERY", G$6,$F$2,,,Ccy,Conv)</f>
        <v>0</v>
      </c>
      <c r="H471" s="18">
        <f>_xll.ciqfunctions.udf.CIQ($C$2, "IQ_MACHINERY", H$6,$F$2,,,Ccy,Conv)</f>
        <v>0</v>
      </c>
      <c r="I471" s="18">
        <f>_xll.ciqfunctions.udf.CIQ($C$2, "IQ_MACHINERY", I$6,$F$2,,,Ccy,Conv)</f>
        <v>0</v>
      </c>
      <c r="J471" s="18">
        <f>_xll.ciqfunctions.udf.CIQ($C$2, "IQ_MACHINERY", J$6,$F$2,,,Ccy,Conv)</f>
        <v>12687</v>
      </c>
      <c r="K471" s="18">
        <f>_xll.ciqfunctions.udf.CIQ($C$2, "IQ_MACHINERY", K$6,$F$2,,,Ccy,Conv)</f>
        <v>0</v>
      </c>
      <c r="L471" s="18">
        <f>_xll.ciqfunctions.udf.CIQ($C$2, "IQ_MACHINERY", L$6,$F$2,,,Ccy,Conv)</f>
        <v>0</v>
      </c>
      <c r="M471" s="18">
        <f>_xll.ciqfunctions.udf.CIQ($C$2, "IQ_MACHINERY", M$6,$F$2,,,Ccy,Conv)</f>
        <v>0</v>
      </c>
      <c r="N471" s="18">
        <f>_xll.ciqfunctions.udf.CIQ($C$2, "IQ_MACHINERY", N$6,$F$2,,,Ccy,Conv)</f>
        <v>12885</v>
      </c>
      <c r="O471" s="30"/>
      <c r="P471" s="18">
        <f>_xll.ciqfunctions.udf.CIQ($C$2, "IQ_MACHINERY", P$6,$F$2,,,Ccy,Conv)</f>
        <v>12885</v>
      </c>
      <c r="Q471" s="245"/>
      <c r="R471" s="215"/>
      <c r="S471" s="215"/>
      <c r="T471" s="215"/>
      <c r="U471" s="215"/>
      <c r="V471" s="222"/>
      <c r="W471" s="222"/>
      <c r="X471" s="222"/>
      <c r="Y471" s="215"/>
      <c r="Z471" s="215"/>
      <c r="AA471" s="215"/>
      <c r="AB471" s="215"/>
      <c r="AC471" s="215"/>
      <c r="AD471" s="215"/>
      <c r="AE471" s="215"/>
      <c r="AF471" s="215"/>
      <c r="AG471" s="215"/>
      <c r="AH471" s="215"/>
      <c r="AI471" s="215"/>
      <c r="AJ471" s="215"/>
      <c r="AK471" s="215"/>
      <c r="AL471" s="215"/>
      <c r="AM471" s="215"/>
      <c r="AN471" s="215"/>
      <c r="AO471" s="215"/>
      <c r="AP471" s="215"/>
      <c r="AQ471" s="215"/>
      <c r="AR471" s="215"/>
      <c r="AS471" s="215"/>
      <c r="AT471" s="215"/>
      <c r="AU471" s="215"/>
      <c r="AV471" s="215"/>
      <c r="AW471" s="215"/>
      <c r="AX471" s="215"/>
      <c r="AY471" s="215"/>
      <c r="AZ471" s="215"/>
      <c r="BA471" s="215"/>
      <c r="BB471" s="215"/>
      <c r="BC471" s="215"/>
      <c r="BD471" s="215"/>
      <c r="BE471" s="215"/>
      <c r="BF471" s="215"/>
      <c r="BG471" s="215"/>
      <c r="BH471" s="215"/>
      <c r="BI471" s="215"/>
      <c r="BJ471" s="215"/>
      <c r="BK471" s="215"/>
      <c r="BL471" s="215"/>
      <c r="BM471" s="215"/>
      <c r="BN471" s="215"/>
      <c r="BO471" s="215"/>
      <c r="BP471" s="215"/>
      <c r="BQ471" s="215"/>
      <c r="BR471" s="215"/>
      <c r="BS471" s="215"/>
      <c r="BT471" s="215"/>
      <c r="BU471" s="215"/>
      <c r="BV471" s="215"/>
      <c r="BW471" s="215"/>
      <c r="BX471" s="215"/>
      <c r="BY471" s="215"/>
      <c r="BZ471" s="215"/>
    </row>
    <row r="472" spans="1:78" x14ac:dyDescent="0.2">
      <c r="A472" s="2" t="str">
        <f>'Language Index'!A422</f>
        <v>Capitalized/Purchased Software</v>
      </c>
      <c r="B472" s="17"/>
      <c r="C472" s="17"/>
      <c r="D472" s="18">
        <f>_xll.ciqfunctions.udf.CIQ($C$2, "IQ_SOFTWARE", D$6,$F$2,,,Ccy,Conv)</f>
        <v>0</v>
      </c>
      <c r="E472" s="18">
        <f>_xll.ciqfunctions.udf.CIQ($C$2, "IQ_SOFTWARE", E$6,$F$2,,,Ccy,Conv)</f>
        <v>872</v>
      </c>
      <c r="F472" s="18">
        <f>_xll.ciqfunctions.udf.CIQ($C$2, "IQ_SOFTWARE", F$6,$F$2,,,Ccy,Conv)</f>
        <v>0</v>
      </c>
      <c r="G472" s="18">
        <f>_xll.ciqfunctions.udf.CIQ($C$2, "IQ_SOFTWARE", G$6,$F$2,,,Ccy,Conv)</f>
        <v>0</v>
      </c>
      <c r="H472" s="18">
        <f>_xll.ciqfunctions.udf.CIQ($C$2, "IQ_SOFTWARE", H$6,$F$2,,,Ccy,Conv)</f>
        <v>0</v>
      </c>
      <c r="I472" s="18">
        <f>_xll.ciqfunctions.udf.CIQ($C$2, "IQ_SOFTWARE", I$6,$F$2,,,Ccy,Conv)</f>
        <v>0</v>
      </c>
      <c r="J472" s="18">
        <f>_xll.ciqfunctions.udf.CIQ($C$2, "IQ_SOFTWARE", J$6,$F$2,,,Ccy,Conv)</f>
        <v>0</v>
      </c>
      <c r="K472" s="18">
        <f>_xll.ciqfunctions.udf.CIQ($C$2, "IQ_SOFTWARE", K$6,$F$2,,,Ccy,Conv)</f>
        <v>0</v>
      </c>
      <c r="L472" s="18">
        <f>_xll.ciqfunctions.udf.CIQ($C$2, "IQ_SOFTWARE", L$6,$F$2,,,Ccy,Conv)</f>
        <v>0</v>
      </c>
      <c r="M472" s="18">
        <f>_xll.ciqfunctions.udf.CIQ($C$2, "IQ_SOFTWARE", M$6,$F$2,,,Ccy,Conv)</f>
        <v>0</v>
      </c>
      <c r="N472" s="18">
        <f>_xll.ciqfunctions.udf.CIQ($C$2, "IQ_SOFTWARE", N$6,$F$2,,,Ccy,Conv)</f>
        <v>0</v>
      </c>
      <c r="O472" s="30"/>
      <c r="P472" s="18">
        <f>_xll.ciqfunctions.udf.CIQ($C$2, "IQ_SOFTWARE", P$6,$F$2,,,Ccy,Conv)</f>
        <v>0</v>
      </c>
      <c r="Q472" s="245"/>
      <c r="R472" s="215"/>
      <c r="S472" s="215"/>
      <c r="T472" s="215"/>
      <c r="U472" s="215"/>
      <c r="V472" s="222"/>
      <c r="W472" s="222"/>
      <c r="X472" s="222"/>
      <c r="Y472" s="215"/>
      <c r="Z472" s="215"/>
      <c r="AA472" s="215"/>
      <c r="AB472" s="215"/>
      <c r="AC472" s="215"/>
      <c r="AD472" s="215"/>
      <c r="AE472" s="215"/>
      <c r="AF472" s="215"/>
      <c r="AG472" s="215"/>
      <c r="AH472" s="215"/>
      <c r="AI472" s="215"/>
      <c r="AJ472" s="215"/>
      <c r="AK472" s="215"/>
      <c r="AL472" s="215"/>
      <c r="AM472" s="215"/>
      <c r="AN472" s="215"/>
      <c r="AO472" s="215"/>
      <c r="AP472" s="215"/>
      <c r="AQ472" s="215"/>
      <c r="AR472" s="215"/>
      <c r="AS472" s="215"/>
      <c r="AT472" s="215"/>
      <c r="AU472" s="215"/>
      <c r="AV472" s="215"/>
      <c r="AW472" s="215"/>
      <c r="AX472" s="215"/>
      <c r="AY472" s="215"/>
      <c r="AZ472" s="215"/>
      <c r="BA472" s="215"/>
      <c r="BB472" s="215"/>
      <c r="BC472" s="215"/>
      <c r="BD472" s="215"/>
      <c r="BE472" s="215"/>
      <c r="BF472" s="215"/>
      <c r="BG472" s="215"/>
      <c r="BH472" s="215"/>
      <c r="BI472" s="215"/>
      <c r="BJ472" s="215"/>
      <c r="BK472" s="215"/>
      <c r="BL472" s="215"/>
      <c r="BM472" s="215"/>
      <c r="BN472" s="215"/>
      <c r="BO472" s="215"/>
      <c r="BP472" s="215"/>
      <c r="BQ472" s="215"/>
      <c r="BR472" s="215"/>
      <c r="BS472" s="215"/>
      <c r="BT472" s="215"/>
      <c r="BU472" s="215"/>
      <c r="BV472" s="215"/>
      <c r="BW472" s="215"/>
      <c r="BX472" s="215"/>
      <c r="BY472" s="215"/>
      <c r="BZ472" s="215"/>
    </row>
    <row r="473" spans="1:78" x14ac:dyDescent="0.2">
      <c r="A473" s="2" t="str">
        <f>'Language Index'!A423</f>
        <v>Natural Resources, at Cost</v>
      </c>
      <c r="B473" s="17"/>
      <c r="C473" s="17"/>
      <c r="D473" s="18">
        <f>_xll.ciqfunctions.udf.CIQ($C$2, "IQ_NATURAL_RESOURCES_COST", D$6,$F$2,,,Ccy,Conv)</f>
        <v>0</v>
      </c>
      <c r="E473" s="18">
        <f>_xll.ciqfunctions.udf.CIQ($C$2, "IQ_NATURAL_RESOURCES_COST", E$6,$F$2,,,Ccy,Conv)</f>
        <v>0</v>
      </c>
      <c r="F473" s="18">
        <f>_xll.ciqfunctions.udf.CIQ($C$2, "IQ_NATURAL_RESOURCES_COST", F$6,$F$2,,,Ccy,Conv)</f>
        <v>0</v>
      </c>
      <c r="G473" s="18">
        <f>_xll.ciqfunctions.udf.CIQ($C$2, "IQ_NATURAL_RESOURCES_COST", G$6,$F$2,,,Ccy,Conv)</f>
        <v>0</v>
      </c>
      <c r="H473" s="18">
        <f>_xll.ciqfunctions.udf.CIQ($C$2, "IQ_NATURAL_RESOURCES_COST", H$6,$F$2,,,Ccy,Conv)</f>
        <v>0</v>
      </c>
      <c r="I473" s="18">
        <f>_xll.ciqfunctions.udf.CIQ($C$2, "IQ_NATURAL_RESOURCES_COST", I$6,$F$2,,,Ccy,Conv)</f>
        <v>0</v>
      </c>
      <c r="J473" s="18">
        <f>_xll.ciqfunctions.udf.CIQ($C$2, "IQ_NATURAL_RESOURCES_COST", J$6,$F$2,,,Ccy,Conv)</f>
        <v>0</v>
      </c>
      <c r="K473" s="18">
        <f>_xll.ciqfunctions.udf.CIQ($C$2, "IQ_NATURAL_RESOURCES_COST", K$6,$F$2,,,Ccy,Conv)</f>
        <v>0</v>
      </c>
      <c r="L473" s="18">
        <f>_xll.ciqfunctions.udf.CIQ($C$2, "IQ_NATURAL_RESOURCES_COST", L$6,$F$2,,,Ccy,Conv)</f>
        <v>0</v>
      </c>
      <c r="M473" s="18">
        <f>_xll.ciqfunctions.udf.CIQ($C$2, "IQ_NATURAL_RESOURCES_COST", M$6,$F$2,,,Ccy,Conv)</f>
        <v>0</v>
      </c>
      <c r="N473" s="18">
        <f>_xll.ciqfunctions.udf.CIQ($C$2, "IQ_NATURAL_RESOURCES_COST", N$6,$F$2,,,Ccy,Conv)</f>
        <v>0</v>
      </c>
      <c r="O473" s="30"/>
      <c r="P473" s="18">
        <f>_xll.ciqfunctions.udf.CIQ($C$2, "IQ_NATURAL_RESOURCES_COST", P$6,$F$2,,,Ccy,Conv)</f>
        <v>0</v>
      </c>
      <c r="Q473" s="245"/>
      <c r="R473" s="215"/>
      <c r="S473" s="215"/>
      <c r="T473" s="215"/>
      <c r="U473" s="215"/>
      <c r="V473" s="222"/>
      <c r="W473" s="222"/>
      <c r="X473" s="222"/>
      <c r="Y473" s="215"/>
      <c r="Z473" s="215"/>
      <c r="AA473" s="215"/>
      <c r="AB473" s="215"/>
      <c r="AC473" s="215"/>
      <c r="AD473" s="215"/>
      <c r="AE473" s="215"/>
      <c r="AF473" s="215"/>
      <c r="AG473" s="215"/>
      <c r="AH473" s="215"/>
      <c r="AI473" s="215"/>
      <c r="AJ473" s="215"/>
      <c r="AK473" s="215"/>
      <c r="AL473" s="215"/>
      <c r="AM473" s="215"/>
      <c r="AN473" s="215"/>
      <c r="AO473" s="215"/>
      <c r="AP473" s="215"/>
      <c r="AQ473" s="215"/>
      <c r="AR473" s="215"/>
      <c r="AS473" s="215"/>
      <c r="AT473" s="215"/>
      <c r="AU473" s="215"/>
      <c r="AV473" s="215"/>
      <c r="AW473" s="215"/>
      <c r="AX473" s="215"/>
      <c r="AY473" s="215"/>
      <c r="AZ473" s="215"/>
      <c r="BA473" s="215"/>
      <c r="BB473" s="215"/>
      <c r="BC473" s="215"/>
      <c r="BD473" s="215"/>
      <c r="BE473" s="215"/>
      <c r="BF473" s="215"/>
      <c r="BG473" s="215"/>
      <c r="BH473" s="215"/>
      <c r="BI473" s="215"/>
      <c r="BJ473" s="215"/>
      <c r="BK473" s="215"/>
      <c r="BL473" s="215"/>
      <c r="BM473" s="215"/>
      <c r="BN473" s="215"/>
      <c r="BO473" s="215"/>
      <c r="BP473" s="215"/>
      <c r="BQ473" s="215"/>
      <c r="BR473" s="215"/>
      <c r="BS473" s="215"/>
      <c r="BT473" s="215"/>
      <c r="BU473" s="215"/>
      <c r="BV473" s="215"/>
      <c r="BW473" s="215"/>
      <c r="BX473" s="215"/>
      <c r="BY473" s="215"/>
      <c r="BZ473" s="215"/>
    </row>
    <row r="474" spans="1:78" x14ac:dyDescent="0.2">
      <c r="A474" s="2" t="str">
        <f>'Language Index'!A424</f>
        <v>Construction in Progress</v>
      </c>
      <c r="B474" s="17"/>
      <c r="C474" s="17"/>
      <c r="D474" s="18">
        <f>_xll.ciqfunctions.udf.CIQ($C$2, "IQ_CIP", D$6,$F$2,,,Ccy,Conv)</f>
        <v>0</v>
      </c>
      <c r="E474" s="18">
        <f>_xll.ciqfunctions.udf.CIQ($C$2, "IQ_CIP", E$6,$F$2,,,Ccy,Conv)</f>
        <v>0</v>
      </c>
      <c r="F474" s="18">
        <f>_xll.ciqfunctions.udf.CIQ($C$2, "IQ_CIP", F$6,$F$2,,,Ccy,Conv)</f>
        <v>0</v>
      </c>
      <c r="G474" s="18">
        <f>_xll.ciqfunctions.udf.CIQ($C$2, "IQ_CIP", G$6,$F$2,,,Ccy,Conv)</f>
        <v>0</v>
      </c>
      <c r="H474" s="18">
        <f>_xll.ciqfunctions.udf.CIQ($C$2, "IQ_CIP", H$6,$F$2,,,Ccy,Conv)</f>
        <v>0</v>
      </c>
      <c r="I474" s="18">
        <f>_xll.ciqfunctions.udf.CIQ($C$2, "IQ_CIP", I$6,$F$2,,,Ccy,Conv)</f>
        <v>0</v>
      </c>
      <c r="J474" s="18">
        <f>_xll.ciqfunctions.udf.CIQ($C$2, "IQ_CIP", J$6,$F$2,,,Ccy,Conv)</f>
        <v>0</v>
      </c>
      <c r="K474" s="18">
        <f>_xll.ciqfunctions.udf.CIQ($C$2, "IQ_CIP", K$6,$F$2,,,Ccy,Conv)</f>
        <v>0</v>
      </c>
      <c r="L474" s="18">
        <f>_xll.ciqfunctions.udf.CIQ($C$2, "IQ_CIP", L$6,$F$2,,,Ccy,Conv)</f>
        <v>0</v>
      </c>
      <c r="M474" s="18">
        <f>_xll.ciqfunctions.udf.CIQ($C$2, "IQ_CIP", M$6,$F$2,,,Ccy,Conv)</f>
        <v>0</v>
      </c>
      <c r="N474" s="18">
        <f>_xll.ciqfunctions.udf.CIQ($C$2, "IQ_CIP", N$6,$F$2,,,Ccy,Conv)</f>
        <v>0</v>
      </c>
      <c r="O474" s="30"/>
      <c r="P474" s="18">
        <f>_xll.ciqfunctions.udf.CIQ($C$2, "IQ_CIP", P$6,$F$2,,,Ccy,Conv)</f>
        <v>0</v>
      </c>
      <c r="Q474" s="245"/>
      <c r="R474" s="215"/>
      <c r="S474" s="215"/>
      <c r="T474" s="215"/>
      <c r="U474" s="215"/>
      <c r="V474" s="222"/>
      <c r="W474" s="222"/>
      <c r="X474" s="222"/>
      <c r="Y474" s="215"/>
      <c r="Z474" s="215"/>
      <c r="AA474" s="215"/>
      <c r="AB474" s="215"/>
      <c r="AC474" s="215"/>
      <c r="AD474" s="215"/>
      <c r="AE474" s="215"/>
      <c r="AF474" s="215"/>
      <c r="AG474" s="215"/>
      <c r="AH474" s="215"/>
      <c r="AI474" s="215"/>
      <c r="AJ474" s="215"/>
      <c r="AK474" s="215"/>
      <c r="AL474" s="215"/>
      <c r="AM474" s="215"/>
      <c r="AN474" s="215"/>
      <c r="AO474" s="215"/>
      <c r="AP474" s="215"/>
      <c r="AQ474" s="215"/>
      <c r="AR474" s="215"/>
      <c r="AS474" s="215"/>
      <c r="AT474" s="215"/>
      <c r="AU474" s="215"/>
      <c r="AV474" s="215"/>
      <c r="AW474" s="215"/>
      <c r="AX474" s="215"/>
      <c r="AY474" s="215"/>
      <c r="AZ474" s="215"/>
      <c r="BA474" s="215"/>
      <c r="BB474" s="215"/>
      <c r="BC474" s="215"/>
      <c r="BD474" s="215"/>
      <c r="BE474" s="215"/>
      <c r="BF474" s="215"/>
      <c r="BG474" s="215"/>
      <c r="BH474" s="215"/>
      <c r="BI474" s="215"/>
      <c r="BJ474" s="215"/>
      <c r="BK474" s="215"/>
      <c r="BL474" s="215"/>
      <c r="BM474" s="215"/>
      <c r="BN474" s="215"/>
      <c r="BO474" s="215"/>
      <c r="BP474" s="215"/>
      <c r="BQ474" s="215"/>
      <c r="BR474" s="215"/>
      <c r="BS474" s="215"/>
      <c r="BT474" s="215"/>
      <c r="BU474" s="215"/>
      <c r="BV474" s="215"/>
      <c r="BW474" s="215"/>
      <c r="BX474" s="215"/>
      <c r="BY474" s="215"/>
      <c r="BZ474" s="215"/>
    </row>
    <row r="475" spans="1:78" x14ac:dyDescent="0.2">
      <c r="A475" s="2" t="str">
        <f>'Language Index'!A425</f>
        <v>Leasehold Improvements</v>
      </c>
      <c r="B475" s="17"/>
      <c r="C475" s="17"/>
      <c r="D475" s="18">
        <f>_xll.ciqfunctions.udf.CIQ($C$2, "IQ_LEASEHOLD_IMPROVEMENT", D$6,$F$2,,,Ccy,Conv)</f>
        <v>0</v>
      </c>
      <c r="E475" s="18">
        <f>_xll.ciqfunctions.udf.CIQ($C$2, "IQ_LEASEHOLD_IMPROVEMENT", E$6,$F$2,,,Ccy,Conv)</f>
        <v>0</v>
      </c>
      <c r="F475" s="18">
        <f>_xll.ciqfunctions.udf.CIQ($C$2, "IQ_LEASEHOLD_IMPROVEMENT", F$6,$F$2,,,Ccy,Conv)</f>
        <v>0</v>
      </c>
      <c r="G475" s="18">
        <f>_xll.ciqfunctions.udf.CIQ($C$2, "IQ_LEASEHOLD_IMPROVEMENT", G$6,$F$2,,,Ccy,Conv)</f>
        <v>0</v>
      </c>
      <c r="H475" s="18">
        <f>_xll.ciqfunctions.udf.CIQ($C$2, "IQ_LEASEHOLD_IMPROVEMENT", H$6,$F$2,,,Ccy,Conv)</f>
        <v>0</v>
      </c>
      <c r="I475" s="18">
        <f>_xll.ciqfunctions.udf.CIQ($C$2, "IQ_LEASEHOLD_IMPROVEMENT", I$6,$F$2,,,Ccy,Conv)</f>
        <v>0</v>
      </c>
      <c r="J475" s="18">
        <f>_xll.ciqfunctions.udf.CIQ($C$2, "IQ_LEASEHOLD_IMPROVEMENT", J$6,$F$2,,,Ccy,Conv)</f>
        <v>0</v>
      </c>
      <c r="K475" s="18">
        <f>_xll.ciqfunctions.udf.CIQ($C$2, "IQ_LEASEHOLD_IMPROVEMENT", K$6,$F$2,,,Ccy,Conv)</f>
        <v>0</v>
      </c>
      <c r="L475" s="18">
        <f>_xll.ciqfunctions.udf.CIQ($C$2, "IQ_LEASEHOLD_IMPROVEMENT", L$6,$F$2,,,Ccy,Conv)</f>
        <v>0</v>
      </c>
      <c r="M475" s="18">
        <f>_xll.ciqfunctions.udf.CIQ($C$2, "IQ_LEASEHOLD_IMPROVEMENT", M$6,$F$2,,,Ccy,Conv)</f>
        <v>0</v>
      </c>
      <c r="N475" s="18">
        <f>_xll.ciqfunctions.udf.CIQ($C$2, "IQ_LEASEHOLD_IMPROVEMENT", N$6,$F$2,,,Ccy,Conv)</f>
        <v>0</v>
      </c>
      <c r="O475" s="30"/>
      <c r="P475" s="18">
        <f>_xll.ciqfunctions.udf.CIQ($C$2, "IQ_LEASEHOLD_IMPROVEMENT", P$6,$F$2,,,Ccy,Conv)</f>
        <v>0</v>
      </c>
      <c r="Q475" s="245"/>
      <c r="R475" s="215"/>
      <c r="S475" s="215"/>
      <c r="T475" s="215"/>
      <c r="U475" s="215"/>
      <c r="V475" s="222"/>
      <c r="W475" s="222"/>
      <c r="X475" s="222"/>
      <c r="Y475" s="215"/>
      <c r="Z475" s="215"/>
      <c r="AA475" s="215"/>
      <c r="AB475" s="215"/>
      <c r="AC475" s="215"/>
      <c r="AD475" s="215"/>
      <c r="AE475" s="215"/>
      <c r="AF475" s="215"/>
      <c r="AG475" s="215"/>
      <c r="AH475" s="215"/>
      <c r="AI475" s="215"/>
      <c r="AJ475" s="215"/>
      <c r="AK475" s="215"/>
      <c r="AL475" s="215"/>
      <c r="AM475" s="215"/>
      <c r="AN475" s="215"/>
      <c r="AO475" s="215"/>
      <c r="AP475" s="215"/>
      <c r="AQ475" s="215"/>
      <c r="AR475" s="215"/>
      <c r="AS475" s="215"/>
      <c r="AT475" s="215"/>
      <c r="AU475" s="215"/>
      <c r="AV475" s="215"/>
      <c r="AW475" s="215"/>
      <c r="AX475" s="215"/>
      <c r="AY475" s="215"/>
      <c r="AZ475" s="215"/>
      <c r="BA475" s="215"/>
      <c r="BB475" s="215"/>
      <c r="BC475" s="215"/>
      <c r="BD475" s="215"/>
      <c r="BE475" s="215"/>
      <c r="BF475" s="215"/>
      <c r="BG475" s="215"/>
      <c r="BH475" s="215"/>
      <c r="BI475" s="215"/>
      <c r="BJ475" s="215"/>
      <c r="BK475" s="215"/>
      <c r="BL475" s="215"/>
      <c r="BM475" s="215"/>
      <c r="BN475" s="215"/>
      <c r="BO475" s="215"/>
      <c r="BP475" s="215"/>
      <c r="BQ475" s="215"/>
      <c r="BR475" s="215"/>
      <c r="BS475" s="215"/>
      <c r="BT475" s="215"/>
      <c r="BU475" s="215"/>
      <c r="BV475" s="215"/>
      <c r="BW475" s="215"/>
      <c r="BX475" s="215"/>
      <c r="BY475" s="215"/>
      <c r="BZ475" s="215"/>
    </row>
    <row r="476" spans="1:78" x14ac:dyDescent="0.2">
      <c r="A476" s="2" t="str">
        <f>'Language Index'!A426</f>
        <v>Redeemable Minority Interest</v>
      </c>
      <c r="B476" s="17"/>
      <c r="C476" s="17"/>
      <c r="D476" s="18">
        <f>_xll.ciqfunctions.udf.CIQ($C$2, "IQ_MINORITY_INT_REDEEM", D$6,$F$2,,,Ccy,Conv)</f>
        <v>0</v>
      </c>
      <c r="E476" s="18">
        <f>_xll.ciqfunctions.udf.CIQ($C$2, "IQ_MINORITY_INT_REDEEM", E$6,$F$2,,,Ccy,Conv)</f>
        <v>0</v>
      </c>
      <c r="F476" s="18">
        <f>_xll.ciqfunctions.udf.CIQ($C$2, "IQ_MINORITY_INT_REDEEM", F$6,$F$2,,,Ccy,Conv)</f>
        <v>0</v>
      </c>
      <c r="G476" s="18">
        <f>_xll.ciqfunctions.udf.CIQ($C$2, "IQ_MINORITY_INT_REDEEM", G$6,$F$2,,,Ccy,Conv)</f>
        <v>0</v>
      </c>
      <c r="H476" s="18">
        <f>_xll.ciqfunctions.udf.CIQ($C$2, "IQ_MINORITY_INT_REDEEM", H$6,$F$2,,,Ccy,Conv)</f>
        <v>0</v>
      </c>
      <c r="I476" s="18">
        <f>_xll.ciqfunctions.udf.CIQ($C$2, "IQ_MINORITY_INT_REDEEM", I$6,$F$2,,,Ccy,Conv)</f>
        <v>0</v>
      </c>
      <c r="J476" s="18">
        <f>_xll.ciqfunctions.udf.CIQ($C$2, "IQ_MINORITY_INT_REDEEM", J$6,$F$2,,,Ccy,Conv)</f>
        <v>0</v>
      </c>
      <c r="K476" s="18">
        <f>_xll.ciqfunctions.udf.CIQ($C$2, "IQ_MINORITY_INT_REDEEM", K$6,$F$2,,,Ccy,Conv)</f>
        <v>0</v>
      </c>
      <c r="L476" s="18">
        <f>_xll.ciqfunctions.udf.CIQ($C$2, "IQ_MINORITY_INT_REDEEM", L$6,$F$2,,,Ccy,Conv)</f>
        <v>0</v>
      </c>
      <c r="M476" s="18">
        <f>_xll.ciqfunctions.udf.CIQ($C$2, "IQ_MINORITY_INT_REDEEM", M$6,$F$2,,,Ccy,Conv)</f>
        <v>0</v>
      </c>
      <c r="N476" s="18">
        <f>_xll.ciqfunctions.udf.CIQ($C$2, "IQ_MINORITY_INT_REDEEM", N$6,$F$2,,,Ccy,Conv)</f>
        <v>0</v>
      </c>
      <c r="O476" s="30"/>
      <c r="P476" s="18">
        <f>_xll.ciqfunctions.udf.CIQ($C$2, "IQ_MINORITY_INT_REDEEM", P$6,$F$2,,,Ccy,Conv)</f>
        <v>0</v>
      </c>
      <c r="Q476" s="245"/>
      <c r="R476" s="215"/>
      <c r="S476" s="215"/>
      <c r="T476" s="215"/>
      <c r="U476" s="215"/>
      <c r="V476" s="222"/>
      <c r="W476" s="222"/>
      <c r="X476" s="222"/>
      <c r="Y476" s="215"/>
      <c r="Z476" s="215"/>
      <c r="AA476" s="215"/>
      <c r="AB476" s="215"/>
      <c r="AC476" s="215"/>
      <c r="AD476" s="215"/>
      <c r="AE476" s="215"/>
      <c r="AF476" s="215"/>
      <c r="AG476" s="215"/>
      <c r="AH476" s="215"/>
      <c r="AI476" s="215"/>
      <c r="AJ476" s="215"/>
      <c r="AK476" s="215"/>
      <c r="AL476" s="215"/>
      <c r="AM476" s="215"/>
      <c r="AN476" s="215"/>
      <c r="AO476" s="215"/>
      <c r="AP476" s="215"/>
      <c r="AQ476" s="215"/>
      <c r="AR476" s="215"/>
      <c r="AS476" s="215"/>
      <c r="AT476" s="215"/>
      <c r="AU476" s="215"/>
      <c r="AV476" s="215"/>
      <c r="AW476" s="215"/>
      <c r="AX476" s="215"/>
      <c r="AY476" s="215"/>
      <c r="AZ476" s="215"/>
      <c r="BA476" s="215"/>
      <c r="BB476" s="215"/>
      <c r="BC476" s="215"/>
      <c r="BD476" s="215"/>
      <c r="BE476" s="215"/>
      <c r="BF476" s="215"/>
      <c r="BG476" s="215"/>
      <c r="BH476" s="215"/>
      <c r="BI476" s="215"/>
      <c r="BJ476" s="215"/>
      <c r="BK476" s="215"/>
      <c r="BL476" s="215"/>
      <c r="BM476" s="215"/>
      <c r="BN476" s="215"/>
      <c r="BO476" s="215"/>
      <c r="BP476" s="215"/>
      <c r="BQ476" s="215"/>
      <c r="BR476" s="215"/>
      <c r="BS476" s="215"/>
      <c r="BT476" s="215"/>
      <c r="BU476" s="215"/>
      <c r="BV476" s="215"/>
      <c r="BW476" s="215"/>
      <c r="BX476" s="215"/>
      <c r="BY476" s="215"/>
      <c r="BZ476" s="215"/>
    </row>
    <row r="477" spans="1:78" x14ac:dyDescent="0.2">
      <c r="A477" s="2" t="str">
        <f>'Language Index'!A427</f>
        <v>Finance Division Redeemable Minority Interest</v>
      </c>
      <c r="B477" s="17"/>
      <c r="C477" s="17"/>
      <c r="D477" s="18">
        <f>_xll.ciqfunctions.udf.CIQ($C$2, "IQ_FIN_DIV_MINORITY_INT_REDEEM", D$6,$F$2,,,Ccy,Conv)</f>
        <v>0</v>
      </c>
      <c r="E477" s="18">
        <f>_xll.ciqfunctions.udf.CIQ($C$2, "IQ_FIN_DIV_MINORITY_INT_REDEEM", E$6,$F$2,,,Ccy,Conv)</f>
        <v>0</v>
      </c>
      <c r="F477" s="18">
        <f>_xll.ciqfunctions.udf.CIQ($C$2, "IQ_FIN_DIV_MINORITY_INT_REDEEM", F$6,$F$2,,,Ccy,Conv)</f>
        <v>0</v>
      </c>
      <c r="G477" s="18">
        <f>_xll.ciqfunctions.udf.CIQ($C$2, "IQ_FIN_DIV_MINORITY_INT_REDEEM", G$6,$F$2,,,Ccy,Conv)</f>
        <v>0</v>
      </c>
      <c r="H477" s="18">
        <f>_xll.ciqfunctions.udf.CIQ($C$2, "IQ_FIN_DIV_MINORITY_INT_REDEEM", H$6,$F$2,,,Ccy,Conv)</f>
        <v>0</v>
      </c>
      <c r="I477" s="18">
        <f>_xll.ciqfunctions.udf.CIQ($C$2, "IQ_FIN_DIV_MINORITY_INT_REDEEM", I$6,$F$2,,,Ccy,Conv)</f>
        <v>0</v>
      </c>
      <c r="J477" s="18">
        <f>_xll.ciqfunctions.udf.CIQ($C$2, "IQ_FIN_DIV_MINORITY_INT_REDEEM", J$6,$F$2,,,Ccy,Conv)</f>
        <v>0</v>
      </c>
      <c r="K477" s="18">
        <f>_xll.ciqfunctions.udf.CIQ($C$2, "IQ_FIN_DIV_MINORITY_INT_REDEEM", K$6,$F$2,,,Ccy,Conv)</f>
        <v>0</v>
      </c>
      <c r="L477" s="18">
        <f>_xll.ciqfunctions.udf.CIQ($C$2, "IQ_FIN_DIV_MINORITY_INT_REDEEM", L$6,$F$2,,,Ccy,Conv)</f>
        <v>0</v>
      </c>
      <c r="M477" s="18">
        <f>_xll.ciqfunctions.udf.CIQ($C$2, "IQ_FIN_DIV_MINORITY_INT_REDEEM", M$6,$F$2,,,Ccy,Conv)</f>
        <v>0</v>
      </c>
      <c r="N477" s="18">
        <f>_xll.ciqfunctions.udf.CIQ($C$2, "IQ_FIN_DIV_MINORITY_INT_REDEEM", N$6,$F$2,,,Ccy,Conv)</f>
        <v>0</v>
      </c>
      <c r="O477" s="30"/>
      <c r="P477" s="18">
        <f>_xll.ciqfunctions.udf.CIQ($C$2, "IQ_FIN_DIV_MINORITY_INT_REDEEM", P$6,$F$2,,,Ccy,Conv)</f>
        <v>0</v>
      </c>
      <c r="Q477" s="245"/>
      <c r="R477" s="215"/>
      <c r="S477" s="215"/>
      <c r="T477" s="215"/>
      <c r="U477" s="215"/>
      <c r="V477" s="222"/>
      <c r="W477" s="222"/>
      <c r="X477" s="222"/>
      <c r="Y477" s="215"/>
      <c r="Z477" s="215"/>
      <c r="AA477" s="215"/>
      <c r="AB477" s="215"/>
      <c r="AC477" s="215"/>
      <c r="AD477" s="215"/>
      <c r="AE477" s="215"/>
      <c r="AF477" s="215"/>
      <c r="AG477" s="215"/>
      <c r="AH477" s="215"/>
      <c r="AI477" s="215"/>
      <c r="AJ477" s="215"/>
      <c r="AK477" s="215"/>
      <c r="AL477" s="215"/>
      <c r="AM477" s="215"/>
      <c r="AN477" s="215"/>
      <c r="AO477" s="215"/>
      <c r="AP477" s="215"/>
      <c r="AQ477" s="215"/>
      <c r="AR477" s="215"/>
      <c r="AS477" s="215"/>
      <c r="AT477" s="215"/>
      <c r="AU477" s="215"/>
      <c r="AV477" s="215"/>
      <c r="AW477" s="215"/>
      <c r="AX477" s="215"/>
      <c r="AY477" s="215"/>
      <c r="AZ477" s="215"/>
      <c r="BA477" s="215"/>
      <c r="BB477" s="215"/>
      <c r="BC477" s="215"/>
      <c r="BD477" s="215"/>
      <c r="BE477" s="215"/>
      <c r="BF477" s="215"/>
      <c r="BG477" s="215"/>
      <c r="BH477" s="215"/>
      <c r="BI477" s="215"/>
      <c r="BJ477" s="215"/>
      <c r="BK477" s="215"/>
      <c r="BL477" s="215"/>
      <c r="BM477" s="215"/>
      <c r="BN477" s="215"/>
      <c r="BO477" s="215"/>
      <c r="BP477" s="215"/>
      <c r="BQ477" s="215"/>
      <c r="BR477" s="215"/>
      <c r="BS477" s="215"/>
      <c r="BT477" s="215"/>
      <c r="BU477" s="215"/>
      <c r="BV477" s="215"/>
      <c r="BW477" s="215"/>
      <c r="BX477" s="215"/>
      <c r="BY477" s="215"/>
      <c r="BZ477" s="215"/>
    </row>
    <row r="478" spans="1:78" x14ac:dyDescent="0.2">
      <c r="A478" s="2" t="str">
        <f>'Language Index'!A428</f>
        <v>Total Redeemable Minority Interest</v>
      </c>
      <c r="B478" s="17"/>
      <c r="C478" s="17"/>
      <c r="D478" s="18">
        <f>_xll.ciqfunctions.udf.CIQ($C$2, "IQ_MINORITY_INT_REDEEM_TOT", D$6,$F$2,,,Ccy,Conv)</f>
        <v>0</v>
      </c>
      <c r="E478" s="18">
        <f>_xll.ciqfunctions.udf.CIQ($C$2, "IQ_MINORITY_INT_REDEEM_TOT", E$6,$F$2,,,Ccy,Conv)</f>
        <v>0</v>
      </c>
      <c r="F478" s="18">
        <f>_xll.ciqfunctions.udf.CIQ($C$2, "IQ_MINORITY_INT_REDEEM_TOT", F$6,$F$2,,,Ccy,Conv)</f>
        <v>0</v>
      </c>
      <c r="G478" s="18">
        <f>_xll.ciqfunctions.udf.CIQ($C$2, "IQ_MINORITY_INT_REDEEM_TOT", G$6,$F$2,,,Ccy,Conv)</f>
        <v>0</v>
      </c>
      <c r="H478" s="18">
        <f>_xll.ciqfunctions.udf.CIQ($C$2, "IQ_MINORITY_INT_REDEEM_TOT", H$6,$F$2,,,Ccy,Conv)</f>
        <v>0</v>
      </c>
      <c r="I478" s="18">
        <f>_xll.ciqfunctions.udf.CIQ($C$2, "IQ_MINORITY_INT_REDEEM_TOT", I$6,$F$2,,,Ccy,Conv)</f>
        <v>0</v>
      </c>
      <c r="J478" s="18">
        <f>_xll.ciqfunctions.udf.CIQ($C$2, "IQ_MINORITY_INT_REDEEM_TOT", J$6,$F$2,,,Ccy,Conv)</f>
        <v>0</v>
      </c>
      <c r="K478" s="18">
        <f>_xll.ciqfunctions.udf.CIQ($C$2, "IQ_MINORITY_INT_REDEEM_TOT", K$6,$F$2,,,Ccy,Conv)</f>
        <v>0</v>
      </c>
      <c r="L478" s="18">
        <f>_xll.ciqfunctions.udf.CIQ($C$2, "IQ_MINORITY_INT_REDEEM_TOT", L$6,$F$2,,,Ccy,Conv)</f>
        <v>0</v>
      </c>
      <c r="M478" s="18">
        <f>_xll.ciqfunctions.udf.CIQ($C$2, "IQ_MINORITY_INT_REDEEM_TOT", M$6,$F$2,,,Ccy,Conv)</f>
        <v>0</v>
      </c>
      <c r="N478" s="18">
        <f>_xll.ciqfunctions.udf.CIQ($C$2, "IQ_MINORITY_INT_REDEEM_TOT", N$6,$F$2,,,Ccy,Conv)</f>
        <v>0</v>
      </c>
      <c r="O478" s="30"/>
      <c r="P478" s="18">
        <f>_xll.ciqfunctions.udf.CIQ($C$2, "IQ_MINORITY_INT_REDEEM_TOT", P$6,$F$2,,,Ccy,Conv)</f>
        <v>0</v>
      </c>
      <c r="Q478" s="245"/>
      <c r="R478" s="215"/>
      <c r="S478" s="215"/>
      <c r="T478" s="215"/>
      <c r="U478" s="215"/>
      <c r="V478" s="222"/>
      <c r="W478" s="222"/>
      <c r="X478" s="222"/>
      <c r="Y478" s="215"/>
      <c r="Z478" s="215"/>
      <c r="AA478" s="215"/>
      <c r="AB478" s="215"/>
      <c r="AC478" s="215"/>
      <c r="AD478" s="215"/>
      <c r="AE478" s="215"/>
      <c r="AF478" s="215"/>
      <c r="AG478" s="215"/>
      <c r="AH478" s="215"/>
      <c r="AI478" s="215"/>
      <c r="AJ478" s="215"/>
      <c r="AK478" s="215"/>
      <c r="AL478" s="215"/>
      <c r="AM478" s="215"/>
      <c r="AN478" s="215"/>
      <c r="AO478" s="215"/>
      <c r="AP478" s="215"/>
      <c r="AQ478" s="215"/>
      <c r="AR478" s="215"/>
      <c r="AS478" s="215"/>
      <c r="AT478" s="215"/>
      <c r="AU478" s="215"/>
      <c r="AV478" s="215"/>
      <c r="AW478" s="215"/>
      <c r="AX478" s="215"/>
      <c r="AY478" s="215"/>
      <c r="AZ478" s="215"/>
      <c r="BA478" s="215"/>
      <c r="BB478" s="215"/>
      <c r="BC478" s="215"/>
      <c r="BD478" s="215"/>
      <c r="BE478" s="215"/>
      <c r="BF478" s="215"/>
      <c r="BG478" s="215"/>
      <c r="BH478" s="215"/>
      <c r="BI478" s="215"/>
      <c r="BJ478" s="215"/>
      <c r="BK478" s="215"/>
      <c r="BL478" s="215"/>
      <c r="BM478" s="215"/>
      <c r="BN478" s="215"/>
      <c r="BO478" s="215"/>
      <c r="BP478" s="215"/>
      <c r="BQ478" s="215"/>
      <c r="BR478" s="215"/>
      <c r="BS478" s="215"/>
      <c r="BT478" s="215"/>
      <c r="BU478" s="215"/>
      <c r="BV478" s="215"/>
      <c r="BW478" s="215"/>
      <c r="BX478" s="215"/>
      <c r="BY478" s="215"/>
      <c r="BZ478" s="215"/>
    </row>
    <row r="479" spans="1:78" x14ac:dyDescent="0.2">
      <c r="A479" s="2" t="str">
        <f>'Language Index'!A429</f>
        <v>Finance Division Minority Interest</v>
      </c>
      <c r="B479" s="17"/>
      <c r="C479" s="17"/>
      <c r="D479" s="18">
        <f>_xll.ciqfunctions.udf.CIQ($C$2, "IQ_FIN_DIV_MINORITY_INTEREST", D$6,$F$2,,,Ccy,Conv)</f>
        <v>0</v>
      </c>
      <c r="E479" s="18">
        <f>_xll.ciqfunctions.udf.CIQ($C$2, "IQ_FIN_DIV_MINORITY_INTEREST", E$6,$F$2,,,Ccy,Conv)</f>
        <v>0</v>
      </c>
      <c r="F479" s="18">
        <f>_xll.ciqfunctions.udf.CIQ($C$2, "IQ_FIN_DIV_MINORITY_INTEREST", F$6,$F$2,,,Ccy,Conv)</f>
        <v>0</v>
      </c>
      <c r="G479" s="18">
        <f>_xll.ciqfunctions.udf.CIQ($C$2, "IQ_FIN_DIV_MINORITY_INTEREST", G$6,$F$2,,,Ccy,Conv)</f>
        <v>0</v>
      </c>
      <c r="H479" s="18">
        <f>_xll.ciqfunctions.udf.CIQ($C$2, "IQ_FIN_DIV_MINORITY_INTEREST", H$6,$F$2,,,Ccy,Conv)</f>
        <v>0</v>
      </c>
      <c r="I479" s="18">
        <f>_xll.ciqfunctions.udf.CIQ($C$2, "IQ_FIN_DIV_MINORITY_INTEREST", I$6,$F$2,,,Ccy,Conv)</f>
        <v>0</v>
      </c>
      <c r="J479" s="18">
        <f>_xll.ciqfunctions.udf.CIQ($C$2, "IQ_FIN_DIV_MINORITY_INTEREST", J$6,$F$2,,,Ccy,Conv)</f>
        <v>0</v>
      </c>
      <c r="K479" s="18">
        <f>_xll.ciqfunctions.udf.CIQ($C$2, "IQ_FIN_DIV_MINORITY_INTEREST", K$6,$F$2,,,Ccy,Conv)</f>
        <v>0</v>
      </c>
      <c r="L479" s="18">
        <f>_xll.ciqfunctions.udf.CIQ($C$2, "IQ_FIN_DIV_MINORITY_INTEREST", L$6,$F$2,,,Ccy,Conv)</f>
        <v>0</v>
      </c>
      <c r="M479" s="18">
        <f>_xll.ciqfunctions.udf.CIQ($C$2, "IQ_FIN_DIV_MINORITY_INTEREST", M$6,$F$2,,,Ccy,Conv)</f>
        <v>0</v>
      </c>
      <c r="N479" s="18">
        <f>_xll.ciqfunctions.udf.CIQ($C$2, "IQ_FIN_DIV_MINORITY_INTEREST", N$6,$F$2,,,Ccy,Conv)</f>
        <v>0</v>
      </c>
      <c r="O479" s="30"/>
      <c r="P479" s="18">
        <f>_xll.ciqfunctions.udf.CIQ($C$2, "IQ_FIN_DIV_MINORITY_INTEREST", P$6,$F$2,,,Ccy,Conv)</f>
        <v>0</v>
      </c>
      <c r="Q479" s="245"/>
      <c r="R479" s="215"/>
      <c r="S479" s="215"/>
      <c r="T479" s="215"/>
      <c r="U479" s="215"/>
      <c r="V479" s="222"/>
      <c r="W479" s="222"/>
      <c r="X479" s="222"/>
      <c r="Y479" s="215"/>
      <c r="Z479" s="215"/>
      <c r="AA479" s="215"/>
      <c r="AB479" s="215"/>
      <c r="AC479" s="215"/>
      <c r="AD479" s="215"/>
      <c r="AE479" s="215"/>
      <c r="AF479" s="215"/>
      <c r="AG479" s="215"/>
      <c r="AH479" s="215"/>
      <c r="AI479" s="215"/>
      <c r="AJ479" s="215"/>
      <c r="AK479" s="215"/>
      <c r="AL479" s="215"/>
      <c r="AM479" s="215"/>
      <c r="AN479" s="215"/>
      <c r="AO479" s="215"/>
      <c r="AP479" s="215"/>
      <c r="AQ479" s="215"/>
      <c r="AR479" s="215"/>
      <c r="AS479" s="215"/>
      <c r="AT479" s="215"/>
      <c r="AU479" s="215"/>
      <c r="AV479" s="215"/>
      <c r="AW479" s="215"/>
      <c r="AX479" s="215"/>
      <c r="AY479" s="215"/>
      <c r="AZ479" s="215"/>
      <c r="BA479" s="215"/>
      <c r="BB479" s="215"/>
      <c r="BC479" s="215"/>
      <c r="BD479" s="215"/>
      <c r="BE479" s="215"/>
      <c r="BF479" s="215"/>
      <c r="BG479" s="215"/>
      <c r="BH479" s="215"/>
      <c r="BI479" s="215"/>
      <c r="BJ479" s="215"/>
      <c r="BK479" s="215"/>
      <c r="BL479" s="215"/>
      <c r="BM479" s="215"/>
      <c r="BN479" s="215"/>
      <c r="BO479" s="215"/>
      <c r="BP479" s="215"/>
      <c r="BQ479" s="215"/>
      <c r="BR479" s="215"/>
      <c r="BS479" s="215"/>
      <c r="BT479" s="215"/>
      <c r="BU479" s="215"/>
      <c r="BV479" s="215"/>
      <c r="BW479" s="215"/>
      <c r="BX479" s="215"/>
      <c r="BY479" s="215"/>
      <c r="BZ479" s="215"/>
    </row>
    <row r="480" spans="1:78" x14ac:dyDescent="0.2">
      <c r="A480" s="2" t="str">
        <f>'Language Index'!A430</f>
        <v>Deferred Tax Valuation Allowance</v>
      </c>
      <c r="B480" s="17"/>
      <c r="C480" s="17"/>
      <c r="D480" s="18">
        <f>_xll.ciqfunctions.udf.CIQ($C$2, "IQ_DEF_TAX_VALUATION_ALLOWANCE", D$6,$F$2,,,Ccy,Conv)</f>
        <v>0</v>
      </c>
      <c r="E480" s="18">
        <f>_xll.ciqfunctions.udf.CIQ($C$2, "IQ_DEF_TAX_VALUATION_ALLOWANCE", E$6,$F$2,,,Ccy,Conv)</f>
        <v>0</v>
      </c>
      <c r="F480" s="18">
        <f>_xll.ciqfunctions.udf.CIQ($C$2, "IQ_DEF_TAX_VALUATION_ALLOWANCE", F$6,$F$2,,,Ccy,Conv)</f>
        <v>765</v>
      </c>
      <c r="G480" s="18">
        <f>_xll.ciqfunctions.udf.CIQ($C$2, "IQ_DEF_TAX_VALUATION_ALLOWANCE", G$6,$F$2,,,Ccy,Conv)</f>
        <v>0</v>
      </c>
      <c r="H480" s="18">
        <f>_xll.ciqfunctions.udf.CIQ($C$2, "IQ_DEF_TAX_VALUATION_ALLOWANCE", H$6,$F$2,,,Ccy,Conv)</f>
        <v>0</v>
      </c>
      <c r="I480" s="18">
        <f>_xll.ciqfunctions.udf.CIQ($C$2, "IQ_DEF_TAX_VALUATION_ALLOWANCE", I$6,$F$2,,,Ccy,Conv)</f>
        <v>0</v>
      </c>
      <c r="J480" s="18">
        <f>_xll.ciqfunctions.udf.CIQ($C$2, "IQ_DEF_TAX_VALUATION_ALLOWANCE", J$6,$F$2,,,Ccy,Conv)</f>
        <v>1223</v>
      </c>
      <c r="K480" s="18">
        <f>_xll.ciqfunctions.udf.CIQ($C$2, "IQ_DEF_TAX_VALUATION_ALLOWANCE", K$6,$F$2,,,Ccy,Conv)</f>
        <v>0</v>
      </c>
      <c r="L480" s="18">
        <f>_xll.ciqfunctions.udf.CIQ($C$2, "IQ_DEF_TAX_VALUATION_ALLOWANCE", L$6,$F$2,,,Ccy,Conv)</f>
        <v>0</v>
      </c>
      <c r="M480" s="18">
        <f>_xll.ciqfunctions.udf.CIQ($C$2, "IQ_DEF_TAX_VALUATION_ALLOWANCE", M$6,$F$2,,,Ccy,Conv)</f>
        <v>0</v>
      </c>
      <c r="N480" s="18">
        <f>_xll.ciqfunctions.udf.CIQ($C$2, "IQ_DEF_TAX_VALUATION_ALLOWANCE", N$6,$F$2,,,Ccy,Conv)</f>
        <v>1143</v>
      </c>
      <c r="O480" s="30"/>
      <c r="P480" s="18">
        <f>_xll.ciqfunctions.udf.CIQ($C$2, "IQ_DEF_TAX_VALUATION_ALLOWANCE", P$6,$F$2,,,Ccy,Conv)</f>
        <v>1143</v>
      </c>
      <c r="Q480" s="245"/>
      <c r="R480" s="215"/>
      <c r="S480" s="215"/>
      <c r="T480" s="215"/>
      <c r="U480" s="215"/>
      <c r="V480" s="222"/>
      <c r="W480" s="222"/>
      <c r="X480" s="222"/>
      <c r="Y480" s="215"/>
      <c r="Z480" s="215"/>
      <c r="AA480" s="215"/>
      <c r="AB480" s="215"/>
      <c r="AC480" s="215"/>
      <c r="AD480" s="215"/>
      <c r="AE480" s="215"/>
      <c r="AF480" s="215"/>
      <c r="AG480" s="215"/>
      <c r="AH480" s="215"/>
      <c r="AI480" s="215"/>
      <c r="AJ480" s="215"/>
      <c r="AK480" s="215"/>
      <c r="AL480" s="215"/>
      <c r="AM480" s="215"/>
      <c r="AN480" s="215"/>
      <c r="AO480" s="215"/>
      <c r="AP480" s="215"/>
      <c r="AQ480" s="215"/>
      <c r="AR480" s="215"/>
      <c r="AS480" s="215"/>
      <c r="AT480" s="215"/>
      <c r="AU480" s="215"/>
      <c r="AV480" s="215"/>
      <c r="AW480" s="215"/>
      <c r="AX480" s="215"/>
      <c r="AY480" s="215"/>
      <c r="AZ480" s="215"/>
      <c r="BA480" s="215"/>
      <c r="BB480" s="215"/>
      <c r="BC480" s="215"/>
      <c r="BD480" s="215"/>
      <c r="BE480" s="215"/>
      <c r="BF480" s="215"/>
      <c r="BG480" s="215"/>
      <c r="BH480" s="215"/>
      <c r="BI480" s="215"/>
      <c r="BJ480" s="215"/>
      <c r="BK480" s="215"/>
      <c r="BL480" s="215"/>
      <c r="BM480" s="215"/>
      <c r="BN480" s="215"/>
      <c r="BO480" s="215"/>
      <c r="BP480" s="215"/>
      <c r="BQ480" s="215"/>
      <c r="BR480" s="215"/>
      <c r="BS480" s="215"/>
      <c r="BT480" s="215"/>
      <c r="BU480" s="215"/>
      <c r="BV480" s="215"/>
      <c r="BW480" s="215"/>
      <c r="BX480" s="215"/>
      <c r="BY480" s="215"/>
      <c r="BZ480" s="215"/>
    </row>
    <row r="481" spans="1:78" x14ac:dyDescent="0.2">
      <c r="A481" s="2" t="str">
        <f>'Language Index'!A431</f>
        <v>General Partner - Common Equity</v>
      </c>
      <c r="B481" s="17"/>
      <c r="C481" s="17"/>
      <c r="D481" s="18">
        <f>_xll.ciqfunctions.udf.CIQ($C$2, "IQ_GENERAL_PARTNER_COMMON_EQUITY", D$6,$F$2,,,Ccy,Conv)</f>
        <v>0</v>
      </c>
      <c r="E481" s="18">
        <f>_xll.ciqfunctions.udf.CIQ($C$2, "IQ_GENERAL_PARTNER_COMMON_EQUITY", E$6,$F$2,,,Ccy,Conv)</f>
        <v>0</v>
      </c>
      <c r="F481" s="18">
        <f>_xll.ciqfunctions.udf.CIQ($C$2, "IQ_GENERAL_PARTNER_COMMON_EQUITY", F$6,$F$2,,,Ccy,Conv)</f>
        <v>0</v>
      </c>
      <c r="G481" s="18">
        <f>_xll.ciqfunctions.udf.CIQ($C$2, "IQ_GENERAL_PARTNER_COMMON_EQUITY", G$6,$F$2,,,Ccy,Conv)</f>
        <v>0</v>
      </c>
      <c r="H481" s="18">
        <f>_xll.ciqfunctions.udf.CIQ($C$2, "IQ_GENERAL_PARTNER_COMMON_EQUITY", H$6,$F$2,,,Ccy,Conv)</f>
        <v>0</v>
      </c>
      <c r="I481" s="18">
        <f>_xll.ciqfunctions.udf.CIQ($C$2, "IQ_GENERAL_PARTNER_COMMON_EQUITY", I$6,$F$2,,,Ccy,Conv)</f>
        <v>0</v>
      </c>
      <c r="J481" s="18">
        <f>_xll.ciqfunctions.udf.CIQ($C$2, "IQ_GENERAL_PARTNER_COMMON_EQUITY", J$6,$F$2,,,Ccy,Conv)</f>
        <v>0</v>
      </c>
      <c r="K481" s="18">
        <f>_xll.ciqfunctions.udf.CIQ($C$2, "IQ_GENERAL_PARTNER_COMMON_EQUITY", K$6,$F$2,,,Ccy,Conv)</f>
        <v>0</v>
      </c>
      <c r="L481" s="18">
        <f>_xll.ciqfunctions.udf.CIQ($C$2, "IQ_GENERAL_PARTNER_COMMON_EQUITY", L$6,$F$2,,,Ccy,Conv)</f>
        <v>0</v>
      </c>
      <c r="M481" s="18">
        <f>_xll.ciqfunctions.udf.CIQ($C$2, "IQ_GENERAL_PARTNER_COMMON_EQUITY", M$6,$F$2,,,Ccy,Conv)</f>
        <v>0</v>
      </c>
      <c r="N481" s="18">
        <f>_xll.ciqfunctions.udf.CIQ($C$2, "IQ_GENERAL_PARTNER_COMMON_EQUITY", N$6,$F$2,,,Ccy,Conv)</f>
        <v>0</v>
      </c>
      <c r="O481" s="30"/>
      <c r="P481" s="18">
        <f>_xll.ciqfunctions.udf.CIQ($C$2, "IQ_GENERAL_PARTNER_COMMON_EQUITY", P$6,$F$2,,,Ccy,Conv)</f>
        <v>0</v>
      </c>
      <c r="Q481" s="245"/>
      <c r="R481" s="215"/>
      <c r="S481" s="215"/>
      <c r="T481" s="215"/>
      <c r="U481" s="215"/>
      <c r="V481" s="222"/>
      <c r="W481" s="222"/>
      <c r="X481" s="222"/>
      <c r="Y481" s="215"/>
      <c r="Z481" s="215"/>
      <c r="AA481" s="215"/>
      <c r="AB481" s="215"/>
      <c r="AC481" s="215"/>
      <c r="AD481" s="215"/>
      <c r="AE481" s="215"/>
      <c r="AF481" s="215"/>
      <c r="AG481" s="215"/>
      <c r="AH481" s="215"/>
      <c r="AI481" s="215"/>
      <c r="AJ481" s="215"/>
      <c r="AK481" s="215"/>
      <c r="AL481" s="215"/>
      <c r="AM481" s="215"/>
      <c r="AN481" s="215"/>
      <c r="AO481" s="215"/>
      <c r="AP481" s="215"/>
      <c r="AQ481" s="215"/>
      <c r="AR481" s="215"/>
      <c r="AS481" s="215"/>
      <c r="AT481" s="215"/>
      <c r="AU481" s="215"/>
      <c r="AV481" s="215"/>
      <c r="AW481" s="215"/>
      <c r="AX481" s="215"/>
      <c r="AY481" s="215"/>
      <c r="AZ481" s="215"/>
      <c r="BA481" s="215"/>
      <c r="BB481" s="215"/>
      <c r="BC481" s="215"/>
      <c r="BD481" s="215"/>
      <c r="BE481" s="215"/>
      <c r="BF481" s="215"/>
      <c r="BG481" s="215"/>
      <c r="BH481" s="215"/>
      <c r="BI481" s="215"/>
      <c r="BJ481" s="215"/>
      <c r="BK481" s="215"/>
      <c r="BL481" s="215"/>
      <c r="BM481" s="215"/>
      <c r="BN481" s="215"/>
      <c r="BO481" s="215"/>
      <c r="BP481" s="215"/>
      <c r="BQ481" s="215"/>
      <c r="BR481" s="215"/>
      <c r="BS481" s="215"/>
      <c r="BT481" s="215"/>
      <c r="BU481" s="215"/>
      <c r="BV481" s="215"/>
      <c r="BW481" s="215"/>
      <c r="BX481" s="215"/>
      <c r="BY481" s="215"/>
      <c r="BZ481" s="215"/>
    </row>
    <row r="482" spans="1:78" x14ac:dyDescent="0.2">
      <c r="A482" s="2" t="str">
        <f>'Language Index'!A432</f>
        <v>General Partner - Preferred Equity</v>
      </c>
      <c r="B482" s="17"/>
      <c r="C482" s="17"/>
      <c r="D482" s="18">
        <f>_xll.ciqfunctions.udf.CIQ($C$2, "IQ_GENERAL_PARTNER_PREF_EQUITY", D$6,$F$2,,,Ccy,Conv)</f>
        <v>0</v>
      </c>
      <c r="E482" s="18">
        <f>_xll.ciqfunctions.udf.CIQ($C$2, "IQ_GENERAL_PARTNER_PREF_EQUITY", E$6,$F$2,,,Ccy,Conv)</f>
        <v>0</v>
      </c>
      <c r="F482" s="18">
        <f>_xll.ciqfunctions.udf.CIQ($C$2, "IQ_GENERAL_PARTNER_PREF_EQUITY", F$6,$F$2,,,Ccy,Conv)</f>
        <v>0</v>
      </c>
      <c r="G482" s="18">
        <f>_xll.ciqfunctions.udf.CIQ($C$2, "IQ_GENERAL_PARTNER_PREF_EQUITY", G$6,$F$2,,,Ccy,Conv)</f>
        <v>0</v>
      </c>
      <c r="H482" s="18">
        <f>_xll.ciqfunctions.udf.CIQ($C$2, "IQ_GENERAL_PARTNER_PREF_EQUITY", H$6,$F$2,,,Ccy,Conv)</f>
        <v>0</v>
      </c>
      <c r="I482" s="18">
        <f>_xll.ciqfunctions.udf.CIQ($C$2, "IQ_GENERAL_PARTNER_PREF_EQUITY", I$6,$F$2,,,Ccy,Conv)</f>
        <v>0</v>
      </c>
      <c r="J482" s="18">
        <f>_xll.ciqfunctions.udf.CIQ($C$2, "IQ_GENERAL_PARTNER_PREF_EQUITY", J$6,$F$2,,,Ccy,Conv)</f>
        <v>0</v>
      </c>
      <c r="K482" s="18">
        <f>_xll.ciqfunctions.udf.CIQ($C$2, "IQ_GENERAL_PARTNER_PREF_EQUITY", K$6,$F$2,,,Ccy,Conv)</f>
        <v>0</v>
      </c>
      <c r="L482" s="18">
        <f>_xll.ciqfunctions.udf.CIQ($C$2, "IQ_GENERAL_PARTNER_PREF_EQUITY", L$6,$F$2,,,Ccy,Conv)</f>
        <v>0</v>
      </c>
      <c r="M482" s="18">
        <f>_xll.ciqfunctions.udf.CIQ($C$2, "IQ_GENERAL_PARTNER_PREF_EQUITY", M$6,$F$2,,,Ccy,Conv)</f>
        <v>0</v>
      </c>
      <c r="N482" s="18">
        <f>_xll.ciqfunctions.udf.CIQ($C$2, "IQ_GENERAL_PARTNER_PREF_EQUITY", N$6,$F$2,,,Ccy,Conv)</f>
        <v>0</v>
      </c>
      <c r="O482" s="30"/>
      <c r="P482" s="18">
        <f>_xll.ciqfunctions.udf.CIQ($C$2, "IQ_GENERAL_PARTNER_PREF_EQUITY", P$6,$F$2,,,Ccy,Conv)</f>
        <v>0</v>
      </c>
      <c r="Q482" s="245"/>
      <c r="R482" s="215"/>
      <c r="S482" s="215"/>
      <c r="T482" s="215"/>
      <c r="U482" s="215"/>
      <c r="V482" s="222"/>
      <c r="W482" s="222"/>
      <c r="X482" s="222"/>
      <c r="Y482" s="215"/>
      <c r="Z482" s="215"/>
      <c r="AA482" s="215"/>
      <c r="AB482" s="215"/>
      <c r="AC482" s="215"/>
      <c r="AD482" s="215"/>
      <c r="AE482" s="215"/>
      <c r="AF482" s="215"/>
      <c r="AG482" s="215"/>
      <c r="AH482" s="215"/>
      <c r="AI482" s="215"/>
      <c r="AJ482" s="215"/>
      <c r="AK482" s="215"/>
      <c r="AL482" s="215"/>
      <c r="AM482" s="215"/>
      <c r="AN482" s="215"/>
      <c r="AO482" s="215"/>
      <c r="AP482" s="215"/>
      <c r="AQ482" s="215"/>
      <c r="AR482" s="215"/>
      <c r="AS482" s="215"/>
      <c r="AT482" s="215"/>
      <c r="AU482" s="215"/>
      <c r="AV482" s="215"/>
      <c r="AW482" s="215"/>
      <c r="AX482" s="215"/>
      <c r="AY482" s="215"/>
      <c r="AZ482" s="215"/>
      <c r="BA482" s="215"/>
      <c r="BB482" s="215"/>
      <c r="BC482" s="215"/>
      <c r="BD482" s="215"/>
      <c r="BE482" s="215"/>
      <c r="BF482" s="215"/>
      <c r="BG482" s="215"/>
      <c r="BH482" s="215"/>
      <c r="BI482" s="215"/>
      <c r="BJ482" s="215"/>
      <c r="BK482" s="215"/>
      <c r="BL482" s="215"/>
      <c r="BM482" s="215"/>
      <c r="BN482" s="215"/>
      <c r="BO482" s="215"/>
      <c r="BP482" s="215"/>
      <c r="BQ482" s="215"/>
      <c r="BR482" s="215"/>
      <c r="BS482" s="215"/>
      <c r="BT482" s="215"/>
      <c r="BU482" s="215"/>
      <c r="BV482" s="215"/>
      <c r="BW482" s="215"/>
      <c r="BX482" s="215"/>
      <c r="BY482" s="215"/>
      <c r="BZ482" s="215"/>
    </row>
    <row r="483" spans="1:78" x14ac:dyDescent="0.2">
      <c r="A483" s="2" t="str">
        <f>'Language Index'!A433</f>
        <v>General Partner - Minority Interest</v>
      </c>
      <c r="B483" s="17"/>
      <c r="C483" s="17"/>
      <c r="D483" s="18">
        <f>_xll.ciqfunctions.udf.CIQ($C$2, "IQ_GENERAL_PARTNER_MINORITY_INTEREST", D$6,$F$2,,,Ccy,Conv)</f>
        <v>0</v>
      </c>
      <c r="E483" s="18">
        <f>_xll.ciqfunctions.udf.CIQ($C$2, "IQ_GENERAL_PARTNER_MINORITY_INTEREST", E$6,$F$2,,,Ccy,Conv)</f>
        <v>0</v>
      </c>
      <c r="F483" s="18">
        <f>_xll.ciqfunctions.udf.CIQ($C$2, "IQ_GENERAL_PARTNER_MINORITY_INTEREST", F$6,$F$2,,,Ccy,Conv)</f>
        <v>0</v>
      </c>
      <c r="G483" s="18">
        <f>_xll.ciqfunctions.udf.CIQ($C$2, "IQ_GENERAL_PARTNER_MINORITY_INTEREST", G$6,$F$2,,,Ccy,Conv)</f>
        <v>0</v>
      </c>
      <c r="H483" s="18">
        <f>_xll.ciqfunctions.udf.CIQ($C$2, "IQ_GENERAL_PARTNER_MINORITY_INTEREST", H$6,$F$2,,,Ccy,Conv)</f>
        <v>0</v>
      </c>
      <c r="I483" s="18">
        <f>_xll.ciqfunctions.udf.CIQ($C$2, "IQ_GENERAL_PARTNER_MINORITY_INTEREST", I$6,$F$2,,,Ccy,Conv)</f>
        <v>0</v>
      </c>
      <c r="J483" s="18">
        <f>_xll.ciqfunctions.udf.CIQ($C$2, "IQ_GENERAL_PARTNER_MINORITY_INTEREST", J$6,$F$2,,,Ccy,Conv)</f>
        <v>0</v>
      </c>
      <c r="K483" s="18">
        <f>_xll.ciqfunctions.udf.CIQ($C$2, "IQ_GENERAL_PARTNER_MINORITY_INTEREST", K$6,$F$2,,,Ccy,Conv)</f>
        <v>0</v>
      </c>
      <c r="L483" s="18">
        <f>_xll.ciqfunctions.udf.CIQ($C$2, "IQ_GENERAL_PARTNER_MINORITY_INTEREST", L$6,$F$2,,,Ccy,Conv)</f>
        <v>0</v>
      </c>
      <c r="M483" s="18">
        <f>_xll.ciqfunctions.udf.CIQ($C$2, "IQ_GENERAL_PARTNER_MINORITY_INTEREST", M$6,$F$2,,,Ccy,Conv)</f>
        <v>0</v>
      </c>
      <c r="N483" s="18">
        <f>_xll.ciqfunctions.udf.CIQ($C$2, "IQ_GENERAL_PARTNER_MINORITY_INTEREST", N$6,$F$2,,,Ccy,Conv)</f>
        <v>0</v>
      </c>
      <c r="O483" s="30"/>
      <c r="P483" s="18">
        <f>_xll.ciqfunctions.udf.CIQ($C$2, "IQ_GENERAL_PARTNER_MINORITY_INTEREST", P$6,$F$2,,,Ccy,Conv)</f>
        <v>0</v>
      </c>
      <c r="Q483" s="245"/>
      <c r="R483" s="215"/>
      <c r="S483" s="215"/>
      <c r="T483" s="215"/>
      <c r="U483" s="215"/>
      <c r="V483" s="222"/>
      <c r="W483" s="222"/>
      <c r="X483" s="222"/>
      <c r="Y483" s="215"/>
      <c r="Z483" s="215"/>
      <c r="AA483" s="215"/>
      <c r="AB483" s="215"/>
      <c r="AC483" s="215"/>
      <c r="AD483" s="215"/>
      <c r="AE483" s="215"/>
      <c r="AF483" s="215"/>
      <c r="AG483" s="215"/>
      <c r="AH483" s="215"/>
      <c r="AI483" s="215"/>
      <c r="AJ483" s="215"/>
      <c r="AK483" s="215"/>
      <c r="AL483" s="215"/>
      <c r="AM483" s="215"/>
      <c r="AN483" s="215"/>
      <c r="AO483" s="215"/>
      <c r="AP483" s="215"/>
      <c r="AQ483" s="215"/>
      <c r="AR483" s="215"/>
      <c r="AS483" s="215"/>
      <c r="AT483" s="215"/>
      <c r="AU483" s="215"/>
      <c r="AV483" s="215"/>
      <c r="AW483" s="215"/>
      <c r="AX483" s="215"/>
      <c r="AY483" s="215"/>
      <c r="AZ483" s="215"/>
      <c r="BA483" s="215"/>
      <c r="BB483" s="215"/>
      <c r="BC483" s="215"/>
      <c r="BD483" s="215"/>
      <c r="BE483" s="215"/>
      <c r="BF483" s="215"/>
      <c r="BG483" s="215"/>
      <c r="BH483" s="215"/>
      <c r="BI483" s="215"/>
      <c r="BJ483" s="215"/>
      <c r="BK483" s="215"/>
      <c r="BL483" s="215"/>
      <c r="BM483" s="215"/>
      <c r="BN483" s="215"/>
      <c r="BO483" s="215"/>
      <c r="BP483" s="215"/>
      <c r="BQ483" s="215"/>
      <c r="BR483" s="215"/>
      <c r="BS483" s="215"/>
      <c r="BT483" s="215"/>
      <c r="BU483" s="215"/>
      <c r="BV483" s="215"/>
      <c r="BW483" s="215"/>
      <c r="BX483" s="215"/>
      <c r="BY483" s="215"/>
      <c r="BZ483" s="215"/>
    </row>
    <row r="484" spans="1:78" x14ac:dyDescent="0.2">
      <c r="A484" s="2" t="str">
        <f>'Language Index'!A434</f>
        <v>General Partner Interest (Supple)</v>
      </c>
      <c r="B484" s="17"/>
      <c r="C484" s="17"/>
      <c r="D484" s="18">
        <f>_xll.ciqfunctions.udf.CIQ($C$2, "IQ_TOTAL_GENERAL_PARTNER_INTEREST", D$6,$F$2,,,Ccy,Conv)</f>
        <v>0</v>
      </c>
      <c r="E484" s="18">
        <f>_xll.ciqfunctions.udf.CIQ($C$2, "IQ_TOTAL_GENERAL_PARTNER_INTEREST", E$6,$F$2,,,Ccy,Conv)</f>
        <v>0</v>
      </c>
      <c r="F484" s="18">
        <f>_xll.ciqfunctions.udf.CIQ($C$2, "IQ_TOTAL_GENERAL_PARTNER_INTEREST", F$6,$F$2,,,Ccy,Conv)</f>
        <v>0</v>
      </c>
      <c r="G484" s="18">
        <f>_xll.ciqfunctions.udf.CIQ($C$2, "IQ_TOTAL_GENERAL_PARTNER_INTEREST", G$6,$F$2,,,Ccy,Conv)</f>
        <v>0</v>
      </c>
      <c r="H484" s="18">
        <f>_xll.ciqfunctions.udf.CIQ($C$2, "IQ_TOTAL_GENERAL_PARTNER_INTEREST", H$6,$F$2,,,Ccy,Conv)</f>
        <v>0</v>
      </c>
      <c r="I484" s="18">
        <f>_xll.ciqfunctions.udf.CIQ($C$2, "IQ_TOTAL_GENERAL_PARTNER_INTEREST", I$6,$F$2,,,Ccy,Conv)</f>
        <v>0</v>
      </c>
      <c r="J484" s="18">
        <f>_xll.ciqfunctions.udf.CIQ($C$2, "IQ_TOTAL_GENERAL_PARTNER_INTEREST", J$6,$F$2,,,Ccy,Conv)</f>
        <v>0</v>
      </c>
      <c r="K484" s="18">
        <f>_xll.ciqfunctions.udf.CIQ($C$2, "IQ_TOTAL_GENERAL_PARTNER_INTEREST", K$6,$F$2,,,Ccy,Conv)</f>
        <v>0</v>
      </c>
      <c r="L484" s="18">
        <f>_xll.ciqfunctions.udf.CIQ($C$2, "IQ_TOTAL_GENERAL_PARTNER_INTEREST", L$6,$F$2,,,Ccy,Conv)</f>
        <v>0</v>
      </c>
      <c r="M484" s="18">
        <f>_xll.ciqfunctions.udf.CIQ($C$2, "IQ_TOTAL_GENERAL_PARTNER_INTEREST", M$6,$F$2,,,Ccy,Conv)</f>
        <v>0</v>
      </c>
      <c r="N484" s="18">
        <f>_xll.ciqfunctions.udf.CIQ($C$2, "IQ_TOTAL_GENERAL_PARTNER_INTEREST", N$6,$F$2,,,Ccy,Conv)</f>
        <v>0</v>
      </c>
      <c r="O484" s="30"/>
      <c r="P484" s="18">
        <f>_xll.ciqfunctions.udf.CIQ($C$2, "IQ_TOTAL_GENERAL_PARTNER_INTEREST", P$6,$F$2,,,Ccy,Conv)</f>
        <v>0</v>
      </c>
      <c r="Q484" s="245"/>
      <c r="R484" s="215"/>
      <c r="S484" s="215"/>
      <c r="T484" s="215"/>
      <c r="U484" s="215"/>
      <c r="V484" s="222"/>
      <c r="W484" s="222"/>
      <c r="X484" s="222"/>
      <c r="Y484" s="215"/>
      <c r="Z484" s="215"/>
      <c r="AA484" s="215"/>
      <c r="AB484" s="215"/>
      <c r="AC484" s="215"/>
      <c r="AD484" s="215"/>
      <c r="AE484" s="215"/>
      <c r="AF484" s="215"/>
      <c r="AG484" s="215"/>
      <c r="AH484" s="215"/>
      <c r="AI484" s="215"/>
      <c r="AJ484" s="215"/>
      <c r="AK484" s="215"/>
      <c r="AL484" s="215"/>
      <c r="AM484" s="215"/>
      <c r="AN484" s="215"/>
      <c r="AO484" s="215"/>
      <c r="AP484" s="215"/>
      <c r="AQ484" s="215"/>
      <c r="AR484" s="215"/>
      <c r="AS484" s="215"/>
      <c r="AT484" s="215"/>
      <c r="AU484" s="215"/>
      <c r="AV484" s="215"/>
      <c r="AW484" s="215"/>
      <c r="AX484" s="215"/>
      <c r="AY484" s="215"/>
      <c r="AZ484" s="215"/>
      <c r="BA484" s="215"/>
      <c r="BB484" s="215"/>
      <c r="BC484" s="215"/>
      <c r="BD484" s="215"/>
      <c r="BE484" s="215"/>
      <c r="BF484" s="215"/>
      <c r="BG484" s="215"/>
      <c r="BH484" s="215"/>
      <c r="BI484" s="215"/>
      <c r="BJ484" s="215"/>
      <c r="BK484" s="215"/>
      <c r="BL484" s="215"/>
      <c r="BM484" s="215"/>
      <c r="BN484" s="215"/>
      <c r="BO484" s="215"/>
      <c r="BP484" s="215"/>
      <c r="BQ484" s="215"/>
      <c r="BR484" s="215"/>
      <c r="BS484" s="215"/>
      <c r="BT484" s="215"/>
      <c r="BU484" s="215"/>
      <c r="BV484" s="215"/>
      <c r="BW484" s="215"/>
      <c r="BX484" s="215"/>
      <c r="BY484" s="215"/>
      <c r="BZ484" s="215"/>
    </row>
    <row r="485" spans="1:78" x14ac:dyDescent="0.2">
      <c r="A485" s="2" t="str">
        <f>'Language Index'!A435</f>
        <v>Liquidation Value of Preferred Stock - Convertible</v>
      </c>
      <c r="B485" s="17"/>
      <c r="C485" s="17"/>
      <c r="D485" s="18">
        <f>_xll.ciqfunctions.udf.CIQ($C$2, "IQ_LIQUIDATION_VALUE_PREFERRED_CONVERT", D$6,$F$2,,,Ccy,Conv)</f>
        <v>0</v>
      </c>
      <c r="E485" s="18">
        <f>_xll.ciqfunctions.udf.CIQ($C$2, "IQ_LIQUIDATION_VALUE_PREFERRED_CONVERT", E$6,$F$2,,,Ccy,Conv)</f>
        <v>0</v>
      </c>
      <c r="F485" s="18">
        <f>_xll.ciqfunctions.udf.CIQ($C$2, "IQ_LIQUIDATION_VALUE_PREFERRED_CONVERT", F$6,$F$2,,,Ccy,Conv)</f>
        <v>0</v>
      </c>
      <c r="G485" s="18">
        <f>_xll.ciqfunctions.udf.CIQ($C$2, "IQ_LIQUIDATION_VALUE_PREFERRED_CONVERT", G$6,$F$2,,,Ccy,Conv)</f>
        <v>0</v>
      </c>
      <c r="H485" s="18">
        <f>_xll.ciqfunctions.udf.CIQ($C$2, "IQ_LIQUIDATION_VALUE_PREFERRED_CONVERT", H$6,$F$2,,,Ccy,Conv)</f>
        <v>0</v>
      </c>
      <c r="I485" s="18">
        <f>_xll.ciqfunctions.udf.CIQ($C$2, "IQ_LIQUIDATION_VALUE_PREFERRED_CONVERT", I$6,$F$2,,,Ccy,Conv)</f>
        <v>0</v>
      </c>
      <c r="J485" s="18">
        <f>_xll.ciqfunctions.udf.CIQ($C$2, "IQ_LIQUIDATION_VALUE_PREFERRED_CONVERT", J$6,$F$2,,,Ccy,Conv)</f>
        <v>0</v>
      </c>
      <c r="K485" s="18">
        <f>_xll.ciqfunctions.udf.CIQ($C$2, "IQ_LIQUIDATION_VALUE_PREFERRED_CONVERT", K$6,$F$2,,,Ccy,Conv)</f>
        <v>0</v>
      </c>
      <c r="L485" s="18">
        <f>_xll.ciqfunctions.udf.CIQ($C$2, "IQ_LIQUIDATION_VALUE_PREFERRED_CONVERT", L$6,$F$2,,,Ccy,Conv)</f>
        <v>0</v>
      </c>
      <c r="M485" s="18">
        <f>_xll.ciqfunctions.udf.CIQ($C$2, "IQ_LIQUIDATION_VALUE_PREFERRED_CONVERT", M$6,$F$2,,,Ccy,Conv)</f>
        <v>0</v>
      </c>
      <c r="N485" s="18">
        <f>_xll.ciqfunctions.udf.CIQ($C$2, "IQ_LIQUIDATION_VALUE_PREFERRED_CONVERT", N$6,$F$2,,,Ccy,Conv)</f>
        <v>0</v>
      </c>
      <c r="O485" s="30"/>
      <c r="P485" s="18">
        <f>_xll.ciqfunctions.udf.CIQ($C$2, "IQ_LIQUIDATION_VALUE_PREFERRED_CONVERT", P$6,$F$2,,,Ccy,Conv)</f>
        <v>0</v>
      </c>
      <c r="Q485" s="245"/>
      <c r="R485" s="215"/>
      <c r="S485" s="215"/>
      <c r="T485" s="215"/>
      <c r="U485" s="215"/>
      <c r="V485" s="222"/>
      <c r="W485" s="222"/>
      <c r="X485" s="222"/>
      <c r="Y485" s="215"/>
      <c r="Z485" s="215"/>
      <c r="AA485" s="215"/>
      <c r="AB485" s="215"/>
      <c r="AC485" s="215"/>
      <c r="AD485" s="215"/>
      <c r="AE485" s="215"/>
      <c r="AF485" s="215"/>
      <c r="AG485" s="215"/>
      <c r="AH485" s="215"/>
      <c r="AI485" s="215"/>
      <c r="AJ485" s="215"/>
      <c r="AK485" s="215"/>
      <c r="AL485" s="215"/>
      <c r="AM485" s="215"/>
      <c r="AN485" s="215"/>
      <c r="AO485" s="215"/>
      <c r="AP485" s="215"/>
      <c r="AQ485" s="215"/>
      <c r="AR485" s="215"/>
      <c r="AS485" s="215"/>
      <c r="AT485" s="215"/>
      <c r="AU485" s="215"/>
      <c r="AV485" s="215"/>
      <c r="AW485" s="215"/>
      <c r="AX485" s="215"/>
      <c r="AY485" s="215"/>
      <c r="AZ485" s="215"/>
      <c r="BA485" s="215"/>
      <c r="BB485" s="215"/>
      <c r="BC485" s="215"/>
      <c r="BD485" s="215"/>
      <c r="BE485" s="215"/>
      <c r="BF485" s="215"/>
      <c r="BG485" s="215"/>
      <c r="BH485" s="215"/>
      <c r="BI485" s="215"/>
      <c r="BJ485" s="215"/>
      <c r="BK485" s="215"/>
      <c r="BL485" s="215"/>
      <c r="BM485" s="215"/>
      <c r="BN485" s="215"/>
      <c r="BO485" s="215"/>
      <c r="BP485" s="215"/>
      <c r="BQ485" s="215"/>
      <c r="BR485" s="215"/>
      <c r="BS485" s="215"/>
      <c r="BT485" s="215"/>
      <c r="BU485" s="215"/>
      <c r="BV485" s="215"/>
      <c r="BW485" s="215"/>
      <c r="BX485" s="215"/>
      <c r="BY485" s="215"/>
      <c r="BZ485" s="215"/>
    </row>
    <row r="486" spans="1:78" x14ac:dyDescent="0.2">
      <c r="A486" s="2" t="str">
        <f>'Language Index'!A436</f>
        <v>Liquidation Value of Preferred Stock - Non-Redeemable</v>
      </c>
      <c r="B486" s="17"/>
      <c r="C486" s="17"/>
      <c r="D486" s="18">
        <f>_xll.ciqfunctions.udf.CIQ($C$2, "IQ_LIQUIDATION_VALUE_PREFERRED_NON_REDEEM", D$6,$F$2,,,Ccy,Conv)</f>
        <v>0</v>
      </c>
      <c r="E486" s="18">
        <f>_xll.ciqfunctions.udf.CIQ($C$2, "IQ_LIQUIDATION_VALUE_PREFERRED_NON_REDEEM", E$6,$F$2,,,Ccy,Conv)</f>
        <v>0</v>
      </c>
      <c r="F486" s="18">
        <f>_xll.ciqfunctions.udf.CIQ($C$2, "IQ_LIQUIDATION_VALUE_PREFERRED_NON_REDEEM", F$6,$F$2,,,Ccy,Conv)</f>
        <v>0</v>
      </c>
      <c r="G486" s="18">
        <f>_xll.ciqfunctions.udf.CIQ($C$2, "IQ_LIQUIDATION_VALUE_PREFERRED_NON_REDEEM", G$6,$F$2,,,Ccy,Conv)</f>
        <v>0</v>
      </c>
      <c r="H486" s="18">
        <f>_xll.ciqfunctions.udf.CIQ($C$2, "IQ_LIQUIDATION_VALUE_PREFERRED_NON_REDEEM", H$6,$F$2,,,Ccy,Conv)</f>
        <v>0</v>
      </c>
      <c r="I486" s="18">
        <f>_xll.ciqfunctions.udf.CIQ($C$2, "IQ_LIQUIDATION_VALUE_PREFERRED_NON_REDEEM", I$6,$F$2,,,Ccy,Conv)</f>
        <v>0</v>
      </c>
      <c r="J486" s="18">
        <f>_xll.ciqfunctions.udf.CIQ($C$2, "IQ_LIQUIDATION_VALUE_PREFERRED_NON_REDEEM", J$6,$F$2,,,Ccy,Conv)</f>
        <v>0</v>
      </c>
      <c r="K486" s="18">
        <f>_xll.ciqfunctions.udf.CIQ($C$2, "IQ_LIQUIDATION_VALUE_PREFERRED_NON_REDEEM", K$6,$F$2,,,Ccy,Conv)</f>
        <v>0</v>
      </c>
      <c r="L486" s="18">
        <f>_xll.ciqfunctions.udf.CIQ($C$2, "IQ_LIQUIDATION_VALUE_PREFERRED_NON_REDEEM", L$6,$F$2,,,Ccy,Conv)</f>
        <v>0</v>
      </c>
      <c r="M486" s="18">
        <f>_xll.ciqfunctions.udf.CIQ($C$2, "IQ_LIQUIDATION_VALUE_PREFERRED_NON_REDEEM", M$6,$F$2,,,Ccy,Conv)</f>
        <v>0</v>
      </c>
      <c r="N486" s="18">
        <f>_xll.ciqfunctions.udf.CIQ($C$2, "IQ_LIQUIDATION_VALUE_PREFERRED_NON_REDEEM", N$6,$F$2,,,Ccy,Conv)</f>
        <v>0</v>
      </c>
      <c r="O486" s="30"/>
      <c r="P486" s="18">
        <f>_xll.ciqfunctions.udf.CIQ($C$2, "IQ_LIQUIDATION_VALUE_PREFERRED_NON_REDEEM", P$6,$F$2,,,Ccy,Conv)</f>
        <v>0</v>
      </c>
      <c r="Q486" s="245"/>
      <c r="R486" s="215"/>
      <c r="S486" s="215"/>
      <c r="T486" s="215"/>
      <c r="U486" s="215"/>
      <c r="V486" s="222"/>
      <c r="W486" s="222"/>
      <c r="X486" s="222"/>
      <c r="Y486" s="215"/>
      <c r="Z486" s="215"/>
      <c r="AA486" s="215"/>
      <c r="AB486" s="215"/>
      <c r="AC486" s="215"/>
      <c r="AD486" s="215"/>
      <c r="AE486" s="215"/>
      <c r="AF486" s="215"/>
      <c r="AG486" s="215"/>
      <c r="AH486" s="215"/>
      <c r="AI486" s="215"/>
      <c r="AJ486" s="215"/>
      <c r="AK486" s="215"/>
      <c r="AL486" s="215"/>
      <c r="AM486" s="215"/>
      <c r="AN486" s="215"/>
      <c r="AO486" s="215"/>
      <c r="AP486" s="215"/>
      <c r="AQ486" s="215"/>
      <c r="AR486" s="215"/>
      <c r="AS486" s="215"/>
      <c r="AT486" s="215"/>
      <c r="AU486" s="215"/>
      <c r="AV486" s="215"/>
      <c r="AW486" s="215"/>
      <c r="AX486" s="215"/>
      <c r="AY486" s="215"/>
      <c r="AZ486" s="215"/>
      <c r="BA486" s="215"/>
      <c r="BB486" s="215"/>
      <c r="BC486" s="215"/>
      <c r="BD486" s="215"/>
      <c r="BE486" s="215"/>
      <c r="BF486" s="215"/>
      <c r="BG486" s="215"/>
      <c r="BH486" s="215"/>
      <c r="BI486" s="215"/>
      <c r="BJ486" s="215"/>
      <c r="BK486" s="215"/>
      <c r="BL486" s="215"/>
      <c r="BM486" s="215"/>
      <c r="BN486" s="215"/>
      <c r="BO486" s="215"/>
      <c r="BP486" s="215"/>
      <c r="BQ486" s="215"/>
      <c r="BR486" s="215"/>
      <c r="BS486" s="215"/>
      <c r="BT486" s="215"/>
      <c r="BU486" s="215"/>
      <c r="BV486" s="215"/>
      <c r="BW486" s="215"/>
      <c r="BX486" s="215"/>
      <c r="BY486" s="215"/>
      <c r="BZ486" s="215"/>
    </row>
    <row r="487" spans="1:78" x14ac:dyDescent="0.2">
      <c r="A487" s="2" t="str">
        <f>'Language Index'!A437</f>
        <v>Liquidation Value of Preferred Stock - Redeemable</v>
      </c>
      <c r="B487" s="17"/>
      <c r="C487" s="17"/>
      <c r="D487" s="18">
        <f>_xll.ciqfunctions.udf.CIQ($C$2, "IQ_LIQUIDATION_VALUE_PREFERRED_REDEEM", D$6,$F$2,,,Ccy,Conv)</f>
        <v>0</v>
      </c>
      <c r="E487" s="18">
        <f>_xll.ciqfunctions.udf.CIQ($C$2, "IQ_LIQUIDATION_VALUE_PREFERRED_REDEEM", E$6,$F$2,,,Ccy,Conv)</f>
        <v>0</v>
      </c>
      <c r="F487" s="18">
        <f>_xll.ciqfunctions.udf.CIQ($C$2, "IQ_LIQUIDATION_VALUE_PREFERRED_REDEEM", F$6,$F$2,,,Ccy,Conv)</f>
        <v>0</v>
      </c>
      <c r="G487" s="18">
        <f>_xll.ciqfunctions.udf.CIQ($C$2, "IQ_LIQUIDATION_VALUE_PREFERRED_REDEEM", G$6,$F$2,,,Ccy,Conv)</f>
        <v>0</v>
      </c>
      <c r="H487" s="18">
        <f>_xll.ciqfunctions.udf.CIQ($C$2, "IQ_LIQUIDATION_VALUE_PREFERRED_REDEEM", H$6,$F$2,,,Ccy,Conv)</f>
        <v>0</v>
      </c>
      <c r="I487" s="18">
        <f>_xll.ciqfunctions.udf.CIQ($C$2, "IQ_LIQUIDATION_VALUE_PREFERRED_REDEEM", I$6,$F$2,,,Ccy,Conv)</f>
        <v>0</v>
      </c>
      <c r="J487" s="18">
        <f>_xll.ciqfunctions.udf.CIQ($C$2, "IQ_LIQUIDATION_VALUE_PREFERRED_REDEEM", J$6,$F$2,,,Ccy,Conv)</f>
        <v>0</v>
      </c>
      <c r="K487" s="18">
        <f>_xll.ciqfunctions.udf.CIQ($C$2, "IQ_LIQUIDATION_VALUE_PREFERRED_REDEEM", K$6,$F$2,,,Ccy,Conv)</f>
        <v>0</v>
      </c>
      <c r="L487" s="18">
        <f>_xll.ciqfunctions.udf.CIQ($C$2, "IQ_LIQUIDATION_VALUE_PREFERRED_REDEEM", L$6,$F$2,,,Ccy,Conv)</f>
        <v>0</v>
      </c>
      <c r="M487" s="18">
        <f>_xll.ciqfunctions.udf.CIQ($C$2, "IQ_LIQUIDATION_VALUE_PREFERRED_REDEEM", M$6,$F$2,,,Ccy,Conv)</f>
        <v>0</v>
      </c>
      <c r="N487" s="18">
        <f>_xll.ciqfunctions.udf.CIQ($C$2, "IQ_LIQUIDATION_VALUE_PREFERRED_REDEEM", N$6,$F$2,,,Ccy,Conv)</f>
        <v>0</v>
      </c>
      <c r="O487" s="30"/>
      <c r="P487" s="18">
        <f>_xll.ciqfunctions.udf.CIQ($C$2, "IQ_LIQUIDATION_VALUE_PREFERRED_REDEEM", P$6,$F$2,,,Ccy,Conv)</f>
        <v>0</v>
      </c>
      <c r="Q487" s="245"/>
      <c r="R487" s="215"/>
      <c r="S487" s="215"/>
      <c r="T487" s="215"/>
      <c r="U487" s="215"/>
      <c r="V487" s="222"/>
      <c r="W487" s="222"/>
      <c r="X487" s="222"/>
      <c r="Y487" s="215"/>
      <c r="Z487" s="215"/>
      <c r="AA487" s="215"/>
      <c r="AB487" s="215"/>
      <c r="AC487" s="215"/>
      <c r="AD487" s="215"/>
      <c r="AE487" s="215"/>
      <c r="AF487" s="215"/>
      <c r="AG487" s="215"/>
      <c r="AH487" s="215"/>
      <c r="AI487" s="215"/>
      <c r="AJ487" s="215"/>
      <c r="AK487" s="215"/>
      <c r="AL487" s="215"/>
      <c r="AM487" s="215"/>
      <c r="AN487" s="215"/>
      <c r="AO487" s="215"/>
      <c r="AP487" s="215"/>
      <c r="AQ487" s="215"/>
      <c r="AR487" s="215"/>
      <c r="AS487" s="215"/>
      <c r="AT487" s="215"/>
      <c r="AU487" s="215"/>
      <c r="AV487" s="215"/>
      <c r="AW487" s="215"/>
      <c r="AX487" s="215"/>
      <c r="AY487" s="215"/>
      <c r="AZ487" s="215"/>
      <c r="BA487" s="215"/>
      <c r="BB487" s="215"/>
      <c r="BC487" s="215"/>
      <c r="BD487" s="215"/>
      <c r="BE487" s="215"/>
      <c r="BF487" s="215"/>
      <c r="BG487" s="215"/>
      <c r="BH487" s="215"/>
      <c r="BI487" s="215"/>
      <c r="BJ487" s="215"/>
      <c r="BK487" s="215"/>
      <c r="BL487" s="215"/>
      <c r="BM487" s="215"/>
      <c r="BN487" s="215"/>
      <c r="BO487" s="215"/>
      <c r="BP487" s="215"/>
      <c r="BQ487" s="215"/>
      <c r="BR487" s="215"/>
      <c r="BS487" s="215"/>
      <c r="BT487" s="215"/>
      <c r="BU487" s="215"/>
      <c r="BV487" s="215"/>
      <c r="BW487" s="215"/>
      <c r="BX487" s="215"/>
      <c r="BY487" s="215"/>
      <c r="BZ487" s="215"/>
    </row>
    <row r="488" spans="1:78" x14ac:dyDescent="0.2">
      <c r="A488" s="2" t="str">
        <f>'Language Index'!A438</f>
        <v>Level 1 Assets - Quoted Prices</v>
      </c>
      <c r="B488" s="17"/>
      <c r="C488" s="17"/>
      <c r="D488" s="18">
        <f>_xll.ciqfunctions.udf.CIQ($C$2, "IQ_ASSETS_LEVEL_1", D$6,$F$2,,,Ccy,Conv)</f>
        <v>399</v>
      </c>
      <c r="E488" s="18">
        <f>_xll.ciqfunctions.udf.CIQ($C$2, "IQ_ASSETS_LEVEL_1", E$6,$F$2,,,Ccy,Conv)</f>
        <v>214</v>
      </c>
      <c r="F488" s="18">
        <f>_xll.ciqfunctions.udf.CIQ($C$2, "IQ_ASSETS_LEVEL_1", F$6,$F$2,,,Ccy,Conv)</f>
        <v>519</v>
      </c>
      <c r="G488" s="18">
        <f>_xll.ciqfunctions.udf.CIQ($C$2, "IQ_ASSETS_LEVEL_1", G$6,$F$2,,,Ccy,Conv)</f>
        <v>494</v>
      </c>
      <c r="H488" s="18">
        <f>_xll.ciqfunctions.udf.CIQ($C$2, "IQ_ASSETS_LEVEL_1", H$6,$F$2,,,Ccy,Conv)</f>
        <v>471</v>
      </c>
      <c r="I488" s="18">
        <f>_xll.ciqfunctions.udf.CIQ($C$2, "IQ_ASSETS_LEVEL_1", I$6,$F$2,,,Ccy,Conv)</f>
        <v>432</v>
      </c>
      <c r="J488" s="18">
        <f>_xll.ciqfunctions.udf.CIQ($C$2, "IQ_ASSETS_LEVEL_1", J$6,$F$2,,,Ccy,Conv)</f>
        <v>284</v>
      </c>
      <c r="K488" s="18">
        <f>_xll.ciqfunctions.udf.CIQ($C$2, "IQ_ASSETS_LEVEL_1", K$6,$F$2,,,Ccy,Conv)</f>
        <v>716</v>
      </c>
      <c r="L488" s="18">
        <f>_xll.ciqfunctions.udf.CIQ($C$2, "IQ_ASSETS_LEVEL_1", L$6,$F$2,,,Ccy,Conv)</f>
        <v>564</v>
      </c>
      <c r="M488" s="18">
        <f>_xll.ciqfunctions.udf.CIQ($C$2, "IQ_ASSETS_LEVEL_1", M$6,$F$2,,,Ccy,Conv)</f>
        <v>575</v>
      </c>
      <c r="N488" s="18">
        <f>_xll.ciqfunctions.udf.CIQ($C$2, "IQ_ASSETS_LEVEL_1", N$6,$F$2,,,Ccy,Conv)</f>
        <v>413</v>
      </c>
      <c r="O488" s="30"/>
      <c r="P488" s="18">
        <f>_xll.ciqfunctions.udf.CIQ($C$2, "IQ_ASSETS_LEVEL_1", P$6,$F$2,,,Ccy,Conv)</f>
        <v>413</v>
      </c>
      <c r="Q488" s="245"/>
      <c r="R488" s="215"/>
      <c r="S488" s="215"/>
      <c r="T488" s="215"/>
      <c r="U488" s="215"/>
      <c r="V488" s="222"/>
      <c r="W488" s="222"/>
      <c r="X488" s="222"/>
      <c r="Y488" s="215"/>
      <c r="Z488" s="215"/>
      <c r="AA488" s="215"/>
      <c r="AB488" s="215"/>
      <c r="AC488" s="215"/>
      <c r="AD488" s="215"/>
      <c r="AE488" s="215"/>
      <c r="AF488" s="215"/>
      <c r="AG488" s="215"/>
      <c r="AH488" s="215"/>
      <c r="AI488" s="215"/>
      <c r="AJ488" s="215"/>
      <c r="AK488" s="215"/>
      <c r="AL488" s="215"/>
      <c r="AM488" s="215"/>
      <c r="AN488" s="215"/>
      <c r="AO488" s="215"/>
      <c r="AP488" s="215"/>
      <c r="AQ488" s="215"/>
      <c r="AR488" s="215"/>
      <c r="AS488" s="215"/>
      <c r="AT488" s="215"/>
      <c r="AU488" s="215"/>
      <c r="AV488" s="215"/>
      <c r="AW488" s="215"/>
      <c r="AX488" s="215"/>
      <c r="AY488" s="215"/>
      <c r="AZ488" s="215"/>
      <c r="BA488" s="215"/>
      <c r="BB488" s="215"/>
      <c r="BC488" s="215"/>
      <c r="BD488" s="215"/>
      <c r="BE488" s="215"/>
      <c r="BF488" s="215"/>
      <c r="BG488" s="215"/>
      <c r="BH488" s="215"/>
      <c r="BI488" s="215"/>
      <c r="BJ488" s="215"/>
      <c r="BK488" s="215"/>
      <c r="BL488" s="215"/>
      <c r="BM488" s="215"/>
      <c r="BN488" s="215"/>
      <c r="BO488" s="215"/>
      <c r="BP488" s="215"/>
      <c r="BQ488" s="215"/>
      <c r="BR488" s="215"/>
      <c r="BS488" s="215"/>
      <c r="BT488" s="215"/>
      <c r="BU488" s="215"/>
      <c r="BV488" s="215"/>
      <c r="BW488" s="215"/>
      <c r="BX488" s="215"/>
      <c r="BY488" s="215"/>
      <c r="BZ488" s="215"/>
    </row>
    <row r="489" spans="1:78" x14ac:dyDescent="0.2">
      <c r="A489" s="2" t="str">
        <f>'Language Index'!A439</f>
        <v>Level 2 Assets - Observable Prices</v>
      </c>
      <c r="B489" s="17"/>
      <c r="C489" s="17"/>
      <c r="D489" s="18">
        <f>_xll.ciqfunctions.udf.CIQ($C$2, "IQ_ASSETS_LEVEL_2", D$6,$F$2,,,Ccy,Conv)</f>
        <v>11664</v>
      </c>
      <c r="E489" s="18">
        <f>_xll.ciqfunctions.udf.CIQ($C$2, "IQ_ASSETS_LEVEL_2", E$6,$F$2,,,Ccy,Conv)</f>
        <v>7918</v>
      </c>
      <c r="F489" s="18">
        <f>_xll.ciqfunctions.udf.CIQ($C$2, "IQ_ASSETS_LEVEL_2", F$6,$F$2,,,Ccy,Conv)</f>
        <v>7920</v>
      </c>
      <c r="G489" s="18">
        <f>_xll.ciqfunctions.udf.CIQ($C$2, "IQ_ASSETS_LEVEL_2", G$6,$F$2,,,Ccy,Conv)</f>
        <v>12085</v>
      </c>
      <c r="H489" s="18">
        <f>_xll.ciqfunctions.udf.CIQ($C$2, "IQ_ASSETS_LEVEL_2", H$6,$F$2,,,Ccy,Conv)</f>
        <v>7220</v>
      </c>
      <c r="I489" s="18">
        <f>_xll.ciqfunctions.udf.CIQ($C$2, "IQ_ASSETS_LEVEL_2", I$6,$F$2,,,Ccy,Conv)</f>
        <v>6961</v>
      </c>
      <c r="J489" s="18">
        <f>_xll.ciqfunctions.udf.CIQ($C$2, "IQ_ASSETS_LEVEL_2", J$6,$F$2,,,Ccy,Conv)</f>
        <v>7978</v>
      </c>
      <c r="K489" s="18">
        <f>_xll.ciqfunctions.udf.CIQ($C$2, "IQ_ASSETS_LEVEL_2", K$6,$F$2,,,Ccy,Conv)</f>
        <v>12877</v>
      </c>
      <c r="L489" s="18">
        <f>_xll.ciqfunctions.udf.CIQ($C$2, "IQ_ASSETS_LEVEL_2", L$6,$F$2,,,Ccy,Conv)</f>
        <v>10824</v>
      </c>
      <c r="M489" s="18">
        <f>_xll.ciqfunctions.udf.CIQ($C$2, "IQ_ASSETS_LEVEL_2", M$6,$F$2,,,Ccy,Conv)</f>
        <v>9700</v>
      </c>
      <c r="N489" s="18">
        <f>_xll.ciqfunctions.udf.CIQ($C$2, "IQ_ASSETS_LEVEL_2", N$6,$F$2,,,Ccy,Conv)</f>
        <v>8495</v>
      </c>
      <c r="O489" s="30"/>
      <c r="P489" s="18">
        <f>_xll.ciqfunctions.udf.CIQ($C$2, "IQ_ASSETS_LEVEL_2", P$6,$F$2,,,Ccy,Conv)</f>
        <v>8495</v>
      </c>
      <c r="Q489" s="245"/>
      <c r="R489" s="215"/>
      <c r="S489" s="215"/>
      <c r="T489" s="215"/>
      <c r="U489" s="215"/>
      <c r="V489" s="222"/>
      <c r="W489" s="222"/>
      <c r="X489" s="222"/>
      <c r="Y489" s="215"/>
      <c r="Z489" s="215"/>
      <c r="AA489" s="215"/>
      <c r="AB489" s="215"/>
      <c r="AC489" s="215"/>
      <c r="AD489" s="215"/>
      <c r="AE489" s="215"/>
      <c r="AF489" s="215"/>
      <c r="AG489" s="215"/>
      <c r="AH489" s="215"/>
      <c r="AI489" s="215"/>
      <c r="AJ489" s="215"/>
      <c r="AK489" s="215"/>
      <c r="AL489" s="215"/>
      <c r="AM489" s="215"/>
      <c r="AN489" s="215"/>
      <c r="AO489" s="215"/>
      <c r="AP489" s="215"/>
      <c r="AQ489" s="215"/>
      <c r="AR489" s="215"/>
      <c r="AS489" s="215"/>
      <c r="AT489" s="215"/>
      <c r="AU489" s="215"/>
      <c r="AV489" s="215"/>
      <c r="AW489" s="215"/>
      <c r="AX489" s="215"/>
      <c r="AY489" s="215"/>
      <c r="AZ489" s="215"/>
      <c r="BA489" s="215"/>
      <c r="BB489" s="215"/>
      <c r="BC489" s="215"/>
      <c r="BD489" s="215"/>
      <c r="BE489" s="215"/>
      <c r="BF489" s="215"/>
      <c r="BG489" s="215"/>
      <c r="BH489" s="215"/>
      <c r="BI489" s="215"/>
      <c r="BJ489" s="215"/>
      <c r="BK489" s="215"/>
      <c r="BL489" s="215"/>
      <c r="BM489" s="215"/>
      <c r="BN489" s="215"/>
      <c r="BO489" s="215"/>
      <c r="BP489" s="215"/>
      <c r="BQ489" s="215"/>
      <c r="BR489" s="215"/>
      <c r="BS489" s="215"/>
      <c r="BT489" s="215"/>
      <c r="BU489" s="215"/>
      <c r="BV489" s="215"/>
      <c r="BW489" s="215"/>
      <c r="BX489" s="215"/>
      <c r="BY489" s="215"/>
      <c r="BZ489" s="215"/>
    </row>
    <row r="490" spans="1:78" x14ac:dyDescent="0.2">
      <c r="A490" s="2" t="str">
        <f>'Language Index'!A440</f>
        <v>Level 3 Assets - Unobservable Prices</v>
      </c>
      <c r="B490" s="17"/>
      <c r="C490" s="17"/>
      <c r="D490" s="18">
        <f>_xll.ciqfunctions.udf.CIQ($C$2, "IQ_ASSETS_LEVEL_3", D$6,$F$2,,,Ccy,Conv)</f>
        <v>0</v>
      </c>
      <c r="E490" s="18">
        <f>_xll.ciqfunctions.udf.CIQ($C$2, "IQ_ASSETS_LEVEL_3", E$6,$F$2,,,Ccy,Conv)</f>
        <v>0</v>
      </c>
      <c r="F490" s="18">
        <f>_xll.ciqfunctions.udf.CIQ($C$2, "IQ_ASSETS_LEVEL_3", F$6,$F$2,,,Ccy,Conv)</f>
        <v>0</v>
      </c>
      <c r="G490" s="18">
        <f>_xll.ciqfunctions.udf.CIQ($C$2, "IQ_ASSETS_LEVEL_3", G$6,$F$2,,,Ccy,Conv)</f>
        <v>0</v>
      </c>
      <c r="H490" s="18">
        <f>_xll.ciqfunctions.udf.CIQ($C$2, "IQ_ASSETS_LEVEL_3", H$6,$F$2,,,Ccy,Conv)</f>
        <v>0</v>
      </c>
      <c r="I490" s="18">
        <f>_xll.ciqfunctions.udf.CIQ($C$2, "IQ_ASSETS_LEVEL_3", I$6,$F$2,,,Ccy,Conv)</f>
        <v>0</v>
      </c>
      <c r="J490" s="18">
        <f>_xll.ciqfunctions.udf.CIQ($C$2, "IQ_ASSETS_LEVEL_3", J$6,$F$2,,,Ccy,Conv)</f>
        <v>0</v>
      </c>
      <c r="K490" s="18">
        <f>_xll.ciqfunctions.udf.CIQ($C$2, "IQ_ASSETS_LEVEL_3", K$6,$F$2,,,Ccy,Conv)</f>
        <v>0</v>
      </c>
      <c r="L490" s="18">
        <f>_xll.ciqfunctions.udf.CIQ($C$2, "IQ_ASSETS_LEVEL_3", L$6,$F$2,,,Ccy,Conv)</f>
        <v>0</v>
      </c>
      <c r="M490" s="18">
        <f>_xll.ciqfunctions.udf.CIQ($C$2, "IQ_ASSETS_LEVEL_3", M$6,$F$2,,,Ccy,Conv)</f>
        <v>0</v>
      </c>
      <c r="N490" s="18">
        <f>_xll.ciqfunctions.udf.CIQ($C$2, "IQ_ASSETS_LEVEL_3", N$6,$F$2,,,Ccy,Conv)</f>
        <v>0</v>
      </c>
      <c r="O490" s="30"/>
      <c r="P490" s="18">
        <f>_xll.ciqfunctions.udf.CIQ($C$2, "IQ_ASSETS_LEVEL_3", P$6,$F$2,,,Ccy,Conv)</f>
        <v>0</v>
      </c>
      <c r="Q490" s="245"/>
      <c r="R490" s="215"/>
      <c r="S490" s="215"/>
      <c r="T490" s="215"/>
      <c r="U490" s="215"/>
      <c r="V490" s="222"/>
      <c r="W490" s="222"/>
      <c r="X490" s="222"/>
      <c r="Y490" s="215"/>
      <c r="Z490" s="215"/>
      <c r="AA490" s="215"/>
      <c r="AB490" s="215"/>
      <c r="AC490" s="215"/>
      <c r="AD490" s="215"/>
      <c r="AE490" s="215"/>
      <c r="AF490" s="215"/>
      <c r="AG490" s="215"/>
      <c r="AH490" s="215"/>
      <c r="AI490" s="215"/>
      <c r="AJ490" s="215"/>
      <c r="AK490" s="215"/>
      <c r="AL490" s="215"/>
      <c r="AM490" s="215"/>
      <c r="AN490" s="215"/>
      <c r="AO490" s="215"/>
      <c r="AP490" s="215"/>
      <c r="AQ490" s="215"/>
      <c r="AR490" s="215"/>
      <c r="AS490" s="215"/>
      <c r="AT490" s="215"/>
      <c r="AU490" s="215"/>
      <c r="AV490" s="215"/>
      <c r="AW490" s="215"/>
      <c r="AX490" s="215"/>
      <c r="AY490" s="215"/>
      <c r="AZ490" s="215"/>
      <c r="BA490" s="215"/>
      <c r="BB490" s="215"/>
      <c r="BC490" s="215"/>
      <c r="BD490" s="215"/>
      <c r="BE490" s="215"/>
      <c r="BF490" s="215"/>
      <c r="BG490" s="215"/>
      <c r="BH490" s="215"/>
      <c r="BI490" s="215"/>
      <c r="BJ490" s="215"/>
      <c r="BK490" s="215"/>
      <c r="BL490" s="215"/>
      <c r="BM490" s="215"/>
      <c r="BN490" s="215"/>
      <c r="BO490" s="215"/>
      <c r="BP490" s="215"/>
      <c r="BQ490" s="215"/>
      <c r="BR490" s="215"/>
      <c r="BS490" s="215"/>
      <c r="BT490" s="215"/>
      <c r="BU490" s="215"/>
      <c r="BV490" s="215"/>
      <c r="BW490" s="215"/>
      <c r="BX490" s="215"/>
      <c r="BY490" s="215"/>
      <c r="BZ490" s="215"/>
    </row>
    <row r="491" spans="1:78" x14ac:dyDescent="0.2">
      <c r="A491" s="2" t="str">
        <f>'Language Index'!A441</f>
        <v>Netting and Other Adj. to Assets</v>
      </c>
      <c r="B491" s="17"/>
      <c r="C491" s="17"/>
      <c r="D491" s="18">
        <f>_xll.ciqfunctions.udf.CIQ($C$2, "IQ_ASSETS_NETTING_OTHER_ADJUSTMENTS", D$6,$F$2,,,Ccy,Conv)</f>
        <v>0</v>
      </c>
      <c r="E491" s="18">
        <f>_xll.ciqfunctions.udf.CIQ($C$2, "IQ_ASSETS_NETTING_OTHER_ADJUSTMENTS", E$6,$F$2,,,Ccy,Conv)</f>
        <v>0</v>
      </c>
      <c r="F491" s="18">
        <f>_xll.ciqfunctions.udf.CIQ($C$2, "IQ_ASSETS_NETTING_OTHER_ADJUSTMENTS", F$6,$F$2,,,Ccy,Conv)</f>
        <v>0</v>
      </c>
      <c r="G491" s="18">
        <f>_xll.ciqfunctions.udf.CIQ($C$2, "IQ_ASSETS_NETTING_OTHER_ADJUSTMENTS", G$6,$F$2,,,Ccy,Conv)</f>
        <v>0</v>
      </c>
      <c r="H491" s="18">
        <f>_xll.ciqfunctions.udf.CIQ($C$2, "IQ_ASSETS_NETTING_OTHER_ADJUSTMENTS", H$6,$F$2,,,Ccy,Conv)</f>
        <v>0</v>
      </c>
      <c r="I491" s="18">
        <f>_xll.ciqfunctions.udf.CIQ($C$2, "IQ_ASSETS_NETTING_OTHER_ADJUSTMENTS", I$6,$F$2,,,Ccy,Conv)</f>
        <v>0</v>
      </c>
      <c r="J491" s="18">
        <f>_xll.ciqfunctions.udf.CIQ($C$2, "IQ_ASSETS_NETTING_OTHER_ADJUSTMENTS", J$6,$F$2,,,Ccy,Conv)</f>
        <v>0</v>
      </c>
      <c r="K491" s="18">
        <f>_xll.ciqfunctions.udf.CIQ($C$2, "IQ_ASSETS_NETTING_OTHER_ADJUSTMENTS", K$6,$F$2,,,Ccy,Conv)</f>
        <v>0</v>
      </c>
      <c r="L491" s="18">
        <f>_xll.ciqfunctions.udf.CIQ($C$2, "IQ_ASSETS_NETTING_OTHER_ADJUSTMENTS", L$6,$F$2,,,Ccy,Conv)</f>
        <v>0</v>
      </c>
      <c r="M491" s="18">
        <f>_xll.ciqfunctions.udf.CIQ($C$2, "IQ_ASSETS_NETTING_OTHER_ADJUSTMENTS", M$6,$F$2,,,Ccy,Conv)</f>
        <v>0</v>
      </c>
      <c r="N491" s="18">
        <f>_xll.ciqfunctions.udf.CIQ($C$2, "IQ_ASSETS_NETTING_OTHER_ADJUSTMENTS", N$6,$F$2,,,Ccy,Conv)</f>
        <v>0</v>
      </c>
      <c r="O491" s="30"/>
      <c r="P491" s="18">
        <f>_xll.ciqfunctions.udf.CIQ($C$2, "IQ_ASSETS_NETTING_OTHER_ADJUSTMENTS", P$6,$F$2,,,Ccy,Conv)</f>
        <v>0</v>
      </c>
      <c r="Q491" s="245"/>
      <c r="R491" s="215"/>
      <c r="S491" s="215"/>
      <c r="T491" s="215"/>
      <c r="U491" s="215"/>
      <c r="V491" s="222"/>
      <c r="W491" s="222"/>
      <c r="X491" s="222"/>
      <c r="Y491" s="215"/>
      <c r="Z491" s="215"/>
      <c r="AA491" s="215"/>
      <c r="AB491" s="215"/>
      <c r="AC491" s="215"/>
      <c r="AD491" s="215"/>
      <c r="AE491" s="215"/>
      <c r="AF491" s="215"/>
      <c r="AG491" s="215"/>
      <c r="AH491" s="215"/>
      <c r="AI491" s="215"/>
      <c r="AJ491" s="215"/>
      <c r="AK491" s="215"/>
      <c r="AL491" s="215"/>
      <c r="AM491" s="215"/>
      <c r="AN491" s="215"/>
      <c r="AO491" s="215"/>
      <c r="AP491" s="215"/>
      <c r="AQ491" s="215"/>
      <c r="AR491" s="215"/>
      <c r="AS491" s="215"/>
      <c r="AT491" s="215"/>
      <c r="AU491" s="215"/>
      <c r="AV491" s="215"/>
      <c r="AW491" s="215"/>
      <c r="AX491" s="215"/>
      <c r="AY491" s="215"/>
      <c r="AZ491" s="215"/>
      <c r="BA491" s="215"/>
      <c r="BB491" s="215"/>
      <c r="BC491" s="215"/>
      <c r="BD491" s="215"/>
      <c r="BE491" s="215"/>
      <c r="BF491" s="215"/>
      <c r="BG491" s="215"/>
      <c r="BH491" s="215"/>
      <c r="BI491" s="215"/>
      <c r="BJ491" s="215"/>
      <c r="BK491" s="215"/>
      <c r="BL491" s="215"/>
      <c r="BM491" s="215"/>
      <c r="BN491" s="215"/>
      <c r="BO491" s="215"/>
      <c r="BP491" s="215"/>
      <c r="BQ491" s="215"/>
      <c r="BR491" s="215"/>
      <c r="BS491" s="215"/>
      <c r="BT491" s="215"/>
      <c r="BU491" s="215"/>
      <c r="BV491" s="215"/>
      <c r="BW491" s="215"/>
      <c r="BX491" s="215"/>
      <c r="BY491" s="215"/>
      <c r="BZ491" s="215"/>
    </row>
    <row r="492" spans="1:78" x14ac:dyDescent="0.2">
      <c r="A492" s="2" t="str">
        <f>'Language Index'!A442</f>
        <v>Fair Value of Assets</v>
      </c>
      <c r="B492" s="17"/>
      <c r="C492" s="17"/>
      <c r="D492" s="18">
        <f>_xll.ciqfunctions.udf.CIQ($C$2, "IQ_ASSETS_FAIR_VALUE", D$6,$F$2,,,Ccy,Conv)</f>
        <v>12063</v>
      </c>
      <c r="E492" s="18">
        <f>_xll.ciqfunctions.udf.CIQ($C$2, "IQ_ASSETS_FAIR_VALUE", E$6,$F$2,,,Ccy,Conv)</f>
        <v>8132</v>
      </c>
      <c r="F492" s="18">
        <f>_xll.ciqfunctions.udf.CIQ($C$2, "IQ_ASSETS_FAIR_VALUE", F$6,$F$2,,,Ccy,Conv)</f>
        <v>8439</v>
      </c>
      <c r="G492" s="18">
        <f>_xll.ciqfunctions.udf.CIQ($C$2, "IQ_ASSETS_FAIR_VALUE", G$6,$F$2,,,Ccy,Conv)</f>
        <v>12579</v>
      </c>
      <c r="H492" s="18">
        <f>_xll.ciqfunctions.udf.CIQ($C$2, "IQ_ASSETS_FAIR_VALUE", H$6,$F$2,,,Ccy,Conv)</f>
        <v>7691</v>
      </c>
      <c r="I492" s="18">
        <f>_xll.ciqfunctions.udf.CIQ($C$2, "IQ_ASSETS_FAIR_VALUE", I$6,$F$2,,,Ccy,Conv)</f>
        <v>7393</v>
      </c>
      <c r="J492" s="18">
        <f>_xll.ciqfunctions.udf.CIQ($C$2, "IQ_ASSETS_FAIR_VALUE", J$6,$F$2,,,Ccy,Conv)</f>
        <v>8262</v>
      </c>
      <c r="K492" s="18">
        <f>_xll.ciqfunctions.udf.CIQ($C$2, "IQ_ASSETS_FAIR_VALUE", K$6,$F$2,,,Ccy,Conv)</f>
        <v>13593</v>
      </c>
      <c r="L492" s="18">
        <f>_xll.ciqfunctions.udf.CIQ($C$2, "IQ_ASSETS_FAIR_VALUE", L$6,$F$2,,,Ccy,Conv)</f>
        <v>11388</v>
      </c>
      <c r="M492" s="18">
        <f>_xll.ciqfunctions.udf.CIQ($C$2, "IQ_ASSETS_FAIR_VALUE", M$6,$F$2,,,Ccy,Conv)</f>
        <v>10275</v>
      </c>
      <c r="N492" s="18">
        <f>_xll.ciqfunctions.udf.CIQ($C$2, "IQ_ASSETS_FAIR_VALUE", N$6,$F$2,,,Ccy,Conv)</f>
        <v>8908</v>
      </c>
      <c r="O492" s="30"/>
      <c r="P492" s="18">
        <f>_xll.ciqfunctions.udf.CIQ($C$2, "IQ_ASSETS_FAIR_VALUE", P$6,$F$2,,,Ccy,Conv)</f>
        <v>8908</v>
      </c>
      <c r="Q492" s="245"/>
      <c r="R492" s="215"/>
      <c r="S492" s="215"/>
      <c r="T492" s="215"/>
      <c r="U492" s="215"/>
      <c r="V492" s="222"/>
      <c r="W492" s="222"/>
      <c r="X492" s="222"/>
      <c r="Y492" s="215"/>
      <c r="Z492" s="215"/>
      <c r="AA492" s="215"/>
      <c r="AB492" s="215"/>
      <c r="AC492" s="215"/>
      <c r="AD492" s="215"/>
      <c r="AE492" s="215"/>
      <c r="AF492" s="215"/>
      <c r="AG492" s="215"/>
      <c r="AH492" s="215"/>
      <c r="AI492" s="215"/>
      <c r="AJ492" s="215"/>
      <c r="AK492" s="215"/>
      <c r="AL492" s="215"/>
      <c r="AM492" s="215"/>
      <c r="AN492" s="215"/>
      <c r="AO492" s="215"/>
      <c r="AP492" s="215"/>
      <c r="AQ492" s="215"/>
      <c r="AR492" s="215"/>
      <c r="AS492" s="215"/>
      <c r="AT492" s="215"/>
      <c r="AU492" s="215"/>
      <c r="AV492" s="215"/>
      <c r="AW492" s="215"/>
      <c r="AX492" s="215"/>
      <c r="AY492" s="215"/>
      <c r="AZ492" s="215"/>
      <c r="BA492" s="215"/>
      <c r="BB492" s="215"/>
      <c r="BC492" s="215"/>
      <c r="BD492" s="215"/>
      <c r="BE492" s="215"/>
      <c r="BF492" s="215"/>
      <c r="BG492" s="215"/>
      <c r="BH492" s="215"/>
      <c r="BI492" s="215"/>
      <c r="BJ492" s="215"/>
      <c r="BK492" s="215"/>
      <c r="BL492" s="215"/>
      <c r="BM492" s="215"/>
      <c r="BN492" s="215"/>
      <c r="BO492" s="215"/>
      <c r="BP492" s="215"/>
      <c r="BQ492" s="215"/>
      <c r="BR492" s="215"/>
      <c r="BS492" s="215"/>
      <c r="BT492" s="215"/>
      <c r="BU492" s="215"/>
      <c r="BV492" s="215"/>
      <c r="BW492" s="215"/>
      <c r="BX492" s="215"/>
      <c r="BY492" s="215"/>
      <c r="BZ492" s="215"/>
    </row>
    <row r="493" spans="1:78" x14ac:dyDescent="0.2">
      <c r="A493" s="2" t="str">
        <f>'Language Index'!A443</f>
        <v>Level 1 Liabilities - Quoted Prices</v>
      </c>
      <c r="B493" s="17"/>
      <c r="C493" s="17"/>
      <c r="D493" s="18">
        <f>_xll.ciqfunctions.udf.CIQ($C$2, "IQ_LIABILITIES_LEVEL_1", D$6,$F$2,,,Ccy,Conv)</f>
        <v>0</v>
      </c>
      <c r="E493" s="18">
        <f>_xll.ciqfunctions.udf.CIQ($C$2, "IQ_LIABILITIES_LEVEL_1", E$6,$F$2,,,Ccy,Conv)</f>
        <v>0</v>
      </c>
      <c r="F493" s="18">
        <f>_xll.ciqfunctions.udf.CIQ($C$2, "IQ_LIABILITIES_LEVEL_1", F$6,$F$2,,,Ccy,Conv)</f>
        <v>0</v>
      </c>
      <c r="G493" s="18">
        <f>_xll.ciqfunctions.udf.CIQ($C$2, "IQ_LIABILITIES_LEVEL_1", G$6,$F$2,,,Ccy,Conv)</f>
        <v>0</v>
      </c>
      <c r="H493" s="18">
        <f>_xll.ciqfunctions.udf.CIQ($C$2, "IQ_LIABILITIES_LEVEL_1", H$6,$F$2,,,Ccy,Conv)</f>
        <v>0</v>
      </c>
      <c r="I493" s="18">
        <f>_xll.ciqfunctions.udf.CIQ($C$2, "IQ_LIABILITIES_LEVEL_1", I$6,$F$2,,,Ccy,Conv)</f>
        <v>0</v>
      </c>
      <c r="J493" s="18">
        <f>_xll.ciqfunctions.udf.CIQ($C$2, "IQ_LIABILITIES_LEVEL_1", J$6,$F$2,,,Ccy,Conv)</f>
        <v>0</v>
      </c>
      <c r="K493" s="18">
        <f>_xll.ciqfunctions.udf.CIQ($C$2, "IQ_LIABILITIES_LEVEL_1", K$6,$F$2,,,Ccy,Conv)</f>
        <v>0</v>
      </c>
      <c r="L493" s="18">
        <f>_xll.ciqfunctions.udf.CIQ($C$2, "IQ_LIABILITIES_LEVEL_1", L$6,$F$2,,,Ccy,Conv)</f>
        <v>0</v>
      </c>
      <c r="M493" s="18">
        <f>_xll.ciqfunctions.udf.CIQ($C$2, "IQ_LIABILITIES_LEVEL_1", M$6,$F$2,,,Ccy,Conv)</f>
        <v>0</v>
      </c>
      <c r="N493" s="18">
        <f>_xll.ciqfunctions.udf.CIQ($C$2, "IQ_LIABILITIES_LEVEL_1", N$6,$F$2,,,Ccy,Conv)</f>
        <v>0</v>
      </c>
      <c r="O493" s="30"/>
      <c r="P493" s="18">
        <f>_xll.ciqfunctions.udf.CIQ($C$2, "IQ_LIABILITIES_LEVEL_1", P$6,$F$2,,,Ccy,Conv)</f>
        <v>0</v>
      </c>
      <c r="Q493" s="245"/>
      <c r="R493" s="215"/>
      <c r="S493" s="215"/>
      <c r="T493" s="215"/>
      <c r="U493" s="215"/>
      <c r="V493" s="222"/>
      <c r="W493" s="222"/>
      <c r="X493" s="222"/>
      <c r="Y493" s="215"/>
      <c r="Z493" s="215"/>
      <c r="AA493" s="215"/>
      <c r="AB493" s="215"/>
      <c r="AC493" s="215"/>
      <c r="AD493" s="215"/>
      <c r="AE493" s="215"/>
      <c r="AF493" s="215"/>
      <c r="AG493" s="215"/>
      <c r="AH493" s="215"/>
      <c r="AI493" s="215"/>
      <c r="AJ493" s="215"/>
      <c r="AK493" s="215"/>
      <c r="AL493" s="215"/>
      <c r="AM493" s="215"/>
      <c r="AN493" s="215"/>
      <c r="AO493" s="215"/>
      <c r="AP493" s="215"/>
      <c r="AQ493" s="215"/>
      <c r="AR493" s="215"/>
      <c r="AS493" s="215"/>
      <c r="AT493" s="215"/>
      <c r="AU493" s="215"/>
      <c r="AV493" s="215"/>
      <c r="AW493" s="215"/>
      <c r="AX493" s="215"/>
      <c r="AY493" s="215"/>
      <c r="AZ493" s="215"/>
      <c r="BA493" s="215"/>
      <c r="BB493" s="215"/>
      <c r="BC493" s="215"/>
      <c r="BD493" s="215"/>
      <c r="BE493" s="215"/>
      <c r="BF493" s="215"/>
      <c r="BG493" s="215"/>
      <c r="BH493" s="215"/>
      <c r="BI493" s="215"/>
      <c r="BJ493" s="215"/>
      <c r="BK493" s="215"/>
      <c r="BL493" s="215"/>
      <c r="BM493" s="215"/>
      <c r="BN493" s="215"/>
      <c r="BO493" s="215"/>
      <c r="BP493" s="215"/>
      <c r="BQ493" s="215"/>
      <c r="BR493" s="215"/>
      <c r="BS493" s="215"/>
      <c r="BT493" s="215"/>
      <c r="BU493" s="215"/>
      <c r="BV493" s="215"/>
      <c r="BW493" s="215"/>
      <c r="BX493" s="215"/>
      <c r="BY493" s="215"/>
      <c r="BZ493" s="215"/>
    </row>
    <row r="494" spans="1:78" x14ac:dyDescent="0.2">
      <c r="A494" s="2" t="str">
        <f>'Language Index'!A444</f>
        <v>Level 2 Liabilities - Observable Prices</v>
      </c>
      <c r="B494" s="17"/>
      <c r="C494" s="17"/>
      <c r="D494" s="18">
        <f>_xll.ciqfunctions.udf.CIQ($C$2, "IQ_LIABILITIES_LEVEL_2", D$6,$F$2,,,Ccy,Conv)</f>
        <v>48075</v>
      </c>
      <c r="E494" s="18">
        <f>_xll.ciqfunctions.udf.CIQ($C$2, "IQ_LIABILITIES_LEVEL_2", E$6,$F$2,,,Ccy,Conv)</f>
        <v>45128</v>
      </c>
      <c r="F494" s="18">
        <f>_xll.ciqfunctions.udf.CIQ($C$2, "IQ_LIABILITIES_LEVEL_2", F$6,$F$2,,,Ccy,Conv)</f>
        <v>48877</v>
      </c>
      <c r="G494" s="18">
        <f>_xll.ciqfunctions.udf.CIQ($C$2, "IQ_LIABILITIES_LEVEL_2", G$6,$F$2,,,Ccy,Conv)</f>
        <v>52220</v>
      </c>
      <c r="H494" s="18">
        <f>_xll.ciqfunctions.udf.CIQ($C$2, "IQ_LIABILITIES_LEVEL_2", H$6,$F$2,,,Ccy,Conv)</f>
        <v>50467</v>
      </c>
      <c r="I494" s="18">
        <f>_xll.ciqfunctions.udf.CIQ($C$2, "IQ_LIABILITIES_LEVEL_2", I$6,$F$2,,,Ccy,Conv)</f>
        <v>52218</v>
      </c>
      <c r="J494" s="18">
        <f>_xll.ciqfunctions.udf.CIQ($C$2, "IQ_LIABILITIES_LEVEL_2", J$6,$F$2,,,Ccy,Conv)</f>
        <v>726</v>
      </c>
      <c r="K494" s="18">
        <f>_xll.ciqfunctions.udf.CIQ($C$2, "IQ_LIABILITIES_LEVEL_2", K$6,$F$2,,,Ccy,Conv)</f>
        <v>54415</v>
      </c>
      <c r="L494" s="18">
        <f>_xll.ciqfunctions.udf.CIQ($C$2, "IQ_LIABILITIES_LEVEL_2", L$6,$F$2,,,Ccy,Conv)</f>
        <v>53788</v>
      </c>
      <c r="M494" s="18">
        <f>_xll.ciqfunctions.udf.CIQ($C$2, "IQ_LIABILITIES_LEVEL_2", M$6,$F$2,,,Ccy,Conv)</f>
        <v>54001</v>
      </c>
      <c r="N494" s="18">
        <f>_xll.ciqfunctions.udf.CIQ($C$2, "IQ_LIABILITIES_LEVEL_2", N$6,$F$2,,,Ccy,Conv)</f>
        <v>513</v>
      </c>
      <c r="O494" s="30"/>
      <c r="P494" s="18">
        <f>_xll.ciqfunctions.udf.CIQ($C$2, "IQ_LIABILITIES_LEVEL_2", P$6,$F$2,,,Ccy,Conv)</f>
        <v>513</v>
      </c>
      <c r="Q494" s="245"/>
      <c r="R494" s="215"/>
      <c r="S494" s="215"/>
      <c r="T494" s="215"/>
      <c r="U494" s="215"/>
      <c r="V494" s="222"/>
      <c r="W494" s="222"/>
      <c r="X494" s="222"/>
      <c r="Y494" s="215"/>
      <c r="Z494" s="215"/>
      <c r="AA494" s="215"/>
      <c r="AB494" s="215"/>
      <c r="AC494" s="215"/>
      <c r="AD494" s="215"/>
      <c r="AE494" s="215"/>
      <c r="AF494" s="215"/>
      <c r="AG494" s="215"/>
      <c r="AH494" s="215"/>
      <c r="AI494" s="215"/>
      <c r="AJ494" s="215"/>
      <c r="AK494" s="215"/>
      <c r="AL494" s="215"/>
      <c r="AM494" s="215"/>
      <c r="AN494" s="215"/>
      <c r="AO494" s="215"/>
      <c r="AP494" s="215"/>
      <c r="AQ494" s="215"/>
      <c r="AR494" s="215"/>
      <c r="AS494" s="215"/>
      <c r="AT494" s="215"/>
      <c r="AU494" s="215"/>
      <c r="AV494" s="215"/>
      <c r="AW494" s="215"/>
      <c r="AX494" s="215"/>
      <c r="AY494" s="215"/>
      <c r="AZ494" s="215"/>
      <c r="BA494" s="215"/>
      <c r="BB494" s="215"/>
      <c r="BC494" s="215"/>
      <c r="BD494" s="215"/>
      <c r="BE494" s="215"/>
      <c r="BF494" s="215"/>
      <c r="BG494" s="215"/>
      <c r="BH494" s="215"/>
      <c r="BI494" s="215"/>
      <c r="BJ494" s="215"/>
      <c r="BK494" s="215"/>
      <c r="BL494" s="215"/>
      <c r="BM494" s="215"/>
      <c r="BN494" s="215"/>
      <c r="BO494" s="215"/>
      <c r="BP494" s="215"/>
      <c r="BQ494" s="215"/>
      <c r="BR494" s="215"/>
      <c r="BS494" s="215"/>
      <c r="BT494" s="215"/>
      <c r="BU494" s="215"/>
      <c r="BV494" s="215"/>
      <c r="BW494" s="215"/>
      <c r="BX494" s="215"/>
      <c r="BY494" s="215"/>
      <c r="BZ494" s="215"/>
    </row>
    <row r="495" spans="1:78" x14ac:dyDescent="0.2">
      <c r="A495" s="2" t="str">
        <f>'Language Index'!A445</f>
        <v>Level 3 Liabilities - Unobservable Prices</v>
      </c>
      <c r="B495" s="17"/>
      <c r="C495" s="17"/>
      <c r="D495" s="18">
        <f>_xll.ciqfunctions.udf.CIQ($C$2, "IQ_LIABILITIES_LEVEL_3", D$6,$F$2,,,Ccy,Conv)</f>
        <v>0</v>
      </c>
      <c r="E495" s="18">
        <f>_xll.ciqfunctions.udf.CIQ($C$2, "IQ_LIABILITIES_LEVEL_3", E$6,$F$2,,,Ccy,Conv)</f>
        <v>0</v>
      </c>
      <c r="F495" s="18">
        <f>_xll.ciqfunctions.udf.CIQ($C$2, "IQ_LIABILITIES_LEVEL_3", F$6,$F$2,,,Ccy,Conv)</f>
        <v>0</v>
      </c>
      <c r="G495" s="18">
        <f>_xll.ciqfunctions.udf.CIQ($C$2, "IQ_LIABILITIES_LEVEL_3", G$6,$F$2,,,Ccy,Conv)</f>
        <v>0</v>
      </c>
      <c r="H495" s="18">
        <f>_xll.ciqfunctions.udf.CIQ($C$2, "IQ_LIABILITIES_LEVEL_3", H$6,$F$2,,,Ccy,Conv)</f>
        <v>0</v>
      </c>
      <c r="I495" s="18">
        <f>_xll.ciqfunctions.udf.CIQ($C$2, "IQ_LIABILITIES_LEVEL_3", I$6,$F$2,,,Ccy,Conv)</f>
        <v>0</v>
      </c>
      <c r="J495" s="18">
        <f>_xll.ciqfunctions.udf.CIQ($C$2, "IQ_LIABILITIES_LEVEL_3", J$6,$F$2,,,Ccy,Conv)</f>
        <v>0</v>
      </c>
      <c r="K495" s="18">
        <f>_xll.ciqfunctions.udf.CIQ($C$2, "IQ_LIABILITIES_LEVEL_3", K$6,$F$2,,,Ccy,Conv)</f>
        <v>0</v>
      </c>
      <c r="L495" s="18">
        <f>_xll.ciqfunctions.udf.CIQ($C$2, "IQ_LIABILITIES_LEVEL_3", L$6,$F$2,,,Ccy,Conv)</f>
        <v>0</v>
      </c>
      <c r="M495" s="18">
        <f>_xll.ciqfunctions.udf.CIQ($C$2, "IQ_LIABILITIES_LEVEL_3", M$6,$F$2,,,Ccy,Conv)</f>
        <v>0</v>
      </c>
      <c r="N495" s="18">
        <f>_xll.ciqfunctions.udf.CIQ($C$2, "IQ_LIABILITIES_LEVEL_3", N$6,$F$2,,,Ccy,Conv)</f>
        <v>0</v>
      </c>
      <c r="O495" s="30"/>
      <c r="P495" s="18">
        <f>_xll.ciqfunctions.udf.CIQ($C$2, "IQ_LIABILITIES_LEVEL_3", P$6,$F$2,,,Ccy,Conv)</f>
        <v>0</v>
      </c>
      <c r="Q495" s="245"/>
      <c r="R495" s="215"/>
      <c r="S495" s="215"/>
      <c r="T495" s="215"/>
      <c r="U495" s="215"/>
      <c r="V495" s="222"/>
      <c r="W495" s="222"/>
      <c r="X495" s="222"/>
      <c r="Y495" s="215"/>
      <c r="Z495" s="215"/>
      <c r="AA495" s="215"/>
      <c r="AB495" s="215"/>
      <c r="AC495" s="215"/>
      <c r="AD495" s="215"/>
      <c r="AE495" s="215"/>
      <c r="AF495" s="215"/>
      <c r="AG495" s="215"/>
      <c r="AH495" s="215"/>
      <c r="AI495" s="215"/>
      <c r="AJ495" s="215"/>
      <c r="AK495" s="215"/>
      <c r="AL495" s="215"/>
      <c r="AM495" s="215"/>
      <c r="AN495" s="215"/>
      <c r="AO495" s="215"/>
      <c r="AP495" s="215"/>
      <c r="AQ495" s="215"/>
      <c r="AR495" s="215"/>
      <c r="AS495" s="215"/>
      <c r="AT495" s="215"/>
      <c r="AU495" s="215"/>
      <c r="AV495" s="215"/>
      <c r="AW495" s="215"/>
      <c r="AX495" s="215"/>
      <c r="AY495" s="215"/>
      <c r="AZ495" s="215"/>
      <c r="BA495" s="215"/>
      <c r="BB495" s="215"/>
      <c r="BC495" s="215"/>
      <c r="BD495" s="215"/>
      <c r="BE495" s="215"/>
      <c r="BF495" s="215"/>
      <c r="BG495" s="215"/>
      <c r="BH495" s="215"/>
      <c r="BI495" s="215"/>
      <c r="BJ495" s="215"/>
      <c r="BK495" s="215"/>
      <c r="BL495" s="215"/>
      <c r="BM495" s="215"/>
      <c r="BN495" s="215"/>
      <c r="BO495" s="215"/>
      <c r="BP495" s="215"/>
      <c r="BQ495" s="215"/>
      <c r="BR495" s="215"/>
      <c r="BS495" s="215"/>
      <c r="BT495" s="215"/>
      <c r="BU495" s="215"/>
      <c r="BV495" s="215"/>
      <c r="BW495" s="215"/>
      <c r="BX495" s="215"/>
      <c r="BY495" s="215"/>
      <c r="BZ495" s="215"/>
    </row>
    <row r="496" spans="1:78" x14ac:dyDescent="0.2">
      <c r="A496" s="2" t="str">
        <f>'Language Index'!A446</f>
        <v>Netting and Other Adj. to Liabilities</v>
      </c>
      <c r="B496" s="17"/>
      <c r="C496" s="17"/>
      <c r="D496" s="18">
        <f>_xll.ciqfunctions.udf.CIQ($C$2, "IQ_LIABILITIES_NETTING_OTHER_ADJUSTMENTS", D$6,$F$2,,,Ccy,Conv)</f>
        <v>0</v>
      </c>
      <c r="E496" s="18">
        <f>_xll.ciqfunctions.udf.CIQ($C$2, "IQ_LIABILITIES_NETTING_OTHER_ADJUSTMENTS", E$6,$F$2,,,Ccy,Conv)</f>
        <v>0</v>
      </c>
      <c r="F496" s="18">
        <f>_xll.ciqfunctions.udf.CIQ($C$2, "IQ_LIABILITIES_NETTING_OTHER_ADJUSTMENTS", F$6,$F$2,,,Ccy,Conv)</f>
        <v>0</v>
      </c>
      <c r="G496" s="18">
        <f>_xll.ciqfunctions.udf.CIQ($C$2, "IQ_LIABILITIES_NETTING_OTHER_ADJUSTMENTS", G$6,$F$2,,,Ccy,Conv)</f>
        <v>0</v>
      </c>
      <c r="H496" s="18">
        <f>_xll.ciqfunctions.udf.CIQ($C$2, "IQ_LIABILITIES_NETTING_OTHER_ADJUSTMENTS", H$6,$F$2,,,Ccy,Conv)</f>
        <v>0</v>
      </c>
      <c r="I496" s="18">
        <f>_xll.ciqfunctions.udf.CIQ($C$2, "IQ_LIABILITIES_NETTING_OTHER_ADJUSTMENTS", I$6,$F$2,,,Ccy,Conv)</f>
        <v>0</v>
      </c>
      <c r="J496" s="18">
        <f>_xll.ciqfunctions.udf.CIQ($C$2, "IQ_LIABILITIES_NETTING_OTHER_ADJUSTMENTS", J$6,$F$2,,,Ccy,Conv)</f>
        <v>0</v>
      </c>
      <c r="K496" s="18">
        <f>_xll.ciqfunctions.udf.CIQ($C$2, "IQ_LIABILITIES_NETTING_OTHER_ADJUSTMENTS", K$6,$F$2,,,Ccy,Conv)</f>
        <v>0</v>
      </c>
      <c r="L496" s="18">
        <f>_xll.ciqfunctions.udf.CIQ($C$2, "IQ_LIABILITIES_NETTING_OTHER_ADJUSTMENTS", L$6,$F$2,,,Ccy,Conv)</f>
        <v>0</v>
      </c>
      <c r="M496" s="18">
        <f>_xll.ciqfunctions.udf.CIQ($C$2, "IQ_LIABILITIES_NETTING_OTHER_ADJUSTMENTS", M$6,$F$2,,,Ccy,Conv)</f>
        <v>0</v>
      </c>
      <c r="N496" s="18">
        <f>_xll.ciqfunctions.udf.CIQ($C$2, "IQ_LIABILITIES_NETTING_OTHER_ADJUSTMENTS", N$6,$F$2,,,Ccy,Conv)</f>
        <v>0</v>
      </c>
      <c r="O496" s="30"/>
      <c r="P496" s="18">
        <f>_xll.ciqfunctions.udf.CIQ($C$2, "IQ_LIABILITIES_NETTING_OTHER_ADJUSTMENTS", P$6,$F$2,,,Ccy,Conv)</f>
        <v>0</v>
      </c>
      <c r="Q496" s="245"/>
      <c r="R496" s="215"/>
      <c r="S496" s="215"/>
      <c r="T496" s="215"/>
      <c r="U496" s="215"/>
      <c r="V496" s="222"/>
      <c r="W496" s="222"/>
      <c r="X496" s="222"/>
      <c r="Y496" s="215"/>
      <c r="Z496" s="215"/>
      <c r="AA496" s="215"/>
      <c r="AB496" s="215"/>
      <c r="AC496" s="215"/>
      <c r="AD496" s="215"/>
      <c r="AE496" s="215"/>
      <c r="AF496" s="215"/>
      <c r="AG496" s="215"/>
      <c r="AH496" s="215"/>
      <c r="AI496" s="215"/>
      <c r="AJ496" s="215"/>
      <c r="AK496" s="215"/>
      <c r="AL496" s="215"/>
      <c r="AM496" s="215"/>
      <c r="AN496" s="215"/>
      <c r="AO496" s="215"/>
      <c r="AP496" s="215"/>
      <c r="AQ496" s="215"/>
      <c r="AR496" s="215"/>
      <c r="AS496" s="215"/>
      <c r="AT496" s="215"/>
      <c r="AU496" s="215"/>
      <c r="AV496" s="215"/>
      <c r="AW496" s="215"/>
      <c r="AX496" s="215"/>
      <c r="AY496" s="215"/>
      <c r="AZ496" s="215"/>
      <c r="BA496" s="215"/>
      <c r="BB496" s="215"/>
      <c r="BC496" s="215"/>
      <c r="BD496" s="215"/>
      <c r="BE496" s="215"/>
      <c r="BF496" s="215"/>
      <c r="BG496" s="215"/>
      <c r="BH496" s="215"/>
      <c r="BI496" s="215"/>
      <c r="BJ496" s="215"/>
      <c r="BK496" s="215"/>
      <c r="BL496" s="215"/>
      <c r="BM496" s="215"/>
      <c r="BN496" s="215"/>
      <c r="BO496" s="215"/>
      <c r="BP496" s="215"/>
      <c r="BQ496" s="215"/>
      <c r="BR496" s="215"/>
      <c r="BS496" s="215"/>
      <c r="BT496" s="215"/>
      <c r="BU496" s="215"/>
      <c r="BV496" s="215"/>
      <c r="BW496" s="215"/>
      <c r="BX496" s="215"/>
      <c r="BY496" s="215"/>
      <c r="BZ496" s="215"/>
    </row>
    <row r="497" spans="1:78" x14ac:dyDescent="0.2">
      <c r="A497" s="2" t="str">
        <f>'Language Index'!A447</f>
        <v>Fair Value of Liabilities</v>
      </c>
      <c r="B497" s="17"/>
      <c r="C497" s="17"/>
      <c r="D497" s="18">
        <f>_xll.ciqfunctions.udf.CIQ($C$2, "IQ_LIABILITIES_FAIR_VALUE", D$6,$F$2,,,Ccy,Conv)</f>
        <v>48075</v>
      </c>
      <c r="E497" s="18">
        <f>_xll.ciqfunctions.udf.CIQ($C$2, "IQ_LIABILITIES_FAIR_VALUE", E$6,$F$2,,,Ccy,Conv)</f>
        <v>45128</v>
      </c>
      <c r="F497" s="18">
        <f>_xll.ciqfunctions.udf.CIQ($C$2, "IQ_LIABILITIES_FAIR_VALUE", F$6,$F$2,,,Ccy,Conv)</f>
        <v>48877</v>
      </c>
      <c r="G497" s="18">
        <f>_xll.ciqfunctions.udf.CIQ($C$2, "IQ_LIABILITIES_FAIR_VALUE", G$6,$F$2,,,Ccy,Conv)</f>
        <v>52220</v>
      </c>
      <c r="H497" s="18">
        <f>_xll.ciqfunctions.udf.CIQ($C$2, "IQ_LIABILITIES_FAIR_VALUE", H$6,$F$2,,,Ccy,Conv)</f>
        <v>50467</v>
      </c>
      <c r="I497" s="18">
        <f>_xll.ciqfunctions.udf.CIQ($C$2, "IQ_LIABILITIES_FAIR_VALUE", I$6,$F$2,,,Ccy,Conv)</f>
        <v>52218</v>
      </c>
      <c r="J497" s="18">
        <f>_xll.ciqfunctions.udf.CIQ($C$2, "IQ_LIABILITIES_FAIR_VALUE", J$6,$F$2,,,Ccy,Conv)</f>
        <v>726</v>
      </c>
      <c r="K497" s="18">
        <f>_xll.ciqfunctions.udf.CIQ($C$2, "IQ_LIABILITIES_FAIR_VALUE", K$6,$F$2,,,Ccy,Conv)</f>
        <v>54415</v>
      </c>
      <c r="L497" s="18">
        <f>_xll.ciqfunctions.udf.CIQ($C$2, "IQ_LIABILITIES_FAIR_VALUE", L$6,$F$2,,,Ccy,Conv)</f>
        <v>53788</v>
      </c>
      <c r="M497" s="18">
        <f>_xll.ciqfunctions.udf.CIQ($C$2, "IQ_LIABILITIES_FAIR_VALUE", M$6,$F$2,,,Ccy,Conv)</f>
        <v>54001</v>
      </c>
      <c r="N497" s="18">
        <f>_xll.ciqfunctions.udf.CIQ($C$2, "IQ_LIABILITIES_FAIR_VALUE", N$6,$F$2,,,Ccy,Conv)</f>
        <v>513</v>
      </c>
      <c r="O497" s="30"/>
      <c r="P497" s="18">
        <f>_xll.ciqfunctions.udf.CIQ($C$2, "IQ_LIABILITIES_FAIR_VALUE", P$6,$F$2,,,Ccy,Conv)</f>
        <v>513</v>
      </c>
      <c r="Q497" s="246"/>
      <c r="R497" s="215"/>
      <c r="S497" s="215"/>
      <c r="T497" s="215"/>
      <c r="U497" s="215"/>
      <c r="V497" s="222"/>
      <c r="W497" s="222"/>
      <c r="X497" s="222"/>
      <c r="Y497" s="215"/>
      <c r="Z497" s="215"/>
      <c r="AA497" s="215"/>
      <c r="AB497" s="215"/>
      <c r="AC497" s="215"/>
      <c r="AD497" s="215"/>
      <c r="AE497" s="215"/>
      <c r="AF497" s="215"/>
      <c r="AG497" s="215"/>
      <c r="AH497" s="215"/>
      <c r="AI497" s="215"/>
      <c r="AJ497" s="215"/>
      <c r="AK497" s="215"/>
      <c r="AL497" s="215"/>
      <c r="AM497" s="215"/>
      <c r="AN497" s="215"/>
      <c r="AO497" s="215"/>
      <c r="AP497" s="215"/>
      <c r="AQ497" s="215"/>
      <c r="AR497" s="215"/>
      <c r="AS497" s="215"/>
      <c r="AT497" s="215"/>
      <c r="AU497" s="215"/>
      <c r="AV497" s="215"/>
      <c r="AW497" s="215"/>
      <c r="AX497" s="215"/>
      <c r="AY497" s="215"/>
      <c r="AZ497" s="215"/>
      <c r="BA497" s="215"/>
      <c r="BB497" s="215"/>
      <c r="BC497" s="215"/>
      <c r="BD497" s="215"/>
      <c r="BE497" s="215"/>
      <c r="BF497" s="215"/>
      <c r="BG497" s="215"/>
      <c r="BH497" s="215"/>
      <c r="BI497" s="215"/>
      <c r="BJ497" s="215"/>
      <c r="BK497" s="215"/>
      <c r="BL497" s="215"/>
      <c r="BM497" s="215"/>
      <c r="BN497" s="215"/>
      <c r="BO497" s="215"/>
      <c r="BP497" s="215"/>
      <c r="BQ497" s="215"/>
      <c r="BR497" s="215"/>
      <c r="BS497" s="215"/>
      <c r="BT497" s="215"/>
      <c r="BU497" s="215"/>
      <c r="BV497" s="215"/>
      <c r="BW497" s="215"/>
      <c r="BX497" s="215"/>
      <c r="BY497" s="215"/>
      <c r="BZ497" s="215"/>
    </row>
    <row r="498" spans="1:78" x14ac:dyDescent="0.2">
      <c r="A498" s="2" t="str">
        <f>'Language Index'!A448</f>
        <v>Fair Value Change Included in Earnings</v>
      </c>
      <c r="B498" s="17"/>
      <c r="C498" s="17"/>
      <c r="D498" s="18">
        <f>_xll.ciqfunctions.udf.CIQ($C$2, "IQ_FAIR_VALUE_CHANGE_INCL_EARNINGS", D$6,$F$2,,,Ccy,Conv)</f>
        <v>0</v>
      </c>
      <c r="E498" s="18">
        <f>_xll.ciqfunctions.udf.CIQ($C$2, "IQ_FAIR_VALUE_CHANGE_INCL_EARNINGS", E$6,$F$2,,,Ccy,Conv)</f>
        <v>0</v>
      </c>
      <c r="F498" s="18">
        <f>_xll.ciqfunctions.udf.CIQ($C$2, "IQ_FAIR_VALUE_CHANGE_INCL_EARNINGS", F$6,$F$2,,,Ccy,Conv)</f>
        <v>0</v>
      </c>
      <c r="G498" s="18">
        <f>_xll.ciqfunctions.udf.CIQ($C$2, "IQ_FAIR_VALUE_CHANGE_INCL_EARNINGS", G$6,$F$2,,,Ccy,Conv)</f>
        <v>0</v>
      </c>
      <c r="H498" s="18">
        <f>_xll.ciqfunctions.udf.CIQ($C$2, "IQ_FAIR_VALUE_CHANGE_INCL_EARNINGS", H$6,$F$2,,,Ccy,Conv)</f>
        <v>0</v>
      </c>
      <c r="I498" s="18">
        <f>_xll.ciqfunctions.udf.CIQ($C$2, "IQ_FAIR_VALUE_CHANGE_INCL_EARNINGS", I$6,$F$2,,,Ccy,Conv)</f>
        <v>0</v>
      </c>
      <c r="J498" s="18">
        <f>_xll.ciqfunctions.udf.CIQ($C$2, "IQ_FAIR_VALUE_CHANGE_INCL_EARNINGS", J$6,$F$2,,,Ccy,Conv)</f>
        <v>0</v>
      </c>
      <c r="K498" s="18">
        <f>_xll.ciqfunctions.udf.CIQ($C$2, "IQ_FAIR_VALUE_CHANGE_INCL_EARNINGS", K$6,$F$2,,,Ccy,Conv)</f>
        <v>0</v>
      </c>
      <c r="L498" s="18">
        <f>_xll.ciqfunctions.udf.CIQ($C$2, "IQ_FAIR_VALUE_CHANGE_INCL_EARNINGS", L$6,$F$2,,,Ccy,Conv)</f>
        <v>0</v>
      </c>
      <c r="M498" s="18">
        <f>_xll.ciqfunctions.udf.CIQ($C$2, "IQ_FAIR_VALUE_CHANGE_INCL_EARNINGS", M$6,$F$2,,,Ccy,Conv)</f>
        <v>0</v>
      </c>
      <c r="N498" s="18">
        <f>_xll.ciqfunctions.udf.CIQ($C$2, "IQ_FAIR_VALUE_CHANGE_INCL_EARNINGS", N$6,$F$2,,,Ccy,Conv)</f>
        <v>0</v>
      </c>
      <c r="O498" s="30"/>
      <c r="P498" s="18">
        <f>_xll.ciqfunctions.udf.CIQ($C$2, "IQ_FAIR_VALUE_CHANGE_INCL_EARNINGS", P$6,$F$2,,,Ccy,Conv)</f>
        <v>0</v>
      </c>
      <c r="Q498" s="246"/>
      <c r="R498" s="215"/>
      <c r="S498" s="215"/>
      <c r="T498" s="215"/>
      <c r="U498" s="215"/>
      <c r="V498" s="222"/>
      <c r="W498" s="222"/>
      <c r="X498" s="222"/>
      <c r="Y498" s="215"/>
      <c r="Z498" s="215"/>
      <c r="AA498" s="215"/>
      <c r="AB498" s="215"/>
      <c r="AC498" s="215"/>
      <c r="AD498" s="215"/>
      <c r="AE498" s="215"/>
      <c r="AF498" s="215"/>
      <c r="AG498" s="215"/>
      <c r="AH498" s="215"/>
      <c r="AI498" s="215"/>
      <c r="AJ498" s="215"/>
      <c r="AK498" s="215"/>
      <c r="AL498" s="215"/>
      <c r="AM498" s="215"/>
      <c r="AN498" s="215"/>
      <c r="AO498" s="215"/>
      <c r="AP498" s="215"/>
      <c r="AQ498" s="215"/>
      <c r="AR498" s="215"/>
      <c r="AS498" s="215"/>
      <c r="AT498" s="215"/>
      <c r="AU498" s="215"/>
      <c r="AV498" s="215"/>
      <c r="AW498" s="215"/>
      <c r="AX498" s="215"/>
      <c r="AY498" s="215"/>
      <c r="AZ498" s="215"/>
      <c r="BA498" s="215"/>
      <c r="BB498" s="215"/>
      <c r="BC498" s="215"/>
      <c r="BD498" s="215"/>
      <c r="BE498" s="215"/>
      <c r="BF498" s="215"/>
      <c r="BG498" s="215"/>
      <c r="BH498" s="215"/>
      <c r="BI498" s="215"/>
      <c r="BJ498" s="215"/>
      <c r="BK498" s="215"/>
      <c r="BL498" s="215"/>
      <c r="BM498" s="215"/>
      <c r="BN498" s="215"/>
      <c r="BO498" s="215"/>
      <c r="BP498" s="215"/>
      <c r="BQ498" s="215"/>
      <c r="BR498" s="215"/>
      <c r="BS498" s="215"/>
      <c r="BT498" s="215"/>
      <c r="BU498" s="215"/>
      <c r="BV498" s="215"/>
      <c r="BW498" s="215"/>
      <c r="BX498" s="215"/>
      <c r="BY498" s="215"/>
      <c r="BZ498" s="215"/>
    </row>
    <row r="499" spans="1:78" x14ac:dyDescent="0.2">
      <c r="A499" s="2" t="str">
        <f>'Language Index'!A449</f>
        <v>Full Time Employees</v>
      </c>
      <c r="B499" s="17"/>
      <c r="C499" s="17"/>
      <c r="D499" s="49">
        <f>_xll.ciqfunctions.udf.CIQ($C$2, "IQ_FULL_TIME", D$6,$F$2)</f>
        <v>0</v>
      </c>
      <c r="E499" s="49">
        <f>_xll.ciqfunctions.udf.CIQ($C$2, "IQ_FULL_TIME", E$6,$F$2)</f>
        <v>0</v>
      </c>
      <c r="F499" s="49">
        <f>_xll.ciqfunctions.udf.CIQ($C$2, "IQ_FULL_TIME", F$6,$F$2)</f>
        <v>282200</v>
      </c>
      <c r="G499" s="49">
        <f>_xll.ciqfunctions.udf.CIQ($C$2, "IQ_FULL_TIME", G$6,$F$2)</f>
        <v>0</v>
      </c>
      <c r="H499" s="49">
        <f>_xll.ciqfunctions.udf.CIQ($C$2, "IQ_FULL_TIME", H$6,$F$2)</f>
        <v>0</v>
      </c>
      <c r="I499" s="49">
        <f>_xll.ciqfunctions.udf.CIQ($C$2, "IQ_FULL_TIME", I$6,$F$2)</f>
        <v>0</v>
      </c>
      <c r="J499" s="49">
        <f>_xll.ciqfunctions.udf.CIQ($C$2, "IQ_FULL_TIME", J$6,$F$2)</f>
        <v>270300</v>
      </c>
      <c r="K499" s="49">
        <f>_xll.ciqfunctions.udf.CIQ($C$2, "IQ_FULL_TIME", K$6,$F$2)</f>
        <v>0</v>
      </c>
      <c r="L499" s="49">
        <f>_xll.ciqfunctions.udf.CIQ($C$2, "IQ_FULL_TIME", L$6,$F$2)</f>
        <v>0</v>
      </c>
      <c r="M499" s="49">
        <f>_xll.ciqfunctions.udf.CIQ($C$2, "IQ_FULL_TIME", M$6,$F$2)</f>
        <v>0</v>
      </c>
      <c r="N499" s="49">
        <f>_xll.ciqfunctions.udf.CIQ($C$2, "IQ_FULL_TIME", N$6,$F$2)</f>
        <v>264300</v>
      </c>
      <c r="O499" s="49"/>
      <c r="P499" s="49">
        <f>_xll.ciqfunctions.udf.CIQ($C$2, "IQ_FULL_TIME", P$6,$F$2)</f>
        <v>264300</v>
      </c>
      <c r="Q499" s="245"/>
      <c r="R499" s="215"/>
      <c r="S499" s="215"/>
      <c r="T499" s="215"/>
      <c r="U499" s="215"/>
      <c r="V499" s="222"/>
      <c r="W499" s="222"/>
      <c r="X499" s="222"/>
      <c r="Y499" s="215"/>
      <c r="Z499" s="215"/>
      <c r="AA499" s="215"/>
      <c r="AB499" s="215"/>
      <c r="AC499" s="215"/>
      <c r="AD499" s="215"/>
      <c r="AE499" s="215"/>
      <c r="AF499" s="215"/>
      <c r="AG499" s="215"/>
      <c r="AH499" s="215"/>
      <c r="AI499" s="215"/>
      <c r="AJ499" s="215"/>
      <c r="AK499" s="215"/>
      <c r="AL499" s="215"/>
      <c r="AM499" s="215"/>
      <c r="AN499" s="215"/>
      <c r="AO499" s="215"/>
      <c r="AP499" s="215"/>
      <c r="AQ499" s="215"/>
      <c r="AR499" s="215"/>
      <c r="AS499" s="215"/>
      <c r="AT499" s="215"/>
      <c r="AU499" s="215"/>
      <c r="AV499" s="215"/>
      <c r="AW499" s="215"/>
      <c r="AX499" s="215"/>
      <c r="AY499" s="215"/>
      <c r="AZ499" s="215"/>
      <c r="BA499" s="215"/>
      <c r="BB499" s="215"/>
      <c r="BC499" s="215"/>
      <c r="BD499" s="215"/>
      <c r="BE499" s="215"/>
      <c r="BF499" s="215"/>
      <c r="BG499" s="215"/>
      <c r="BH499" s="215"/>
      <c r="BI499" s="215"/>
      <c r="BJ499" s="215"/>
      <c r="BK499" s="215"/>
      <c r="BL499" s="215"/>
      <c r="BM499" s="215"/>
      <c r="BN499" s="215"/>
      <c r="BO499" s="215"/>
      <c r="BP499" s="215"/>
      <c r="BQ499" s="215"/>
      <c r="BR499" s="215"/>
      <c r="BS499" s="215"/>
      <c r="BT499" s="215"/>
      <c r="BU499" s="215"/>
      <c r="BV499" s="215"/>
      <c r="BW499" s="215"/>
      <c r="BX499" s="215"/>
      <c r="BY499" s="215"/>
      <c r="BZ499" s="215"/>
    </row>
    <row r="500" spans="1:78" x14ac:dyDescent="0.2">
      <c r="A500" s="2" t="str">
        <f>'Language Index'!A450</f>
        <v>Part Time Employees</v>
      </c>
      <c r="B500" s="17"/>
      <c r="C500" s="17"/>
      <c r="D500" s="49">
        <f>_xll.ciqfunctions.udf.CIQ($C$2, "IQ_PART_TIME", D$6,$F$2)</f>
        <v>0</v>
      </c>
      <c r="E500" s="49">
        <f>_xll.ciqfunctions.udf.CIQ($C$2, "IQ_PART_TIME", E$6,$F$2)</f>
        <v>0</v>
      </c>
      <c r="F500" s="49">
        <f>_xll.ciqfunctions.udf.CIQ($C$2, "IQ_PART_TIME", F$6,$F$2)</f>
        <v>0</v>
      </c>
      <c r="G500" s="49">
        <f>_xll.ciqfunctions.udf.CIQ($C$2, "IQ_PART_TIME", G$6,$F$2)</f>
        <v>0</v>
      </c>
      <c r="H500" s="49">
        <f>_xll.ciqfunctions.udf.CIQ($C$2, "IQ_PART_TIME", H$6,$F$2)</f>
        <v>0</v>
      </c>
      <c r="I500" s="49">
        <f>_xll.ciqfunctions.udf.CIQ($C$2, "IQ_PART_TIME", I$6,$F$2)</f>
        <v>0</v>
      </c>
      <c r="J500" s="49">
        <f>_xll.ciqfunctions.udf.CIQ($C$2, "IQ_PART_TIME", J$6,$F$2)</f>
        <v>0</v>
      </c>
      <c r="K500" s="49">
        <f>_xll.ciqfunctions.udf.CIQ($C$2, "IQ_PART_TIME", K$6,$F$2)</f>
        <v>0</v>
      </c>
      <c r="L500" s="49">
        <f>_xll.ciqfunctions.udf.CIQ($C$2, "IQ_PART_TIME", L$6,$F$2)</f>
        <v>0</v>
      </c>
      <c r="M500" s="49">
        <f>_xll.ciqfunctions.udf.CIQ($C$2, "IQ_PART_TIME", M$6,$F$2)</f>
        <v>0</v>
      </c>
      <c r="N500" s="49">
        <f>_xll.ciqfunctions.udf.CIQ($C$2, "IQ_PART_TIME", N$6,$F$2)</f>
        <v>0</v>
      </c>
      <c r="O500" s="49"/>
      <c r="P500" s="49">
        <f>_xll.ciqfunctions.udf.CIQ($C$2, "IQ_PART_TIME", P$6,$F$2)</f>
        <v>0</v>
      </c>
      <c r="Q500" s="245"/>
      <c r="R500" s="215"/>
      <c r="S500" s="215"/>
      <c r="T500" s="215"/>
      <c r="U500" s="215"/>
      <c r="V500" s="222"/>
      <c r="W500" s="222"/>
      <c r="X500" s="222"/>
      <c r="Y500" s="215"/>
      <c r="Z500" s="215"/>
      <c r="AA500" s="215"/>
      <c r="AB500" s="215"/>
      <c r="AC500" s="215"/>
      <c r="AD500" s="215"/>
      <c r="AE500" s="215"/>
      <c r="AF500" s="215"/>
      <c r="AG500" s="215"/>
      <c r="AH500" s="215"/>
      <c r="AI500" s="215"/>
      <c r="AJ500" s="215"/>
      <c r="AK500" s="215"/>
      <c r="AL500" s="215"/>
      <c r="AM500" s="215"/>
      <c r="AN500" s="215"/>
      <c r="AO500" s="215"/>
      <c r="AP500" s="215"/>
      <c r="AQ500" s="215"/>
      <c r="AR500" s="215"/>
      <c r="AS500" s="215"/>
      <c r="AT500" s="215"/>
      <c r="AU500" s="215"/>
      <c r="AV500" s="215"/>
      <c r="AW500" s="215"/>
      <c r="AX500" s="215"/>
      <c r="AY500" s="215"/>
      <c r="AZ500" s="215"/>
      <c r="BA500" s="215"/>
      <c r="BB500" s="215"/>
      <c r="BC500" s="215"/>
      <c r="BD500" s="215"/>
      <c r="BE500" s="215"/>
      <c r="BF500" s="215"/>
      <c r="BG500" s="215"/>
      <c r="BH500" s="215"/>
      <c r="BI500" s="215"/>
      <c r="BJ500" s="215"/>
      <c r="BK500" s="215"/>
      <c r="BL500" s="215"/>
      <c r="BM500" s="215"/>
      <c r="BN500" s="215"/>
      <c r="BO500" s="215"/>
      <c r="BP500" s="215"/>
      <c r="BQ500" s="215"/>
      <c r="BR500" s="215"/>
      <c r="BS500" s="215"/>
      <c r="BT500" s="215"/>
      <c r="BU500" s="215"/>
      <c r="BV500" s="215"/>
      <c r="BW500" s="215"/>
      <c r="BX500" s="215"/>
      <c r="BY500" s="215"/>
      <c r="BZ500" s="215"/>
    </row>
    <row r="501" spans="1:78" x14ac:dyDescent="0.2">
      <c r="A501" s="2" t="str">
        <f>'Language Index'!A451</f>
        <v>Total Employees</v>
      </c>
      <c r="B501" s="17"/>
      <c r="C501" s="17"/>
      <c r="D501" s="49">
        <f>_xll.ciqfunctions.udf.CIQ($C$2, "IQ_TOTAL_EMPLOYEES", D$6,$F$2)</f>
        <v>0</v>
      </c>
      <c r="E501" s="49">
        <f>_xll.ciqfunctions.udf.CIQ($C$2, "IQ_TOTAL_EMPLOYEES", E$6,$F$2)</f>
        <v>0</v>
      </c>
      <c r="F501" s="49">
        <f>_xll.ciqfunctions.udf.CIQ($C$2, "IQ_TOTAL_EMPLOYEES", F$6,$F$2)</f>
        <v>282200</v>
      </c>
      <c r="G501" s="49">
        <f>_xll.ciqfunctions.udf.CIQ($C$2, "IQ_TOTAL_EMPLOYEES", G$6,$F$2)</f>
        <v>0</v>
      </c>
      <c r="H501" s="49">
        <f>_xll.ciqfunctions.udf.CIQ($C$2, "IQ_TOTAL_EMPLOYEES", H$6,$F$2)</f>
        <v>0</v>
      </c>
      <c r="I501" s="49">
        <f>_xll.ciqfunctions.udf.CIQ($C$2, "IQ_TOTAL_EMPLOYEES", I$6,$F$2)</f>
        <v>0</v>
      </c>
      <c r="J501" s="49">
        <f>_xll.ciqfunctions.udf.CIQ($C$2, "IQ_TOTAL_EMPLOYEES", J$6,$F$2)</f>
        <v>270300</v>
      </c>
      <c r="K501" s="49">
        <f>_xll.ciqfunctions.udf.CIQ($C$2, "IQ_TOTAL_EMPLOYEES", K$6,$F$2)</f>
        <v>0</v>
      </c>
      <c r="L501" s="49">
        <f>_xll.ciqfunctions.udf.CIQ($C$2, "IQ_TOTAL_EMPLOYEES", L$6,$F$2)</f>
        <v>0</v>
      </c>
      <c r="M501" s="49">
        <f>_xll.ciqfunctions.udf.CIQ($C$2, "IQ_TOTAL_EMPLOYEES", M$6,$F$2)</f>
        <v>0</v>
      </c>
      <c r="N501" s="49">
        <f>_xll.ciqfunctions.udf.CIQ($C$2, "IQ_TOTAL_EMPLOYEES", N$6,$F$2)</f>
        <v>264300</v>
      </c>
      <c r="O501" s="49"/>
      <c r="P501" s="49">
        <f>_xll.ciqfunctions.udf.CIQ($C$2, "IQ_TOTAL_EMPLOYEES", P$6,$F$2)</f>
        <v>264300</v>
      </c>
      <c r="Q501" s="245"/>
      <c r="R501" s="215"/>
      <c r="S501" s="215"/>
      <c r="T501" s="215"/>
      <c r="U501" s="215"/>
      <c r="V501" s="222"/>
      <c r="W501" s="222"/>
      <c r="X501" s="222"/>
      <c r="Y501" s="215"/>
      <c r="Z501" s="215"/>
      <c r="AA501" s="215"/>
      <c r="AB501" s="215"/>
      <c r="AC501" s="215"/>
      <c r="AD501" s="215"/>
      <c r="AE501" s="215"/>
      <c r="AF501" s="215"/>
      <c r="AG501" s="215"/>
      <c r="AH501" s="215"/>
      <c r="AI501" s="215"/>
      <c r="AJ501" s="215"/>
      <c r="AK501" s="215"/>
      <c r="AL501" s="215"/>
      <c r="AM501" s="215"/>
      <c r="AN501" s="215"/>
      <c r="AO501" s="215"/>
      <c r="AP501" s="215"/>
      <c r="AQ501" s="215"/>
      <c r="AR501" s="215"/>
      <c r="AS501" s="215"/>
      <c r="AT501" s="215"/>
      <c r="AU501" s="215"/>
      <c r="AV501" s="215"/>
      <c r="AW501" s="215"/>
      <c r="AX501" s="215"/>
      <c r="AY501" s="215"/>
      <c r="AZ501" s="215"/>
      <c r="BA501" s="215"/>
      <c r="BB501" s="215"/>
      <c r="BC501" s="215"/>
      <c r="BD501" s="215"/>
      <c r="BE501" s="215"/>
      <c r="BF501" s="215"/>
      <c r="BG501" s="215"/>
      <c r="BH501" s="215"/>
      <c r="BI501" s="215"/>
      <c r="BJ501" s="215"/>
      <c r="BK501" s="215"/>
      <c r="BL501" s="215"/>
      <c r="BM501" s="215"/>
      <c r="BN501" s="215"/>
      <c r="BO501" s="215"/>
      <c r="BP501" s="215"/>
      <c r="BQ501" s="215"/>
      <c r="BR501" s="215"/>
      <c r="BS501" s="215"/>
      <c r="BT501" s="215"/>
      <c r="BU501" s="215"/>
      <c r="BV501" s="215"/>
      <c r="BW501" s="215"/>
      <c r="BX501" s="215"/>
      <c r="BY501" s="215"/>
      <c r="BZ501" s="215"/>
    </row>
    <row r="502" spans="1:78" x14ac:dyDescent="0.2">
      <c r="A502" s="2" t="str">
        <f>'Language Index'!A452</f>
        <v>Employees Under Union Contracts</v>
      </c>
      <c r="B502" s="17"/>
      <c r="C502" s="17"/>
      <c r="D502" s="49">
        <f>_xll.ciqfunctions.udf.CIQ($C$2, "IQ_EMPLOYEES_UNDER_UNION_CONTRACTS", D$6,$F$2)</f>
        <v>0</v>
      </c>
      <c r="E502" s="49">
        <f>_xll.ciqfunctions.udf.CIQ($C$2, "IQ_EMPLOYEES_UNDER_UNION_CONTRACTS", E$6,$F$2)</f>
        <v>0</v>
      </c>
      <c r="F502" s="49">
        <f>_xll.ciqfunctions.udf.CIQ($C$2, "IQ_EMPLOYEES_UNDER_UNION_CONTRACTS", F$6,$F$2)</f>
        <v>0</v>
      </c>
      <c r="G502" s="49">
        <f>_xll.ciqfunctions.udf.CIQ($C$2, "IQ_EMPLOYEES_UNDER_UNION_CONTRACTS", G$6,$F$2)</f>
        <v>0</v>
      </c>
      <c r="H502" s="49">
        <f>_xll.ciqfunctions.udf.CIQ($C$2, "IQ_EMPLOYEES_UNDER_UNION_CONTRACTS", H$6,$F$2)</f>
        <v>0</v>
      </c>
      <c r="I502" s="49">
        <f>_xll.ciqfunctions.udf.CIQ($C$2, "IQ_EMPLOYEES_UNDER_UNION_CONTRACTS", I$6,$F$2)</f>
        <v>0</v>
      </c>
      <c r="J502" s="49">
        <f>_xll.ciqfunctions.udf.CIQ($C$2, "IQ_EMPLOYEES_UNDER_UNION_CONTRACTS", J$6,$F$2)</f>
        <v>0</v>
      </c>
      <c r="K502" s="49">
        <f>_xll.ciqfunctions.udf.CIQ($C$2, "IQ_EMPLOYEES_UNDER_UNION_CONTRACTS", K$6,$F$2)</f>
        <v>0</v>
      </c>
      <c r="L502" s="49">
        <f>_xll.ciqfunctions.udf.CIQ($C$2, "IQ_EMPLOYEES_UNDER_UNION_CONTRACTS", L$6,$F$2)</f>
        <v>0</v>
      </c>
      <c r="M502" s="49">
        <f>_xll.ciqfunctions.udf.CIQ($C$2, "IQ_EMPLOYEES_UNDER_UNION_CONTRACTS", M$6,$F$2)</f>
        <v>0</v>
      </c>
      <c r="N502" s="49">
        <f>_xll.ciqfunctions.udf.CIQ($C$2, "IQ_EMPLOYEES_UNDER_UNION_CONTRACTS", N$6,$F$2)</f>
        <v>0</v>
      </c>
      <c r="O502" s="49"/>
      <c r="P502" s="49">
        <f>_xll.ciqfunctions.udf.CIQ($C$2, "IQ_EMPLOYEES_UNDER_UNION_CONTRACTS", P$6,$F$2)</f>
        <v>0</v>
      </c>
      <c r="Q502" s="245"/>
      <c r="R502" s="215"/>
      <c r="S502" s="215"/>
      <c r="T502" s="215"/>
      <c r="U502" s="215"/>
      <c r="V502" s="222"/>
      <c r="W502" s="222"/>
      <c r="X502" s="222"/>
      <c r="Y502" s="215"/>
      <c r="Z502" s="215"/>
      <c r="AA502" s="215"/>
      <c r="AB502" s="215"/>
      <c r="AC502" s="215"/>
      <c r="AD502" s="215"/>
      <c r="AE502" s="215"/>
      <c r="AF502" s="215"/>
      <c r="AG502" s="215"/>
      <c r="AH502" s="215"/>
      <c r="AI502" s="215"/>
      <c r="AJ502" s="215"/>
      <c r="AK502" s="215"/>
      <c r="AL502" s="215"/>
      <c r="AM502" s="215"/>
      <c r="AN502" s="215"/>
      <c r="AO502" s="215"/>
      <c r="AP502" s="215"/>
      <c r="AQ502" s="215"/>
      <c r="AR502" s="215"/>
      <c r="AS502" s="215"/>
      <c r="AT502" s="215"/>
      <c r="AU502" s="215"/>
      <c r="AV502" s="215"/>
      <c r="AW502" s="215"/>
      <c r="AX502" s="215"/>
      <c r="AY502" s="215"/>
      <c r="AZ502" s="215"/>
      <c r="BA502" s="215"/>
      <c r="BB502" s="215"/>
      <c r="BC502" s="215"/>
      <c r="BD502" s="215"/>
      <c r="BE502" s="215"/>
      <c r="BF502" s="215"/>
      <c r="BG502" s="215"/>
      <c r="BH502" s="215"/>
      <c r="BI502" s="215"/>
      <c r="BJ502" s="215"/>
      <c r="BK502" s="215"/>
      <c r="BL502" s="215"/>
      <c r="BM502" s="215"/>
      <c r="BN502" s="215"/>
      <c r="BO502" s="215"/>
      <c r="BP502" s="215"/>
      <c r="BQ502" s="215"/>
      <c r="BR502" s="215"/>
      <c r="BS502" s="215"/>
      <c r="BT502" s="215"/>
      <c r="BU502" s="215"/>
      <c r="BV502" s="215"/>
      <c r="BW502" s="215"/>
      <c r="BX502" s="215"/>
      <c r="BY502" s="215"/>
      <c r="BZ502" s="215"/>
    </row>
    <row r="503" spans="1:78" x14ac:dyDescent="0.2">
      <c r="A503" s="2" t="str">
        <f>'Language Index'!A453</f>
        <v>Avg Employees</v>
      </c>
      <c r="B503" s="17"/>
      <c r="C503" s="17"/>
      <c r="D503" s="49">
        <f>_xll.ciqfunctions.udf.CIQ($C$2, "IQ_AVG_EMPLOYEES", D$6,$F$2)</f>
        <v>0</v>
      </c>
      <c r="E503" s="49">
        <f>_xll.ciqfunctions.udf.CIQ($C$2, "IQ_AVG_EMPLOYEES", E$6,$F$2)</f>
        <v>0</v>
      </c>
      <c r="F503" s="49">
        <f>_xll.ciqfunctions.udf.CIQ($C$2, "IQ_AVG_EMPLOYEES", F$6,$F$2)</f>
        <v>0</v>
      </c>
      <c r="G503" s="49">
        <f>_xll.ciqfunctions.udf.CIQ($C$2, "IQ_AVG_EMPLOYEES", G$6,$F$2)</f>
        <v>0</v>
      </c>
      <c r="H503" s="49">
        <f>_xll.ciqfunctions.udf.CIQ($C$2, "IQ_AVG_EMPLOYEES", H$6,$F$2)</f>
        <v>0</v>
      </c>
      <c r="I503" s="49">
        <f>_xll.ciqfunctions.udf.CIQ($C$2, "IQ_AVG_EMPLOYEES", I$6,$F$2)</f>
        <v>0</v>
      </c>
      <c r="J503" s="49">
        <f>_xll.ciqfunctions.udf.CIQ($C$2, "IQ_AVG_EMPLOYEES", J$6,$F$2)</f>
        <v>0</v>
      </c>
      <c r="K503" s="49">
        <f>_xll.ciqfunctions.udf.CIQ($C$2, "IQ_AVG_EMPLOYEES", K$6,$F$2)</f>
        <v>0</v>
      </c>
      <c r="L503" s="49">
        <f>_xll.ciqfunctions.udf.CIQ($C$2, "IQ_AVG_EMPLOYEES", L$6,$F$2)</f>
        <v>0</v>
      </c>
      <c r="M503" s="49">
        <f>_xll.ciqfunctions.udf.CIQ($C$2, "IQ_AVG_EMPLOYEES", M$6,$F$2)</f>
        <v>0</v>
      </c>
      <c r="N503" s="49">
        <f>_xll.ciqfunctions.udf.CIQ($C$2, "IQ_AVG_EMPLOYEES", N$6,$F$2)</f>
        <v>0</v>
      </c>
      <c r="O503" s="49"/>
      <c r="P503" s="49">
        <f>_xll.ciqfunctions.udf.CIQ($C$2, "IQ_AVG_EMPLOYEES", P$6,$F$2)</f>
        <v>0</v>
      </c>
      <c r="Q503" s="245"/>
      <c r="R503" s="215"/>
      <c r="S503" s="215"/>
      <c r="T503" s="215"/>
      <c r="U503" s="215"/>
      <c r="V503" s="222"/>
      <c r="W503" s="222"/>
      <c r="X503" s="222"/>
      <c r="Y503" s="215"/>
      <c r="Z503" s="215"/>
      <c r="AA503" s="215"/>
      <c r="AB503" s="215"/>
      <c r="AC503" s="215"/>
      <c r="AD503" s="215"/>
      <c r="AE503" s="215"/>
      <c r="AF503" s="215"/>
      <c r="AG503" s="215"/>
      <c r="AH503" s="215"/>
      <c r="AI503" s="215"/>
      <c r="AJ503" s="215"/>
      <c r="AK503" s="215"/>
      <c r="AL503" s="215"/>
      <c r="AM503" s="215"/>
      <c r="AN503" s="215"/>
      <c r="AO503" s="215"/>
      <c r="AP503" s="215"/>
      <c r="AQ503" s="215"/>
      <c r="AR503" s="215"/>
      <c r="AS503" s="215"/>
      <c r="AT503" s="215"/>
      <c r="AU503" s="215"/>
      <c r="AV503" s="215"/>
      <c r="AW503" s="215"/>
      <c r="AX503" s="215"/>
      <c r="AY503" s="215"/>
      <c r="AZ503" s="215"/>
      <c r="BA503" s="215"/>
      <c r="BB503" s="215"/>
      <c r="BC503" s="215"/>
      <c r="BD503" s="215"/>
      <c r="BE503" s="215"/>
      <c r="BF503" s="215"/>
      <c r="BG503" s="215"/>
      <c r="BH503" s="215"/>
      <c r="BI503" s="215"/>
      <c r="BJ503" s="215"/>
      <c r="BK503" s="215"/>
      <c r="BL503" s="215"/>
      <c r="BM503" s="215"/>
      <c r="BN503" s="215"/>
      <c r="BO503" s="215"/>
      <c r="BP503" s="215"/>
      <c r="BQ503" s="215"/>
      <c r="BR503" s="215"/>
      <c r="BS503" s="215"/>
      <c r="BT503" s="215"/>
      <c r="BU503" s="215"/>
      <c r="BV503" s="215"/>
      <c r="BW503" s="215"/>
      <c r="BX503" s="215"/>
      <c r="BY503" s="215"/>
      <c r="BZ503" s="215"/>
    </row>
    <row r="504" spans="1:78" x14ac:dyDescent="0.2">
      <c r="A504" s="2" t="str">
        <f>'Language Index'!A454</f>
        <v>Temporary/Seasonal Employees</v>
      </c>
      <c r="B504" s="17"/>
      <c r="C504" s="17"/>
      <c r="D504" s="49">
        <f>_xll.ciqfunctions.udf.CIQ($C$2, "IQ_AVG_TEMP_EMPLOYEES", D$6,$F$2)</f>
        <v>0</v>
      </c>
      <c r="E504" s="49">
        <f>_xll.ciqfunctions.udf.CIQ($C$2, "IQ_AVG_TEMP_EMPLOYEES", E$6,$F$2)</f>
        <v>0</v>
      </c>
      <c r="F504" s="49">
        <f>_xll.ciqfunctions.udf.CIQ($C$2, "IQ_AVG_TEMP_EMPLOYEES", F$6,$F$2)</f>
        <v>14400</v>
      </c>
      <c r="G504" s="49">
        <f>_xll.ciqfunctions.udf.CIQ($C$2, "IQ_AVG_TEMP_EMPLOYEES", G$6,$F$2)</f>
        <v>0</v>
      </c>
      <c r="H504" s="49">
        <f>_xll.ciqfunctions.udf.CIQ($C$2, "IQ_AVG_TEMP_EMPLOYEES", H$6,$F$2)</f>
        <v>0</v>
      </c>
      <c r="I504" s="49">
        <f>_xll.ciqfunctions.udf.CIQ($C$2, "IQ_AVG_TEMP_EMPLOYEES", I$6,$F$2)</f>
        <v>0</v>
      </c>
      <c r="J504" s="49">
        <f>_xll.ciqfunctions.udf.CIQ($C$2, "IQ_AVG_TEMP_EMPLOYEES", J$6,$F$2)</f>
        <v>14200</v>
      </c>
      <c r="K504" s="49">
        <f>_xll.ciqfunctions.udf.CIQ($C$2, "IQ_AVG_TEMP_EMPLOYEES", K$6,$F$2)</f>
        <v>0</v>
      </c>
      <c r="L504" s="49">
        <f>_xll.ciqfunctions.udf.CIQ($C$2, "IQ_AVG_TEMP_EMPLOYEES", L$6,$F$2)</f>
        <v>0</v>
      </c>
      <c r="M504" s="49">
        <f>_xll.ciqfunctions.udf.CIQ($C$2, "IQ_AVG_TEMP_EMPLOYEES", M$6,$F$2)</f>
        <v>0</v>
      </c>
      <c r="N504" s="49">
        <f>_xll.ciqfunctions.udf.CIQ($C$2, "IQ_AVG_TEMP_EMPLOYEES", N$6,$F$2)</f>
        <v>13800</v>
      </c>
      <c r="O504" s="49"/>
      <c r="P504" s="49">
        <f>_xll.ciqfunctions.udf.CIQ($C$2, "IQ_AVG_TEMP_EMPLOYEES", P$6,$F$2)</f>
        <v>13800</v>
      </c>
      <c r="Q504" s="245"/>
      <c r="R504" s="215"/>
      <c r="S504" s="215"/>
      <c r="T504" s="215"/>
      <c r="U504" s="215"/>
      <c r="V504" s="222"/>
      <c r="W504" s="222"/>
      <c r="X504" s="222"/>
      <c r="Y504" s="215"/>
      <c r="Z504" s="215"/>
      <c r="AA504" s="215"/>
      <c r="AB504" s="215"/>
      <c r="AC504" s="215"/>
      <c r="AD504" s="215"/>
      <c r="AE504" s="215"/>
      <c r="AF504" s="215"/>
      <c r="AG504" s="215"/>
      <c r="AH504" s="215"/>
      <c r="AI504" s="215"/>
      <c r="AJ504" s="215"/>
      <c r="AK504" s="215"/>
      <c r="AL504" s="215"/>
      <c r="AM504" s="215"/>
      <c r="AN504" s="215"/>
      <c r="AO504" s="215"/>
      <c r="AP504" s="215"/>
      <c r="AQ504" s="215"/>
      <c r="AR504" s="215"/>
      <c r="AS504" s="215"/>
      <c r="AT504" s="215"/>
      <c r="AU504" s="215"/>
      <c r="AV504" s="215"/>
      <c r="AW504" s="215"/>
      <c r="AX504" s="215"/>
      <c r="AY504" s="215"/>
      <c r="AZ504" s="215"/>
      <c r="BA504" s="215"/>
      <c r="BB504" s="215"/>
      <c r="BC504" s="215"/>
      <c r="BD504" s="215"/>
      <c r="BE504" s="215"/>
      <c r="BF504" s="215"/>
      <c r="BG504" s="215"/>
      <c r="BH504" s="215"/>
      <c r="BI504" s="215"/>
      <c r="BJ504" s="215"/>
      <c r="BK504" s="215"/>
      <c r="BL504" s="215"/>
      <c r="BM504" s="215"/>
      <c r="BN504" s="215"/>
      <c r="BO504" s="215"/>
      <c r="BP504" s="215"/>
      <c r="BQ504" s="215"/>
      <c r="BR504" s="215"/>
      <c r="BS504" s="215"/>
      <c r="BT504" s="215"/>
      <c r="BU504" s="215"/>
      <c r="BV504" s="215"/>
      <c r="BW504" s="215"/>
      <c r="BX504" s="215"/>
      <c r="BY504" s="215"/>
      <c r="BZ504" s="215"/>
    </row>
    <row r="505" spans="1:78" x14ac:dyDescent="0.2">
      <c r="A505" s="2" t="str">
        <f>'Language Index'!A455</f>
        <v>Number Of ADR Holders</v>
      </c>
      <c r="B505" s="17"/>
      <c r="C505" s="17"/>
      <c r="D505" s="49">
        <f>_xll.ciqfunctions.udf.CIQ($C$2, "IQ_NUMBER_ADRHOLDERS", D$6,$F$2)</f>
        <v>0</v>
      </c>
      <c r="E505" s="49">
        <f>_xll.ciqfunctions.udf.CIQ($C$2, "IQ_NUMBER_ADRHOLDERS", E$6,$F$2)</f>
        <v>0</v>
      </c>
      <c r="F505" s="49">
        <f>_xll.ciqfunctions.udf.CIQ($C$2, "IQ_NUMBER_ADRHOLDERS", F$6,$F$2)</f>
        <v>0</v>
      </c>
      <c r="G505" s="49">
        <f>_xll.ciqfunctions.udf.CIQ($C$2, "IQ_NUMBER_ADRHOLDERS", G$6,$F$2)</f>
        <v>0</v>
      </c>
      <c r="H505" s="49">
        <f>_xll.ciqfunctions.udf.CIQ($C$2, "IQ_NUMBER_ADRHOLDERS", H$6,$F$2)</f>
        <v>0</v>
      </c>
      <c r="I505" s="49">
        <f>_xll.ciqfunctions.udf.CIQ($C$2, "IQ_NUMBER_ADRHOLDERS", I$6,$F$2)</f>
        <v>0</v>
      </c>
      <c r="J505" s="49">
        <f>_xll.ciqfunctions.udf.CIQ($C$2, "IQ_NUMBER_ADRHOLDERS", J$6,$F$2)</f>
        <v>0</v>
      </c>
      <c r="K505" s="49">
        <f>_xll.ciqfunctions.udf.CIQ($C$2, "IQ_NUMBER_ADRHOLDERS", K$6,$F$2)</f>
        <v>0</v>
      </c>
      <c r="L505" s="49">
        <f>_xll.ciqfunctions.udf.CIQ($C$2, "IQ_NUMBER_ADRHOLDERS", L$6,$F$2)</f>
        <v>0</v>
      </c>
      <c r="M505" s="49">
        <f>_xll.ciqfunctions.udf.CIQ($C$2, "IQ_NUMBER_ADRHOLDERS", M$6,$F$2)</f>
        <v>0</v>
      </c>
      <c r="N505" s="49">
        <f>_xll.ciqfunctions.udf.CIQ($C$2, "IQ_NUMBER_ADRHOLDERS", N$6,$F$2)</f>
        <v>0</v>
      </c>
      <c r="O505" s="30"/>
      <c r="P505" s="49">
        <f>_xll.ciqfunctions.udf.CIQ($C$2, "IQ_NUMBER_ADRHOLDERS", P$6,$F$2)</f>
        <v>0</v>
      </c>
      <c r="Q505" s="245"/>
      <c r="R505" s="215"/>
      <c r="S505" s="215"/>
      <c r="T505" s="215"/>
      <c r="U505" s="215"/>
      <c r="V505" s="222"/>
      <c r="W505" s="222"/>
      <c r="X505" s="222"/>
      <c r="Y505" s="215"/>
      <c r="Z505" s="215"/>
      <c r="AA505" s="215"/>
      <c r="AB505" s="215"/>
      <c r="AC505" s="215"/>
      <c r="AD505" s="215"/>
      <c r="AE505" s="215"/>
      <c r="AF505" s="215"/>
      <c r="AG505" s="215"/>
      <c r="AH505" s="215"/>
      <c r="AI505" s="215"/>
      <c r="AJ505" s="215"/>
      <c r="AK505" s="215"/>
      <c r="AL505" s="215"/>
      <c r="AM505" s="215"/>
      <c r="AN505" s="215"/>
      <c r="AO505" s="215"/>
      <c r="AP505" s="215"/>
      <c r="AQ505" s="215"/>
      <c r="AR505" s="215"/>
      <c r="AS505" s="215"/>
      <c r="AT505" s="215"/>
      <c r="AU505" s="215"/>
      <c r="AV505" s="215"/>
      <c r="AW505" s="215"/>
      <c r="AX505" s="215"/>
      <c r="AY505" s="215"/>
      <c r="AZ505" s="215"/>
      <c r="BA505" s="215"/>
      <c r="BB505" s="215"/>
      <c r="BC505" s="215"/>
      <c r="BD505" s="215"/>
      <c r="BE505" s="215"/>
      <c r="BF505" s="215"/>
      <c r="BG505" s="215"/>
      <c r="BH505" s="215"/>
      <c r="BI505" s="215"/>
      <c r="BJ505" s="215"/>
      <c r="BK505" s="215"/>
      <c r="BL505" s="215"/>
      <c r="BM505" s="215"/>
      <c r="BN505" s="215"/>
      <c r="BO505" s="215"/>
      <c r="BP505" s="215"/>
      <c r="BQ505" s="215"/>
      <c r="BR505" s="215"/>
      <c r="BS505" s="215"/>
      <c r="BT505" s="215"/>
      <c r="BU505" s="215"/>
      <c r="BV505" s="215"/>
      <c r="BW505" s="215"/>
      <c r="BX505" s="215"/>
      <c r="BY505" s="215"/>
      <c r="BZ505" s="215"/>
    </row>
    <row r="506" spans="1:78" x14ac:dyDescent="0.2">
      <c r="A506" s="2" t="str">
        <f>'Language Index'!A456</f>
        <v>Finance Division Long-term Debt, Total</v>
      </c>
      <c r="B506" s="17"/>
      <c r="C506" s="17"/>
      <c r="D506" s="18">
        <f>_xll.ciqfunctions.udf.CIQ($C$2, "IQ_FIN_DIV_LT_DEBT_TOTAL", D$6,$F$2,,,Ccy,Conv)</f>
        <v>10551</v>
      </c>
      <c r="E506" s="18">
        <f>_xll.ciqfunctions.udf.CIQ($C$2, "IQ_FIN_DIV_LT_DEBT_TOTAL", E$6,$F$2,,,Ccy,Conv)</f>
        <v>9860</v>
      </c>
      <c r="F506" s="18">
        <f>_xll.ciqfunctions.udf.CIQ($C$2, "IQ_FIN_DIV_LT_DEBT_TOTAL", F$6,$F$2,,,Ccy,Conv)</f>
        <v>11879</v>
      </c>
      <c r="G506" s="18">
        <f>_xll.ciqfunctions.udf.CIQ($C$2, "IQ_FIN_DIV_LT_DEBT_TOTAL", G$6,$F$2,,,Ccy,Conv)</f>
        <v>9921</v>
      </c>
      <c r="H506" s="18">
        <f>_xll.ciqfunctions.udf.CIQ($C$2, "IQ_FIN_DIV_LT_DEBT_TOTAL", H$6,$F$2,,,Ccy,Conv)</f>
        <v>11112</v>
      </c>
      <c r="I506" s="18">
        <f>_xll.ciqfunctions.udf.CIQ($C$2, "IQ_FIN_DIV_LT_DEBT_TOTAL", I$6,$F$2,,,Ccy,Conv)</f>
        <v>10355</v>
      </c>
      <c r="J506" s="18">
        <f>_xll.ciqfunctions.udf.CIQ($C$2, "IQ_FIN_DIV_LT_DEBT_TOTAL", J$6,$F$2,,,Ccy,Conv)</f>
        <v>12116</v>
      </c>
      <c r="K506" s="18">
        <f>_xll.ciqfunctions.udf.CIQ($C$2, "IQ_FIN_DIV_LT_DEBT_TOTAL", K$6,$F$2,,,Ccy,Conv)</f>
        <v>10022</v>
      </c>
      <c r="L506" s="18">
        <f>_xll.ciqfunctions.udf.CIQ($C$2, "IQ_FIN_DIV_LT_DEBT_TOTAL", L$6,$F$2,,,Ccy,Conv)</f>
        <v>11731</v>
      </c>
      <c r="M506" s="18">
        <f>_xll.ciqfunctions.udf.CIQ($C$2, "IQ_FIN_DIV_LT_DEBT_TOTAL", M$6,$F$2,,,Ccy,Conv)</f>
        <v>11300</v>
      </c>
      <c r="N506" s="18">
        <f>_xll.ciqfunctions.udf.CIQ($C$2, "IQ_FIN_DIV_LT_DEBT_TOTAL", N$6,$F$2,,,Ccy,Conv)</f>
        <v>15093</v>
      </c>
      <c r="O506" s="30"/>
      <c r="P506" s="18">
        <f>_xll.ciqfunctions.udf.CIQ($C$2, "IQ_FIN_DIV_LT_DEBT_TOTAL", P$6,$F$2,,,Ccy,Conv)</f>
        <v>15093</v>
      </c>
      <c r="Q506" s="245"/>
      <c r="R506" s="215"/>
      <c r="S506" s="215"/>
      <c r="T506" s="215"/>
      <c r="U506" s="215"/>
      <c r="V506" s="222"/>
      <c r="W506" s="222"/>
      <c r="X506" s="222"/>
      <c r="Y506" s="215"/>
      <c r="Z506" s="215"/>
      <c r="AA506" s="215"/>
      <c r="AB506" s="215"/>
      <c r="AC506" s="215"/>
      <c r="AD506" s="215"/>
      <c r="AE506" s="215"/>
      <c r="AF506" s="215"/>
      <c r="AG506" s="215"/>
      <c r="AH506" s="215"/>
      <c r="AI506" s="215"/>
      <c r="AJ506" s="215"/>
      <c r="AK506" s="215"/>
      <c r="AL506" s="215"/>
      <c r="AM506" s="215"/>
      <c r="AN506" s="215"/>
      <c r="AO506" s="215"/>
      <c r="AP506" s="215"/>
      <c r="AQ506" s="215"/>
      <c r="AR506" s="215"/>
      <c r="AS506" s="215"/>
      <c r="AT506" s="215"/>
      <c r="AU506" s="215"/>
      <c r="AV506" s="215"/>
      <c r="AW506" s="215"/>
      <c r="AX506" s="215"/>
      <c r="AY506" s="215"/>
      <c r="AZ506" s="215"/>
      <c r="BA506" s="215"/>
      <c r="BB506" s="215"/>
      <c r="BC506" s="215"/>
      <c r="BD506" s="215"/>
      <c r="BE506" s="215"/>
      <c r="BF506" s="215"/>
      <c r="BG506" s="215"/>
      <c r="BH506" s="215"/>
      <c r="BI506" s="215"/>
      <c r="BJ506" s="215"/>
      <c r="BK506" s="215"/>
      <c r="BL506" s="215"/>
      <c r="BM506" s="215"/>
      <c r="BN506" s="215"/>
      <c r="BO506" s="215"/>
      <c r="BP506" s="215"/>
      <c r="BQ506" s="215"/>
      <c r="BR506" s="215"/>
      <c r="BS506" s="215"/>
      <c r="BT506" s="215"/>
      <c r="BU506" s="215"/>
      <c r="BV506" s="215"/>
      <c r="BW506" s="215"/>
      <c r="BX506" s="215"/>
      <c r="BY506" s="215"/>
      <c r="BZ506" s="215"/>
    </row>
    <row r="507" spans="1:78" x14ac:dyDescent="0.2">
      <c r="A507" s="2" t="str">
        <f>'Language Index'!A457</f>
        <v>Finance Division Short-term Debt, Total</v>
      </c>
      <c r="B507" s="17"/>
      <c r="C507" s="17"/>
      <c r="D507" s="18">
        <f>_xll.ciqfunctions.udf.CIQ($C$2,"IQ_FIN_DIV_ST_DEBT_TOTAL", D$6,$F$2,,,Ccy,Conv)</f>
        <v>0</v>
      </c>
      <c r="E507" s="18">
        <f>_xll.ciqfunctions.udf.CIQ($C$2,"IQ_FIN_DIV_ST_DEBT_TOTAL", E$6,$F$2,,,Ccy,Conv)</f>
        <v>0</v>
      </c>
      <c r="F507" s="18">
        <f>_xll.ciqfunctions.udf.CIQ($C$2,"IQ_FIN_DIV_ST_DEBT_TOTAL", F$6,$F$2,,,Ccy,Conv)</f>
        <v>0</v>
      </c>
      <c r="G507" s="18">
        <f>_xll.ciqfunctions.udf.CIQ($C$2,"IQ_FIN_DIV_ST_DEBT_TOTAL", G$6,$F$2,,,Ccy,Conv)</f>
        <v>0</v>
      </c>
      <c r="H507" s="18">
        <f>_xll.ciqfunctions.udf.CIQ($C$2,"IQ_FIN_DIV_ST_DEBT_TOTAL", H$6,$F$2,,,Ccy,Conv)</f>
        <v>0</v>
      </c>
      <c r="I507" s="18">
        <f>_xll.ciqfunctions.udf.CIQ($C$2,"IQ_FIN_DIV_ST_DEBT_TOTAL", I$6,$F$2,,,Ccy,Conv)</f>
        <v>0</v>
      </c>
      <c r="J507" s="18">
        <f>_xll.ciqfunctions.udf.CIQ($C$2,"IQ_FIN_DIV_ST_DEBT_TOTAL", J$6,$F$2,,,Ccy,Conv)</f>
        <v>0</v>
      </c>
      <c r="K507" s="18">
        <f>_xll.ciqfunctions.udf.CIQ($C$2,"IQ_FIN_DIV_ST_DEBT_TOTAL", K$6,$F$2,,,Ccy,Conv)</f>
        <v>0</v>
      </c>
      <c r="L507" s="18">
        <f>_xll.ciqfunctions.udf.CIQ($C$2,"IQ_FIN_DIV_ST_DEBT_TOTAL", L$6,$F$2,,,Ccy,Conv)</f>
        <v>0</v>
      </c>
      <c r="M507" s="18">
        <f>_xll.ciqfunctions.udf.CIQ($C$2,"IQ_FIN_DIV_ST_DEBT_TOTAL", M$6,$F$2,,,Ccy,Conv)</f>
        <v>0</v>
      </c>
      <c r="N507" s="18">
        <f>_xll.ciqfunctions.udf.CIQ($C$2,"IQ_FIN_DIV_ST_DEBT_TOTAL", N$6,$F$2,,,Ccy,Conv)</f>
        <v>0</v>
      </c>
      <c r="O507" s="30"/>
      <c r="P507" s="18">
        <f>_xll.ciqfunctions.udf.CIQ($C$2,"IQ_FIN_DIV_ST_DEBT_TOTAL", P$6,$F$2,,,Ccy,Conv)</f>
        <v>0</v>
      </c>
      <c r="Q507" s="245"/>
      <c r="R507" s="215"/>
      <c r="S507" s="215"/>
      <c r="T507" s="215"/>
      <c r="U507" s="215"/>
      <c r="V507" s="222"/>
      <c r="W507" s="222"/>
      <c r="X507" s="222"/>
      <c r="Y507" s="215"/>
      <c r="Z507" s="215"/>
      <c r="AA507" s="215"/>
      <c r="AB507" s="215"/>
      <c r="AC507" s="215"/>
      <c r="AD507" s="215"/>
      <c r="AE507" s="215"/>
      <c r="AF507" s="215"/>
      <c r="AG507" s="215"/>
      <c r="AH507" s="215"/>
      <c r="AI507" s="215"/>
      <c r="AJ507" s="215"/>
      <c r="AK507" s="215"/>
      <c r="AL507" s="215"/>
      <c r="AM507" s="215"/>
      <c r="AN507" s="215"/>
      <c r="AO507" s="215"/>
      <c r="AP507" s="215"/>
      <c r="AQ507" s="215"/>
      <c r="AR507" s="215"/>
      <c r="AS507" s="215"/>
      <c r="AT507" s="215"/>
      <c r="AU507" s="215"/>
      <c r="AV507" s="215"/>
      <c r="AW507" s="215"/>
      <c r="AX507" s="215"/>
      <c r="AY507" s="215"/>
      <c r="AZ507" s="215"/>
      <c r="BA507" s="215"/>
      <c r="BB507" s="215"/>
      <c r="BC507" s="215"/>
      <c r="BD507" s="215"/>
      <c r="BE507" s="215"/>
      <c r="BF507" s="215"/>
      <c r="BG507" s="215"/>
      <c r="BH507" s="215"/>
      <c r="BI507" s="215"/>
      <c r="BJ507" s="215"/>
      <c r="BK507" s="215"/>
      <c r="BL507" s="215"/>
      <c r="BM507" s="215"/>
      <c r="BN507" s="215"/>
      <c r="BO507" s="215"/>
      <c r="BP507" s="215"/>
      <c r="BQ507" s="215"/>
      <c r="BR507" s="215"/>
      <c r="BS507" s="215"/>
      <c r="BT507" s="215"/>
      <c r="BU507" s="215"/>
      <c r="BV507" s="215"/>
      <c r="BW507" s="215"/>
      <c r="BX507" s="215"/>
      <c r="BY507" s="215"/>
      <c r="BZ507" s="215"/>
    </row>
    <row r="508" spans="1:78" x14ac:dyDescent="0.2">
      <c r="A508" s="2" t="str">
        <f>'Language Index'!A458</f>
        <v>Finance Division Debt, Total</v>
      </c>
      <c r="B508" s="17"/>
      <c r="C508" s="17"/>
      <c r="D508" s="18">
        <f>_xll.ciqfunctions.udf.CIQ($C$2,"IQ_FIN_DIV_DEBT_TOTAL", D$6,$F$2,,,Ccy,Conv)</f>
        <v>10551</v>
      </c>
      <c r="E508" s="18">
        <f>_xll.ciqfunctions.udf.CIQ($C$2,"IQ_FIN_DIV_DEBT_TOTAL", E$6,$F$2,,,Ccy,Conv)</f>
        <v>9860</v>
      </c>
      <c r="F508" s="18">
        <f>_xll.ciqfunctions.udf.CIQ($C$2,"IQ_FIN_DIV_DEBT_TOTAL", F$6,$F$2,,,Ccy,Conv)</f>
        <v>11879</v>
      </c>
      <c r="G508" s="18">
        <f>_xll.ciqfunctions.udf.CIQ($C$2,"IQ_FIN_DIV_DEBT_TOTAL", G$6,$F$2,,,Ccy,Conv)</f>
        <v>9921</v>
      </c>
      <c r="H508" s="18">
        <f>_xll.ciqfunctions.udf.CIQ($C$2,"IQ_FIN_DIV_DEBT_TOTAL", H$6,$F$2,,,Ccy,Conv)</f>
        <v>11112</v>
      </c>
      <c r="I508" s="18">
        <f>_xll.ciqfunctions.udf.CIQ($C$2,"IQ_FIN_DIV_DEBT_TOTAL", I$6,$F$2,,,Ccy,Conv)</f>
        <v>10355</v>
      </c>
      <c r="J508" s="18">
        <f>_xll.ciqfunctions.udf.CIQ($C$2,"IQ_FIN_DIV_DEBT_TOTAL", J$6,$F$2,,,Ccy,Conv)</f>
        <v>12116</v>
      </c>
      <c r="K508" s="18">
        <f>_xll.ciqfunctions.udf.CIQ($C$2,"IQ_FIN_DIV_DEBT_TOTAL", K$6,$F$2,,,Ccy,Conv)</f>
        <v>10022</v>
      </c>
      <c r="L508" s="18">
        <f>_xll.ciqfunctions.udf.CIQ($C$2,"IQ_FIN_DIV_DEBT_TOTAL", L$6,$F$2,,,Ccy,Conv)</f>
        <v>11731</v>
      </c>
      <c r="M508" s="18">
        <f>_xll.ciqfunctions.udf.CIQ($C$2,"IQ_FIN_DIV_DEBT_TOTAL", M$6,$F$2,,,Ccy,Conv)</f>
        <v>11300</v>
      </c>
      <c r="N508" s="18">
        <f>_xll.ciqfunctions.udf.CIQ($C$2,"IQ_FIN_DIV_DEBT_TOTAL", N$6,$F$2,,,Ccy,Conv)</f>
        <v>15093</v>
      </c>
      <c r="O508" s="30"/>
      <c r="P508" s="18">
        <f>_xll.ciqfunctions.udf.CIQ($C$2,"IQ_FIN_DIV_DEBT_TOTAL", P$6,$F$2,,,Ccy,Conv)</f>
        <v>15093</v>
      </c>
      <c r="Q508" s="245"/>
      <c r="R508" s="215"/>
      <c r="S508" s="215"/>
      <c r="T508" s="215"/>
      <c r="U508" s="215"/>
      <c r="V508" s="222"/>
      <c r="W508" s="222"/>
      <c r="X508" s="222"/>
      <c r="Y508" s="215"/>
      <c r="Z508" s="215"/>
      <c r="AA508" s="215"/>
      <c r="AB508" s="215"/>
      <c r="AC508" s="215"/>
      <c r="AD508" s="215"/>
      <c r="AE508" s="215"/>
      <c r="AF508" s="215"/>
      <c r="AG508" s="215"/>
      <c r="AH508" s="215"/>
      <c r="AI508" s="215"/>
      <c r="AJ508" s="215"/>
      <c r="AK508" s="215"/>
      <c r="AL508" s="215"/>
      <c r="AM508" s="215"/>
      <c r="AN508" s="215"/>
      <c r="AO508" s="215"/>
      <c r="AP508" s="215"/>
      <c r="AQ508" s="215"/>
      <c r="AR508" s="215"/>
      <c r="AS508" s="215"/>
      <c r="AT508" s="215"/>
      <c r="AU508" s="215"/>
      <c r="AV508" s="215"/>
      <c r="AW508" s="215"/>
      <c r="AX508" s="215"/>
      <c r="AY508" s="215"/>
      <c r="AZ508" s="215"/>
      <c r="BA508" s="215"/>
      <c r="BB508" s="215"/>
      <c r="BC508" s="215"/>
      <c r="BD508" s="215"/>
      <c r="BE508" s="215"/>
      <c r="BF508" s="215"/>
      <c r="BG508" s="215"/>
      <c r="BH508" s="215"/>
      <c r="BI508" s="215"/>
      <c r="BJ508" s="215"/>
      <c r="BK508" s="215"/>
      <c r="BL508" s="215"/>
      <c r="BM508" s="215"/>
      <c r="BN508" s="215"/>
      <c r="BO508" s="215"/>
      <c r="BP508" s="215"/>
      <c r="BQ508" s="215"/>
      <c r="BR508" s="215"/>
      <c r="BS508" s="215"/>
      <c r="BT508" s="215"/>
      <c r="BU508" s="215"/>
      <c r="BV508" s="215"/>
      <c r="BW508" s="215"/>
      <c r="BX508" s="215"/>
      <c r="BY508" s="215"/>
      <c r="BZ508" s="215"/>
    </row>
    <row r="509" spans="1:78" x14ac:dyDescent="0.2">
      <c r="A509" s="2" t="str">
        <f>'Language Index'!A459</f>
        <v>Finance Division Cash and Equivalents</v>
      </c>
      <c r="B509" s="17"/>
      <c r="C509" s="17"/>
      <c r="D509" s="18">
        <f>_xll.ciqfunctions.udf.CIQ($C$2, "IQ_FIN_DIV_CASH_EQUIV", D$6,$F$2,,,Ccy,Conv)</f>
        <v>0</v>
      </c>
      <c r="E509" s="18">
        <f>_xll.ciqfunctions.udf.CIQ($C$2, "IQ_FIN_DIV_CASH_EQUIV", E$6,$F$2,,,Ccy,Conv)</f>
        <v>0</v>
      </c>
      <c r="F509" s="18">
        <f>_xll.ciqfunctions.udf.CIQ($C$2, "IQ_FIN_DIV_CASH_EQUIV", F$6,$F$2,,,Ccy,Conv)</f>
        <v>0</v>
      </c>
      <c r="G509" s="18">
        <f>_xll.ciqfunctions.udf.CIQ($C$2, "IQ_FIN_DIV_CASH_EQUIV", G$6,$F$2,,,Ccy,Conv)</f>
        <v>0</v>
      </c>
      <c r="H509" s="18">
        <f>_xll.ciqfunctions.udf.CIQ($C$2, "IQ_FIN_DIV_CASH_EQUIV", H$6,$F$2,,,Ccy,Conv)</f>
        <v>0</v>
      </c>
      <c r="I509" s="18">
        <f>_xll.ciqfunctions.udf.CIQ($C$2, "IQ_FIN_DIV_CASH_EQUIV", I$6,$F$2,,,Ccy,Conv)</f>
        <v>0</v>
      </c>
      <c r="J509" s="18">
        <f>_xll.ciqfunctions.udf.CIQ($C$2, "IQ_FIN_DIV_CASH_EQUIV", J$6,$F$2,,,Ccy,Conv)</f>
        <v>0</v>
      </c>
      <c r="K509" s="18">
        <f>_xll.ciqfunctions.udf.CIQ($C$2, "IQ_FIN_DIV_CASH_EQUIV", K$6,$F$2,,,Ccy,Conv)</f>
        <v>0</v>
      </c>
      <c r="L509" s="18">
        <f>_xll.ciqfunctions.udf.CIQ($C$2, "IQ_FIN_DIV_CASH_EQUIV", L$6,$F$2,,,Ccy,Conv)</f>
        <v>0</v>
      </c>
      <c r="M509" s="18">
        <f>_xll.ciqfunctions.udf.CIQ($C$2, "IQ_FIN_DIV_CASH_EQUIV", M$6,$F$2,,,Ccy,Conv)</f>
        <v>0</v>
      </c>
      <c r="N509" s="18">
        <f>_xll.ciqfunctions.udf.CIQ($C$2, "IQ_FIN_DIV_CASH_EQUIV", N$6,$F$2,,,Ccy,Conv)</f>
        <v>0</v>
      </c>
      <c r="O509" s="30"/>
      <c r="P509" s="18">
        <f>_xll.ciqfunctions.udf.CIQ($C$2, "IQ_FIN_DIV_CASH_EQUIV", P$6,$F$2,,,Ccy,Conv)</f>
        <v>0</v>
      </c>
      <c r="Q509" s="245"/>
      <c r="R509" s="215"/>
      <c r="S509" s="215"/>
      <c r="T509" s="215"/>
      <c r="U509" s="215"/>
      <c r="V509" s="222"/>
      <c r="W509" s="222"/>
      <c r="X509" s="222"/>
      <c r="Y509" s="215"/>
      <c r="Z509" s="215"/>
      <c r="AA509" s="215"/>
      <c r="AB509" s="215"/>
      <c r="AC509" s="215"/>
      <c r="AD509" s="215"/>
      <c r="AE509" s="215"/>
      <c r="AF509" s="215"/>
      <c r="AG509" s="215"/>
      <c r="AH509" s="215"/>
      <c r="AI509" s="215"/>
      <c r="AJ509" s="215"/>
      <c r="AK509" s="215"/>
      <c r="AL509" s="215"/>
      <c r="AM509" s="215"/>
      <c r="AN509" s="215"/>
      <c r="AO509" s="215"/>
      <c r="AP509" s="215"/>
      <c r="AQ509" s="215"/>
      <c r="AR509" s="215"/>
      <c r="AS509" s="215"/>
      <c r="AT509" s="215"/>
      <c r="AU509" s="215"/>
      <c r="AV509" s="215"/>
      <c r="AW509" s="215"/>
      <c r="AX509" s="215"/>
      <c r="AY509" s="215"/>
      <c r="AZ509" s="215"/>
      <c r="BA509" s="215"/>
      <c r="BB509" s="215"/>
      <c r="BC509" s="215"/>
      <c r="BD509" s="215"/>
      <c r="BE509" s="215"/>
      <c r="BF509" s="215"/>
      <c r="BG509" s="215"/>
      <c r="BH509" s="215"/>
      <c r="BI509" s="215"/>
      <c r="BJ509" s="215"/>
      <c r="BK509" s="215"/>
      <c r="BL509" s="215"/>
      <c r="BM509" s="215"/>
      <c r="BN509" s="215"/>
      <c r="BO509" s="215"/>
      <c r="BP509" s="215"/>
      <c r="BQ509" s="215"/>
      <c r="BR509" s="215"/>
      <c r="BS509" s="215"/>
      <c r="BT509" s="215"/>
      <c r="BU509" s="215"/>
      <c r="BV509" s="215"/>
      <c r="BW509" s="215"/>
      <c r="BX509" s="215"/>
      <c r="BY509" s="215"/>
      <c r="BZ509" s="215"/>
    </row>
    <row r="510" spans="1:78" x14ac:dyDescent="0.2">
      <c r="A510" s="2" t="str">
        <f>'Language Index'!A460</f>
        <v>Finance Division Short-Term Investments</v>
      </c>
      <c r="B510" s="17"/>
      <c r="C510" s="17"/>
      <c r="D510" s="18">
        <f>_xll.ciqfunctions.udf.CIQ($C$2, "IQ_FIN_DIV_ST_INVEST", D$6,$F$2,,,Ccy,Conv)</f>
        <v>0</v>
      </c>
      <c r="E510" s="18">
        <f>_xll.ciqfunctions.udf.CIQ($C$2, "IQ_FIN_DIV_ST_INVEST", E$6,$F$2,,,Ccy,Conv)</f>
        <v>0</v>
      </c>
      <c r="F510" s="18">
        <f>_xll.ciqfunctions.udf.CIQ($C$2, "IQ_FIN_DIV_ST_INVEST", F$6,$F$2,,,Ccy,Conv)</f>
        <v>0</v>
      </c>
      <c r="G510" s="18">
        <f>_xll.ciqfunctions.udf.CIQ($C$2, "IQ_FIN_DIV_ST_INVEST", G$6,$F$2,,,Ccy,Conv)</f>
        <v>0</v>
      </c>
      <c r="H510" s="18">
        <f>_xll.ciqfunctions.udf.CIQ($C$2, "IQ_FIN_DIV_ST_INVEST", H$6,$F$2,,,Ccy,Conv)</f>
        <v>0</v>
      </c>
      <c r="I510" s="18">
        <f>_xll.ciqfunctions.udf.CIQ($C$2, "IQ_FIN_DIV_ST_INVEST", I$6,$F$2,,,Ccy,Conv)</f>
        <v>0</v>
      </c>
      <c r="J510" s="18">
        <f>_xll.ciqfunctions.udf.CIQ($C$2, "IQ_FIN_DIV_ST_INVEST", J$6,$F$2,,,Ccy,Conv)</f>
        <v>0</v>
      </c>
      <c r="K510" s="18">
        <f>_xll.ciqfunctions.udf.CIQ($C$2, "IQ_FIN_DIV_ST_INVEST", K$6,$F$2,,,Ccy,Conv)</f>
        <v>0</v>
      </c>
      <c r="L510" s="18">
        <f>_xll.ciqfunctions.udf.CIQ($C$2, "IQ_FIN_DIV_ST_INVEST", L$6,$F$2,,,Ccy,Conv)</f>
        <v>0</v>
      </c>
      <c r="M510" s="18">
        <f>_xll.ciqfunctions.udf.CIQ($C$2, "IQ_FIN_DIV_ST_INVEST", M$6,$F$2,,,Ccy,Conv)</f>
        <v>0</v>
      </c>
      <c r="N510" s="18">
        <f>_xll.ciqfunctions.udf.CIQ($C$2, "IQ_FIN_DIV_ST_INVEST", N$6,$F$2,,,Ccy,Conv)</f>
        <v>0</v>
      </c>
      <c r="O510" s="30"/>
      <c r="P510" s="18">
        <f>_xll.ciqfunctions.udf.CIQ($C$2, "IQ_FIN_DIV_ST_INVEST", P$6,$F$2,,,Ccy,Conv)</f>
        <v>0</v>
      </c>
      <c r="Q510" s="245"/>
      <c r="R510" s="215"/>
      <c r="S510" s="215"/>
      <c r="T510" s="215"/>
      <c r="U510" s="215"/>
      <c r="V510" s="222"/>
      <c r="W510" s="222"/>
      <c r="X510" s="222"/>
      <c r="Y510" s="215"/>
      <c r="Z510" s="215"/>
      <c r="AA510" s="215"/>
      <c r="AB510" s="215"/>
      <c r="AC510" s="215"/>
      <c r="AD510" s="215"/>
      <c r="AE510" s="215"/>
      <c r="AF510" s="215"/>
      <c r="AG510" s="215"/>
      <c r="AH510" s="215"/>
      <c r="AI510" s="215"/>
      <c r="AJ510" s="215"/>
      <c r="AK510" s="215"/>
      <c r="AL510" s="215"/>
      <c r="AM510" s="215"/>
      <c r="AN510" s="215"/>
      <c r="AO510" s="215"/>
      <c r="AP510" s="215"/>
      <c r="AQ510" s="215"/>
      <c r="AR510" s="215"/>
      <c r="AS510" s="215"/>
      <c r="AT510" s="215"/>
      <c r="AU510" s="215"/>
      <c r="AV510" s="215"/>
      <c r="AW510" s="215"/>
      <c r="AX510" s="215"/>
      <c r="AY510" s="215"/>
      <c r="AZ510" s="215"/>
      <c r="BA510" s="215"/>
      <c r="BB510" s="215"/>
      <c r="BC510" s="215"/>
      <c r="BD510" s="215"/>
      <c r="BE510" s="215"/>
      <c r="BF510" s="215"/>
      <c r="BG510" s="215"/>
      <c r="BH510" s="215"/>
      <c r="BI510" s="215"/>
      <c r="BJ510" s="215"/>
      <c r="BK510" s="215"/>
      <c r="BL510" s="215"/>
      <c r="BM510" s="215"/>
      <c r="BN510" s="215"/>
      <c r="BO510" s="215"/>
      <c r="BP510" s="215"/>
      <c r="BQ510" s="215"/>
      <c r="BR510" s="215"/>
      <c r="BS510" s="215"/>
      <c r="BT510" s="215"/>
      <c r="BU510" s="215"/>
      <c r="BV510" s="215"/>
      <c r="BW510" s="215"/>
      <c r="BX510" s="215"/>
      <c r="BY510" s="215"/>
      <c r="BZ510" s="215"/>
    </row>
    <row r="511" spans="1:78" x14ac:dyDescent="0.2">
      <c r="A511" s="2" t="str">
        <f>'Language Index'!A461</f>
        <v>Debt Equiv. of Unfunded Proj. Benefit Obligation</v>
      </c>
      <c r="B511" s="17"/>
      <c r="C511" s="17"/>
      <c r="D511" s="18">
        <f>_xll.ciqfunctions.udf.CIQ($C$2, "IQ_DEBT_EQUIV_NET_PBO", D$6,$F$2,,,Ccy,Conv)</f>
        <v>0</v>
      </c>
      <c r="E511" s="18">
        <f>_xll.ciqfunctions.udf.CIQ($C$2, "IQ_DEBT_EQUIV_NET_PBO", E$6,$F$2,,,Ccy,Conv)</f>
        <v>0</v>
      </c>
      <c r="F511" s="18">
        <f>_xll.ciqfunctions.udf.CIQ($C$2, "IQ_DEBT_EQUIV_NET_PBO", F$6,$F$2,,,Ccy,Conv)</f>
        <v>1218</v>
      </c>
      <c r="G511" s="18">
        <f>_xll.ciqfunctions.udf.CIQ($C$2, "IQ_DEBT_EQUIV_NET_PBO", G$6,$F$2,,,Ccy,Conv)</f>
        <v>0</v>
      </c>
      <c r="H511" s="18">
        <f>_xll.ciqfunctions.udf.CIQ($C$2, "IQ_DEBT_EQUIV_NET_PBO", H$6,$F$2,,,Ccy,Conv)</f>
        <v>0</v>
      </c>
      <c r="I511" s="18">
        <f>_xll.ciqfunctions.udf.CIQ($C$2, "IQ_DEBT_EQUIV_NET_PBO", I$6,$F$2,,,Ccy,Conv)</f>
        <v>0</v>
      </c>
      <c r="J511" s="18">
        <f>_xll.ciqfunctions.udf.CIQ($C$2, "IQ_DEBT_EQUIV_NET_PBO", J$6,$F$2,,,Ccy,Conv)</f>
        <v>-87</v>
      </c>
      <c r="K511" s="18">
        <f>_xll.ciqfunctions.udf.CIQ($C$2, "IQ_DEBT_EQUIV_NET_PBO", K$6,$F$2,,,Ccy,Conv)</f>
        <v>0</v>
      </c>
      <c r="L511" s="18">
        <f>_xll.ciqfunctions.udf.CIQ($C$2, "IQ_DEBT_EQUIV_NET_PBO", L$6,$F$2,,,Ccy,Conv)</f>
        <v>0</v>
      </c>
      <c r="M511" s="18">
        <f>_xll.ciqfunctions.udf.CIQ($C$2, "IQ_DEBT_EQUIV_NET_PBO", M$6,$F$2,,,Ccy,Conv)</f>
        <v>0</v>
      </c>
      <c r="N511" s="18">
        <f>_xll.ciqfunctions.udf.CIQ($C$2, "IQ_DEBT_EQUIV_NET_PBO", N$6,$F$2,,,Ccy,Conv)</f>
        <v>-474</v>
      </c>
      <c r="O511" s="30"/>
      <c r="P511" s="18">
        <f>_xll.ciqfunctions.udf.CIQ($C$2, "IQ_DEBT_EQUIV_NET_PBO", P$6,$F$2,,,Ccy,Conv)</f>
        <v>-474</v>
      </c>
      <c r="Q511" s="245"/>
      <c r="R511" s="215"/>
      <c r="S511" s="215"/>
      <c r="T511" s="215"/>
      <c r="U511" s="215"/>
      <c r="V511" s="222"/>
      <c r="W511" s="222"/>
      <c r="X511" s="222"/>
      <c r="Y511" s="215"/>
      <c r="Z511" s="215"/>
      <c r="AA511" s="215"/>
      <c r="AB511" s="215"/>
      <c r="AC511" s="215"/>
      <c r="AD511" s="215"/>
      <c r="AE511" s="215"/>
      <c r="AF511" s="215"/>
      <c r="AG511" s="215"/>
      <c r="AH511" s="215"/>
      <c r="AI511" s="215"/>
      <c r="AJ511" s="215"/>
      <c r="AK511" s="215"/>
      <c r="AL511" s="215"/>
      <c r="AM511" s="215"/>
      <c r="AN511" s="215"/>
      <c r="AO511" s="215"/>
      <c r="AP511" s="215"/>
      <c r="AQ511" s="215"/>
      <c r="AR511" s="215"/>
      <c r="AS511" s="215"/>
      <c r="AT511" s="215"/>
      <c r="AU511" s="215"/>
      <c r="AV511" s="215"/>
      <c r="AW511" s="215"/>
      <c r="AX511" s="215"/>
      <c r="AY511" s="215"/>
      <c r="AZ511" s="215"/>
      <c r="BA511" s="215"/>
      <c r="BB511" s="215"/>
      <c r="BC511" s="215"/>
      <c r="BD511" s="215"/>
      <c r="BE511" s="215"/>
      <c r="BF511" s="215"/>
      <c r="BG511" s="215"/>
      <c r="BH511" s="215"/>
      <c r="BI511" s="215"/>
      <c r="BJ511" s="215"/>
      <c r="BK511" s="215"/>
      <c r="BL511" s="215"/>
      <c r="BM511" s="215"/>
      <c r="BN511" s="215"/>
      <c r="BO511" s="215"/>
      <c r="BP511" s="215"/>
      <c r="BQ511" s="215"/>
      <c r="BR511" s="215"/>
      <c r="BS511" s="215"/>
      <c r="BT511" s="215"/>
      <c r="BU511" s="215"/>
      <c r="BV511" s="215"/>
      <c r="BW511" s="215"/>
      <c r="BX511" s="215"/>
      <c r="BY511" s="215"/>
      <c r="BZ511" s="215"/>
    </row>
    <row r="512" spans="1:78" x14ac:dyDescent="0.2">
      <c r="A512" s="2" t="str">
        <f>'Language Index'!A462</f>
        <v>Debt Equivalent Oper. Leases</v>
      </c>
      <c r="B512" s="17"/>
      <c r="C512" s="17"/>
      <c r="D512" s="18">
        <f>_xll.ciqfunctions.udf.CIQ($C$2, "IQ_DEBT_EQUIV_OPER_LEASE", D$6,$F$2,,,Ccy,Conv)</f>
        <v>0</v>
      </c>
      <c r="E512" s="18">
        <f>_xll.ciqfunctions.udf.CIQ($C$2, "IQ_DEBT_EQUIV_OPER_LEASE", E$6,$F$2,,,Ccy,Conv)</f>
        <v>0</v>
      </c>
      <c r="F512" s="18">
        <f>_xll.ciqfunctions.udf.CIQ($C$2, "IQ_DEBT_EQUIV_OPER_LEASE", F$6,$F$2,,,Ccy,Conv)</f>
        <v>10336</v>
      </c>
      <c r="G512" s="18">
        <f>_xll.ciqfunctions.udf.CIQ($C$2, "IQ_DEBT_EQUIV_OPER_LEASE", G$6,$F$2,,,Ccy,Conv)</f>
        <v>0</v>
      </c>
      <c r="H512" s="18">
        <f>_xll.ciqfunctions.udf.CIQ($C$2, "IQ_DEBT_EQUIV_OPER_LEASE", H$6,$F$2,,,Ccy,Conv)</f>
        <v>0</v>
      </c>
      <c r="I512" s="18">
        <f>_xll.ciqfunctions.udf.CIQ($C$2, "IQ_DEBT_EQUIV_OPER_LEASE", I$6,$F$2,,,Ccy,Conv)</f>
        <v>0</v>
      </c>
      <c r="J512" s="18">
        <f>_xll.ciqfunctions.udf.CIQ($C$2, "IQ_DEBT_EQUIV_OPER_LEASE", J$6,$F$2,,,Ccy,Conv)</f>
        <v>10472</v>
      </c>
      <c r="K512" s="18">
        <f>_xll.ciqfunctions.udf.CIQ($C$2, "IQ_DEBT_EQUIV_OPER_LEASE", K$6,$F$2,,,Ccy,Conv)</f>
        <v>0</v>
      </c>
      <c r="L512" s="18">
        <f>_xll.ciqfunctions.udf.CIQ($C$2, "IQ_DEBT_EQUIV_OPER_LEASE", L$6,$F$2,,,Ccy,Conv)</f>
        <v>0</v>
      </c>
      <c r="M512" s="18">
        <f>_xll.ciqfunctions.udf.CIQ($C$2, "IQ_DEBT_EQUIV_OPER_LEASE", M$6,$F$2,,,Ccy,Conv)</f>
        <v>0</v>
      </c>
      <c r="N512" s="18">
        <f>_xll.ciqfunctions.udf.CIQ($C$2, "IQ_DEBT_EQUIV_OPER_LEASE", N$6,$F$2,,,Ccy,Conv)</f>
        <v>10464</v>
      </c>
      <c r="O512" s="30"/>
      <c r="P512" s="18">
        <f>_xll.ciqfunctions.udf.CIQ($C$2, "IQ_DEBT_EQUIV_OPER_LEASE", P$6,$F$2,,,Ccy,Conv)</f>
        <v>10464</v>
      </c>
      <c r="Q512" s="245"/>
      <c r="R512" s="215"/>
      <c r="S512" s="215"/>
      <c r="T512" s="215"/>
      <c r="U512" s="215"/>
      <c r="V512" s="222"/>
      <c r="W512" s="222"/>
      <c r="X512" s="222"/>
      <c r="Y512" s="215"/>
      <c r="Z512" s="215"/>
      <c r="AA512" s="215"/>
      <c r="AB512" s="215"/>
      <c r="AC512" s="215"/>
      <c r="AD512" s="215"/>
      <c r="AE512" s="215"/>
      <c r="AF512" s="215"/>
      <c r="AG512" s="215"/>
      <c r="AH512" s="215"/>
      <c r="AI512" s="215"/>
      <c r="AJ512" s="215"/>
      <c r="AK512" s="215"/>
      <c r="AL512" s="215"/>
      <c r="AM512" s="215"/>
      <c r="AN512" s="215"/>
      <c r="AO512" s="215"/>
      <c r="AP512" s="215"/>
      <c r="AQ512" s="215"/>
      <c r="AR512" s="215"/>
      <c r="AS512" s="215"/>
      <c r="AT512" s="215"/>
      <c r="AU512" s="215"/>
      <c r="AV512" s="215"/>
      <c r="AW512" s="215"/>
      <c r="AX512" s="215"/>
      <c r="AY512" s="215"/>
      <c r="AZ512" s="215"/>
      <c r="BA512" s="215"/>
      <c r="BB512" s="215"/>
      <c r="BC512" s="215"/>
      <c r="BD512" s="215"/>
      <c r="BE512" s="215"/>
      <c r="BF512" s="215"/>
      <c r="BG512" s="215"/>
      <c r="BH512" s="215"/>
      <c r="BI512" s="215"/>
      <c r="BJ512" s="215"/>
      <c r="BK512" s="215"/>
      <c r="BL512" s="215"/>
      <c r="BM512" s="215"/>
      <c r="BN512" s="215"/>
      <c r="BO512" s="215"/>
      <c r="BP512" s="215"/>
      <c r="BQ512" s="215"/>
      <c r="BR512" s="215"/>
      <c r="BS512" s="215"/>
      <c r="BT512" s="215"/>
      <c r="BU512" s="215"/>
      <c r="BV512" s="215"/>
      <c r="BW512" s="215"/>
      <c r="BX512" s="215"/>
      <c r="BY512" s="215"/>
      <c r="BZ512" s="215"/>
    </row>
    <row r="513" spans="1:78" x14ac:dyDescent="0.2">
      <c r="A513" s="2" t="str">
        <f>'Language Index'!A463</f>
        <v>Cost of Borrowing</v>
      </c>
      <c r="B513" s="17"/>
      <c r="C513" s="17"/>
      <c r="D513" s="18">
        <f>_xll.ciqfunctions.udf.CIQ($C$2,"IQ_COST_BORROWING", D$6,$F$2)</f>
        <v>2.4613</v>
      </c>
      <c r="E513" s="18">
        <f>_xll.ciqfunctions.udf.CIQ($C$2,"IQ_COST_BORROWING", E$6,$F$2)</f>
        <v>2.6968999999999999</v>
      </c>
      <c r="F513" s="18">
        <f>_xll.ciqfunctions.udf.CIQ($C$2,"IQ_COST_BORROWING", F$6,$F$2)</f>
        <v>2.8363</v>
      </c>
      <c r="G513" s="18">
        <f>_xll.ciqfunctions.udf.CIQ($C$2,"IQ_COST_BORROWING", G$6,$F$2)</f>
        <v>2.6848999999999998</v>
      </c>
      <c r="H513" s="18">
        <f>_xll.ciqfunctions.udf.CIQ($C$2,"IQ_COST_BORROWING", H$6,$F$2)</f>
        <v>2.79</v>
      </c>
      <c r="I513" s="18">
        <f>_xll.ciqfunctions.udf.CIQ($C$2,"IQ_COST_BORROWING", I$6,$F$2)</f>
        <v>2.8536999999999999</v>
      </c>
      <c r="J513" s="18">
        <f>_xll.ciqfunctions.udf.CIQ($C$2,"IQ_COST_BORROWING", J$6,$F$2)</f>
        <v>2.9138000000000002</v>
      </c>
      <c r="K513" s="18">
        <f>_xll.ciqfunctions.udf.CIQ($C$2,"IQ_COST_BORROWING", K$6,$F$2)</f>
        <v>2.6751999999999998</v>
      </c>
      <c r="L513" s="18">
        <f>_xll.ciqfunctions.udf.CIQ($C$2,"IQ_COST_BORROWING", L$6,$F$2)</f>
        <v>2.8504</v>
      </c>
      <c r="M513" s="18">
        <f>_xll.ciqfunctions.udf.CIQ($C$2,"IQ_COST_BORROWING", M$6,$F$2)</f>
        <v>2.9693000000000001</v>
      </c>
      <c r="N513" s="18">
        <f>_xll.ciqfunctions.udf.CIQ($C$2,"IQ_COST_BORROWING", N$6,$F$2)</f>
        <v>3.1526999999999998</v>
      </c>
      <c r="O513" s="30"/>
      <c r="P513" s="18">
        <f>_xll.ciqfunctions.udf.CIQ($C$2,"IQ_COST_BORROWING", P$6,$F$2)</f>
        <v>3.1526999999999998</v>
      </c>
      <c r="Q513" s="245"/>
      <c r="R513" s="215"/>
      <c r="S513" s="215"/>
      <c r="T513" s="215"/>
      <c r="U513" s="215"/>
      <c r="V513" s="222"/>
      <c r="W513" s="222"/>
      <c r="X513" s="222"/>
      <c r="Y513" s="215"/>
      <c r="Z513" s="215"/>
      <c r="AA513" s="215"/>
      <c r="AB513" s="215"/>
      <c r="AC513" s="215"/>
      <c r="AD513" s="215"/>
      <c r="AE513" s="215"/>
      <c r="AF513" s="215"/>
      <c r="AG513" s="215"/>
      <c r="AH513" s="215"/>
      <c r="AI513" s="215"/>
      <c r="AJ513" s="215"/>
      <c r="AK513" s="215"/>
      <c r="AL513" s="215"/>
      <c r="AM513" s="215"/>
      <c r="AN513" s="215"/>
      <c r="AO513" s="215"/>
      <c r="AP513" s="215"/>
      <c r="AQ513" s="215"/>
      <c r="AR513" s="215"/>
      <c r="AS513" s="215"/>
      <c r="AT513" s="215"/>
      <c r="AU513" s="215"/>
      <c r="AV513" s="215"/>
      <c r="AW513" s="215"/>
      <c r="AX513" s="215"/>
      <c r="AY513" s="215"/>
      <c r="AZ513" s="215"/>
      <c r="BA513" s="215"/>
      <c r="BB513" s="215"/>
      <c r="BC513" s="215"/>
      <c r="BD513" s="215"/>
      <c r="BE513" s="215"/>
      <c r="BF513" s="215"/>
      <c r="BG513" s="215"/>
      <c r="BH513" s="215"/>
      <c r="BI513" s="215"/>
      <c r="BJ513" s="215"/>
      <c r="BK513" s="215"/>
      <c r="BL513" s="215"/>
      <c r="BM513" s="215"/>
      <c r="BN513" s="215"/>
      <c r="BO513" s="215"/>
      <c r="BP513" s="215"/>
      <c r="BQ513" s="215"/>
      <c r="BR513" s="215"/>
      <c r="BS513" s="215"/>
      <c r="BT513" s="215"/>
      <c r="BU513" s="215"/>
      <c r="BV513" s="215"/>
      <c r="BW513" s="215"/>
      <c r="BX513" s="215"/>
      <c r="BY513" s="215"/>
      <c r="BZ513" s="215"/>
    </row>
    <row r="514" spans="1:78" x14ac:dyDescent="0.2">
      <c r="A514" s="2" t="str">
        <f>'Language Index'!A464</f>
        <v>Restricted Cash (Non-Current)</v>
      </c>
      <c r="B514" s="17"/>
      <c r="C514" s="17"/>
      <c r="D514" s="18">
        <f>_xll.ciqfunctions.udf.CIQ($C$2,"IQ_RESTRICTED_CASH_NON_CURRENT", D$6,$F$2,,,Ccy,Conv)</f>
        <v>0</v>
      </c>
      <c r="E514" s="18">
        <f>_xll.ciqfunctions.udf.CIQ($C$2,"IQ_RESTRICTED_CASH_NON_CURRENT", E$6,$F$2,,,Ccy,Conv)</f>
        <v>0</v>
      </c>
      <c r="F514" s="18">
        <f>_xll.ciqfunctions.udf.CIQ($C$2,"IQ_RESTRICTED_CASH_NON_CURRENT", F$6,$F$2,,,Ccy,Conv)</f>
        <v>0</v>
      </c>
      <c r="G514" s="18">
        <f>_xll.ciqfunctions.udf.CIQ($C$2,"IQ_RESTRICTED_CASH_NON_CURRENT", G$6,$F$2,,,Ccy,Conv)</f>
        <v>0</v>
      </c>
      <c r="H514" s="18">
        <f>_xll.ciqfunctions.udf.CIQ($C$2,"IQ_RESTRICTED_CASH_NON_CURRENT", H$6,$F$2,,,Ccy,Conv)</f>
        <v>0</v>
      </c>
      <c r="I514" s="18">
        <f>_xll.ciqfunctions.udf.CIQ($C$2,"IQ_RESTRICTED_CASH_NON_CURRENT", I$6,$F$2,,,Ccy,Conv)</f>
        <v>0</v>
      </c>
      <c r="J514" s="18">
        <f>_xll.ciqfunctions.udf.CIQ($C$2,"IQ_RESTRICTED_CASH_NON_CURRENT", J$6,$F$2,,,Ccy,Conv)</f>
        <v>0</v>
      </c>
      <c r="K514" s="18">
        <f>_xll.ciqfunctions.udf.CIQ($C$2,"IQ_RESTRICTED_CASH_NON_CURRENT", K$6,$F$2,,,Ccy,Conv)</f>
        <v>0</v>
      </c>
      <c r="L514" s="18">
        <f>_xll.ciqfunctions.udf.CIQ($C$2,"IQ_RESTRICTED_CASH_NON_CURRENT", L$6,$F$2,,,Ccy,Conv)</f>
        <v>0</v>
      </c>
      <c r="M514" s="18">
        <f>_xll.ciqfunctions.udf.CIQ($C$2,"IQ_RESTRICTED_CASH_NON_CURRENT", M$6,$F$2,,,Ccy,Conv)</f>
        <v>0</v>
      </c>
      <c r="N514" s="18">
        <f>_xll.ciqfunctions.udf.CIQ($C$2,"IQ_RESTRICTED_CASH_NON_CURRENT", N$6,$F$2,,,Ccy,Conv)</f>
        <v>0</v>
      </c>
      <c r="O514" s="30"/>
      <c r="P514" s="18">
        <f>_xll.ciqfunctions.udf.CIQ($C$2,"IQ_RESTRICTED_CASH_NON_CURRENT", P$6,$F$2,,,Ccy,Conv)</f>
        <v>0</v>
      </c>
      <c r="Q514" s="245"/>
      <c r="R514" s="215"/>
      <c r="S514" s="215"/>
      <c r="T514" s="215"/>
      <c r="U514" s="215"/>
      <c r="V514" s="222"/>
      <c r="W514" s="222"/>
      <c r="X514" s="222"/>
      <c r="Y514" s="215"/>
      <c r="Z514" s="215"/>
      <c r="AA514" s="215"/>
      <c r="AB514" s="215"/>
      <c r="AC514" s="215"/>
      <c r="AD514" s="215"/>
      <c r="AE514" s="215"/>
      <c r="AF514" s="215"/>
      <c r="AG514" s="215"/>
      <c r="AH514" s="215"/>
      <c r="AI514" s="215"/>
      <c r="AJ514" s="215"/>
      <c r="AK514" s="215"/>
      <c r="AL514" s="215"/>
      <c r="AM514" s="215"/>
      <c r="AN514" s="215"/>
      <c r="AO514" s="215"/>
      <c r="AP514" s="215"/>
      <c r="AQ514" s="215"/>
      <c r="AR514" s="215"/>
      <c r="AS514" s="215"/>
      <c r="AT514" s="215"/>
      <c r="AU514" s="215"/>
      <c r="AV514" s="215"/>
      <c r="AW514" s="215"/>
      <c r="AX514" s="215"/>
      <c r="AY514" s="215"/>
      <c r="AZ514" s="215"/>
      <c r="BA514" s="215"/>
      <c r="BB514" s="215"/>
      <c r="BC514" s="215"/>
      <c r="BD514" s="215"/>
      <c r="BE514" s="215"/>
      <c r="BF514" s="215"/>
      <c r="BG514" s="215"/>
      <c r="BH514" s="215"/>
      <c r="BI514" s="215"/>
      <c r="BJ514" s="215"/>
      <c r="BK514" s="215"/>
      <c r="BL514" s="215"/>
      <c r="BM514" s="215"/>
      <c r="BN514" s="215"/>
      <c r="BO514" s="215"/>
      <c r="BP514" s="215"/>
      <c r="BQ514" s="215"/>
      <c r="BR514" s="215"/>
      <c r="BS514" s="215"/>
      <c r="BT514" s="215"/>
      <c r="BU514" s="215"/>
      <c r="BV514" s="215"/>
      <c r="BW514" s="215"/>
      <c r="BX514" s="215"/>
      <c r="BY514" s="215"/>
      <c r="BZ514" s="215"/>
    </row>
    <row r="515" spans="1:78" x14ac:dyDescent="0.2">
      <c r="A515" s="2" t="str">
        <f>'Language Index'!A465</f>
        <v>Total Restricted Cash</v>
      </c>
      <c r="B515" s="17"/>
      <c r="C515" s="17"/>
      <c r="D515" s="18">
        <f>_xll.ciqfunctions.udf.CIQ($C$2,"IQ_RESTRICTED_CASH_TOTAL", D$6,$F$2,,,Ccy,Conv)</f>
        <v>31</v>
      </c>
      <c r="E515" s="18">
        <f>_xll.ciqfunctions.udf.CIQ($C$2,"IQ_RESTRICTED_CASH_TOTAL", E$6,$F$2,,,Ccy,Conv)</f>
        <v>19</v>
      </c>
      <c r="F515" s="18">
        <f>_xll.ciqfunctions.udf.CIQ($C$2,"IQ_RESTRICTED_CASH_TOTAL", F$6,$F$2,,,Ccy,Conv)</f>
        <v>21</v>
      </c>
      <c r="G515" s="18">
        <f>_xll.ciqfunctions.udf.CIQ($C$2,"IQ_RESTRICTED_CASH_TOTAL", G$6,$F$2,,,Ccy,Conv)</f>
        <v>162</v>
      </c>
      <c r="H515" s="18">
        <f>_xll.ciqfunctions.udf.CIQ($C$2,"IQ_RESTRICTED_CASH_TOTAL", H$6,$F$2,,,Ccy,Conv)</f>
        <v>2268</v>
      </c>
      <c r="I515" s="18">
        <f>_xll.ciqfunctions.udf.CIQ($C$2,"IQ_RESTRICTED_CASH_TOTAL", I$6,$F$2,,,Ccy,Conv)</f>
        <v>17</v>
      </c>
      <c r="J515" s="18">
        <f>_xll.ciqfunctions.udf.CIQ($C$2,"IQ_RESTRICTED_CASH_TOTAL", J$6,$F$2,,,Ccy,Conv)</f>
        <v>214</v>
      </c>
      <c r="K515" s="18">
        <f>_xll.ciqfunctions.udf.CIQ($C$2,"IQ_RESTRICTED_CASH_TOTAL", K$6,$F$2,,,Ccy,Conv)</f>
        <v>126</v>
      </c>
      <c r="L515" s="18">
        <f>_xll.ciqfunctions.udf.CIQ($C$2,"IQ_RESTRICTED_CASH_TOTAL", L$6,$F$2,,,Ccy,Conv)</f>
        <v>83</v>
      </c>
      <c r="M515" s="18">
        <f>_xll.ciqfunctions.udf.CIQ($C$2,"IQ_RESTRICTED_CASH_TOTAL", M$6,$F$2,,,Ccy,Conv)</f>
        <v>30</v>
      </c>
      <c r="N515" s="18">
        <f>_xll.ciqfunctions.udf.CIQ($C$2,"IQ_RESTRICTED_CASH_TOTAL", N$6,$F$2,,,Ccy,Conv)</f>
        <v>54</v>
      </c>
      <c r="O515" s="30"/>
      <c r="P515" s="18">
        <f>_xll.ciqfunctions.udf.CIQ($C$2,"IQ_RESTRICTED_CASH_TOTAL", P$6,$F$2,,,Ccy,Conv)</f>
        <v>54</v>
      </c>
      <c r="Q515" s="245"/>
      <c r="R515" s="215"/>
      <c r="S515" s="215"/>
      <c r="T515" s="215"/>
      <c r="U515" s="215"/>
      <c r="V515" s="222"/>
      <c r="W515" s="222"/>
      <c r="X515" s="222"/>
      <c r="Y515" s="215"/>
      <c r="Z515" s="215"/>
      <c r="AA515" s="215"/>
      <c r="AB515" s="215"/>
      <c r="AC515" s="215"/>
      <c r="AD515" s="215"/>
      <c r="AE515" s="215"/>
      <c r="AF515" s="215"/>
      <c r="AG515" s="215"/>
      <c r="AH515" s="215"/>
      <c r="AI515" s="215"/>
      <c r="AJ515" s="215"/>
      <c r="AK515" s="215"/>
      <c r="AL515" s="215"/>
      <c r="AM515" s="215"/>
      <c r="AN515" s="215"/>
      <c r="AO515" s="215"/>
      <c r="AP515" s="215"/>
      <c r="AQ515" s="215"/>
      <c r="AR515" s="215"/>
      <c r="AS515" s="215"/>
      <c r="AT515" s="215"/>
      <c r="AU515" s="215"/>
      <c r="AV515" s="215"/>
      <c r="AW515" s="215"/>
      <c r="AX515" s="215"/>
      <c r="AY515" s="215"/>
      <c r="AZ515" s="215"/>
      <c r="BA515" s="215"/>
      <c r="BB515" s="215"/>
      <c r="BC515" s="215"/>
      <c r="BD515" s="215"/>
      <c r="BE515" s="215"/>
      <c r="BF515" s="215"/>
      <c r="BG515" s="215"/>
      <c r="BH515" s="215"/>
      <c r="BI515" s="215"/>
      <c r="BJ515" s="215"/>
      <c r="BK515" s="215"/>
      <c r="BL515" s="215"/>
      <c r="BM515" s="215"/>
      <c r="BN515" s="215"/>
      <c r="BO515" s="215"/>
      <c r="BP515" s="215"/>
      <c r="BQ515" s="215"/>
      <c r="BR515" s="215"/>
      <c r="BS515" s="215"/>
      <c r="BT515" s="215"/>
      <c r="BU515" s="215"/>
      <c r="BV515" s="215"/>
      <c r="BW515" s="215"/>
      <c r="BX515" s="215"/>
      <c r="BY515" s="215"/>
      <c r="BZ515" s="215"/>
    </row>
    <row r="516" spans="1:78" x14ac:dyDescent="0.2">
      <c r="A516" s="2" t="str">
        <f>'Language Index'!A466</f>
        <v>Total Debt (Excl.Fin.Div.Debt)</v>
      </c>
      <c r="B516" s="17"/>
      <c r="C516" s="17"/>
      <c r="D516" s="18">
        <f>_xll.ciqfunctions.udf.CIQ($C$2,"IQ_TOTAL_DEBT_EXCL_FIN", D$6,$F$2,,,Ccy,Conv)</f>
        <v>60304</v>
      </c>
      <c r="E516" s="18">
        <f>_xll.ciqfunctions.udf.CIQ($C$2,"IQ_TOTAL_DEBT_EXCL_FIN", E$6,$F$2,,,Ccy,Conv)</f>
        <v>58525</v>
      </c>
      <c r="F516" s="18">
        <f>_xll.ciqfunctions.udf.CIQ($C$2,"IQ_TOTAL_DEBT_EXCL_FIN", F$6,$F$2,,,Ccy,Conv)</f>
        <v>59935</v>
      </c>
      <c r="G516" s="18">
        <f>_xll.ciqfunctions.udf.CIQ($C$2,"IQ_TOTAL_DEBT_EXCL_FIN", G$6,$F$2,,,Ccy,Conv)</f>
        <v>62871</v>
      </c>
      <c r="H516" s="18">
        <f>_xll.ciqfunctions.udf.CIQ($C$2,"IQ_TOTAL_DEBT_EXCL_FIN", H$6,$F$2,,,Ccy,Conv)</f>
        <v>59839</v>
      </c>
      <c r="I516" s="18">
        <f>_xll.ciqfunctions.udf.CIQ($C$2,"IQ_TOTAL_DEBT_EXCL_FIN", I$6,$F$2,,,Ccy,Conv)</f>
        <v>60126</v>
      </c>
      <c r="J516" s="18">
        <f>_xll.ciqfunctions.udf.CIQ($C$2,"IQ_TOTAL_DEBT_EXCL_FIN", J$6,$F$2,,,Ccy,Conv)</f>
        <v>58396</v>
      </c>
      <c r="K516" s="18">
        <f>_xll.ciqfunctions.udf.CIQ($C$2,"IQ_TOTAL_DEBT_EXCL_FIN", K$6,$F$2,,,Ccy,Conv)</f>
        <v>66835</v>
      </c>
      <c r="L516" s="18">
        <f>_xll.ciqfunctions.udf.CIQ($C$2,"IQ_TOTAL_DEBT_EXCL_FIN", L$6,$F$2,,,Ccy,Conv)</f>
        <v>67719</v>
      </c>
      <c r="M516" s="18">
        <f>_xll.ciqfunctions.udf.CIQ($C$2,"IQ_TOTAL_DEBT_EXCL_FIN", M$6,$F$2,,,Ccy,Conv)</f>
        <v>66569</v>
      </c>
      <c r="N516" s="18">
        <f>_xll.ciqfunctions.udf.CIQ($C$2,"IQ_TOTAL_DEBT_EXCL_FIN", N$6,$F$2,,,Ccy,Conv)</f>
        <v>64607</v>
      </c>
      <c r="O516" s="30"/>
      <c r="P516" s="18">
        <f>_xll.ciqfunctions.udf.CIQ($C$2,"IQ_TOTAL_DEBT_EXCL_FIN", P$6,$F$2,,,Ccy,Conv)</f>
        <v>64607</v>
      </c>
      <c r="Q516" s="245"/>
      <c r="R516" s="215"/>
      <c r="S516" s="215"/>
      <c r="T516" s="215"/>
      <c r="U516" s="215"/>
      <c r="V516" s="222"/>
      <c r="W516" s="222"/>
      <c r="X516" s="222"/>
      <c r="Y516" s="215"/>
      <c r="Z516" s="215"/>
      <c r="AA516" s="215"/>
      <c r="AB516" s="215"/>
      <c r="AC516" s="215"/>
      <c r="AD516" s="215"/>
      <c r="AE516" s="215"/>
      <c r="AF516" s="215"/>
      <c r="AG516" s="215"/>
      <c r="AH516" s="215"/>
      <c r="AI516" s="215"/>
      <c r="AJ516" s="215"/>
      <c r="AK516" s="215"/>
      <c r="AL516" s="215"/>
      <c r="AM516" s="215"/>
      <c r="AN516" s="215"/>
      <c r="AO516" s="215"/>
      <c r="AP516" s="215"/>
      <c r="AQ516" s="215"/>
      <c r="AR516" s="215"/>
      <c r="AS516" s="215"/>
      <c r="AT516" s="215"/>
      <c r="AU516" s="215"/>
      <c r="AV516" s="215"/>
      <c r="AW516" s="215"/>
      <c r="AX516" s="215"/>
      <c r="AY516" s="215"/>
      <c r="AZ516" s="215"/>
      <c r="BA516" s="215"/>
      <c r="BB516" s="215"/>
      <c r="BC516" s="215"/>
      <c r="BD516" s="215"/>
      <c r="BE516" s="215"/>
      <c r="BF516" s="215"/>
      <c r="BG516" s="215"/>
      <c r="BH516" s="215"/>
      <c r="BI516" s="215"/>
      <c r="BJ516" s="215"/>
      <c r="BK516" s="215"/>
      <c r="BL516" s="215"/>
      <c r="BM516" s="215"/>
      <c r="BN516" s="215"/>
      <c r="BO516" s="215"/>
      <c r="BP516" s="215"/>
      <c r="BQ516" s="215"/>
      <c r="BR516" s="215"/>
      <c r="BS516" s="215"/>
      <c r="BT516" s="215"/>
      <c r="BU516" s="215"/>
      <c r="BV516" s="215"/>
      <c r="BW516" s="215"/>
      <c r="BX516" s="215"/>
      <c r="BY516" s="215"/>
      <c r="BZ516" s="215"/>
    </row>
    <row r="517" spans="1:78" x14ac:dyDescent="0.2">
      <c r="A517" s="2" t="str">
        <f>'Language Index'!A467</f>
        <v>Order Backlog</v>
      </c>
      <c r="B517" s="17"/>
      <c r="C517" s="17"/>
      <c r="D517" s="18">
        <f>_xll.ciqfunctions.udf.CIQ($C$2,"IQ_ORDER_BACKLOG", D$6,$F$2,,,Ccy,Conv)</f>
        <v>0</v>
      </c>
      <c r="E517" s="18">
        <f>_xll.ciqfunctions.udf.CIQ($C$2,"IQ_ORDER_BACKLOG", E$6,$F$2,,,Ccy,Conv)</f>
        <v>0</v>
      </c>
      <c r="F517" s="18">
        <f>_xll.ciqfunctions.udf.CIQ($C$2,"IQ_ORDER_BACKLOG", F$6,$F$2,,,Ccy,Conv)</f>
        <v>0</v>
      </c>
      <c r="G517" s="18">
        <f>_xll.ciqfunctions.udf.CIQ($C$2,"IQ_ORDER_BACKLOG", G$6,$F$2,,,Ccy,Conv)</f>
        <v>0</v>
      </c>
      <c r="H517" s="18">
        <f>_xll.ciqfunctions.udf.CIQ($C$2,"IQ_ORDER_BACKLOG", H$6,$F$2,,,Ccy,Conv)</f>
        <v>0</v>
      </c>
      <c r="I517" s="18">
        <f>_xll.ciqfunctions.udf.CIQ($C$2,"IQ_ORDER_BACKLOG", I$6,$F$2,,,Ccy,Conv)</f>
        <v>0</v>
      </c>
      <c r="J517" s="18">
        <f>_xll.ciqfunctions.udf.CIQ($C$2,"IQ_ORDER_BACKLOG", J$6,$F$2,,,Ccy,Conv)</f>
        <v>0</v>
      </c>
      <c r="K517" s="18">
        <f>_xll.ciqfunctions.udf.CIQ($C$2,"IQ_ORDER_BACKLOG", K$6,$F$2,,,Ccy,Conv)</f>
        <v>0</v>
      </c>
      <c r="L517" s="18">
        <f>_xll.ciqfunctions.udf.CIQ($C$2,"IQ_ORDER_BACKLOG", L$6,$F$2,,,Ccy,Conv)</f>
        <v>0</v>
      </c>
      <c r="M517" s="18">
        <f>_xll.ciqfunctions.udf.CIQ($C$2,"IQ_ORDER_BACKLOG", M$6,$F$2,,,Ccy,Conv)</f>
        <v>0</v>
      </c>
      <c r="N517" s="18">
        <f>_xll.ciqfunctions.udf.CIQ($C$2,"IQ_ORDER_BACKLOG", N$6,$F$2,,,Ccy,Conv)</f>
        <v>31900</v>
      </c>
      <c r="O517" s="30"/>
      <c r="P517" s="18">
        <f>_xll.ciqfunctions.udf.CIQ($C$2,"IQ_ORDER_BACKLOG", P$6,$F$2,,,Ccy,Conv)</f>
        <v>31900</v>
      </c>
      <c r="Q517" s="245"/>
      <c r="R517" s="215"/>
      <c r="S517" s="215"/>
      <c r="T517" s="215"/>
      <c r="U517" s="215"/>
      <c r="V517" s="222"/>
      <c r="W517" s="222"/>
      <c r="X517" s="222"/>
      <c r="Y517" s="215"/>
      <c r="Z517" s="215"/>
      <c r="AA517" s="215"/>
      <c r="AB517" s="215"/>
      <c r="AC517" s="215"/>
      <c r="AD517" s="215"/>
      <c r="AE517" s="215"/>
      <c r="AF517" s="215"/>
      <c r="AG517" s="215"/>
      <c r="AH517" s="215"/>
      <c r="AI517" s="215"/>
      <c r="AJ517" s="215"/>
      <c r="AK517" s="215"/>
      <c r="AL517" s="215"/>
      <c r="AM517" s="215"/>
      <c r="AN517" s="215"/>
      <c r="AO517" s="215"/>
      <c r="AP517" s="215"/>
      <c r="AQ517" s="215"/>
      <c r="AR517" s="215"/>
      <c r="AS517" s="215"/>
      <c r="AT517" s="215"/>
      <c r="AU517" s="215"/>
      <c r="AV517" s="215"/>
      <c r="AW517" s="215"/>
      <c r="AX517" s="215"/>
      <c r="AY517" s="215"/>
      <c r="AZ517" s="215"/>
      <c r="BA517" s="215"/>
      <c r="BB517" s="215"/>
      <c r="BC517" s="215"/>
      <c r="BD517" s="215"/>
      <c r="BE517" s="215"/>
      <c r="BF517" s="215"/>
      <c r="BG517" s="215"/>
      <c r="BH517" s="215"/>
      <c r="BI517" s="215"/>
      <c r="BJ517" s="215"/>
      <c r="BK517" s="215"/>
      <c r="BL517" s="215"/>
      <c r="BM517" s="215"/>
      <c r="BN517" s="215"/>
      <c r="BO517" s="215"/>
      <c r="BP517" s="215"/>
      <c r="BQ517" s="215"/>
      <c r="BR517" s="215"/>
      <c r="BS517" s="215"/>
      <c r="BT517" s="215"/>
      <c r="BU517" s="215"/>
      <c r="BV517" s="215"/>
      <c r="BW517" s="215"/>
      <c r="BX517" s="215"/>
      <c r="BY517" s="215"/>
      <c r="BZ517" s="215"/>
    </row>
    <row r="518" spans="1:78" x14ac:dyDescent="0.2">
      <c r="A518" s="2" t="str">
        <f>'Language Index'!A468</f>
        <v>Contingent Liabilities</v>
      </c>
      <c r="B518" s="17"/>
      <c r="C518" s="17"/>
      <c r="D518" s="18">
        <f>_xll.ciqfunctions.udf.CIQ($C$2,"IQ_CONTINGENT_LIABILITIES", D$6,$F$2,,,Ccy,Conv)</f>
        <v>0</v>
      </c>
      <c r="E518" s="18">
        <f>_xll.ciqfunctions.udf.CIQ($C$2,"IQ_CONTINGENT_LIABILITIES", E$6,$F$2,,,Ccy,Conv)</f>
        <v>0</v>
      </c>
      <c r="F518" s="18">
        <f>_xll.ciqfunctions.udf.CIQ($C$2,"IQ_CONTINGENT_LIABILITIES", F$6,$F$2,,,Ccy,Conv)</f>
        <v>0</v>
      </c>
      <c r="G518" s="18">
        <f>_xll.ciqfunctions.udf.CIQ($C$2,"IQ_CONTINGENT_LIABILITIES", G$6,$F$2,,,Ccy,Conv)</f>
        <v>0</v>
      </c>
      <c r="H518" s="18">
        <f>_xll.ciqfunctions.udf.CIQ($C$2,"IQ_CONTINGENT_LIABILITIES", H$6,$F$2,,,Ccy,Conv)</f>
        <v>0</v>
      </c>
      <c r="I518" s="18">
        <f>_xll.ciqfunctions.udf.CIQ($C$2,"IQ_CONTINGENT_LIABILITIES", I$6,$F$2,,,Ccy,Conv)</f>
        <v>0</v>
      </c>
      <c r="J518" s="18">
        <f>_xll.ciqfunctions.udf.CIQ($C$2,"IQ_CONTINGENT_LIABILITIES", J$6,$F$2,,,Ccy,Conv)</f>
        <v>0</v>
      </c>
      <c r="K518" s="18">
        <f>_xll.ciqfunctions.udf.CIQ($C$2,"IQ_CONTINGENT_LIABILITIES", K$6,$F$2,,,Ccy,Conv)</f>
        <v>0</v>
      </c>
      <c r="L518" s="18">
        <f>_xll.ciqfunctions.udf.CIQ($C$2,"IQ_CONTINGENT_LIABILITIES", L$6,$F$2,,,Ccy,Conv)</f>
        <v>0</v>
      </c>
      <c r="M518" s="18">
        <f>_xll.ciqfunctions.udf.CIQ($C$2,"IQ_CONTINGENT_LIABILITIES", M$6,$F$2,,,Ccy,Conv)</f>
        <v>0</v>
      </c>
      <c r="N518" s="18">
        <f>_xll.ciqfunctions.udf.CIQ($C$2,"IQ_CONTINGENT_LIABILITIES", N$6,$F$2,,,Ccy,Conv)</f>
        <v>0</v>
      </c>
      <c r="O518" s="30"/>
      <c r="P518" s="18">
        <f>_xll.ciqfunctions.udf.CIQ($C$2,"IQ_CONTINGENT_LIABILITIES", P$6,$F$2,,,Ccy,Conv)</f>
        <v>0</v>
      </c>
      <c r="Q518" s="245"/>
      <c r="R518" s="215"/>
      <c r="S518" s="215"/>
      <c r="T518" s="215"/>
      <c r="U518" s="215"/>
      <c r="V518" s="222"/>
      <c r="W518" s="222"/>
      <c r="X518" s="222"/>
      <c r="Y518" s="215"/>
      <c r="Z518" s="215"/>
      <c r="AA518" s="215"/>
      <c r="AB518" s="215"/>
      <c r="AC518" s="215"/>
      <c r="AD518" s="215"/>
      <c r="AE518" s="215"/>
      <c r="AF518" s="215"/>
      <c r="AG518" s="215"/>
      <c r="AH518" s="215"/>
      <c r="AI518" s="215"/>
      <c r="AJ518" s="215"/>
      <c r="AK518" s="215"/>
      <c r="AL518" s="215"/>
      <c r="AM518" s="215"/>
      <c r="AN518" s="215"/>
      <c r="AO518" s="215"/>
      <c r="AP518" s="215"/>
      <c r="AQ518" s="215"/>
      <c r="AR518" s="215"/>
      <c r="AS518" s="215"/>
      <c r="AT518" s="215"/>
      <c r="AU518" s="215"/>
      <c r="AV518" s="215"/>
      <c r="AW518" s="215"/>
      <c r="AX518" s="215"/>
      <c r="AY518" s="215"/>
      <c r="AZ518" s="215"/>
      <c r="BA518" s="215"/>
      <c r="BB518" s="215"/>
      <c r="BC518" s="215"/>
      <c r="BD518" s="215"/>
      <c r="BE518" s="215"/>
      <c r="BF518" s="215"/>
      <c r="BG518" s="215"/>
      <c r="BH518" s="215"/>
      <c r="BI518" s="215"/>
      <c r="BJ518" s="215"/>
      <c r="BK518" s="215"/>
      <c r="BL518" s="215"/>
      <c r="BM518" s="215"/>
      <c r="BN518" s="215"/>
      <c r="BO518" s="215"/>
      <c r="BP518" s="215"/>
      <c r="BQ518" s="215"/>
      <c r="BR518" s="215"/>
      <c r="BS518" s="215"/>
      <c r="BT518" s="215"/>
      <c r="BU518" s="215"/>
      <c r="BV518" s="215"/>
      <c r="BW518" s="215"/>
      <c r="BX518" s="215"/>
      <c r="BY518" s="215"/>
      <c r="BZ518" s="215"/>
    </row>
    <row r="519" spans="1:78" x14ac:dyDescent="0.2">
      <c r="A519" s="2" t="str">
        <f>'Language Index'!A469</f>
        <v>Warranty Liabilities</v>
      </c>
      <c r="B519" s="17"/>
      <c r="C519" s="17"/>
      <c r="D519" s="18">
        <f>_xll.ciqfunctions.udf.CIQ($C$2,"IQ_WARRANTY_LIABILITIES", D$6,$F$2,,,Ccy,Conv)</f>
        <v>0</v>
      </c>
      <c r="E519" s="18">
        <f>_xll.ciqfunctions.udf.CIQ($C$2,"IQ_WARRANTY_LIABILITIES", E$6,$F$2,,,Ccy,Conv)</f>
        <v>0</v>
      </c>
      <c r="F519" s="18">
        <f>_xll.ciqfunctions.udf.CIQ($C$2,"IQ_WARRANTY_LIABILITIES", F$6,$F$2,,,Ccy,Conv)</f>
        <v>0</v>
      </c>
      <c r="G519" s="18">
        <f>_xll.ciqfunctions.udf.CIQ($C$2,"IQ_WARRANTY_LIABILITIES", G$6,$F$2,,,Ccy,Conv)</f>
        <v>0</v>
      </c>
      <c r="H519" s="18">
        <f>_xll.ciqfunctions.udf.CIQ($C$2,"IQ_WARRANTY_LIABILITIES", H$6,$F$2,,,Ccy,Conv)</f>
        <v>0</v>
      </c>
      <c r="I519" s="18">
        <f>_xll.ciqfunctions.udf.CIQ($C$2,"IQ_WARRANTY_LIABILITIES", I$6,$F$2,,,Ccy,Conv)</f>
        <v>0</v>
      </c>
      <c r="J519" s="18">
        <f>_xll.ciqfunctions.udf.CIQ($C$2,"IQ_WARRANTY_LIABILITIES", J$6,$F$2,,,Ccy,Conv)</f>
        <v>0</v>
      </c>
      <c r="K519" s="18">
        <f>_xll.ciqfunctions.udf.CIQ($C$2,"IQ_WARRANTY_LIABILITIES", K$6,$F$2,,,Ccy,Conv)</f>
        <v>0</v>
      </c>
      <c r="L519" s="18">
        <f>_xll.ciqfunctions.udf.CIQ($C$2,"IQ_WARRANTY_LIABILITIES", L$6,$F$2,,,Ccy,Conv)</f>
        <v>0</v>
      </c>
      <c r="M519" s="18">
        <f>_xll.ciqfunctions.udf.CIQ($C$2,"IQ_WARRANTY_LIABILITIES", M$6,$F$2,,,Ccy,Conv)</f>
        <v>0</v>
      </c>
      <c r="N519" s="18">
        <f>_xll.ciqfunctions.udf.CIQ($C$2,"IQ_WARRANTY_LIABILITIES", N$6,$F$2,,,Ccy,Conv)</f>
        <v>0</v>
      </c>
      <c r="O519" s="30"/>
      <c r="P519" s="18">
        <f>_xll.ciqfunctions.udf.CIQ($C$2,"IQ_WARRANTY_LIABILITIES", P$6,$F$2,,,Ccy,Conv)</f>
        <v>0</v>
      </c>
      <c r="Q519" s="245"/>
      <c r="R519" s="215"/>
      <c r="S519" s="215"/>
      <c r="T519" s="215"/>
      <c r="U519" s="215"/>
      <c r="V519" s="222"/>
      <c r="W519" s="222"/>
      <c r="X519" s="222"/>
      <c r="Y519" s="215"/>
      <c r="Z519" s="215"/>
      <c r="AA519" s="215"/>
      <c r="AB519" s="215"/>
      <c r="AC519" s="215"/>
      <c r="AD519" s="215"/>
      <c r="AE519" s="215"/>
      <c r="AF519" s="215"/>
      <c r="AG519" s="215"/>
      <c r="AH519" s="215"/>
      <c r="AI519" s="215"/>
      <c r="AJ519" s="215"/>
      <c r="AK519" s="215"/>
      <c r="AL519" s="215"/>
      <c r="AM519" s="215"/>
      <c r="AN519" s="215"/>
      <c r="AO519" s="215"/>
      <c r="AP519" s="215"/>
      <c r="AQ519" s="215"/>
      <c r="AR519" s="215"/>
      <c r="AS519" s="215"/>
      <c r="AT519" s="215"/>
      <c r="AU519" s="215"/>
      <c r="AV519" s="215"/>
      <c r="AW519" s="215"/>
      <c r="AX519" s="215"/>
      <c r="AY519" s="215"/>
      <c r="AZ519" s="215"/>
      <c r="BA519" s="215"/>
      <c r="BB519" s="215"/>
      <c r="BC519" s="215"/>
      <c r="BD519" s="215"/>
      <c r="BE519" s="215"/>
      <c r="BF519" s="215"/>
      <c r="BG519" s="215"/>
      <c r="BH519" s="215"/>
      <c r="BI519" s="215"/>
      <c r="BJ519" s="215"/>
      <c r="BK519" s="215"/>
      <c r="BL519" s="215"/>
      <c r="BM519" s="215"/>
      <c r="BN519" s="215"/>
      <c r="BO519" s="215"/>
      <c r="BP519" s="215"/>
      <c r="BQ519" s="215"/>
      <c r="BR519" s="215"/>
      <c r="BS519" s="215"/>
      <c r="BT519" s="215"/>
      <c r="BU519" s="215"/>
      <c r="BV519" s="215"/>
      <c r="BW519" s="215"/>
      <c r="BX519" s="215"/>
      <c r="BY519" s="215"/>
      <c r="BZ519" s="215"/>
    </row>
    <row r="520" spans="1:78" x14ac:dyDescent="0.2">
      <c r="A520" s="2" t="str">
        <f>'Language Index'!A470</f>
        <v>Short-Term Borrowing Derivatives</v>
      </c>
      <c r="B520" s="17"/>
      <c r="C520" s="17"/>
      <c r="D520" s="18">
        <f>_xll.ciqfunctions.udf.CIQ($C$2,"IQ_ST_DEBT_DERIVATIVES", D$6,$F$2,,,Ccy,Conv)</f>
        <v>0</v>
      </c>
      <c r="E520" s="18">
        <f>_xll.ciqfunctions.udf.CIQ($C$2,"IQ_ST_DEBT_DERIVATIVES", E$6,$F$2,,,Ccy,Conv)</f>
        <v>0</v>
      </c>
      <c r="F520" s="18">
        <f>_xll.ciqfunctions.udf.CIQ($C$2,"IQ_ST_DEBT_DERIVATIVES", F$6,$F$2,,,Ccy,Conv)</f>
        <v>0</v>
      </c>
      <c r="G520" s="18">
        <f>_xll.ciqfunctions.udf.CIQ($C$2,"IQ_ST_DEBT_DERIVATIVES", G$6,$F$2,,,Ccy,Conv)</f>
        <v>0</v>
      </c>
      <c r="H520" s="18">
        <f>_xll.ciqfunctions.udf.CIQ($C$2,"IQ_ST_DEBT_DERIVATIVES", H$6,$F$2,,,Ccy,Conv)</f>
        <v>0</v>
      </c>
      <c r="I520" s="18">
        <f>_xll.ciqfunctions.udf.CIQ($C$2,"IQ_ST_DEBT_DERIVATIVES", I$6,$F$2,,,Ccy,Conv)</f>
        <v>0</v>
      </c>
      <c r="J520" s="18">
        <f>_xll.ciqfunctions.udf.CIQ($C$2,"IQ_ST_DEBT_DERIVATIVES", J$6,$F$2,,,Ccy,Conv)</f>
        <v>0</v>
      </c>
      <c r="K520" s="18">
        <f>_xll.ciqfunctions.udf.CIQ($C$2,"IQ_ST_DEBT_DERIVATIVES", K$6,$F$2,,,Ccy,Conv)</f>
        <v>0</v>
      </c>
      <c r="L520" s="18">
        <f>_xll.ciqfunctions.udf.CIQ($C$2,"IQ_ST_DEBT_DERIVATIVES", L$6,$F$2,,,Ccy,Conv)</f>
        <v>0</v>
      </c>
      <c r="M520" s="18">
        <f>_xll.ciqfunctions.udf.CIQ($C$2,"IQ_ST_DEBT_DERIVATIVES", M$6,$F$2,,,Ccy,Conv)</f>
        <v>0</v>
      </c>
      <c r="N520" s="18">
        <f>_xll.ciqfunctions.udf.CIQ($C$2,"IQ_ST_DEBT_DERIVATIVES", N$6,$F$2,,,Ccy,Conv)</f>
        <v>0</v>
      </c>
      <c r="O520" s="30"/>
      <c r="P520" s="18">
        <f>_xll.ciqfunctions.udf.CIQ($C$2,"IQ_ST_DEBT_DERIVATIVES", P$6,$F$2,,,Ccy,Conv)</f>
        <v>0</v>
      </c>
      <c r="Q520" s="245"/>
      <c r="R520" s="215"/>
      <c r="S520" s="215"/>
      <c r="T520" s="215"/>
      <c r="U520" s="215"/>
      <c r="V520" s="222"/>
      <c r="W520" s="222"/>
      <c r="X520" s="222"/>
      <c r="Y520" s="215"/>
      <c r="Z520" s="215"/>
      <c r="AA520" s="215"/>
      <c r="AB520" s="215"/>
      <c r="AC520" s="215"/>
      <c r="AD520" s="215"/>
      <c r="AE520" s="215"/>
      <c r="AF520" s="215"/>
      <c r="AG520" s="215"/>
      <c r="AH520" s="215"/>
      <c r="AI520" s="215"/>
      <c r="AJ520" s="215"/>
      <c r="AK520" s="215"/>
      <c r="AL520" s="215"/>
      <c r="AM520" s="215"/>
      <c r="AN520" s="215"/>
      <c r="AO520" s="215"/>
      <c r="AP520" s="215"/>
      <c r="AQ520" s="215"/>
      <c r="AR520" s="215"/>
      <c r="AS520" s="215"/>
      <c r="AT520" s="215"/>
      <c r="AU520" s="215"/>
      <c r="AV520" s="215"/>
      <c r="AW520" s="215"/>
      <c r="AX520" s="215"/>
      <c r="AY520" s="215"/>
      <c r="AZ520" s="215"/>
      <c r="BA520" s="215"/>
      <c r="BB520" s="215"/>
      <c r="BC520" s="215"/>
      <c r="BD520" s="215"/>
      <c r="BE520" s="215"/>
      <c r="BF520" s="215"/>
      <c r="BG520" s="215"/>
      <c r="BH520" s="215"/>
      <c r="BI520" s="215"/>
      <c r="BJ520" s="215"/>
      <c r="BK520" s="215"/>
      <c r="BL520" s="215"/>
      <c r="BM520" s="215"/>
      <c r="BN520" s="215"/>
      <c r="BO520" s="215"/>
      <c r="BP520" s="215"/>
      <c r="BQ520" s="215"/>
      <c r="BR520" s="215"/>
      <c r="BS520" s="215"/>
      <c r="BT520" s="215"/>
      <c r="BU520" s="215"/>
      <c r="BV520" s="215"/>
      <c r="BW520" s="215"/>
      <c r="BX520" s="215"/>
      <c r="BY520" s="215"/>
      <c r="BZ520" s="215"/>
    </row>
    <row r="521" spans="1:78" x14ac:dyDescent="0.2">
      <c r="A521" s="2" t="str">
        <f>'Language Index'!A471</f>
        <v>Curr. Port. of LT Debt Derivatives</v>
      </c>
      <c r="B521" s="17"/>
      <c r="C521" s="17"/>
      <c r="D521" s="18">
        <f>_xll.ciqfunctions.udf.CIQ($C$2,"IQ_CURRENT_PORT_DEBT_DERIVATIVES", D$6,$F$2,,,Ccy,Conv)</f>
        <v>0</v>
      </c>
      <c r="E521" s="18">
        <f>_xll.ciqfunctions.udf.CIQ($C$2,"IQ_CURRENT_PORT_DEBT_DERIVATIVES", E$6,$F$2,,,Ccy,Conv)</f>
        <v>0</v>
      </c>
      <c r="F521" s="18">
        <f>_xll.ciqfunctions.udf.CIQ($C$2,"IQ_CURRENT_PORT_DEBT_DERIVATIVES", F$6,$F$2,,,Ccy,Conv)</f>
        <v>0</v>
      </c>
      <c r="G521" s="18">
        <f>_xll.ciqfunctions.udf.CIQ($C$2,"IQ_CURRENT_PORT_DEBT_DERIVATIVES", G$6,$F$2,,,Ccy,Conv)</f>
        <v>0</v>
      </c>
      <c r="H521" s="18">
        <f>_xll.ciqfunctions.udf.CIQ($C$2,"IQ_CURRENT_PORT_DEBT_DERIVATIVES", H$6,$F$2,,,Ccy,Conv)</f>
        <v>0</v>
      </c>
      <c r="I521" s="18">
        <f>_xll.ciqfunctions.udf.CIQ($C$2,"IQ_CURRENT_PORT_DEBT_DERIVATIVES", I$6,$F$2,,,Ccy,Conv)</f>
        <v>0</v>
      </c>
      <c r="J521" s="18">
        <f>_xll.ciqfunctions.udf.CIQ($C$2,"IQ_CURRENT_PORT_DEBT_DERIVATIVES", J$6,$F$2,,,Ccy,Conv)</f>
        <v>0</v>
      </c>
      <c r="K521" s="18">
        <f>_xll.ciqfunctions.udf.CIQ($C$2,"IQ_CURRENT_PORT_DEBT_DERIVATIVES", K$6,$F$2,,,Ccy,Conv)</f>
        <v>0</v>
      </c>
      <c r="L521" s="18">
        <f>_xll.ciqfunctions.udf.CIQ($C$2,"IQ_CURRENT_PORT_DEBT_DERIVATIVES", L$6,$F$2,,,Ccy,Conv)</f>
        <v>0</v>
      </c>
      <c r="M521" s="18">
        <f>_xll.ciqfunctions.udf.CIQ($C$2,"IQ_CURRENT_PORT_DEBT_DERIVATIVES", M$6,$F$2,,,Ccy,Conv)</f>
        <v>0</v>
      </c>
      <c r="N521" s="18">
        <f>_xll.ciqfunctions.udf.CIQ($C$2,"IQ_CURRENT_PORT_DEBT_DERIVATIVES", N$6,$F$2,,,Ccy,Conv)</f>
        <v>0</v>
      </c>
      <c r="O521" s="30"/>
      <c r="P521" s="18">
        <f>_xll.ciqfunctions.udf.CIQ($C$2,"IQ_CURRENT_PORT_DEBT_DERIVATIVES", P$6,$F$2,,,Ccy,Conv)</f>
        <v>0</v>
      </c>
      <c r="Q521" s="245"/>
      <c r="R521" s="215"/>
      <c r="S521" s="215"/>
      <c r="T521" s="215"/>
      <c r="U521" s="215"/>
      <c r="V521" s="222"/>
      <c r="W521" s="222"/>
      <c r="X521" s="222"/>
      <c r="Y521" s="215"/>
      <c r="Z521" s="215"/>
      <c r="AA521" s="215"/>
      <c r="AB521" s="215"/>
      <c r="AC521" s="215"/>
      <c r="AD521" s="215"/>
      <c r="AE521" s="215"/>
      <c r="AF521" s="215"/>
      <c r="AG521" s="215"/>
      <c r="AH521" s="215"/>
      <c r="AI521" s="215"/>
      <c r="AJ521" s="215"/>
      <c r="AK521" s="215"/>
      <c r="AL521" s="215"/>
      <c r="AM521" s="215"/>
      <c r="AN521" s="215"/>
      <c r="AO521" s="215"/>
      <c r="AP521" s="215"/>
      <c r="AQ521" s="215"/>
      <c r="AR521" s="215"/>
      <c r="AS521" s="215"/>
      <c r="AT521" s="215"/>
      <c r="AU521" s="215"/>
      <c r="AV521" s="215"/>
      <c r="AW521" s="215"/>
      <c r="AX521" s="215"/>
      <c r="AY521" s="215"/>
      <c r="AZ521" s="215"/>
      <c r="BA521" s="215"/>
      <c r="BB521" s="215"/>
      <c r="BC521" s="215"/>
      <c r="BD521" s="215"/>
      <c r="BE521" s="215"/>
      <c r="BF521" s="215"/>
      <c r="BG521" s="215"/>
      <c r="BH521" s="215"/>
      <c r="BI521" s="215"/>
      <c r="BJ521" s="215"/>
      <c r="BK521" s="215"/>
      <c r="BL521" s="215"/>
      <c r="BM521" s="215"/>
      <c r="BN521" s="215"/>
      <c r="BO521" s="215"/>
      <c r="BP521" s="215"/>
      <c r="BQ521" s="215"/>
      <c r="BR521" s="215"/>
      <c r="BS521" s="215"/>
      <c r="BT521" s="215"/>
      <c r="BU521" s="215"/>
      <c r="BV521" s="215"/>
      <c r="BW521" s="215"/>
      <c r="BX521" s="215"/>
      <c r="BY521" s="215"/>
      <c r="BZ521" s="215"/>
    </row>
    <row r="522" spans="1:78" x14ac:dyDescent="0.2">
      <c r="A522" s="2" t="str">
        <f>'Language Index'!A472</f>
        <v>Long-Term Debt Derivatives</v>
      </c>
      <c r="B522" s="17"/>
      <c r="C522" s="17"/>
      <c r="D522" s="18">
        <f>_xll.ciqfunctions.udf.CIQ($C$2,"IQ_LT_DEBT_DERIVATIVES", D$6,$F$2,,,Ccy,Conv)</f>
        <v>0</v>
      </c>
      <c r="E522" s="18">
        <f>_xll.ciqfunctions.udf.CIQ($C$2,"IQ_LT_DEBT_DERIVATIVES", E$6,$F$2,,,Ccy,Conv)</f>
        <v>15200</v>
      </c>
      <c r="F522" s="18">
        <f>_xll.ciqfunctions.udf.CIQ($C$2,"IQ_LT_DEBT_DERIVATIVES", F$6,$F$2,,,Ccy,Conv)</f>
        <v>0</v>
      </c>
      <c r="G522" s="18">
        <f>_xll.ciqfunctions.udf.CIQ($C$2,"IQ_LT_DEBT_DERIVATIVES", G$6,$F$2,,,Ccy,Conv)</f>
        <v>0</v>
      </c>
      <c r="H522" s="18">
        <f>_xll.ciqfunctions.udf.CIQ($C$2,"IQ_LT_DEBT_DERIVATIVES", H$6,$F$2,,,Ccy,Conv)</f>
        <v>0</v>
      </c>
      <c r="I522" s="18">
        <f>_xll.ciqfunctions.udf.CIQ($C$2,"IQ_LT_DEBT_DERIVATIVES", I$6,$F$2,,,Ccy,Conv)</f>
        <v>0</v>
      </c>
      <c r="J522" s="18">
        <f>_xll.ciqfunctions.udf.CIQ($C$2,"IQ_LT_DEBT_DERIVATIVES", J$6,$F$2,,,Ccy,Conv)</f>
        <v>0</v>
      </c>
      <c r="K522" s="18">
        <f>_xll.ciqfunctions.udf.CIQ($C$2,"IQ_LT_DEBT_DERIVATIVES", K$6,$F$2,,,Ccy,Conv)</f>
        <v>0</v>
      </c>
      <c r="L522" s="18">
        <f>_xll.ciqfunctions.udf.CIQ($C$2,"IQ_LT_DEBT_DERIVATIVES", L$6,$F$2,,,Ccy,Conv)</f>
        <v>0</v>
      </c>
      <c r="M522" s="18">
        <f>_xll.ciqfunctions.udf.CIQ($C$2,"IQ_LT_DEBT_DERIVATIVES", M$6,$F$2,,,Ccy,Conv)</f>
        <v>0</v>
      </c>
      <c r="N522" s="18">
        <f>_xll.ciqfunctions.udf.CIQ($C$2,"IQ_LT_DEBT_DERIVATIVES", N$6,$F$2,,,Ccy,Conv)</f>
        <v>0</v>
      </c>
      <c r="O522" s="30"/>
      <c r="P522" s="18">
        <f>_xll.ciqfunctions.udf.CIQ($C$2,"IQ_LT_DEBT_DERIVATIVES", P$6,$F$2,,,Ccy,Conv)</f>
        <v>0</v>
      </c>
      <c r="Q522" s="245"/>
      <c r="R522" s="215"/>
      <c r="S522" s="215"/>
      <c r="T522" s="215"/>
      <c r="U522" s="215"/>
      <c r="V522" s="222"/>
      <c r="W522" s="222"/>
      <c r="X522" s="222"/>
      <c r="Y522" s="215"/>
      <c r="Z522" s="215"/>
      <c r="AA522" s="215"/>
      <c r="AB522" s="215"/>
      <c r="AC522" s="215"/>
      <c r="AD522" s="215"/>
      <c r="AE522" s="215"/>
      <c r="AF522" s="215"/>
      <c r="AG522" s="215"/>
      <c r="AH522" s="215"/>
      <c r="AI522" s="215"/>
      <c r="AJ522" s="215"/>
      <c r="AK522" s="215"/>
      <c r="AL522" s="215"/>
      <c r="AM522" s="215"/>
      <c r="AN522" s="215"/>
      <c r="AO522" s="215"/>
      <c r="AP522" s="215"/>
      <c r="AQ522" s="215"/>
      <c r="AR522" s="215"/>
      <c r="AS522" s="215"/>
      <c r="AT522" s="215"/>
      <c r="AU522" s="215"/>
      <c r="AV522" s="215"/>
      <c r="AW522" s="215"/>
      <c r="AX522" s="215"/>
      <c r="AY522" s="215"/>
      <c r="AZ522" s="215"/>
      <c r="BA522" s="215"/>
      <c r="BB522" s="215"/>
      <c r="BC522" s="215"/>
      <c r="BD522" s="215"/>
      <c r="BE522" s="215"/>
      <c r="BF522" s="215"/>
      <c r="BG522" s="215"/>
      <c r="BH522" s="215"/>
      <c r="BI522" s="215"/>
      <c r="BJ522" s="215"/>
      <c r="BK522" s="215"/>
      <c r="BL522" s="215"/>
      <c r="BM522" s="215"/>
      <c r="BN522" s="215"/>
      <c r="BO522" s="215"/>
      <c r="BP522" s="215"/>
      <c r="BQ522" s="215"/>
      <c r="BR522" s="215"/>
      <c r="BS522" s="215"/>
      <c r="BT522" s="215"/>
      <c r="BU522" s="215"/>
      <c r="BV522" s="215"/>
      <c r="BW522" s="215"/>
      <c r="BX522" s="215"/>
      <c r="BY522" s="215"/>
      <c r="BZ522" s="215"/>
    </row>
    <row r="523" spans="1:78" x14ac:dyDescent="0.2">
      <c r="A523" s="2" t="str">
        <f>'Language Index'!A473</f>
        <v>Current Derivative Liabilities</v>
      </c>
      <c r="B523" s="17"/>
      <c r="C523" s="17"/>
      <c r="D523" s="18">
        <f>_xll.ciqfunctions.udf.CIQ($C$2,"IQ_DERIVATIVE_LIAB_CURRENT", D$6,$F$2,,,Ccy,Conv)</f>
        <v>274</v>
      </c>
      <c r="E523" s="18">
        <f>_xll.ciqfunctions.udf.CIQ($C$2,"IQ_DERIVATIVE_LIAB_CURRENT", E$6,$F$2,,,Ccy,Conv)</f>
        <v>171</v>
      </c>
      <c r="F523" s="18">
        <f>_xll.ciqfunctions.udf.CIQ($C$2,"IQ_DERIVATIVE_LIAB_CURRENT", F$6,$F$2,,,Ccy,Conv)</f>
        <v>294</v>
      </c>
      <c r="G523" s="18">
        <f>_xll.ciqfunctions.udf.CIQ($C$2,"IQ_DERIVATIVE_LIAB_CURRENT", G$6,$F$2,,,Ccy,Conv)</f>
        <v>95</v>
      </c>
      <c r="H523" s="18">
        <f>_xll.ciqfunctions.udf.CIQ($C$2,"IQ_DERIVATIVE_LIAB_CURRENT", H$6,$F$2,,,Ccy,Conv)</f>
        <v>173</v>
      </c>
      <c r="I523" s="18">
        <f>_xll.ciqfunctions.udf.CIQ($C$2,"IQ_DERIVATIVE_LIAB_CURRENT", I$6,$F$2,,,Ccy,Conv)</f>
        <v>248</v>
      </c>
      <c r="J523" s="18">
        <f>_xll.ciqfunctions.udf.CIQ($C$2,"IQ_DERIVATIVE_LIAB_CURRENT", J$6,$F$2,,,Ccy,Conv)</f>
        <v>262</v>
      </c>
      <c r="K523" s="18">
        <f>_xll.ciqfunctions.udf.CIQ($C$2,"IQ_DERIVATIVE_LIAB_CURRENT", K$6,$F$2,,,Ccy,Conv)</f>
        <v>276</v>
      </c>
      <c r="L523" s="18">
        <f>_xll.ciqfunctions.udf.CIQ($C$2,"IQ_DERIVATIVE_LIAB_CURRENT", L$6,$F$2,,,Ccy,Conv)</f>
        <v>559</v>
      </c>
      <c r="M523" s="18">
        <f>_xll.ciqfunctions.udf.CIQ($C$2,"IQ_DERIVATIVE_LIAB_CURRENT", M$6,$F$2,,,Ccy,Conv)</f>
        <v>366</v>
      </c>
      <c r="N523" s="18">
        <f>_xll.ciqfunctions.udf.CIQ($C$2,"IQ_DERIVATIVE_LIAB_CURRENT", N$6,$F$2,,,Ccy,Conv)</f>
        <v>254</v>
      </c>
      <c r="O523" s="30"/>
      <c r="P523" s="18">
        <f>_xll.ciqfunctions.udf.CIQ($C$2,"IQ_DERIVATIVE_LIAB_CURRENT", P$6,$F$2,,,Ccy,Conv)</f>
        <v>254</v>
      </c>
      <c r="Q523" s="245"/>
      <c r="R523" s="215"/>
      <c r="S523" s="215"/>
      <c r="T523" s="215"/>
      <c r="U523" s="215"/>
      <c r="V523" s="222"/>
      <c r="W523" s="222"/>
      <c r="X523" s="222"/>
      <c r="Y523" s="215"/>
      <c r="Z523" s="215"/>
      <c r="AA523" s="215"/>
      <c r="AB523" s="215"/>
      <c r="AC523" s="215"/>
      <c r="AD523" s="215"/>
      <c r="AE523" s="215"/>
      <c r="AF523" s="215"/>
      <c r="AG523" s="215"/>
      <c r="AH523" s="215"/>
      <c r="AI523" s="215"/>
      <c r="AJ523" s="215"/>
      <c r="AK523" s="215"/>
      <c r="AL523" s="215"/>
      <c r="AM523" s="215"/>
      <c r="AN523" s="215"/>
      <c r="AO523" s="215"/>
      <c r="AP523" s="215"/>
      <c r="AQ523" s="215"/>
      <c r="AR523" s="215"/>
      <c r="AS523" s="215"/>
      <c r="AT523" s="215"/>
      <c r="AU523" s="215"/>
      <c r="AV523" s="215"/>
      <c r="AW523" s="215"/>
      <c r="AX523" s="215"/>
      <c r="AY523" s="215"/>
      <c r="AZ523" s="215"/>
      <c r="BA523" s="215"/>
      <c r="BB523" s="215"/>
      <c r="BC523" s="215"/>
      <c r="BD523" s="215"/>
      <c r="BE523" s="215"/>
      <c r="BF523" s="215"/>
      <c r="BG523" s="215"/>
      <c r="BH523" s="215"/>
      <c r="BI523" s="215"/>
      <c r="BJ523" s="215"/>
      <c r="BK523" s="215"/>
      <c r="BL523" s="215"/>
      <c r="BM523" s="215"/>
      <c r="BN523" s="215"/>
      <c r="BO523" s="215"/>
      <c r="BP523" s="215"/>
      <c r="BQ523" s="215"/>
      <c r="BR523" s="215"/>
      <c r="BS523" s="215"/>
      <c r="BT523" s="215"/>
      <c r="BU523" s="215"/>
      <c r="BV523" s="215"/>
      <c r="BW523" s="215"/>
      <c r="BX523" s="215"/>
      <c r="BY523" s="215"/>
      <c r="BZ523" s="215"/>
    </row>
    <row r="524" spans="1:78" x14ac:dyDescent="0.2">
      <c r="A524" s="2" t="str">
        <f>'Language Index'!A474</f>
        <v>Non-Current Derivative Liabilities</v>
      </c>
      <c r="B524" s="17"/>
      <c r="C524" s="17"/>
      <c r="D524" s="18">
        <f>_xll.ciqfunctions.udf.CIQ($C$2,"IQ_DERIVATIVE_LIAB_NON_CURRENT", D$6,$F$2,,,Ccy,Conv)</f>
        <v>551</v>
      </c>
      <c r="E524" s="18">
        <f>_xll.ciqfunctions.udf.CIQ($C$2,"IQ_DERIVATIVE_LIAB_NON_CURRENT", E$6,$F$2,,,Ccy,Conv)</f>
        <v>693</v>
      </c>
      <c r="F524" s="18">
        <f>_xll.ciqfunctions.udf.CIQ($C$2,"IQ_DERIVATIVE_LIAB_NON_CURRENT", F$6,$F$2,,,Ccy,Conv)</f>
        <v>299</v>
      </c>
      <c r="G524" s="18">
        <f>_xll.ciqfunctions.udf.CIQ($C$2,"IQ_DERIVATIVE_LIAB_NON_CURRENT", G$6,$F$2,,,Ccy,Conv)</f>
        <v>469</v>
      </c>
      <c r="H524" s="18">
        <f>_xll.ciqfunctions.udf.CIQ($C$2,"IQ_DERIVATIVE_LIAB_NON_CURRENT", H$6,$F$2,,,Ccy,Conv)</f>
        <v>450</v>
      </c>
      <c r="I524" s="18">
        <f>_xll.ciqfunctions.udf.CIQ($C$2,"IQ_DERIVATIVE_LIAB_NON_CURRENT", I$6,$F$2,,,Ccy,Conv)</f>
        <v>252</v>
      </c>
      <c r="J524" s="18">
        <f>_xll.ciqfunctions.udf.CIQ($C$2,"IQ_DERIVATIVE_LIAB_NON_CURRENT", J$6,$F$2,,,Ccy,Conv)</f>
        <v>463</v>
      </c>
      <c r="K524" s="18">
        <f>_xll.ciqfunctions.udf.CIQ($C$2,"IQ_DERIVATIVE_LIAB_NON_CURRENT", K$6,$F$2,,,Ccy,Conv)</f>
        <v>332</v>
      </c>
      <c r="L524" s="18">
        <f>_xll.ciqfunctions.udf.CIQ($C$2,"IQ_DERIVATIVE_LIAB_NON_CURRENT", L$6,$F$2,,,Ccy,Conv)</f>
        <v>262</v>
      </c>
      <c r="M524" s="18">
        <f>_xll.ciqfunctions.udf.CIQ($C$2,"IQ_DERIVATIVE_LIAB_NON_CURRENT", M$6,$F$2,,,Ccy,Conv)</f>
        <v>242</v>
      </c>
      <c r="N524" s="18">
        <f>_xll.ciqfunctions.udf.CIQ($C$2,"IQ_DERIVATIVE_LIAB_NON_CURRENT", N$6,$F$2,,,Ccy,Conv)</f>
        <v>259</v>
      </c>
      <c r="O524" s="30"/>
      <c r="P524" s="18">
        <f>_xll.ciqfunctions.udf.CIQ($C$2,"IQ_DERIVATIVE_LIAB_NON_CURRENT", P$6,$F$2,,,Ccy,Conv)</f>
        <v>259</v>
      </c>
      <c r="Q524" s="245"/>
      <c r="R524" s="215"/>
      <c r="S524" s="215"/>
      <c r="T524" s="215"/>
      <c r="U524" s="215"/>
      <c r="V524" s="222"/>
      <c r="W524" s="222"/>
      <c r="X524" s="222"/>
      <c r="Y524" s="215"/>
      <c r="Z524" s="215"/>
      <c r="AA524" s="215"/>
      <c r="AB524" s="215"/>
      <c r="AC524" s="215"/>
      <c r="AD524" s="215"/>
      <c r="AE524" s="215"/>
      <c r="AF524" s="215"/>
      <c r="AG524" s="215"/>
      <c r="AH524" s="215"/>
      <c r="AI524" s="215"/>
      <c r="AJ524" s="215"/>
      <c r="AK524" s="215"/>
      <c r="AL524" s="215"/>
      <c r="AM524" s="215"/>
      <c r="AN524" s="215"/>
      <c r="AO524" s="215"/>
      <c r="AP524" s="215"/>
      <c r="AQ524" s="215"/>
      <c r="AR524" s="215"/>
      <c r="AS524" s="215"/>
      <c r="AT524" s="215"/>
      <c r="AU524" s="215"/>
      <c r="AV524" s="215"/>
      <c r="AW524" s="215"/>
      <c r="AX524" s="215"/>
      <c r="AY524" s="215"/>
      <c r="AZ524" s="215"/>
      <c r="BA524" s="215"/>
      <c r="BB524" s="215"/>
      <c r="BC524" s="215"/>
      <c r="BD524" s="215"/>
      <c r="BE524" s="215"/>
      <c r="BF524" s="215"/>
      <c r="BG524" s="215"/>
      <c r="BH524" s="215"/>
      <c r="BI524" s="215"/>
      <c r="BJ524" s="215"/>
      <c r="BK524" s="215"/>
      <c r="BL524" s="215"/>
      <c r="BM524" s="215"/>
      <c r="BN524" s="215"/>
      <c r="BO524" s="215"/>
      <c r="BP524" s="215"/>
      <c r="BQ524" s="215"/>
      <c r="BR524" s="215"/>
      <c r="BS524" s="215"/>
      <c r="BT524" s="215"/>
      <c r="BU524" s="215"/>
      <c r="BV524" s="215"/>
      <c r="BW524" s="215"/>
      <c r="BX524" s="215"/>
      <c r="BY524" s="215"/>
      <c r="BZ524" s="215"/>
    </row>
    <row r="525" spans="1:78" x14ac:dyDescent="0.2">
      <c r="A525" s="2" t="str">
        <f>'Language Index'!A475</f>
        <v>Derivative Trading Asset Securities</v>
      </c>
      <c r="B525" s="17"/>
      <c r="C525" s="17"/>
      <c r="D525" s="18">
        <f>_xll.ciqfunctions.udf.CIQ($C$2,"IQ_DERIVATIVE_TRADING_ASSETS", D$6,$F$2,,,Ccy,Conv)</f>
        <v>0</v>
      </c>
      <c r="E525" s="18">
        <f>_xll.ciqfunctions.udf.CIQ($C$2,"IQ_DERIVATIVE_TRADING_ASSETS", E$6,$F$2,,,Ccy,Conv)</f>
        <v>0</v>
      </c>
      <c r="F525" s="18">
        <f>_xll.ciqfunctions.udf.CIQ($C$2,"IQ_DERIVATIVE_TRADING_ASSETS", F$6,$F$2,,,Ccy,Conv)</f>
        <v>0</v>
      </c>
      <c r="G525" s="18">
        <f>_xll.ciqfunctions.udf.CIQ($C$2,"IQ_DERIVATIVE_TRADING_ASSETS", G$6,$F$2,,,Ccy,Conv)</f>
        <v>0</v>
      </c>
      <c r="H525" s="18">
        <f>_xll.ciqfunctions.udf.CIQ($C$2,"IQ_DERIVATIVE_TRADING_ASSETS", H$6,$F$2,,,Ccy,Conv)</f>
        <v>0</v>
      </c>
      <c r="I525" s="18">
        <f>_xll.ciqfunctions.udf.CIQ($C$2,"IQ_DERIVATIVE_TRADING_ASSETS", I$6,$F$2,,,Ccy,Conv)</f>
        <v>0</v>
      </c>
      <c r="J525" s="18">
        <f>_xll.ciqfunctions.udf.CIQ($C$2,"IQ_DERIVATIVE_TRADING_ASSETS", J$6,$F$2,,,Ccy,Conv)</f>
        <v>0</v>
      </c>
      <c r="K525" s="18">
        <f>_xll.ciqfunctions.udf.CIQ($C$2,"IQ_DERIVATIVE_TRADING_ASSETS", K$6,$F$2,,,Ccy,Conv)</f>
        <v>0</v>
      </c>
      <c r="L525" s="18">
        <f>_xll.ciqfunctions.udf.CIQ($C$2,"IQ_DERIVATIVE_TRADING_ASSETS", L$6,$F$2,,,Ccy,Conv)</f>
        <v>0</v>
      </c>
      <c r="M525" s="18">
        <f>_xll.ciqfunctions.udf.CIQ($C$2,"IQ_DERIVATIVE_TRADING_ASSETS", M$6,$F$2,,,Ccy,Conv)</f>
        <v>0</v>
      </c>
      <c r="N525" s="18">
        <f>_xll.ciqfunctions.udf.CIQ($C$2,"IQ_DERIVATIVE_TRADING_ASSETS", N$6,$F$2,,,Ccy,Conv)</f>
        <v>0</v>
      </c>
      <c r="O525" s="30"/>
      <c r="P525" s="18">
        <f>_xll.ciqfunctions.udf.CIQ($C$2,"IQ_DERIVATIVE_TRADING_ASSETS", P$6,$F$2,,,Ccy,Conv)</f>
        <v>0</v>
      </c>
      <c r="Q525" s="245"/>
      <c r="R525" s="215"/>
      <c r="S525" s="215"/>
      <c r="T525" s="215"/>
      <c r="U525" s="215"/>
      <c r="V525" s="222"/>
      <c r="W525" s="222"/>
      <c r="X525" s="222"/>
      <c r="Y525" s="215"/>
      <c r="Z525" s="215"/>
      <c r="AA525" s="215"/>
      <c r="AB525" s="215"/>
      <c r="AC525" s="215"/>
      <c r="AD525" s="215"/>
      <c r="AE525" s="215"/>
      <c r="AF525" s="215"/>
      <c r="AG525" s="215"/>
      <c r="AH525" s="215"/>
      <c r="AI525" s="215"/>
      <c r="AJ525" s="215"/>
      <c r="AK525" s="215"/>
      <c r="AL525" s="215"/>
      <c r="AM525" s="215"/>
      <c r="AN525" s="215"/>
      <c r="AO525" s="215"/>
      <c r="AP525" s="215"/>
      <c r="AQ525" s="215"/>
      <c r="AR525" s="215"/>
      <c r="AS525" s="215"/>
      <c r="AT525" s="215"/>
      <c r="AU525" s="215"/>
      <c r="AV525" s="215"/>
      <c r="AW525" s="215"/>
      <c r="AX525" s="215"/>
      <c r="AY525" s="215"/>
      <c r="AZ525" s="215"/>
      <c r="BA525" s="215"/>
      <c r="BB525" s="215"/>
      <c r="BC525" s="215"/>
      <c r="BD525" s="215"/>
      <c r="BE525" s="215"/>
      <c r="BF525" s="215"/>
      <c r="BG525" s="215"/>
      <c r="BH525" s="215"/>
      <c r="BI525" s="215"/>
      <c r="BJ525" s="215"/>
      <c r="BK525" s="215"/>
      <c r="BL525" s="215"/>
      <c r="BM525" s="215"/>
      <c r="BN525" s="215"/>
      <c r="BO525" s="215"/>
      <c r="BP525" s="215"/>
      <c r="BQ525" s="215"/>
      <c r="BR525" s="215"/>
      <c r="BS525" s="215"/>
      <c r="BT525" s="215"/>
      <c r="BU525" s="215"/>
      <c r="BV525" s="215"/>
      <c r="BW525" s="215"/>
      <c r="BX525" s="215"/>
      <c r="BY525" s="215"/>
      <c r="BZ525" s="215"/>
    </row>
    <row r="526" spans="1:78" x14ac:dyDescent="0.2">
      <c r="A526" s="2" t="str">
        <f>'Language Index'!A476</f>
        <v>Current Derivative Assets</v>
      </c>
      <c r="B526" s="17"/>
      <c r="C526" s="17"/>
      <c r="D526" s="18">
        <f>_xll.ciqfunctions.udf.CIQ($C$2,"IQ_DERIVATIVE_ASSETS_CURRENT", D$6,$F$2,,,Ccy,Conv)</f>
        <v>369</v>
      </c>
      <c r="E526" s="18">
        <f>_xll.ciqfunctions.udf.CIQ($C$2,"IQ_DERIVATIVE_ASSETS_CURRENT", E$6,$F$2,,,Ccy,Conv)</f>
        <v>431</v>
      </c>
      <c r="F526" s="18">
        <f>_xll.ciqfunctions.udf.CIQ($C$2,"IQ_DERIVATIVE_ASSETS_CURRENT", F$6,$F$2,,,Ccy,Conv)</f>
        <v>304</v>
      </c>
      <c r="G526" s="18">
        <f>_xll.ciqfunctions.udf.CIQ($C$2,"IQ_DERIVATIVE_ASSETS_CURRENT", G$6,$F$2,,,Ccy,Conv)</f>
        <v>328</v>
      </c>
      <c r="H526" s="18">
        <f>_xll.ciqfunctions.udf.CIQ($C$2,"IQ_DERIVATIVE_ASSETS_CURRENT", H$6,$F$2,,,Ccy,Conv)</f>
        <v>424</v>
      </c>
      <c r="I526" s="18">
        <f>_xll.ciqfunctions.udf.CIQ($C$2,"IQ_DERIVATIVE_ASSETS_CURRENT", I$6,$F$2,,,Ccy,Conv)</f>
        <v>84</v>
      </c>
      <c r="J526" s="18">
        <f>_xll.ciqfunctions.udf.CIQ($C$2,"IQ_DERIVATIVE_ASSETS_CURRENT", J$6,$F$2,,,Ccy,Conv)</f>
        <v>575</v>
      </c>
      <c r="K526" s="18">
        <f>_xll.ciqfunctions.udf.CIQ($C$2,"IQ_DERIVATIVE_ASSETS_CURRENT", K$6,$F$2,,,Ccy,Conv)</f>
        <v>264</v>
      </c>
      <c r="L526" s="18">
        <f>_xll.ciqfunctions.udf.CIQ($C$2,"IQ_DERIVATIVE_ASSETS_CURRENT", L$6,$F$2,,,Ccy,Conv)</f>
        <v>329</v>
      </c>
      <c r="M526" s="18">
        <f>_xll.ciqfunctions.udf.CIQ($C$2,"IQ_DERIVATIVE_ASSETS_CURRENT", M$6,$F$2,,,Ccy,Conv)</f>
        <v>303</v>
      </c>
      <c r="N526" s="18">
        <f>_xll.ciqfunctions.udf.CIQ($C$2,"IQ_DERIVATIVE_ASSETS_CURRENT", N$6,$F$2,,,Ccy,Conv)</f>
        <v>232</v>
      </c>
      <c r="O526" s="30"/>
      <c r="P526" s="18">
        <f>_xll.ciqfunctions.udf.CIQ($C$2,"IQ_DERIVATIVE_ASSETS_CURRENT", P$6,$F$2,,,Ccy,Conv)</f>
        <v>232</v>
      </c>
      <c r="Q526" s="245"/>
      <c r="R526" s="215"/>
      <c r="S526" s="215"/>
      <c r="T526" s="215"/>
      <c r="U526" s="215"/>
      <c r="V526" s="222"/>
      <c r="W526" s="222"/>
      <c r="X526" s="222"/>
      <c r="Y526" s="215"/>
      <c r="Z526" s="215"/>
      <c r="AA526" s="215"/>
      <c r="AB526" s="215"/>
      <c r="AC526" s="215"/>
      <c r="AD526" s="215"/>
      <c r="AE526" s="215"/>
      <c r="AF526" s="215"/>
      <c r="AG526" s="215"/>
      <c r="AH526" s="215"/>
      <c r="AI526" s="215"/>
      <c r="AJ526" s="215"/>
      <c r="AK526" s="215"/>
      <c r="AL526" s="215"/>
      <c r="AM526" s="215"/>
      <c r="AN526" s="215"/>
      <c r="AO526" s="215"/>
      <c r="AP526" s="215"/>
      <c r="AQ526" s="215"/>
      <c r="AR526" s="215"/>
      <c r="AS526" s="215"/>
      <c r="AT526" s="215"/>
      <c r="AU526" s="215"/>
      <c r="AV526" s="215"/>
      <c r="AW526" s="215"/>
      <c r="AX526" s="215"/>
      <c r="AY526" s="215"/>
      <c r="AZ526" s="215"/>
      <c r="BA526" s="215"/>
      <c r="BB526" s="215"/>
      <c r="BC526" s="215"/>
      <c r="BD526" s="215"/>
      <c r="BE526" s="215"/>
      <c r="BF526" s="215"/>
      <c r="BG526" s="215"/>
      <c r="BH526" s="215"/>
      <c r="BI526" s="215"/>
      <c r="BJ526" s="215"/>
      <c r="BK526" s="215"/>
      <c r="BL526" s="215"/>
      <c r="BM526" s="215"/>
      <c r="BN526" s="215"/>
      <c r="BO526" s="215"/>
      <c r="BP526" s="215"/>
      <c r="BQ526" s="215"/>
      <c r="BR526" s="215"/>
      <c r="BS526" s="215"/>
      <c r="BT526" s="215"/>
      <c r="BU526" s="215"/>
      <c r="BV526" s="215"/>
      <c r="BW526" s="215"/>
      <c r="BX526" s="215"/>
      <c r="BY526" s="215"/>
      <c r="BZ526" s="215"/>
    </row>
    <row r="527" spans="1:78" x14ac:dyDescent="0.2">
      <c r="A527" s="2" t="str">
        <f>'Language Index'!A477</f>
        <v>Long-Term Derivative Assets</v>
      </c>
      <c r="B527" s="17"/>
      <c r="C527" s="17"/>
      <c r="D527" s="18">
        <f>_xll.ciqfunctions.udf.CIQ($C$2,"IQ_DERIVATIVE_ASSETS_LT", D$6,$F$2,,,Ccy,Conv)</f>
        <v>8</v>
      </c>
      <c r="E527" s="18">
        <f>_xll.ciqfunctions.udf.CIQ($C$2,"IQ_DERIVATIVE_ASSETS_LT", E$6,$F$2,,,Ccy,Conv)</f>
        <v>1</v>
      </c>
      <c r="F527" s="18">
        <f>_xll.ciqfunctions.udf.CIQ($C$2,"IQ_DERIVATIVE_ASSETS_LT", F$6,$F$2,,,Ccy,Conv)</f>
        <v>37</v>
      </c>
      <c r="G527" s="18">
        <f>_xll.ciqfunctions.udf.CIQ($C$2,"IQ_DERIVATIVE_ASSETS_LT", G$6,$F$2,,,Ccy,Conv)</f>
        <v>12</v>
      </c>
      <c r="H527" s="18">
        <f>_xll.ciqfunctions.udf.CIQ($C$2,"IQ_DERIVATIVE_ASSETS_LT", H$6,$F$2,,,Ccy,Conv)</f>
        <v>8</v>
      </c>
      <c r="I527" s="18">
        <f>_xll.ciqfunctions.udf.CIQ($C$2,"IQ_DERIVATIVE_ASSETS_LT", I$6,$F$2,,,Ccy,Conv)</f>
        <v>41</v>
      </c>
      <c r="J527" s="18">
        <f>_xll.ciqfunctions.udf.CIQ($C$2,"IQ_DERIVATIVE_ASSETS_LT", J$6,$F$2,,,Ccy,Conv)</f>
        <v>96</v>
      </c>
      <c r="K527" s="18">
        <f>_xll.ciqfunctions.udf.CIQ($C$2,"IQ_DERIVATIVE_ASSETS_LT", K$6,$F$2,,,Ccy,Conv)</f>
        <v>125</v>
      </c>
      <c r="L527" s="18">
        <f>_xll.ciqfunctions.udf.CIQ($C$2,"IQ_DERIVATIVE_ASSETS_LT", L$6,$F$2,,,Ccy,Conv)</f>
        <v>338</v>
      </c>
      <c r="M527" s="18">
        <f>_xll.ciqfunctions.udf.CIQ($C$2,"IQ_DERIVATIVE_ASSETS_LT", M$6,$F$2,,,Ccy,Conv)</f>
        <v>348</v>
      </c>
      <c r="N527" s="18">
        <f>_xll.ciqfunctions.udf.CIQ($C$2,"IQ_DERIVATIVE_ASSETS_LT", N$6,$F$2,,,Ccy,Conv)</f>
        <v>361</v>
      </c>
      <c r="O527" s="30"/>
      <c r="P527" s="18">
        <f>_xll.ciqfunctions.udf.CIQ($C$2,"IQ_DERIVATIVE_ASSETS_LT", P$6,$F$2,,,Ccy,Conv)</f>
        <v>361</v>
      </c>
      <c r="Q527" s="245"/>
      <c r="R527" s="215"/>
      <c r="S527" s="215"/>
      <c r="T527" s="215"/>
      <c r="U527" s="215"/>
      <c r="V527" s="222"/>
      <c r="W527" s="222"/>
      <c r="X527" s="222"/>
      <c r="Y527" s="215"/>
      <c r="Z527" s="215"/>
      <c r="AA527" s="215"/>
      <c r="AB527" s="215"/>
      <c r="AC527" s="215"/>
      <c r="AD527" s="215"/>
      <c r="AE527" s="215"/>
      <c r="AF527" s="215"/>
      <c r="AG527" s="215"/>
      <c r="AH527" s="215"/>
      <c r="AI527" s="215"/>
      <c r="AJ527" s="215"/>
      <c r="AK527" s="215"/>
      <c r="AL527" s="215"/>
      <c r="AM527" s="215"/>
      <c r="AN527" s="215"/>
      <c r="AO527" s="215"/>
      <c r="AP527" s="215"/>
      <c r="AQ527" s="215"/>
      <c r="AR527" s="215"/>
      <c r="AS527" s="215"/>
      <c r="AT527" s="215"/>
      <c r="AU527" s="215"/>
      <c r="AV527" s="215"/>
      <c r="AW527" s="215"/>
      <c r="AX527" s="215"/>
      <c r="AY527" s="215"/>
      <c r="AZ527" s="215"/>
      <c r="BA527" s="215"/>
      <c r="BB527" s="215"/>
      <c r="BC527" s="215"/>
      <c r="BD527" s="215"/>
      <c r="BE527" s="215"/>
      <c r="BF527" s="215"/>
      <c r="BG527" s="215"/>
      <c r="BH527" s="215"/>
      <c r="BI527" s="215"/>
      <c r="BJ527" s="215"/>
      <c r="BK527" s="215"/>
      <c r="BL527" s="215"/>
      <c r="BM527" s="215"/>
      <c r="BN527" s="215"/>
      <c r="BO527" s="215"/>
      <c r="BP527" s="215"/>
      <c r="BQ527" s="215"/>
      <c r="BR527" s="215"/>
      <c r="BS527" s="215"/>
      <c r="BT527" s="215"/>
      <c r="BU527" s="215"/>
      <c r="BV527" s="215"/>
      <c r="BW527" s="215"/>
      <c r="BX527" s="215"/>
      <c r="BY527" s="215"/>
      <c r="BZ527" s="215"/>
    </row>
    <row r="528" spans="1:78" x14ac:dyDescent="0.2">
      <c r="A528" s="2" t="str">
        <f>'Language Index'!A478</f>
        <v>Gross Intangible Assets</v>
      </c>
      <c r="B528" s="17"/>
      <c r="C528" s="17"/>
      <c r="D528" s="18">
        <f>_xll.ciqfunctions.udf.CIQ($C$2,"IQ_GROSS_INTAN_ASSETS", D$6,$F$2,,,Ccy,Conv)</f>
        <v>15205</v>
      </c>
      <c r="E528" s="18">
        <f>_xll.ciqfunctions.udf.CIQ($C$2,"IQ_GROSS_INTAN_ASSETS", E$6,$F$2,,,Ccy,Conv)</f>
        <v>16399</v>
      </c>
      <c r="F528" s="18">
        <f>_xll.ciqfunctions.udf.CIQ($C$2,"IQ_GROSS_INTAN_ASSETS", F$6,$F$2,,,Ccy,Conv)</f>
        <v>16628</v>
      </c>
      <c r="G528" s="18">
        <f>_xll.ciqfunctions.udf.CIQ($C$2,"IQ_GROSS_INTAN_ASSETS", G$6,$F$2,,,Ccy,Conv)</f>
        <v>16700</v>
      </c>
      <c r="H528" s="18">
        <f>_xll.ciqfunctions.udf.CIQ($C$2,"IQ_GROSS_INTAN_ASSETS", H$6,$F$2,,,Ccy,Conv)</f>
        <v>16647</v>
      </c>
      <c r="I528" s="18">
        <f>_xll.ciqfunctions.udf.CIQ($C$2,"IQ_GROSS_INTAN_ASSETS", I$6,$F$2,,,Ccy,Conv)</f>
        <v>18055</v>
      </c>
      <c r="J528" s="18">
        <f>_xll.ciqfunctions.udf.CIQ($C$2,"IQ_GROSS_INTAN_ASSETS", J$6,$F$2,,,Ccy,Conv)</f>
        <v>17964</v>
      </c>
      <c r="K528" s="18">
        <f>_xll.ciqfunctions.udf.CIQ($C$2,"IQ_GROSS_INTAN_ASSETS", K$6,$F$2,,,Ccy,Conv)</f>
        <v>20229</v>
      </c>
      <c r="L528" s="18">
        <f>_xll.ciqfunctions.udf.CIQ($C$2,"IQ_GROSS_INTAN_ASSETS", L$6,$F$2,,,Ccy,Conv)</f>
        <v>20725</v>
      </c>
      <c r="M528" s="18">
        <f>_xll.ciqfunctions.udf.CIQ($C$2,"IQ_GROSS_INTAN_ASSETS", M$6,$F$2,,,Ccy,Conv)</f>
        <v>20688</v>
      </c>
      <c r="N528" s="18">
        <f>_xll.ciqfunctions.udf.CIQ($C$2,"IQ_GROSS_INTAN_ASSETS", N$6,$F$2,,,Ccy,Conv)</f>
        <v>20830</v>
      </c>
      <c r="O528" s="30"/>
      <c r="P528" s="18">
        <f>_xll.ciqfunctions.udf.CIQ($C$2,"IQ_GROSS_INTAN_ASSETS", P$6,$F$2,,,Ccy,Conv)</f>
        <v>20830</v>
      </c>
      <c r="Q528" s="245"/>
      <c r="R528" s="215"/>
      <c r="S528" s="215"/>
      <c r="T528" s="215"/>
      <c r="U528" s="215"/>
      <c r="V528" s="222"/>
      <c r="W528" s="222"/>
      <c r="X528" s="222"/>
      <c r="Y528" s="215"/>
      <c r="Z528" s="215"/>
      <c r="AA528" s="215"/>
      <c r="AB528" s="215"/>
      <c r="AC528" s="215"/>
      <c r="AD528" s="215"/>
      <c r="AE528" s="215"/>
      <c r="AF528" s="215"/>
      <c r="AG528" s="215"/>
      <c r="AH528" s="215"/>
      <c r="AI528" s="215"/>
      <c r="AJ528" s="215"/>
      <c r="AK528" s="215"/>
      <c r="AL528" s="215"/>
      <c r="AM528" s="215"/>
      <c r="AN528" s="215"/>
      <c r="AO528" s="215"/>
      <c r="AP528" s="215"/>
      <c r="AQ528" s="215"/>
      <c r="AR528" s="215"/>
      <c r="AS528" s="215"/>
      <c r="AT528" s="215"/>
      <c r="AU528" s="215"/>
      <c r="AV528" s="215"/>
      <c r="AW528" s="215"/>
      <c r="AX528" s="215"/>
      <c r="AY528" s="215"/>
      <c r="AZ528" s="215"/>
      <c r="BA528" s="215"/>
      <c r="BB528" s="215"/>
      <c r="BC528" s="215"/>
      <c r="BD528" s="215"/>
      <c r="BE528" s="215"/>
      <c r="BF528" s="215"/>
      <c r="BG528" s="215"/>
      <c r="BH528" s="215"/>
      <c r="BI528" s="215"/>
      <c r="BJ528" s="215"/>
      <c r="BK528" s="215"/>
      <c r="BL528" s="215"/>
      <c r="BM528" s="215"/>
      <c r="BN528" s="215"/>
      <c r="BO528" s="215"/>
      <c r="BP528" s="215"/>
      <c r="BQ528" s="215"/>
      <c r="BR528" s="215"/>
      <c r="BS528" s="215"/>
      <c r="BT528" s="215"/>
      <c r="BU528" s="215"/>
      <c r="BV528" s="215"/>
      <c r="BW528" s="215"/>
      <c r="BX528" s="215"/>
      <c r="BY528" s="215"/>
      <c r="BZ528" s="215"/>
    </row>
    <row r="529" spans="1:78" x14ac:dyDescent="0.2">
      <c r="A529" s="2" t="str">
        <f>'Language Index'!A479</f>
        <v>Accumulated Amortization of Intangible Assets</v>
      </c>
      <c r="B529" s="17"/>
      <c r="C529" s="17"/>
      <c r="D529" s="18">
        <f>_xll.ciqfunctions.udf.CIQ($C$2,"IQ_ACCUM_AMORT_INTAN_ASSETS", D$6,$F$2,,,Ccy,Conv)</f>
        <v>-5624</v>
      </c>
      <c r="E529" s="18">
        <f>_xll.ciqfunctions.udf.CIQ($C$2,"IQ_ACCUM_AMORT_INTAN_ASSETS", E$6,$F$2,,,Ccy,Conv)</f>
        <v>-5993</v>
      </c>
      <c r="F529" s="18">
        <f>_xll.ciqfunctions.udf.CIQ($C$2,"IQ_ACCUM_AMORT_INTAN_ASSETS", F$6,$F$2,,,Ccy,Conv)</f>
        <v>-6466</v>
      </c>
      <c r="G529" s="18">
        <f>_xll.ciqfunctions.udf.CIQ($C$2,"IQ_ACCUM_AMORT_INTAN_ASSETS", G$6,$F$2,,,Ccy,Conv)</f>
        <v>-6853</v>
      </c>
      <c r="H529" s="18">
        <f>_xll.ciqfunctions.udf.CIQ($C$2,"IQ_ACCUM_AMORT_INTAN_ASSETS", H$6,$F$2,,,Ccy,Conv)</f>
        <v>-7263</v>
      </c>
      <c r="I529" s="18">
        <f>_xll.ciqfunctions.udf.CIQ($C$2,"IQ_ACCUM_AMORT_INTAN_ASSETS", I$6,$F$2,,,Ccy,Conv)</f>
        <v>-7781</v>
      </c>
      <c r="J529" s="18">
        <f>_xll.ciqfunctions.udf.CIQ($C$2,"IQ_ACCUM_AMORT_INTAN_ASSETS", J$6,$F$2,,,Ccy,Conv)</f>
        <v>-8094</v>
      </c>
      <c r="K529" s="18">
        <f>_xll.ciqfunctions.udf.CIQ($C$2,"IQ_ACCUM_AMORT_INTAN_ASSETS", K$6,$F$2,,,Ccy,Conv)</f>
        <v>-8675</v>
      </c>
      <c r="L529" s="18">
        <f>_xll.ciqfunctions.udf.CIQ($C$2,"IQ_ACCUM_AMORT_INTAN_ASSETS", L$6,$F$2,,,Ccy,Conv)</f>
        <v>-9357</v>
      </c>
      <c r="M529" s="18">
        <f>_xll.ciqfunctions.udf.CIQ($C$2,"IQ_ACCUM_AMORT_INTAN_ASSETS", M$6,$F$2,,,Ccy,Conv)</f>
        <v>-9899</v>
      </c>
      <c r="N529" s="18">
        <f>_xll.ciqfunctions.udf.CIQ($C$2,"IQ_ACCUM_AMORT_INTAN_ASSETS", N$6,$F$2,,,Ccy,Conv)</f>
        <v>-10403</v>
      </c>
      <c r="O529" s="30"/>
      <c r="P529" s="18">
        <f>_xll.ciqfunctions.udf.CIQ($C$2,"IQ_ACCUM_AMORT_INTAN_ASSETS", P$6,$F$2,,,Ccy,Conv)</f>
        <v>-10403</v>
      </c>
      <c r="Q529" s="245"/>
      <c r="R529" s="215"/>
      <c r="S529" s="215"/>
      <c r="T529" s="215"/>
      <c r="U529" s="215"/>
      <c r="V529" s="222"/>
      <c r="W529" s="222"/>
      <c r="X529" s="222"/>
      <c r="Y529" s="215"/>
      <c r="Z529" s="215"/>
      <c r="AA529" s="215"/>
      <c r="AB529" s="215"/>
      <c r="AC529" s="215"/>
      <c r="AD529" s="215"/>
      <c r="AE529" s="215"/>
      <c r="AF529" s="215"/>
      <c r="AG529" s="215"/>
      <c r="AH529" s="215"/>
      <c r="AI529" s="215"/>
      <c r="AJ529" s="215"/>
      <c r="AK529" s="215"/>
      <c r="AL529" s="215"/>
      <c r="AM529" s="215"/>
      <c r="AN529" s="215"/>
      <c r="AO529" s="215"/>
      <c r="AP529" s="215"/>
      <c r="AQ529" s="215"/>
      <c r="AR529" s="215"/>
      <c r="AS529" s="215"/>
      <c r="AT529" s="215"/>
      <c r="AU529" s="215"/>
      <c r="AV529" s="215"/>
      <c r="AW529" s="215"/>
      <c r="AX529" s="215"/>
      <c r="AY529" s="215"/>
      <c r="AZ529" s="215"/>
      <c r="BA529" s="215"/>
      <c r="BB529" s="215"/>
      <c r="BC529" s="215"/>
      <c r="BD529" s="215"/>
      <c r="BE529" s="215"/>
      <c r="BF529" s="215"/>
      <c r="BG529" s="215"/>
      <c r="BH529" s="215"/>
      <c r="BI529" s="215"/>
      <c r="BJ529" s="215"/>
      <c r="BK529" s="215"/>
      <c r="BL529" s="215"/>
      <c r="BM529" s="215"/>
      <c r="BN529" s="215"/>
      <c r="BO529" s="215"/>
      <c r="BP529" s="215"/>
      <c r="BQ529" s="215"/>
      <c r="BR529" s="215"/>
      <c r="BS529" s="215"/>
      <c r="BT529" s="215"/>
      <c r="BU529" s="215"/>
      <c r="BV529" s="215"/>
      <c r="BW529" s="215"/>
      <c r="BX529" s="215"/>
      <c r="BY529" s="215"/>
      <c r="BZ529" s="215"/>
    </row>
    <row r="530" spans="1:78" x14ac:dyDescent="0.2">
      <c r="A530" s="2" t="str">
        <f>'Language Index'!A480</f>
        <v>Gross Goodwill</v>
      </c>
      <c r="B530" s="17"/>
      <c r="C530" s="17"/>
      <c r="D530" s="18">
        <f>_xll.ciqfunctions.udf.CIQ($C$2,"IQ_GROSS_GW", D$6,$F$2,,,Ccy,Conv)</f>
        <v>0</v>
      </c>
      <c r="E530" s="18">
        <f>_xll.ciqfunctions.udf.CIQ($C$2,"IQ_GROSS_GW", E$6,$F$2,,,Ccy,Conv)</f>
        <v>0</v>
      </c>
      <c r="F530" s="18">
        <f>_xll.ciqfunctions.udf.CIQ($C$2,"IQ_GROSS_GW", F$6,$F$2,,,Ccy,Conv)</f>
        <v>0</v>
      </c>
      <c r="G530" s="18">
        <f>_xll.ciqfunctions.udf.CIQ($C$2,"IQ_GROSS_GW", G$6,$F$2,,,Ccy,Conv)</f>
        <v>0</v>
      </c>
      <c r="H530" s="18">
        <f>_xll.ciqfunctions.udf.CIQ($C$2,"IQ_GROSS_GW", H$6,$F$2,,,Ccy,Conv)</f>
        <v>0</v>
      </c>
      <c r="I530" s="18">
        <f>_xll.ciqfunctions.udf.CIQ($C$2,"IQ_GROSS_GW", I$6,$F$2,,,Ccy,Conv)</f>
        <v>0</v>
      </c>
      <c r="J530" s="18">
        <f>_xll.ciqfunctions.udf.CIQ($C$2,"IQ_GROSS_GW", J$6,$F$2,,,Ccy,Conv)</f>
        <v>0</v>
      </c>
      <c r="K530" s="18">
        <f>_xll.ciqfunctions.udf.CIQ($C$2,"IQ_GROSS_GW", K$6,$F$2,,,Ccy,Conv)</f>
        <v>0</v>
      </c>
      <c r="L530" s="18">
        <f>_xll.ciqfunctions.udf.CIQ($C$2,"IQ_GROSS_GW", L$6,$F$2,,,Ccy,Conv)</f>
        <v>0</v>
      </c>
      <c r="M530" s="18">
        <f>_xll.ciqfunctions.udf.CIQ($C$2,"IQ_GROSS_GW", M$6,$F$2,,,Ccy,Conv)</f>
        <v>0</v>
      </c>
      <c r="N530" s="18">
        <f>_xll.ciqfunctions.udf.CIQ($C$2,"IQ_GROSS_GW", N$6,$F$2,,,Ccy,Conv)</f>
        <v>0</v>
      </c>
      <c r="O530" s="30"/>
      <c r="P530" s="18">
        <f>_xll.ciqfunctions.udf.CIQ($C$2,"IQ_GROSS_GW", P$6,$F$2,,,Ccy,Conv)</f>
        <v>0</v>
      </c>
      <c r="Q530" s="247"/>
      <c r="R530" s="215"/>
      <c r="S530" s="215"/>
      <c r="T530" s="215"/>
      <c r="U530" s="215"/>
      <c r="V530" s="222"/>
      <c r="W530" s="222"/>
      <c r="X530" s="222"/>
      <c r="Y530" s="215"/>
      <c r="Z530" s="215"/>
      <c r="AA530" s="215"/>
      <c r="AB530" s="215"/>
      <c r="AC530" s="215"/>
      <c r="AD530" s="215"/>
      <c r="AE530" s="215"/>
      <c r="AF530" s="215"/>
      <c r="AG530" s="215"/>
      <c r="AH530" s="215"/>
      <c r="AI530" s="215"/>
      <c r="AJ530" s="215"/>
      <c r="AK530" s="215"/>
      <c r="AL530" s="215"/>
      <c r="AM530" s="215"/>
      <c r="AN530" s="215"/>
      <c r="AO530" s="215"/>
      <c r="AP530" s="215"/>
      <c r="AQ530" s="215"/>
      <c r="AR530" s="215"/>
      <c r="AS530" s="215"/>
      <c r="AT530" s="215"/>
      <c r="AU530" s="215"/>
      <c r="AV530" s="215"/>
      <c r="AW530" s="215"/>
      <c r="AX530" s="215"/>
      <c r="AY530" s="215"/>
      <c r="AZ530" s="215"/>
      <c r="BA530" s="215"/>
      <c r="BB530" s="215"/>
      <c r="BC530" s="215"/>
      <c r="BD530" s="215"/>
      <c r="BE530" s="215"/>
      <c r="BF530" s="215"/>
      <c r="BG530" s="215"/>
      <c r="BH530" s="215"/>
      <c r="BI530" s="215"/>
      <c r="BJ530" s="215"/>
      <c r="BK530" s="215"/>
      <c r="BL530" s="215"/>
      <c r="BM530" s="215"/>
      <c r="BN530" s="215"/>
      <c r="BO530" s="215"/>
      <c r="BP530" s="215"/>
      <c r="BQ530" s="215"/>
      <c r="BR530" s="215"/>
      <c r="BS530" s="215"/>
      <c r="BT530" s="215"/>
      <c r="BU530" s="215"/>
      <c r="BV530" s="215"/>
      <c r="BW530" s="215"/>
      <c r="BX530" s="215"/>
      <c r="BY530" s="215"/>
      <c r="BZ530" s="215"/>
    </row>
    <row r="531" spans="1:78" x14ac:dyDescent="0.2">
      <c r="A531" s="2" t="str">
        <f>'Language Index'!A481</f>
        <v>Accumulated Amortization of Goodwill</v>
      </c>
      <c r="B531" s="17"/>
      <c r="C531" s="17"/>
      <c r="D531" s="18">
        <f>_xll.ciqfunctions.udf.CIQ($C$2,"IQ_ACCUM_AMORT_GW", D$6,$F$2,,,Ccy,Conv)</f>
        <v>0</v>
      </c>
      <c r="E531" s="18">
        <f>_xll.ciqfunctions.udf.CIQ($C$2,"IQ_ACCUM_AMORT_GW", E$6,$F$2,,,Ccy,Conv)</f>
        <v>0</v>
      </c>
      <c r="F531" s="18">
        <f>_xll.ciqfunctions.udf.CIQ($C$2,"IQ_ACCUM_AMORT_GW", F$6,$F$2,,,Ccy,Conv)</f>
        <v>0</v>
      </c>
      <c r="G531" s="18">
        <f>_xll.ciqfunctions.udf.CIQ($C$2,"IQ_ACCUM_AMORT_GW", G$6,$F$2,,,Ccy,Conv)</f>
        <v>0</v>
      </c>
      <c r="H531" s="18">
        <f>_xll.ciqfunctions.udf.CIQ($C$2,"IQ_ACCUM_AMORT_GW", H$6,$F$2,,,Ccy,Conv)</f>
        <v>0</v>
      </c>
      <c r="I531" s="18">
        <f>_xll.ciqfunctions.udf.CIQ($C$2,"IQ_ACCUM_AMORT_GW", I$6,$F$2,,,Ccy,Conv)</f>
        <v>0</v>
      </c>
      <c r="J531" s="18">
        <f>_xll.ciqfunctions.udf.CIQ($C$2,"IQ_ACCUM_AMORT_GW", J$6,$F$2,,,Ccy,Conv)</f>
        <v>0</v>
      </c>
      <c r="K531" s="18">
        <f>_xll.ciqfunctions.udf.CIQ($C$2,"IQ_ACCUM_AMORT_GW", K$6,$F$2,,,Ccy,Conv)</f>
        <v>0</v>
      </c>
      <c r="L531" s="18">
        <f>_xll.ciqfunctions.udf.CIQ($C$2,"IQ_ACCUM_AMORT_GW", L$6,$F$2,,,Ccy,Conv)</f>
        <v>0</v>
      </c>
      <c r="M531" s="18">
        <f>_xll.ciqfunctions.udf.CIQ($C$2,"IQ_ACCUM_AMORT_GW", M$6,$F$2,,,Ccy,Conv)</f>
        <v>0</v>
      </c>
      <c r="N531" s="18">
        <f>_xll.ciqfunctions.udf.CIQ($C$2,"IQ_ACCUM_AMORT_GW", N$6,$F$2,,,Ccy,Conv)</f>
        <v>0</v>
      </c>
      <c r="O531" s="30"/>
      <c r="P531" s="18">
        <f>_xll.ciqfunctions.udf.CIQ($C$2,"IQ_ACCUM_AMORT_GW", P$6,$F$2,,,Ccy,Conv)</f>
        <v>0</v>
      </c>
      <c r="Q531" s="247"/>
      <c r="R531" s="215"/>
      <c r="S531" s="215"/>
      <c r="T531" s="215"/>
      <c r="U531" s="215"/>
      <c r="V531" s="222"/>
      <c r="W531" s="222"/>
      <c r="X531" s="222"/>
      <c r="Y531" s="215"/>
      <c r="Z531" s="215"/>
      <c r="AA531" s="215"/>
      <c r="AB531" s="215"/>
      <c r="AC531" s="215"/>
      <c r="AD531" s="215"/>
      <c r="AE531" s="215"/>
      <c r="AF531" s="215"/>
      <c r="AG531" s="215"/>
      <c r="AH531" s="215"/>
      <c r="AI531" s="215"/>
      <c r="AJ531" s="215"/>
      <c r="AK531" s="215"/>
      <c r="AL531" s="215"/>
      <c r="AM531" s="215"/>
      <c r="AN531" s="215"/>
      <c r="AO531" s="215"/>
      <c r="AP531" s="215"/>
      <c r="AQ531" s="215"/>
      <c r="AR531" s="215"/>
      <c r="AS531" s="215"/>
      <c r="AT531" s="215"/>
      <c r="AU531" s="215"/>
      <c r="AV531" s="215"/>
      <c r="AW531" s="215"/>
      <c r="AX531" s="215"/>
      <c r="AY531" s="215"/>
      <c r="AZ531" s="215"/>
      <c r="BA531" s="215"/>
      <c r="BB531" s="215"/>
      <c r="BC531" s="215"/>
      <c r="BD531" s="215"/>
      <c r="BE531" s="215"/>
      <c r="BF531" s="215"/>
      <c r="BG531" s="215"/>
      <c r="BH531" s="215"/>
      <c r="BI531" s="215"/>
      <c r="BJ531" s="215"/>
      <c r="BK531" s="215"/>
      <c r="BL531" s="215"/>
      <c r="BM531" s="215"/>
      <c r="BN531" s="215"/>
      <c r="BO531" s="215"/>
      <c r="BP531" s="215"/>
      <c r="BQ531" s="215"/>
      <c r="BR531" s="215"/>
      <c r="BS531" s="215"/>
      <c r="BT531" s="215"/>
      <c r="BU531" s="215"/>
      <c r="BV531" s="215"/>
      <c r="BW531" s="215"/>
      <c r="BX531" s="215"/>
      <c r="BY531" s="215"/>
      <c r="BZ531" s="215"/>
    </row>
    <row r="532" spans="1:78" x14ac:dyDescent="0.2">
      <c r="A532" s="2" t="str">
        <f>'Language Index'!A482</f>
        <v>Long Term Marketable Securities</v>
      </c>
      <c r="B532" s="17"/>
      <c r="C532" s="17"/>
      <c r="D532" s="18">
        <f>_xll.ciqfunctions.udf.CIQ($C$2,"IQ_LT_MARK_SECURITIES", D$6,$F$2,,,Ccy,Conv)</f>
        <v>0</v>
      </c>
      <c r="E532" s="18">
        <f>_xll.ciqfunctions.udf.CIQ($C$2,"IQ_LT_MARK_SECURITIES", E$6,$F$2,,,Ccy,Conv)</f>
        <v>0</v>
      </c>
      <c r="F532" s="18">
        <f>_xll.ciqfunctions.udf.CIQ($C$2,"IQ_LT_MARK_SECURITIES", F$6,$F$2,,,Ccy,Conv)</f>
        <v>0</v>
      </c>
      <c r="G532" s="18">
        <f>_xll.ciqfunctions.udf.CIQ($C$2,"IQ_LT_MARK_SECURITIES", G$6,$F$2,,,Ccy,Conv)</f>
        <v>0</v>
      </c>
      <c r="H532" s="18">
        <f>_xll.ciqfunctions.udf.CIQ($C$2,"IQ_LT_MARK_SECURITIES", H$6,$F$2,,,Ccy,Conv)</f>
        <v>0</v>
      </c>
      <c r="I532" s="18">
        <f>_xll.ciqfunctions.udf.CIQ($C$2,"IQ_LT_MARK_SECURITIES", I$6,$F$2,,,Ccy,Conv)</f>
        <v>0</v>
      </c>
      <c r="J532" s="18">
        <f>_xll.ciqfunctions.udf.CIQ($C$2,"IQ_LT_MARK_SECURITIES", J$6,$F$2,,,Ccy,Conv)</f>
        <v>0</v>
      </c>
      <c r="K532" s="18">
        <f>_xll.ciqfunctions.udf.CIQ($C$2,"IQ_LT_MARK_SECURITIES", K$6,$F$2,,,Ccy,Conv)</f>
        <v>0</v>
      </c>
      <c r="L532" s="18">
        <f>_xll.ciqfunctions.udf.CIQ($C$2,"IQ_LT_MARK_SECURITIES", L$6,$F$2,,,Ccy,Conv)</f>
        <v>0</v>
      </c>
      <c r="M532" s="18">
        <f>_xll.ciqfunctions.udf.CIQ($C$2,"IQ_LT_MARK_SECURITIES", M$6,$F$2,,,Ccy,Conv)</f>
        <v>0</v>
      </c>
      <c r="N532" s="18">
        <f>_xll.ciqfunctions.udf.CIQ($C$2,"IQ_LT_MARK_SECURITIES", N$6,$F$2,,,Ccy,Conv)</f>
        <v>0</v>
      </c>
      <c r="O532" s="30"/>
      <c r="P532" s="18">
        <f>_xll.ciqfunctions.udf.CIQ($C$2,"IQ_LT_MARK_SECURITIES", P$6,$F$2,,,Ccy,Conv)</f>
        <v>0</v>
      </c>
      <c r="Q532" s="215"/>
      <c r="R532" s="215"/>
      <c r="S532" s="215"/>
      <c r="T532" s="215"/>
      <c r="U532" s="215"/>
      <c r="V532" s="222"/>
      <c r="W532" s="222"/>
      <c r="X532" s="222"/>
      <c r="Y532" s="215"/>
      <c r="Z532" s="215"/>
      <c r="AA532" s="215"/>
      <c r="AB532" s="215"/>
      <c r="AC532" s="215"/>
      <c r="AD532" s="215"/>
      <c r="AE532" s="215"/>
      <c r="AF532" s="215"/>
      <c r="AG532" s="215"/>
      <c r="AH532" s="215"/>
      <c r="AI532" s="215"/>
      <c r="AJ532" s="215"/>
      <c r="AK532" s="215"/>
      <c r="AL532" s="215"/>
      <c r="AM532" s="215"/>
      <c r="AN532" s="215"/>
      <c r="AO532" s="215"/>
      <c r="AP532" s="215"/>
      <c r="AQ532" s="215"/>
      <c r="AR532" s="215"/>
      <c r="AS532" s="215"/>
      <c r="AT532" s="215"/>
      <c r="AU532" s="215"/>
      <c r="AV532" s="215"/>
      <c r="AW532" s="215"/>
      <c r="AX532" s="215"/>
      <c r="AY532" s="215"/>
      <c r="AZ532" s="215"/>
      <c r="BA532" s="215"/>
      <c r="BB532" s="215"/>
      <c r="BC532" s="215"/>
      <c r="BD532" s="215"/>
      <c r="BE532" s="215"/>
      <c r="BF532" s="215"/>
      <c r="BG532" s="215"/>
      <c r="BH532" s="215"/>
      <c r="BI532" s="215"/>
      <c r="BJ532" s="215"/>
      <c r="BK532" s="215"/>
      <c r="BL532" s="215"/>
      <c r="BM532" s="215"/>
      <c r="BN532" s="215"/>
      <c r="BO532" s="215"/>
      <c r="BP532" s="215"/>
      <c r="BQ532" s="215"/>
      <c r="BR532" s="215"/>
      <c r="BS532" s="215"/>
      <c r="BT532" s="215"/>
      <c r="BU532" s="215"/>
      <c r="BV532" s="215"/>
      <c r="BW532" s="215"/>
      <c r="BX532" s="215"/>
      <c r="BY532" s="215"/>
      <c r="BZ532" s="215"/>
    </row>
    <row r="533" spans="1:78" x14ac:dyDescent="0.2">
      <c r="A533" s="2" t="str">
        <f>'Language Index'!A483</f>
        <v>Advances for Supplies</v>
      </c>
      <c r="B533" s="17"/>
      <c r="C533" s="17"/>
      <c r="D533" s="18">
        <f>_xll.ciqfunctions.udf.CIQ($C$2,"IQ_ADVANCES_FOR_SUPPLIES", D$6,$F$2,,,Ccy,Conv)</f>
        <v>0</v>
      </c>
      <c r="E533" s="18">
        <f>_xll.ciqfunctions.udf.CIQ($C$2,"IQ_ADVANCES_FOR_SUPPLIES", E$6,$F$2,,,Ccy,Conv)</f>
        <v>0</v>
      </c>
      <c r="F533" s="18">
        <f>_xll.ciqfunctions.udf.CIQ($C$2,"IQ_ADVANCES_FOR_SUPPLIES", F$6,$F$2,,,Ccy,Conv)</f>
        <v>0</v>
      </c>
      <c r="G533" s="18">
        <f>_xll.ciqfunctions.udf.CIQ($C$2,"IQ_ADVANCES_FOR_SUPPLIES", G$6,$F$2,,,Ccy,Conv)</f>
        <v>0</v>
      </c>
      <c r="H533" s="18">
        <f>_xll.ciqfunctions.udf.CIQ($C$2,"IQ_ADVANCES_FOR_SUPPLIES", H$6,$F$2,,,Ccy,Conv)</f>
        <v>0</v>
      </c>
      <c r="I533" s="18">
        <f>_xll.ciqfunctions.udf.CIQ($C$2,"IQ_ADVANCES_FOR_SUPPLIES", I$6,$F$2,,,Ccy,Conv)</f>
        <v>0</v>
      </c>
      <c r="J533" s="18">
        <f>_xll.ciqfunctions.udf.CIQ($C$2,"IQ_ADVANCES_FOR_SUPPLIES", J$6,$F$2,,,Ccy,Conv)</f>
        <v>0</v>
      </c>
      <c r="K533" s="18">
        <f>_xll.ciqfunctions.udf.CIQ($C$2,"IQ_ADVANCES_FOR_SUPPLIES", K$6,$F$2,,,Ccy,Conv)</f>
        <v>0</v>
      </c>
      <c r="L533" s="18">
        <f>_xll.ciqfunctions.udf.CIQ($C$2,"IQ_ADVANCES_FOR_SUPPLIES", L$6,$F$2,,,Ccy,Conv)</f>
        <v>0</v>
      </c>
      <c r="M533" s="18">
        <f>_xll.ciqfunctions.udf.CIQ($C$2,"IQ_ADVANCES_FOR_SUPPLIES", M$6,$F$2,,,Ccy,Conv)</f>
        <v>0</v>
      </c>
      <c r="N533" s="18">
        <f>_xll.ciqfunctions.udf.CIQ($C$2,"IQ_ADVANCES_FOR_SUPPLIES", N$6,$F$2,,,Ccy,Conv)</f>
        <v>0</v>
      </c>
      <c r="O533" s="30"/>
      <c r="P533" s="18">
        <f>_xll.ciqfunctions.udf.CIQ($C$2,"IQ_ADVANCES_FOR_SUPPLIES", P$6,$F$2,,,Ccy,Conv)</f>
        <v>0</v>
      </c>
      <c r="Q533" s="215"/>
      <c r="R533" s="215"/>
      <c r="S533" s="215"/>
      <c r="T533" s="215"/>
      <c r="U533" s="215"/>
      <c r="V533" s="222"/>
      <c r="W533" s="215"/>
      <c r="X533" s="215"/>
      <c r="Y533" s="215"/>
      <c r="Z533" s="215"/>
      <c r="AA533" s="215"/>
      <c r="AB533" s="215"/>
      <c r="AC533" s="215"/>
      <c r="AD533" s="215"/>
      <c r="AE533" s="215"/>
      <c r="AF533" s="215"/>
      <c r="AG533" s="215"/>
      <c r="AH533" s="215"/>
      <c r="AI533" s="215"/>
      <c r="AJ533" s="215"/>
      <c r="AK533" s="215"/>
      <c r="AL533" s="215"/>
      <c r="AM533" s="215"/>
      <c r="AN533" s="215"/>
      <c r="AO533" s="215"/>
      <c r="AP533" s="215"/>
      <c r="AQ533" s="215"/>
      <c r="AR533" s="215"/>
      <c r="AS533" s="215"/>
      <c r="AT533" s="215"/>
      <c r="AU533" s="215"/>
      <c r="AV533" s="215"/>
      <c r="AW533" s="215"/>
      <c r="AX533" s="215"/>
      <c r="AY533" s="215"/>
      <c r="AZ533" s="215"/>
      <c r="BA533" s="215"/>
      <c r="BB533" s="215"/>
      <c r="BC533" s="215"/>
      <c r="BD533" s="215"/>
      <c r="BE533" s="215"/>
      <c r="BF533" s="215"/>
      <c r="BG533" s="215"/>
      <c r="BH533" s="215"/>
      <c r="BI533" s="215"/>
      <c r="BJ533" s="215"/>
      <c r="BK533" s="215"/>
      <c r="BL533" s="215"/>
      <c r="BM533" s="215"/>
      <c r="BN533" s="215"/>
      <c r="BO533" s="215"/>
      <c r="BP533" s="215"/>
      <c r="BQ533" s="215"/>
      <c r="BR533" s="215"/>
      <c r="BS533" s="215"/>
      <c r="BT533" s="215"/>
      <c r="BU533" s="215"/>
      <c r="BV533" s="215"/>
      <c r="BW533" s="215"/>
      <c r="BX533" s="215"/>
      <c r="BY533" s="215"/>
      <c r="BZ533" s="215"/>
    </row>
    <row r="534" spans="1:78" x14ac:dyDescent="0.2">
      <c r="A534" s="2" t="str">
        <f>'Language Index'!A484</f>
        <v>Goodwill and Intangibles (Net)</v>
      </c>
      <c r="B534" s="17"/>
      <c r="C534" s="17"/>
      <c r="D534" s="18">
        <f>_xll.ciqfunctions.udf.CIQ($C$2,"IQ_GW_INTAN_NET", D$6,$F$2,,,Ccy,Conv)</f>
        <v>0</v>
      </c>
      <c r="E534" s="18">
        <f>_xll.ciqfunctions.udf.CIQ($C$2,"IQ_GW_INTAN_NET", E$6,$F$2,,,Ccy,Conv)</f>
        <v>0</v>
      </c>
      <c r="F534" s="18">
        <f>_xll.ciqfunctions.udf.CIQ($C$2,"IQ_GW_INTAN_NET", F$6,$F$2,,,Ccy,Conv)</f>
        <v>0</v>
      </c>
      <c r="G534" s="18">
        <f>_xll.ciqfunctions.udf.CIQ($C$2,"IQ_GW_INTAN_NET", G$6,$F$2,,,Ccy,Conv)</f>
        <v>0</v>
      </c>
      <c r="H534" s="18">
        <f>_xll.ciqfunctions.udf.CIQ($C$2,"IQ_GW_INTAN_NET", H$6,$F$2,,,Ccy,Conv)</f>
        <v>0</v>
      </c>
      <c r="I534" s="18">
        <f>_xll.ciqfunctions.udf.CIQ($C$2,"IQ_GW_INTAN_NET", I$6,$F$2,,,Ccy,Conv)</f>
        <v>0</v>
      </c>
      <c r="J534" s="18">
        <f>_xll.ciqfunctions.udf.CIQ($C$2,"IQ_GW_INTAN_NET", J$6,$F$2,,,Ccy,Conv)</f>
        <v>0</v>
      </c>
      <c r="K534" s="18">
        <f>_xll.ciqfunctions.udf.CIQ($C$2,"IQ_GW_INTAN_NET", K$6,$F$2,,,Ccy,Conv)</f>
        <v>0</v>
      </c>
      <c r="L534" s="18">
        <f>_xll.ciqfunctions.udf.CIQ($C$2,"IQ_GW_INTAN_NET", L$6,$F$2,,,Ccy,Conv)</f>
        <v>0</v>
      </c>
      <c r="M534" s="18">
        <f>_xll.ciqfunctions.udf.CIQ($C$2,"IQ_GW_INTAN_NET", M$6,$F$2,,,Ccy,Conv)</f>
        <v>0</v>
      </c>
      <c r="N534" s="18">
        <f>_xll.ciqfunctions.udf.CIQ($C$2,"IQ_GW_INTAN_NET", N$6,$F$2,,,Ccy,Conv)</f>
        <v>0</v>
      </c>
      <c r="O534" s="30"/>
      <c r="P534" s="18">
        <f>_xll.ciqfunctions.udf.CIQ($C$2,"IQ_GW_INTAN_NET", P$6,$F$2,,,Ccy,Conv)</f>
        <v>0</v>
      </c>
      <c r="Q534" s="215"/>
      <c r="R534" s="215"/>
      <c r="S534" s="215"/>
      <c r="T534" s="215"/>
      <c r="U534" s="215"/>
      <c r="V534" s="222"/>
      <c r="W534" s="215"/>
      <c r="X534" s="215"/>
      <c r="Y534" s="215"/>
      <c r="Z534" s="215"/>
      <c r="AA534" s="215"/>
      <c r="AB534" s="215"/>
      <c r="AC534" s="215"/>
      <c r="AD534" s="215"/>
      <c r="AE534" s="215"/>
      <c r="AF534" s="215"/>
      <c r="AG534" s="215"/>
      <c r="AH534" s="215"/>
      <c r="AI534" s="215"/>
      <c r="AJ534" s="215"/>
      <c r="AK534" s="215"/>
      <c r="AL534" s="215"/>
      <c r="AM534" s="215"/>
      <c r="AN534" s="215"/>
      <c r="AO534" s="215"/>
      <c r="AP534" s="215"/>
      <c r="AQ534" s="215"/>
      <c r="AR534" s="215"/>
      <c r="AS534" s="215"/>
      <c r="AT534" s="215"/>
      <c r="AU534" s="215"/>
      <c r="AV534" s="215"/>
      <c r="AW534" s="215"/>
      <c r="AX534" s="215"/>
      <c r="AY534" s="215"/>
      <c r="AZ534" s="215"/>
      <c r="BA534" s="215"/>
      <c r="BB534" s="215"/>
      <c r="BC534" s="215"/>
      <c r="BD534" s="215"/>
      <c r="BE534" s="215"/>
      <c r="BF534" s="215"/>
      <c r="BG534" s="215"/>
      <c r="BH534" s="215"/>
      <c r="BI534" s="215"/>
      <c r="BJ534" s="215"/>
      <c r="BK534" s="215"/>
      <c r="BL534" s="215"/>
      <c r="BM534" s="215"/>
      <c r="BN534" s="215"/>
      <c r="BO534" s="215"/>
      <c r="BP534" s="215"/>
      <c r="BQ534" s="215"/>
      <c r="BR534" s="215"/>
      <c r="BS534" s="215"/>
      <c r="BT534" s="215"/>
      <c r="BU534" s="215"/>
      <c r="BV534" s="215"/>
      <c r="BW534" s="215"/>
      <c r="BX534" s="215"/>
      <c r="BY534" s="215"/>
      <c r="BZ534" s="215"/>
    </row>
    <row r="535" spans="1:78" x14ac:dyDescent="0.2">
      <c r="A535" s="2" t="str">
        <f>'Language Index'!A485</f>
        <v>Goodwill (Net)</v>
      </c>
      <c r="B535" s="17"/>
      <c r="C535" s="17"/>
      <c r="D535" s="18">
        <f>_xll.ciqfunctions.udf.CIQ($C$2,"IQ_GW_NET", D$6,$F$2,,,Ccy,Conv)</f>
        <v>56385</v>
      </c>
      <c r="E535" s="18">
        <f>_xll.ciqfunctions.udf.CIQ($C$2,"IQ_GW_NET", E$6,$F$2,,,Ccy,Conv)</f>
        <v>59596</v>
      </c>
      <c r="F535" s="18">
        <f>_xll.ciqfunctions.udf.CIQ($C$2,"IQ_GW_NET", F$6,$F$2,,,Ccy,Conv)</f>
        <v>60178</v>
      </c>
      <c r="G535" s="18">
        <f>_xll.ciqfunctions.udf.CIQ($C$2,"IQ_GW_NET", G$6,$F$2,,,Ccy,Conv)</f>
        <v>59534</v>
      </c>
      <c r="H535" s="18">
        <f>_xll.ciqfunctions.udf.CIQ($C$2,"IQ_GW_NET", H$6,$F$2,,,Ccy,Conv)</f>
        <v>59416</v>
      </c>
      <c r="I535" s="18">
        <f>_xll.ciqfunctions.udf.CIQ($C$2,"IQ_GW_NET", I$6,$F$2,,,Ccy,Conv)</f>
        <v>61092</v>
      </c>
      <c r="J535" s="18">
        <f>_xll.ciqfunctions.udf.CIQ($C$2,"IQ_GW_NET", J$6,$F$2,,,Ccy,Conv)</f>
        <v>60706</v>
      </c>
      <c r="K535" s="18">
        <f>_xll.ciqfunctions.udf.CIQ($C$2,"IQ_GW_NET", K$6,$F$2,,,Ccy,Conv)</f>
        <v>66065</v>
      </c>
      <c r="L535" s="18">
        <f>_xll.ciqfunctions.udf.CIQ($C$2,"IQ_GW_NET", L$6,$F$2,,,Ccy,Conv)</f>
        <v>67506</v>
      </c>
      <c r="M535" s="18">
        <f>_xll.ciqfunctions.udf.CIQ($C$2,"IQ_GW_NET", M$6,$F$2,,,Ccy,Conv)</f>
        <v>67396</v>
      </c>
      <c r="N535" s="18">
        <f>_xll.ciqfunctions.udf.CIQ($C$2,"IQ_GW_NET", N$6,$F$2,,,Ccy,Conv)</f>
        <v>67717</v>
      </c>
      <c r="O535" s="30"/>
      <c r="P535" s="18">
        <f>_xll.ciqfunctions.udf.CIQ($C$2,"IQ_GW_NET", P$6,$F$2,,,Ccy,Conv)</f>
        <v>67717</v>
      </c>
      <c r="Q535" s="215"/>
      <c r="R535" s="215"/>
      <c r="S535" s="215"/>
      <c r="T535" s="215"/>
      <c r="U535" s="215"/>
      <c r="V535" s="222"/>
      <c r="W535" s="222"/>
      <c r="X535" s="222"/>
      <c r="Y535" s="215"/>
      <c r="Z535" s="215"/>
      <c r="AA535" s="215"/>
      <c r="AB535" s="215"/>
      <c r="AC535" s="215"/>
      <c r="AD535" s="215"/>
      <c r="AE535" s="215"/>
      <c r="AF535" s="215"/>
      <c r="AG535" s="215"/>
      <c r="AH535" s="215"/>
      <c r="AI535" s="215"/>
      <c r="AJ535" s="215"/>
      <c r="AK535" s="215"/>
      <c r="AL535" s="215"/>
      <c r="AM535" s="215"/>
      <c r="AN535" s="215"/>
      <c r="AO535" s="215"/>
      <c r="AP535" s="215"/>
      <c r="AQ535" s="215"/>
      <c r="AR535" s="215"/>
      <c r="AS535" s="215"/>
      <c r="AT535" s="215"/>
      <c r="AU535" s="215"/>
      <c r="AV535" s="215"/>
      <c r="AW535" s="215"/>
      <c r="AX535" s="215"/>
      <c r="AY535" s="215"/>
      <c r="AZ535" s="215"/>
      <c r="BA535" s="215"/>
      <c r="BB535" s="215"/>
      <c r="BC535" s="215"/>
      <c r="BD535" s="215"/>
      <c r="BE535" s="215"/>
      <c r="BF535" s="215"/>
      <c r="BG535" s="215"/>
      <c r="BH535" s="215"/>
      <c r="BI535" s="215"/>
      <c r="BJ535" s="215"/>
      <c r="BK535" s="215"/>
      <c r="BL535" s="215"/>
      <c r="BM535" s="215"/>
      <c r="BN535" s="215"/>
      <c r="BO535" s="215"/>
      <c r="BP535" s="215"/>
      <c r="BQ535" s="215"/>
      <c r="BR535" s="215"/>
      <c r="BS535" s="215"/>
      <c r="BT535" s="215"/>
      <c r="BU535" s="215"/>
      <c r="BV535" s="215"/>
      <c r="BW535" s="215"/>
      <c r="BX535" s="215"/>
      <c r="BY535" s="215"/>
      <c r="BZ535" s="215"/>
    </row>
    <row r="536" spans="1:78" x14ac:dyDescent="0.2">
      <c r="A536" s="2" t="str">
        <f>'Language Index'!A486</f>
        <v>Intangibles (Net)</v>
      </c>
      <c r="B536" s="17"/>
      <c r="C536" s="17"/>
      <c r="D536" s="18">
        <f>_xll.ciqfunctions.udf.CIQ($C$2,"IQ_INTAN_NET", D$6,$F$2,,,Ccy,Conv)</f>
        <v>10496</v>
      </c>
      <c r="E536" s="18">
        <f>_xll.ciqfunctions.udf.CIQ($C$2,"IQ_INTAN_NET", E$6,$F$2,,,Ccy,Conv)</f>
        <v>11278</v>
      </c>
      <c r="F536" s="18">
        <f>_xll.ciqfunctions.udf.CIQ($C$2,"IQ_INTAN_NET", F$6,$F$2,,,Ccy,Conv)</f>
        <v>11036</v>
      </c>
      <c r="G536" s="18">
        <f>_xll.ciqfunctions.udf.CIQ($C$2,"IQ_INTAN_NET", G$6,$F$2,,,Ccy,Conv)</f>
        <v>10750</v>
      </c>
      <c r="H536" s="18">
        <f>_xll.ciqfunctions.udf.CIQ($C$2,"IQ_INTAN_NET", H$6,$F$2,,,Ccy,Conv)</f>
        <v>10251</v>
      </c>
      <c r="I536" s="18">
        <f>_xll.ciqfunctions.udf.CIQ($C$2,"IQ_INTAN_NET", I$6,$F$2,,,Ccy,Conv)</f>
        <v>11090</v>
      </c>
      <c r="J536" s="18">
        <f>_xll.ciqfunctions.udf.CIQ($C$2,"IQ_INTAN_NET", J$6,$F$2,,,Ccy,Conv)</f>
        <v>10660</v>
      </c>
      <c r="K536" s="18">
        <f>_xll.ciqfunctions.udf.CIQ($C$2,"IQ_INTAN_NET", K$6,$F$2,,,Ccy,Conv)</f>
        <v>12392</v>
      </c>
      <c r="L536" s="18">
        <f>_xll.ciqfunctions.udf.CIQ($C$2,"IQ_INTAN_NET", L$6,$F$2,,,Ccy,Conv)</f>
        <v>12253</v>
      </c>
      <c r="M536" s="18">
        <f>_xll.ciqfunctions.udf.CIQ($C$2,"IQ_INTAN_NET", M$6,$F$2,,,Ccy,Conv)</f>
        <v>11729</v>
      </c>
      <c r="N536" s="18">
        <f>_xll.ciqfunctions.udf.CIQ($C$2,"IQ_INTAN_NET", N$6,$F$2,,,Ccy,Conv)</f>
        <v>11391</v>
      </c>
      <c r="O536" s="30"/>
      <c r="P536" s="18">
        <f>_xll.ciqfunctions.udf.CIQ($C$2,"IQ_INTAN_NET", P$6,$F$2,,,Ccy,Conv)</f>
        <v>11391</v>
      </c>
      <c r="Q536" s="215"/>
      <c r="R536" s="215"/>
      <c r="S536" s="215"/>
      <c r="T536" s="215"/>
      <c r="U536" s="215"/>
      <c r="V536" s="222"/>
      <c r="W536" s="222"/>
      <c r="X536" s="222"/>
      <c r="Y536" s="215"/>
      <c r="Z536" s="215"/>
      <c r="AA536" s="215"/>
      <c r="AB536" s="215"/>
      <c r="AC536" s="215"/>
      <c r="AD536" s="215"/>
      <c r="AE536" s="215"/>
      <c r="AF536" s="215"/>
      <c r="AG536" s="215"/>
      <c r="AH536" s="215"/>
      <c r="AI536" s="215"/>
      <c r="AJ536" s="215"/>
      <c r="AK536" s="215"/>
      <c r="AL536" s="215"/>
      <c r="AM536" s="215"/>
      <c r="AN536" s="215"/>
      <c r="AO536" s="215"/>
      <c r="AP536" s="215"/>
      <c r="AQ536" s="215"/>
      <c r="AR536" s="215"/>
      <c r="AS536" s="215"/>
      <c r="AT536" s="215"/>
      <c r="AU536" s="215"/>
      <c r="AV536" s="215"/>
      <c r="AW536" s="215"/>
      <c r="AX536" s="215"/>
      <c r="AY536" s="215"/>
      <c r="AZ536" s="215"/>
      <c r="BA536" s="215"/>
      <c r="BB536" s="215"/>
      <c r="BC536" s="215"/>
      <c r="BD536" s="215"/>
      <c r="BE536" s="215"/>
      <c r="BF536" s="215"/>
      <c r="BG536" s="215"/>
      <c r="BH536" s="215"/>
      <c r="BI536" s="215"/>
      <c r="BJ536" s="215"/>
      <c r="BK536" s="215"/>
      <c r="BL536" s="215"/>
      <c r="BM536" s="215"/>
      <c r="BN536" s="215"/>
      <c r="BO536" s="215"/>
      <c r="BP536" s="215"/>
      <c r="BQ536" s="215"/>
      <c r="BR536" s="215"/>
      <c r="BS536" s="215"/>
      <c r="BT536" s="215"/>
      <c r="BU536" s="215"/>
      <c r="BV536" s="215"/>
      <c r="BW536" s="215"/>
      <c r="BX536" s="215"/>
      <c r="BY536" s="215"/>
      <c r="BZ536" s="215"/>
    </row>
    <row r="537" spans="1:78" x14ac:dyDescent="0.2">
      <c r="A537" s="2" t="str">
        <f>'Language Index'!A487</f>
        <v>Intercompany Current Assets</v>
      </c>
      <c r="B537" s="17"/>
      <c r="C537" s="17"/>
      <c r="D537" s="18">
        <f>_xll.ciqfunctions.udf.CIQ($C$2,"IQ_INTERCOMPANY_CA", D$6,$F$2,,,Ccy,Conv)</f>
        <v>0</v>
      </c>
      <c r="E537" s="18">
        <f>_xll.ciqfunctions.udf.CIQ($C$2,"IQ_INTERCOMPANY_CA", E$6,$F$2,,,Ccy,Conv)</f>
        <v>0</v>
      </c>
      <c r="F537" s="18">
        <f>_xll.ciqfunctions.udf.CIQ($C$2,"IQ_INTERCOMPANY_CA", F$6,$F$2,,,Ccy,Conv)</f>
        <v>0</v>
      </c>
      <c r="G537" s="18">
        <f>_xll.ciqfunctions.udf.CIQ($C$2,"IQ_INTERCOMPANY_CA", G$6,$F$2,,,Ccy,Conv)</f>
        <v>0</v>
      </c>
      <c r="H537" s="18">
        <f>_xll.ciqfunctions.udf.CIQ($C$2,"IQ_INTERCOMPANY_CA", H$6,$F$2,,,Ccy,Conv)</f>
        <v>0</v>
      </c>
      <c r="I537" s="18">
        <f>_xll.ciqfunctions.udf.CIQ($C$2,"IQ_INTERCOMPANY_CA", I$6,$F$2,,,Ccy,Conv)</f>
        <v>0</v>
      </c>
      <c r="J537" s="18">
        <f>_xll.ciqfunctions.udf.CIQ($C$2,"IQ_INTERCOMPANY_CA", J$6,$F$2,,,Ccy,Conv)</f>
        <v>0</v>
      </c>
      <c r="K537" s="18">
        <f>_xll.ciqfunctions.udf.CIQ($C$2,"IQ_INTERCOMPANY_CA", K$6,$F$2,,,Ccy,Conv)</f>
        <v>0</v>
      </c>
      <c r="L537" s="18">
        <f>_xll.ciqfunctions.udf.CIQ($C$2,"IQ_INTERCOMPANY_CA", L$6,$F$2,,,Ccy,Conv)</f>
        <v>0</v>
      </c>
      <c r="M537" s="18">
        <f>_xll.ciqfunctions.udf.CIQ($C$2,"IQ_INTERCOMPANY_CA", M$6,$F$2,,,Ccy,Conv)</f>
        <v>0</v>
      </c>
      <c r="N537" s="18">
        <f>_xll.ciqfunctions.udf.CIQ($C$2,"IQ_INTERCOMPANY_CA", N$6,$F$2,,,Ccy,Conv)</f>
        <v>0</v>
      </c>
      <c r="O537" s="30"/>
      <c r="P537" s="18">
        <f>_xll.ciqfunctions.udf.CIQ($C$2,"IQ_INTERCOMPANY_CA", P$6,$F$2,,,Ccy,Conv)</f>
        <v>0</v>
      </c>
      <c r="Q537" s="215"/>
      <c r="R537" s="215"/>
      <c r="S537" s="215"/>
      <c r="T537" s="215"/>
      <c r="U537" s="215"/>
      <c r="V537" s="222"/>
      <c r="W537" s="222"/>
      <c r="X537" s="222"/>
      <c r="Y537" s="215"/>
      <c r="Z537" s="215"/>
      <c r="AA537" s="215"/>
      <c r="AB537" s="215"/>
      <c r="AC537" s="215"/>
      <c r="AD537" s="215"/>
      <c r="AE537" s="215"/>
      <c r="AF537" s="215"/>
      <c r="AG537" s="215"/>
      <c r="AH537" s="215"/>
      <c r="AI537" s="215"/>
      <c r="AJ537" s="215"/>
      <c r="AK537" s="215"/>
      <c r="AL537" s="215"/>
      <c r="AM537" s="215"/>
      <c r="AN537" s="215"/>
      <c r="AO537" s="215"/>
      <c r="AP537" s="215"/>
      <c r="AQ537" s="215"/>
      <c r="AR537" s="215"/>
      <c r="AS537" s="215"/>
      <c r="AT537" s="215"/>
      <c r="AU537" s="215"/>
      <c r="AV537" s="215"/>
      <c r="AW537" s="215"/>
      <c r="AX537" s="215"/>
      <c r="AY537" s="215"/>
      <c r="AZ537" s="215"/>
      <c r="BA537" s="215"/>
      <c r="BB537" s="215"/>
      <c r="BC537" s="215"/>
      <c r="BD537" s="215"/>
      <c r="BE537" s="215"/>
      <c r="BF537" s="215"/>
      <c r="BG537" s="215"/>
      <c r="BH537" s="215"/>
      <c r="BI537" s="215"/>
      <c r="BJ537" s="215"/>
      <c r="BK537" s="215"/>
      <c r="BL537" s="215"/>
      <c r="BM537" s="215"/>
      <c r="BN537" s="215"/>
      <c r="BO537" s="215"/>
      <c r="BP537" s="215"/>
      <c r="BQ537" s="215"/>
      <c r="BR537" s="215"/>
      <c r="BS537" s="215"/>
      <c r="BT537" s="215"/>
      <c r="BU537" s="215"/>
      <c r="BV537" s="215"/>
      <c r="BW537" s="215"/>
      <c r="BX537" s="215"/>
      <c r="BY537" s="215"/>
      <c r="BZ537" s="215"/>
    </row>
    <row r="538" spans="1:78" x14ac:dyDescent="0.2">
      <c r="A538" s="2" t="str">
        <f>'Language Index'!A488</f>
        <v>Intercompany Non-Current Assets</v>
      </c>
      <c r="B538" s="17"/>
      <c r="C538" s="17"/>
      <c r="D538" s="18">
        <f>_xll.ciqfunctions.udf.CIQ($C$2,"IQ_INTERCOMPANY_NON_CA", D$6,$F$2,,,Ccy,Conv)</f>
        <v>0</v>
      </c>
      <c r="E538" s="18">
        <f>_xll.ciqfunctions.udf.CIQ($C$2,"IQ_INTERCOMPANY_NON_CA", E$6,$F$2,,,Ccy,Conv)</f>
        <v>0</v>
      </c>
      <c r="F538" s="18">
        <f>_xll.ciqfunctions.udf.CIQ($C$2,"IQ_INTERCOMPANY_NON_CA", F$6,$F$2,,,Ccy,Conv)</f>
        <v>0</v>
      </c>
      <c r="G538" s="18">
        <f>_xll.ciqfunctions.udf.CIQ($C$2,"IQ_INTERCOMPANY_NON_CA", G$6,$F$2,,,Ccy,Conv)</f>
        <v>0</v>
      </c>
      <c r="H538" s="18">
        <f>_xll.ciqfunctions.udf.CIQ($C$2,"IQ_INTERCOMPANY_NON_CA", H$6,$F$2,,,Ccy,Conv)</f>
        <v>0</v>
      </c>
      <c r="I538" s="18">
        <f>_xll.ciqfunctions.udf.CIQ($C$2,"IQ_INTERCOMPANY_NON_CA", I$6,$F$2,,,Ccy,Conv)</f>
        <v>0</v>
      </c>
      <c r="J538" s="18">
        <f>_xll.ciqfunctions.udf.CIQ($C$2,"IQ_INTERCOMPANY_NON_CA", J$6,$F$2,,,Ccy,Conv)</f>
        <v>0</v>
      </c>
      <c r="K538" s="18">
        <f>_xll.ciqfunctions.udf.CIQ($C$2,"IQ_INTERCOMPANY_NON_CA", K$6,$F$2,,,Ccy,Conv)</f>
        <v>0</v>
      </c>
      <c r="L538" s="18">
        <f>_xll.ciqfunctions.udf.CIQ($C$2,"IQ_INTERCOMPANY_NON_CA", L$6,$F$2,,,Ccy,Conv)</f>
        <v>0</v>
      </c>
      <c r="M538" s="18">
        <f>_xll.ciqfunctions.udf.CIQ($C$2,"IQ_INTERCOMPANY_NON_CA", M$6,$F$2,,,Ccy,Conv)</f>
        <v>0</v>
      </c>
      <c r="N538" s="18">
        <f>_xll.ciqfunctions.udf.CIQ($C$2,"IQ_INTERCOMPANY_NON_CA", N$6,$F$2,,,Ccy,Conv)</f>
        <v>0</v>
      </c>
      <c r="O538" s="30"/>
      <c r="P538" s="18">
        <f>_xll.ciqfunctions.udf.CIQ($C$2,"IQ_INTERCOMPANY_NON_CA", P$6,$F$2,,,Ccy,Conv)</f>
        <v>0</v>
      </c>
      <c r="Q538" s="215"/>
      <c r="R538" s="215"/>
      <c r="S538" s="215"/>
      <c r="T538" s="215"/>
      <c r="U538" s="215"/>
      <c r="V538" s="222"/>
      <c r="W538" s="222"/>
      <c r="X538" s="222"/>
      <c r="Y538" s="215"/>
      <c r="Z538" s="215"/>
      <c r="AA538" s="215"/>
      <c r="AB538" s="215"/>
      <c r="AC538" s="215"/>
      <c r="AD538" s="215"/>
      <c r="AE538" s="215"/>
      <c r="AF538" s="215"/>
      <c r="AG538" s="215"/>
      <c r="AH538" s="215"/>
      <c r="AI538" s="215"/>
      <c r="AJ538" s="215"/>
      <c r="AK538" s="215"/>
      <c r="AL538" s="215"/>
      <c r="AM538" s="215"/>
      <c r="AN538" s="215"/>
      <c r="AO538" s="215"/>
      <c r="AP538" s="215"/>
      <c r="AQ538" s="215"/>
      <c r="AR538" s="215"/>
      <c r="AS538" s="215"/>
      <c r="AT538" s="215"/>
      <c r="AU538" s="215"/>
      <c r="AV538" s="215"/>
      <c r="AW538" s="215"/>
      <c r="AX538" s="215"/>
      <c r="AY538" s="215"/>
      <c r="AZ538" s="215"/>
      <c r="BA538" s="215"/>
      <c r="BB538" s="215"/>
      <c r="BC538" s="215"/>
      <c r="BD538" s="215"/>
      <c r="BE538" s="215"/>
      <c r="BF538" s="215"/>
      <c r="BG538" s="215"/>
      <c r="BH538" s="215"/>
      <c r="BI538" s="215"/>
      <c r="BJ538" s="215"/>
      <c r="BK538" s="215"/>
      <c r="BL538" s="215"/>
      <c r="BM538" s="215"/>
      <c r="BN538" s="215"/>
      <c r="BO538" s="215"/>
      <c r="BP538" s="215"/>
      <c r="BQ538" s="215"/>
      <c r="BR538" s="215"/>
      <c r="BS538" s="215"/>
      <c r="BT538" s="215"/>
      <c r="BU538" s="215"/>
      <c r="BV538" s="215"/>
      <c r="BW538" s="215"/>
      <c r="BX538" s="215"/>
      <c r="BY538" s="215"/>
      <c r="BZ538" s="215"/>
    </row>
    <row r="539" spans="1:78" x14ac:dyDescent="0.2">
      <c r="A539" s="2" t="str">
        <f>'Language Index'!A489</f>
        <v>Intercompany Current Liabilities</v>
      </c>
      <c r="B539" s="17"/>
      <c r="C539" s="17"/>
      <c r="D539" s="18">
        <f>_xll.ciqfunctions.udf.CIQ($C$2,"IQ_INTERCOMPANY_CL", D$6,$F$2,,,Ccy,Conv)</f>
        <v>0</v>
      </c>
      <c r="E539" s="18">
        <f>_xll.ciqfunctions.udf.CIQ($C$2,"IQ_INTERCOMPANY_CL", E$6,$F$2,,,Ccy,Conv)</f>
        <v>0</v>
      </c>
      <c r="F539" s="18">
        <f>_xll.ciqfunctions.udf.CIQ($C$2,"IQ_INTERCOMPANY_CL", F$6,$F$2,,,Ccy,Conv)</f>
        <v>0</v>
      </c>
      <c r="G539" s="18">
        <f>_xll.ciqfunctions.udf.CIQ($C$2,"IQ_INTERCOMPANY_CL", G$6,$F$2,,,Ccy,Conv)</f>
        <v>0</v>
      </c>
      <c r="H539" s="18">
        <f>_xll.ciqfunctions.udf.CIQ($C$2,"IQ_INTERCOMPANY_CL", H$6,$F$2,,,Ccy,Conv)</f>
        <v>0</v>
      </c>
      <c r="I539" s="18">
        <f>_xll.ciqfunctions.udf.CIQ($C$2,"IQ_INTERCOMPANY_CL", I$6,$F$2,,,Ccy,Conv)</f>
        <v>0</v>
      </c>
      <c r="J539" s="18">
        <f>_xll.ciqfunctions.udf.CIQ($C$2,"IQ_INTERCOMPANY_CL", J$6,$F$2,,,Ccy,Conv)</f>
        <v>0</v>
      </c>
      <c r="K539" s="18">
        <f>_xll.ciqfunctions.udf.CIQ($C$2,"IQ_INTERCOMPANY_CL", K$6,$F$2,,,Ccy,Conv)</f>
        <v>0</v>
      </c>
      <c r="L539" s="18">
        <f>_xll.ciqfunctions.udf.CIQ($C$2,"IQ_INTERCOMPANY_CL", L$6,$F$2,,,Ccy,Conv)</f>
        <v>0</v>
      </c>
      <c r="M539" s="18">
        <f>_xll.ciqfunctions.udf.CIQ($C$2,"IQ_INTERCOMPANY_CL", M$6,$F$2,,,Ccy,Conv)</f>
        <v>0</v>
      </c>
      <c r="N539" s="18">
        <f>_xll.ciqfunctions.udf.CIQ($C$2,"IQ_INTERCOMPANY_CL", N$6,$F$2,,,Ccy,Conv)</f>
        <v>0</v>
      </c>
      <c r="O539" s="30"/>
      <c r="P539" s="18">
        <f>_xll.ciqfunctions.udf.CIQ($C$2,"IQ_INTERCOMPANY_CL", P$6,$F$2,,,Ccy,Conv)</f>
        <v>0</v>
      </c>
      <c r="Q539" s="215"/>
      <c r="R539" s="215"/>
      <c r="S539" s="215"/>
      <c r="T539" s="215"/>
      <c r="U539" s="215"/>
      <c r="V539" s="222"/>
      <c r="W539" s="222"/>
      <c r="X539" s="222"/>
      <c r="Y539" s="215"/>
      <c r="Z539" s="215"/>
      <c r="AA539" s="215"/>
      <c r="AB539" s="215"/>
      <c r="AC539" s="215"/>
      <c r="AD539" s="215"/>
      <c r="AE539" s="215"/>
      <c r="AF539" s="215"/>
      <c r="AG539" s="215"/>
      <c r="AH539" s="215"/>
      <c r="AI539" s="215"/>
      <c r="AJ539" s="215"/>
      <c r="AK539" s="215"/>
      <c r="AL539" s="215"/>
      <c r="AM539" s="215"/>
      <c r="AN539" s="215"/>
      <c r="AO539" s="215"/>
      <c r="AP539" s="215"/>
      <c r="AQ539" s="215"/>
      <c r="AR539" s="215"/>
      <c r="AS539" s="215"/>
      <c r="AT539" s="215"/>
      <c r="AU539" s="215"/>
      <c r="AV539" s="215"/>
      <c r="AW539" s="215"/>
      <c r="AX539" s="215"/>
      <c r="AY539" s="215"/>
      <c r="AZ539" s="215"/>
      <c r="BA539" s="215"/>
      <c r="BB539" s="215"/>
      <c r="BC539" s="215"/>
      <c r="BD539" s="215"/>
      <c r="BE539" s="215"/>
      <c r="BF539" s="215"/>
      <c r="BG539" s="215"/>
      <c r="BH539" s="215"/>
      <c r="BI539" s="215"/>
      <c r="BJ539" s="215"/>
      <c r="BK539" s="215"/>
      <c r="BL539" s="215"/>
      <c r="BM539" s="215"/>
      <c r="BN539" s="215"/>
      <c r="BO539" s="215"/>
      <c r="BP539" s="215"/>
      <c r="BQ539" s="215"/>
      <c r="BR539" s="215"/>
      <c r="BS539" s="215"/>
      <c r="BT539" s="215"/>
      <c r="BU539" s="215"/>
      <c r="BV539" s="215"/>
      <c r="BW539" s="215"/>
      <c r="BX539" s="215"/>
      <c r="BY539" s="215"/>
      <c r="BZ539" s="215"/>
    </row>
    <row r="540" spans="1:78" x14ac:dyDescent="0.2">
      <c r="A540" s="2" t="str">
        <f>'Language Index'!A490</f>
        <v>Intercompany Non-Current Liabilities</v>
      </c>
      <c r="B540" s="17"/>
      <c r="C540" s="17"/>
      <c r="D540" s="18">
        <f>_xll.ciqfunctions.udf.CIQ($C$2,"IQ_INTERCOMPANY_NON_CL", D$6,$F$2,,,Ccy,Conv)</f>
        <v>0</v>
      </c>
      <c r="E540" s="18">
        <f>_xll.ciqfunctions.udf.CIQ($C$2,"IQ_INTERCOMPANY_NON_CL", E$6,$F$2,,,Ccy,Conv)</f>
        <v>0</v>
      </c>
      <c r="F540" s="18">
        <f>_xll.ciqfunctions.udf.CIQ($C$2,"IQ_INTERCOMPANY_NON_CL", F$6,$F$2,,,Ccy,Conv)</f>
        <v>0</v>
      </c>
      <c r="G540" s="18">
        <f>_xll.ciqfunctions.udf.CIQ($C$2,"IQ_INTERCOMPANY_NON_CL", G$6,$F$2,,,Ccy,Conv)</f>
        <v>0</v>
      </c>
      <c r="H540" s="18">
        <f>_xll.ciqfunctions.udf.CIQ($C$2,"IQ_INTERCOMPANY_NON_CL", H$6,$F$2,,,Ccy,Conv)</f>
        <v>0</v>
      </c>
      <c r="I540" s="18">
        <f>_xll.ciqfunctions.udf.CIQ($C$2,"IQ_INTERCOMPANY_NON_CL", I$6,$F$2,,,Ccy,Conv)</f>
        <v>0</v>
      </c>
      <c r="J540" s="18">
        <f>_xll.ciqfunctions.udf.CIQ($C$2,"IQ_INTERCOMPANY_NON_CL", J$6,$F$2,,,Ccy,Conv)</f>
        <v>0</v>
      </c>
      <c r="K540" s="18">
        <f>_xll.ciqfunctions.udf.CIQ($C$2,"IQ_INTERCOMPANY_NON_CL", K$6,$F$2,,,Ccy,Conv)</f>
        <v>0</v>
      </c>
      <c r="L540" s="18">
        <f>_xll.ciqfunctions.udf.CIQ($C$2,"IQ_INTERCOMPANY_NON_CL", L$6,$F$2,,,Ccy,Conv)</f>
        <v>0</v>
      </c>
      <c r="M540" s="18">
        <f>_xll.ciqfunctions.udf.CIQ($C$2,"IQ_INTERCOMPANY_NON_CL", M$6,$F$2,,,Ccy,Conv)</f>
        <v>0</v>
      </c>
      <c r="N540" s="18">
        <f>_xll.ciqfunctions.udf.CIQ($C$2,"IQ_INTERCOMPANY_NON_CL", N$6,$F$2,,,Ccy,Conv)</f>
        <v>0</v>
      </c>
      <c r="O540" s="30"/>
      <c r="P540" s="18">
        <f>_xll.ciqfunctions.udf.CIQ($C$2,"IQ_INTERCOMPANY_NON_CL", P$6,$F$2,,,Ccy,Conv)</f>
        <v>0</v>
      </c>
      <c r="Q540" s="215"/>
      <c r="R540" s="215"/>
      <c r="S540" s="215"/>
      <c r="T540" s="215"/>
      <c r="U540" s="215"/>
      <c r="V540" s="222"/>
      <c r="W540" s="222"/>
      <c r="X540" s="222"/>
      <c r="Y540" s="215"/>
      <c r="Z540" s="215"/>
      <c r="AA540" s="215"/>
      <c r="AB540" s="215"/>
      <c r="AC540" s="215"/>
      <c r="AD540" s="215"/>
      <c r="AE540" s="215"/>
      <c r="AF540" s="215"/>
      <c r="AG540" s="215"/>
      <c r="AH540" s="215"/>
      <c r="AI540" s="215"/>
      <c r="AJ540" s="215"/>
      <c r="AK540" s="215"/>
      <c r="AL540" s="215"/>
      <c r="AM540" s="215"/>
      <c r="AN540" s="215"/>
      <c r="AO540" s="215"/>
      <c r="AP540" s="215"/>
      <c r="AQ540" s="215"/>
      <c r="AR540" s="215"/>
      <c r="AS540" s="215"/>
      <c r="AT540" s="215"/>
      <c r="AU540" s="215"/>
      <c r="AV540" s="215"/>
      <c r="AW540" s="215"/>
      <c r="AX540" s="215"/>
      <c r="AY540" s="215"/>
      <c r="AZ540" s="215"/>
      <c r="BA540" s="215"/>
      <c r="BB540" s="215"/>
      <c r="BC540" s="215"/>
      <c r="BD540" s="215"/>
      <c r="BE540" s="215"/>
      <c r="BF540" s="215"/>
      <c r="BG540" s="215"/>
      <c r="BH540" s="215"/>
      <c r="BI540" s="215"/>
      <c r="BJ540" s="215"/>
      <c r="BK540" s="215"/>
      <c r="BL540" s="215"/>
      <c r="BM540" s="215"/>
      <c r="BN540" s="215"/>
      <c r="BO540" s="215"/>
      <c r="BP540" s="215"/>
      <c r="BQ540" s="215"/>
      <c r="BR540" s="215"/>
      <c r="BS540" s="215"/>
      <c r="BT540" s="215"/>
      <c r="BU540" s="215"/>
      <c r="BV540" s="215"/>
      <c r="BW540" s="215"/>
      <c r="BX540" s="215"/>
      <c r="BY540" s="215"/>
      <c r="BZ540" s="215"/>
    </row>
    <row r="541" spans="1:78" x14ac:dyDescent="0.2">
      <c r="A541" s="2" t="str">
        <f>'Language Index'!A159</f>
        <v>Filing Currency</v>
      </c>
      <c r="B541" s="38"/>
      <c r="C541" s="38"/>
      <c r="D541" s="40" t="str">
        <f>_xll.ciqfunctions.udf.CIQ($C$2, "IQ_FILING_CURRENCY", D$6,$F$2)</f>
        <v>USD</v>
      </c>
      <c r="E541" s="40" t="str">
        <f>_xll.ciqfunctions.udf.CIQ($C$2, "IQ_FILING_CURRENCY", E$6,$F$2)</f>
        <v>USD</v>
      </c>
      <c r="F541" s="40" t="str">
        <f>_xll.ciqfunctions.udf.CIQ($C$2, "IQ_FILING_CURRENCY", F$6,$F$2)</f>
        <v>USD</v>
      </c>
      <c r="G541" s="40" t="str">
        <f>_xll.ciqfunctions.udf.CIQ($C$2, "IQ_FILING_CURRENCY", G$6,$F$2)</f>
        <v>USD</v>
      </c>
      <c r="H541" s="40" t="str">
        <f>_xll.ciqfunctions.udf.CIQ($C$2, "IQ_FILING_CURRENCY", H$6,$F$2)</f>
        <v>USD</v>
      </c>
      <c r="I541" s="40" t="str">
        <f>_xll.ciqfunctions.udf.CIQ($C$2, "IQ_FILING_CURRENCY", I$6,$F$2)</f>
        <v>USD</v>
      </c>
      <c r="J541" s="40" t="str">
        <f>_xll.ciqfunctions.udf.CIQ($C$2, "IQ_FILING_CURRENCY", J$6,$F$2)</f>
        <v>USD</v>
      </c>
      <c r="K541" s="40" t="str">
        <f>_xll.ciqfunctions.udf.CIQ($C$2, "IQ_FILING_CURRENCY", K$6,$F$2)</f>
        <v>USD</v>
      </c>
      <c r="L541" s="40" t="str">
        <f>_xll.ciqfunctions.udf.CIQ($C$2, "IQ_FILING_CURRENCY", L$6,$F$2)</f>
        <v>USD</v>
      </c>
      <c r="M541" s="40" t="str">
        <f>_xll.ciqfunctions.udf.CIQ($C$2, "IQ_FILING_CURRENCY", M$6,$F$2)</f>
        <v>USD</v>
      </c>
      <c r="N541" s="40" t="str">
        <f>_xll.ciqfunctions.udf.CIQ($C$2, "IQ_FILING_CURRENCY", N$6,$F$2)</f>
        <v>USD</v>
      </c>
      <c r="O541" s="30"/>
      <c r="P541" s="40" t="str">
        <f>_xll.ciqfunctions.udf.CIQ($C$2, "IQ_FILING_CURRENCY", P$6,$F$2)</f>
        <v>USD</v>
      </c>
      <c r="Q541" s="215"/>
      <c r="R541" s="215"/>
      <c r="S541" s="215"/>
      <c r="T541" s="215"/>
      <c r="U541" s="215"/>
      <c r="V541" s="222"/>
      <c r="W541" s="222"/>
      <c r="X541" s="222"/>
      <c r="Y541" s="215"/>
      <c r="Z541" s="215"/>
      <c r="AA541" s="215"/>
      <c r="AB541" s="215"/>
      <c r="AC541" s="215"/>
      <c r="AD541" s="215"/>
      <c r="AE541" s="215"/>
      <c r="AF541" s="215"/>
      <c r="AG541" s="215"/>
      <c r="AH541" s="215"/>
      <c r="AI541" s="215"/>
      <c r="AJ541" s="215"/>
      <c r="AK541" s="215"/>
      <c r="AL541" s="215"/>
      <c r="AM541" s="215"/>
      <c r="AN541" s="215"/>
      <c r="AO541" s="215"/>
      <c r="AP541" s="215"/>
      <c r="AQ541" s="215"/>
      <c r="AR541" s="215"/>
      <c r="AS541" s="215"/>
      <c r="AT541" s="215"/>
      <c r="AU541" s="215"/>
      <c r="AV541" s="215"/>
      <c r="AW541" s="215"/>
      <c r="AX541" s="215"/>
      <c r="AY541" s="215"/>
      <c r="AZ541" s="215"/>
      <c r="BA541" s="215"/>
      <c r="BB541" s="215"/>
      <c r="BC541" s="215"/>
      <c r="BD541" s="215"/>
      <c r="BE541" s="215"/>
      <c r="BF541" s="215"/>
      <c r="BG541" s="215"/>
      <c r="BH541" s="215"/>
      <c r="BI541" s="215"/>
      <c r="BJ541" s="215"/>
      <c r="BK541" s="215"/>
      <c r="BL541" s="215"/>
      <c r="BM541" s="215"/>
      <c r="BN541" s="215"/>
      <c r="BO541" s="215"/>
      <c r="BP541" s="215"/>
      <c r="BQ541" s="215"/>
      <c r="BR541" s="215"/>
      <c r="BS541" s="215"/>
      <c r="BT541" s="215"/>
      <c r="BU541" s="215"/>
      <c r="BV541" s="215"/>
      <c r="BW541" s="215"/>
      <c r="BX541" s="215"/>
      <c r="BY541" s="215"/>
      <c r="BZ541" s="215"/>
    </row>
    <row r="542" spans="1:78" x14ac:dyDescent="0.2">
      <c r="A542" s="2" t="str">
        <f>'Language Index'!A160</f>
        <v>Restatement Type</v>
      </c>
      <c r="B542" s="38"/>
      <c r="C542" s="38"/>
      <c r="D542" s="40" t="str">
        <f>_xll.ciqfunctions.udf.CIQ($C$2, "IQ_RESTATEMENT_BS",D$6,$F$2)</f>
        <v>NC</v>
      </c>
      <c r="E542" s="40" t="str">
        <f>_xll.ciqfunctions.udf.CIQ($C$2, "IQ_RESTATEMENT_BS",E$6,$F$2)</f>
        <v>NC</v>
      </c>
      <c r="F542" s="40" t="str">
        <f>_xll.ciqfunctions.udf.CIQ($C$2, "IQ_RESTATEMENT_BS",F$6,$F$2)</f>
        <v>NC</v>
      </c>
      <c r="G542" s="40" t="str">
        <f>_xll.ciqfunctions.udf.CIQ($C$2, "IQ_RESTATEMENT_BS",G$6,$F$2)</f>
        <v>NC</v>
      </c>
      <c r="H542" s="40" t="str">
        <f>_xll.ciqfunctions.udf.CIQ($C$2, "IQ_RESTATEMENT_BS",H$6,$F$2)</f>
        <v>NC</v>
      </c>
      <c r="I542" s="40" t="str">
        <f>_xll.ciqfunctions.udf.CIQ($C$2, "IQ_RESTATEMENT_BS",I$6,$F$2)</f>
        <v>NC</v>
      </c>
      <c r="J542" s="40" t="str">
        <f>_xll.ciqfunctions.udf.CIQ($C$2, "IQ_RESTATEMENT_BS",J$6,$F$2)</f>
        <v>NC</v>
      </c>
      <c r="K542" s="40" t="str">
        <f>_xll.ciqfunctions.udf.CIQ($C$2, "IQ_RESTATEMENT_BS",K$6,$F$2)</f>
        <v>O</v>
      </c>
      <c r="L542" s="40" t="str">
        <f>_xll.ciqfunctions.udf.CIQ($C$2, "IQ_RESTATEMENT_BS",L$6,$F$2)</f>
        <v>O</v>
      </c>
      <c r="M542" s="40" t="str">
        <f>_xll.ciqfunctions.udf.CIQ($C$2, "IQ_RESTATEMENT_BS",M$6,$F$2)</f>
        <v>O</v>
      </c>
      <c r="N542" s="40" t="str">
        <f>_xll.ciqfunctions.udf.CIQ($C$2, "IQ_RESTATEMENT_BS",N$6,$F$2)</f>
        <v>O</v>
      </c>
      <c r="O542" s="30"/>
      <c r="P542" s="40" t="str">
        <f>_xll.ciqfunctions.udf.CIQ($C$2, "IQ_RESTATEMENT_BS",P$6,$F$2)</f>
        <v>O</v>
      </c>
      <c r="Q542" s="215"/>
      <c r="R542" s="215"/>
      <c r="S542" s="215"/>
      <c r="T542" s="215"/>
      <c r="U542" s="215"/>
      <c r="V542" s="222"/>
      <c r="W542" s="222"/>
      <c r="X542" s="222"/>
      <c r="Y542" s="215"/>
      <c r="Z542" s="215"/>
      <c r="AA542" s="215"/>
      <c r="AB542" s="215"/>
      <c r="AC542" s="215"/>
      <c r="AD542" s="215"/>
      <c r="AE542" s="215"/>
      <c r="AF542" s="215"/>
      <c r="AG542" s="215"/>
      <c r="AH542" s="215"/>
      <c r="AI542" s="215"/>
      <c r="AJ542" s="215"/>
      <c r="AK542" s="215"/>
      <c r="AL542" s="215"/>
      <c r="AM542" s="215"/>
      <c r="AN542" s="215"/>
      <c r="AO542" s="215"/>
      <c r="AP542" s="215"/>
      <c r="AQ542" s="215"/>
      <c r="AR542" s="215"/>
      <c r="AS542" s="215"/>
      <c r="AT542" s="215"/>
      <c r="AU542" s="215"/>
      <c r="AV542" s="215"/>
      <c r="AW542" s="215"/>
      <c r="AX542" s="215"/>
      <c r="AY542" s="215"/>
      <c r="AZ542" s="215"/>
      <c r="BA542" s="215"/>
      <c r="BB542" s="215"/>
      <c r="BC542" s="215"/>
      <c r="BD542" s="215"/>
      <c r="BE542" s="215"/>
      <c r="BF542" s="215"/>
      <c r="BG542" s="215"/>
      <c r="BH542" s="215"/>
      <c r="BI542" s="215"/>
      <c r="BJ542" s="215"/>
      <c r="BK542" s="215"/>
      <c r="BL542" s="215"/>
      <c r="BM542" s="215"/>
      <c r="BN542" s="215"/>
      <c r="BO542" s="215"/>
      <c r="BP542" s="215"/>
      <c r="BQ542" s="215"/>
      <c r="BR542" s="215"/>
      <c r="BS542" s="215"/>
      <c r="BT542" s="215"/>
      <c r="BU542" s="215"/>
      <c r="BV542" s="215"/>
      <c r="BW542" s="215"/>
      <c r="BX542" s="215"/>
      <c r="BY542" s="215"/>
      <c r="BZ542" s="215"/>
    </row>
    <row r="543" spans="1:78" x14ac:dyDescent="0.2">
      <c r="A543" s="2" t="str">
        <f>'Language Index'!A161</f>
        <v>Calculation Type</v>
      </c>
      <c r="B543" s="38"/>
      <c r="C543" s="38"/>
      <c r="D543" s="40" t="str">
        <f>_xll.ciqfunctions.udf.CIQ($C$2, "IQ_CALC_TYPE_BS",D$6,$F$2)</f>
        <v>RUP</v>
      </c>
      <c r="E543" s="40" t="str">
        <f>_xll.ciqfunctions.udf.CIQ($C$2, "IQ_CALC_TYPE_BS",E$6,$F$2)</f>
        <v>RUP</v>
      </c>
      <c r="F543" s="40" t="str">
        <f>_xll.ciqfunctions.udf.CIQ($C$2, "IQ_CALC_TYPE_BS",F$6,$F$2)</f>
        <v>RUP</v>
      </c>
      <c r="G543" s="40" t="str">
        <f>_xll.ciqfunctions.udf.CIQ($C$2, "IQ_CALC_TYPE_BS",G$6,$F$2)</f>
        <v>RUP</v>
      </c>
      <c r="H543" s="40" t="str">
        <f>_xll.ciqfunctions.udf.CIQ($C$2, "IQ_CALC_TYPE_BS",H$6,$F$2)</f>
        <v>RUP</v>
      </c>
      <c r="I543" s="40" t="str">
        <f>_xll.ciqfunctions.udf.CIQ($C$2, "IQ_CALC_TYPE_BS",I$6,$F$2)</f>
        <v>RUP</v>
      </c>
      <c r="J543" s="40" t="str">
        <f>_xll.ciqfunctions.udf.CIQ($C$2, "IQ_CALC_TYPE_BS",J$6,$F$2)</f>
        <v>REP</v>
      </c>
      <c r="K543" s="40" t="str">
        <f>_xll.ciqfunctions.udf.CIQ($C$2, "IQ_CALC_TYPE_BS",K$6,$F$2)</f>
        <v>REP</v>
      </c>
      <c r="L543" s="40" t="str">
        <f>_xll.ciqfunctions.udf.CIQ($C$2, "IQ_CALC_TYPE_BS",L$6,$F$2)</f>
        <v>REP</v>
      </c>
      <c r="M543" s="40" t="str">
        <f>_xll.ciqfunctions.udf.CIQ($C$2, "IQ_CALC_TYPE_BS",M$6,$F$2)</f>
        <v>REP</v>
      </c>
      <c r="N543" s="40" t="str">
        <f>_xll.ciqfunctions.udf.CIQ($C$2, "IQ_CALC_TYPE_BS",N$6,$F$2)</f>
        <v>REP</v>
      </c>
      <c r="O543" s="30"/>
      <c r="P543" s="40" t="str">
        <f>_xll.ciqfunctions.udf.CIQ($C$2, "IQ_CALC_TYPE_BS",P$6,$F$2)</f>
        <v>REP</v>
      </c>
      <c r="Q543" s="215"/>
      <c r="R543" s="215"/>
      <c r="S543" s="215"/>
      <c r="T543" s="215"/>
      <c r="U543" s="215"/>
      <c r="V543" s="222"/>
      <c r="W543" s="222"/>
      <c r="X543" s="222"/>
      <c r="Y543" s="215"/>
      <c r="Z543" s="215"/>
      <c r="AA543" s="215"/>
      <c r="AB543" s="215"/>
      <c r="AC543" s="215"/>
      <c r="AD543" s="215"/>
      <c r="AE543" s="215"/>
      <c r="AF543" s="215"/>
      <c r="AG543" s="215"/>
      <c r="AH543" s="215"/>
      <c r="AI543" s="215"/>
      <c r="AJ543" s="215"/>
      <c r="AK543" s="215"/>
      <c r="AL543" s="215"/>
      <c r="AM543" s="215"/>
      <c r="AN543" s="215"/>
      <c r="AO543" s="215"/>
      <c r="AP543" s="215"/>
      <c r="AQ543" s="215"/>
      <c r="AR543" s="215"/>
      <c r="AS543" s="215"/>
      <c r="AT543" s="215"/>
      <c r="AU543" s="215"/>
      <c r="AV543" s="215"/>
      <c r="AW543" s="215"/>
      <c r="AX543" s="215"/>
      <c r="AY543" s="215"/>
      <c r="AZ543" s="215"/>
      <c r="BA543" s="215"/>
      <c r="BB543" s="215"/>
      <c r="BC543" s="215"/>
      <c r="BD543" s="215"/>
      <c r="BE543" s="215"/>
      <c r="BF543" s="215"/>
      <c r="BG543" s="215"/>
      <c r="BH543" s="215"/>
      <c r="BI543" s="215"/>
      <c r="BJ543" s="215"/>
      <c r="BK543" s="215"/>
      <c r="BL543" s="215"/>
      <c r="BM543" s="215"/>
      <c r="BN543" s="215"/>
      <c r="BO543" s="215"/>
      <c r="BP543" s="215"/>
      <c r="BQ543" s="215"/>
      <c r="BR543" s="215"/>
      <c r="BS543" s="215"/>
      <c r="BT543" s="215"/>
      <c r="BU543" s="215"/>
      <c r="BV543" s="215"/>
      <c r="BW543" s="215"/>
      <c r="BX543" s="215"/>
      <c r="BY543" s="215"/>
      <c r="BZ543" s="215"/>
    </row>
    <row r="544" spans="1:78" x14ac:dyDescent="0.2">
      <c r="A544" s="2" t="str">
        <f>'Language Index'!A162</f>
        <v>Financial Accounting Standard</v>
      </c>
      <c r="B544" s="38"/>
      <c r="C544" s="38"/>
      <c r="D544" s="40" t="str">
        <f>_xll.ciqfunctions.udf.CIQ($C$2, "IQ_GAAP_BS",D$6,$F$2)</f>
        <v>US GAAP</v>
      </c>
      <c r="E544" s="40" t="str">
        <f>_xll.ciqfunctions.udf.CIQ($C$2, "IQ_GAAP_BS",E$6,$F$2)</f>
        <v>US GAAP</v>
      </c>
      <c r="F544" s="40" t="str">
        <f>_xll.ciqfunctions.udf.CIQ($C$2, "IQ_GAAP_BS",F$6,$F$2)</f>
        <v>US GAAP</v>
      </c>
      <c r="G544" s="40" t="str">
        <f>_xll.ciqfunctions.udf.CIQ($C$2, "IQ_GAAP_BS",G$6,$F$2)</f>
        <v>US GAAP</v>
      </c>
      <c r="H544" s="40" t="str">
        <f>_xll.ciqfunctions.udf.CIQ($C$2, "IQ_GAAP_BS",H$6,$F$2)</f>
        <v>US GAAP</v>
      </c>
      <c r="I544" s="40" t="str">
        <f>_xll.ciqfunctions.udf.CIQ($C$2, "IQ_GAAP_BS",I$6,$F$2)</f>
        <v>US GAAP</v>
      </c>
      <c r="J544" s="40" t="str">
        <f>_xll.ciqfunctions.udf.CIQ($C$2, "IQ_GAAP_BS",J$6,$F$2)</f>
        <v>US GAAP</v>
      </c>
      <c r="K544" s="40" t="str">
        <f>_xll.ciqfunctions.udf.CIQ($C$2, "IQ_GAAP_BS",K$6,$F$2)</f>
        <v>US GAAP</v>
      </c>
      <c r="L544" s="40" t="str">
        <f>_xll.ciqfunctions.udf.CIQ($C$2, "IQ_GAAP_BS",L$6,$F$2)</f>
        <v>US GAAP</v>
      </c>
      <c r="M544" s="40" t="str">
        <f>_xll.ciqfunctions.udf.CIQ($C$2, "IQ_GAAP_BS",M$6,$F$2)</f>
        <v>US GAAP</v>
      </c>
      <c r="N544" s="40" t="str">
        <f>_xll.ciqfunctions.udf.CIQ($C$2, "IQ_GAAP_BS",N$6,$F$2)</f>
        <v>US GAAP</v>
      </c>
      <c r="O544" s="30"/>
      <c r="P544" s="40" t="str">
        <f>_xll.ciqfunctions.udf.CIQ($C$2, "IQ_GAAP_BS",P$6,$F$2)</f>
        <v>US GAAP</v>
      </c>
      <c r="Q544" s="215"/>
      <c r="R544" s="215"/>
      <c r="S544" s="215"/>
      <c r="T544" s="215"/>
      <c r="U544" s="215"/>
      <c r="V544" s="222"/>
      <c r="W544" s="222"/>
      <c r="X544" s="222"/>
      <c r="Y544" s="215"/>
      <c r="Z544" s="215"/>
      <c r="AA544" s="215"/>
      <c r="AB544" s="215"/>
      <c r="AC544" s="215"/>
      <c r="AD544" s="215"/>
      <c r="AE544" s="215"/>
      <c r="AF544" s="215"/>
      <c r="AG544" s="215"/>
      <c r="AH544" s="215"/>
      <c r="AI544" s="215"/>
      <c r="AJ544" s="215"/>
      <c r="AK544" s="215"/>
      <c r="AL544" s="215"/>
      <c r="AM544" s="215"/>
      <c r="AN544" s="215"/>
      <c r="AO544" s="215"/>
      <c r="AP544" s="215"/>
      <c r="AQ544" s="215"/>
      <c r="AR544" s="215"/>
      <c r="AS544" s="215"/>
      <c r="AT544" s="215"/>
      <c r="AU544" s="215"/>
      <c r="AV544" s="215"/>
      <c r="AW544" s="215"/>
      <c r="AX544" s="215"/>
      <c r="AY544" s="215"/>
      <c r="AZ544" s="215"/>
      <c r="BA544" s="215"/>
      <c r="BB544" s="215"/>
      <c r="BC544" s="215"/>
      <c r="BD544" s="215"/>
      <c r="BE544" s="215"/>
      <c r="BF544" s="215"/>
      <c r="BG544" s="215"/>
      <c r="BH544" s="215"/>
      <c r="BI544" s="215"/>
      <c r="BJ544" s="215"/>
      <c r="BK544" s="215"/>
      <c r="BL544" s="215"/>
      <c r="BM544" s="215"/>
      <c r="BN544" s="215"/>
      <c r="BO544" s="215"/>
      <c r="BP544" s="215"/>
      <c r="BQ544" s="215"/>
      <c r="BR544" s="215"/>
      <c r="BS544" s="215"/>
      <c r="BT544" s="215"/>
      <c r="BU544" s="215"/>
      <c r="BV544" s="215"/>
      <c r="BW544" s="215"/>
      <c r="BX544" s="215"/>
      <c r="BY544" s="215"/>
      <c r="BZ544" s="215"/>
    </row>
    <row r="545" spans="1:78" x14ac:dyDescent="0.2">
      <c r="A545" s="2" t="str">
        <f>'Language Index'!A491</f>
        <v>Auditor Name</v>
      </c>
      <c r="B545" s="38"/>
      <c r="C545" s="38"/>
      <c r="D545" s="40">
        <f>_xll.ciqfunctions.udf.CIQ($C$2, "IQ_AUDITOR_NAME",D$6,$F$2)</f>
        <v>0</v>
      </c>
      <c r="E545" s="40">
        <f>_xll.ciqfunctions.udf.CIQ($C$2, "IQ_AUDITOR_NAME",E$6,$F$2)</f>
        <v>0</v>
      </c>
      <c r="F545" s="40">
        <f>_xll.ciqfunctions.udf.CIQ($C$2, "IQ_AUDITOR_NAME",F$6,$F$2)</f>
        <v>0</v>
      </c>
      <c r="G545" s="40">
        <f>_xll.ciqfunctions.udf.CIQ($C$2, "IQ_AUDITOR_NAME",G$6,$F$2)</f>
        <v>0</v>
      </c>
      <c r="H545" s="40">
        <f>_xll.ciqfunctions.udf.CIQ($C$2, "IQ_AUDITOR_NAME",H$6,$F$2)</f>
        <v>0</v>
      </c>
      <c r="I545" s="40">
        <f>_xll.ciqfunctions.udf.CIQ($C$2, "IQ_AUDITOR_NAME",I$6,$F$2)</f>
        <v>0</v>
      </c>
      <c r="J545" s="40">
        <f>_xll.ciqfunctions.udf.CIQ($C$2, "IQ_AUDITOR_NAME",J$6,$F$2)</f>
        <v>0</v>
      </c>
      <c r="K545" s="40">
        <f>_xll.ciqfunctions.udf.CIQ($C$2, "IQ_AUDITOR_NAME",K$6,$F$2)</f>
        <v>0</v>
      </c>
      <c r="L545" s="40">
        <f>_xll.ciqfunctions.udf.CIQ($C$2, "IQ_AUDITOR_NAME",L$6,$F$2)</f>
        <v>0</v>
      </c>
      <c r="M545" s="40">
        <f>_xll.ciqfunctions.udf.CIQ($C$2, "IQ_AUDITOR_NAME",M$6,$F$2)</f>
        <v>0</v>
      </c>
      <c r="N545" s="40">
        <f>_xll.ciqfunctions.udf.CIQ($C$2, "IQ_AUDITOR_NAME",N$6,$F$2)</f>
        <v>0</v>
      </c>
      <c r="O545" s="30"/>
      <c r="P545" s="40">
        <f>_xll.ciqfunctions.udf.CIQ($C$2, "IQ_AUDITOR_NAME",P$6,$F$2)</f>
        <v>0</v>
      </c>
      <c r="Q545" s="215"/>
      <c r="R545" s="215"/>
      <c r="S545" s="215"/>
      <c r="T545" s="215"/>
      <c r="U545" s="215"/>
      <c r="V545" s="222"/>
      <c r="W545" s="222"/>
      <c r="X545" s="222"/>
      <c r="Y545" s="215"/>
      <c r="Z545" s="215"/>
      <c r="AA545" s="215"/>
      <c r="AB545" s="215"/>
      <c r="AC545" s="215"/>
      <c r="AD545" s="215"/>
      <c r="AE545" s="215"/>
      <c r="AF545" s="215"/>
      <c r="AG545" s="215"/>
      <c r="AH545" s="215"/>
      <c r="AI545" s="215"/>
      <c r="AJ545" s="215"/>
      <c r="AK545" s="215"/>
      <c r="AL545" s="215"/>
      <c r="AM545" s="215"/>
      <c r="AN545" s="215"/>
      <c r="AO545" s="215"/>
      <c r="AP545" s="215"/>
      <c r="AQ545" s="215"/>
      <c r="AR545" s="215"/>
      <c r="AS545" s="215"/>
      <c r="AT545" s="215"/>
      <c r="AU545" s="215"/>
      <c r="AV545" s="215"/>
      <c r="AW545" s="215"/>
      <c r="AX545" s="215"/>
      <c r="AY545" s="215"/>
      <c r="AZ545" s="215"/>
      <c r="BA545" s="215"/>
      <c r="BB545" s="215"/>
      <c r="BC545" s="215"/>
      <c r="BD545" s="215"/>
      <c r="BE545" s="215"/>
      <c r="BF545" s="215"/>
      <c r="BG545" s="215"/>
      <c r="BH545" s="215"/>
      <c r="BI545" s="215"/>
      <c r="BJ545" s="215"/>
      <c r="BK545" s="215"/>
      <c r="BL545" s="215"/>
      <c r="BM545" s="215"/>
      <c r="BN545" s="215"/>
      <c r="BO545" s="215"/>
      <c r="BP545" s="215"/>
      <c r="BQ545" s="215"/>
      <c r="BR545" s="215"/>
      <c r="BS545" s="215"/>
      <c r="BT545" s="215"/>
      <c r="BU545" s="215"/>
      <c r="BV545" s="215"/>
      <c r="BW545" s="215"/>
      <c r="BX545" s="215"/>
      <c r="BY545" s="215"/>
      <c r="BZ545" s="215"/>
    </row>
    <row r="546" spans="1:78" outlineLevel="1" x14ac:dyDescent="0.2">
      <c r="A546" s="2" t="str">
        <f>'Language Index'!A492</f>
        <v>Auditor Opinion</v>
      </c>
      <c r="B546" s="38"/>
      <c r="C546" s="38"/>
      <c r="D546" s="40">
        <f>_xll.ciqfunctions.udf.CIQ($C$2, "IQ_AUDITOR_OPINION",D$6,$F$2)</f>
        <v>0</v>
      </c>
      <c r="E546" s="40">
        <f>_xll.ciqfunctions.udf.CIQ($C$2, "IQ_AUDITOR_OPINION",E$6,$F$2)</f>
        <v>0</v>
      </c>
      <c r="F546" s="40">
        <f>_xll.ciqfunctions.udf.CIQ($C$2, "IQ_AUDITOR_OPINION",F$6,$F$2)</f>
        <v>0</v>
      </c>
      <c r="G546" s="40">
        <f>_xll.ciqfunctions.udf.CIQ($C$2, "IQ_AUDITOR_OPINION",G$6,$F$2)</f>
        <v>0</v>
      </c>
      <c r="H546" s="40">
        <f>_xll.ciqfunctions.udf.CIQ($C$2, "IQ_AUDITOR_OPINION",H$6,$F$2)</f>
        <v>0</v>
      </c>
      <c r="I546" s="40">
        <f>_xll.ciqfunctions.udf.CIQ($C$2, "IQ_AUDITOR_OPINION",I$6,$F$2)</f>
        <v>0</v>
      </c>
      <c r="J546" s="40">
        <f>_xll.ciqfunctions.udf.CIQ($C$2, "IQ_AUDITOR_OPINION",J$6,$F$2)</f>
        <v>0</v>
      </c>
      <c r="K546" s="40">
        <f>_xll.ciqfunctions.udf.CIQ($C$2, "IQ_AUDITOR_OPINION",K$6,$F$2)</f>
        <v>0</v>
      </c>
      <c r="L546" s="40">
        <f>_xll.ciqfunctions.udf.CIQ($C$2, "IQ_AUDITOR_OPINION",L$6,$F$2)</f>
        <v>0</v>
      </c>
      <c r="M546" s="40">
        <f>_xll.ciqfunctions.udf.CIQ($C$2, "IQ_AUDITOR_OPINION",M$6,$F$2)</f>
        <v>0</v>
      </c>
      <c r="N546" s="40">
        <f>_xll.ciqfunctions.udf.CIQ($C$2, "IQ_AUDITOR_OPINION",N$6,$F$2)</f>
        <v>0</v>
      </c>
      <c r="O546" s="30"/>
      <c r="P546" s="40">
        <f>_xll.ciqfunctions.udf.CIQ($C$2, "IQ_AUDITOR_OPINION",P$6,$F$2)</f>
        <v>0</v>
      </c>
      <c r="Q546" s="215"/>
      <c r="R546" s="215"/>
      <c r="S546" s="215"/>
      <c r="T546" s="215"/>
      <c r="U546" s="215"/>
      <c r="V546" s="222"/>
      <c r="W546" s="222"/>
      <c r="X546" s="222"/>
      <c r="Y546" s="215"/>
      <c r="Z546" s="215"/>
      <c r="AA546" s="215"/>
      <c r="AB546" s="215"/>
      <c r="AC546" s="215"/>
      <c r="AD546" s="215"/>
      <c r="AE546" s="215"/>
      <c r="AF546" s="215"/>
      <c r="AG546" s="215"/>
      <c r="AH546" s="215"/>
      <c r="AI546" s="215"/>
      <c r="AJ546" s="215"/>
      <c r="AK546" s="215"/>
      <c r="AL546" s="215"/>
      <c r="AM546" s="215"/>
      <c r="AN546" s="215"/>
      <c r="AO546" s="215"/>
      <c r="AP546" s="215"/>
      <c r="AQ546" s="215"/>
      <c r="AR546" s="215"/>
      <c r="AS546" s="215"/>
      <c r="AT546" s="215"/>
      <c r="AU546" s="215"/>
      <c r="AV546" s="215"/>
      <c r="AW546" s="215"/>
      <c r="AX546" s="215"/>
      <c r="AY546" s="215"/>
      <c r="AZ546" s="215"/>
      <c r="BA546" s="215"/>
      <c r="BB546" s="215"/>
      <c r="BC546" s="215"/>
      <c r="BD546" s="215"/>
      <c r="BE546" s="215"/>
      <c r="BF546" s="215"/>
      <c r="BG546" s="215"/>
      <c r="BH546" s="215"/>
      <c r="BI546" s="215"/>
      <c r="BJ546" s="215"/>
      <c r="BK546" s="215"/>
      <c r="BL546" s="215"/>
      <c r="BM546" s="215"/>
      <c r="BN546" s="215"/>
      <c r="BO546" s="215"/>
      <c r="BP546" s="215"/>
      <c r="BQ546" s="215"/>
      <c r="BR546" s="215"/>
      <c r="BS546" s="215"/>
      <c r="BT546" s="215"/>
      <c r="BU546" s="215"/>
      <c r="BV546" s="215"/>
      <c r="BW546" s="215"/>
      <c r="BX546" s="215"/>
      <c r="BY546" s="215"/>
      <c r="BZ546" s="215"/>
    </row>
    <row r="547" spans="1:78" outlineLevel="1" x14ac:dyDescent="0.2">
      <c r="A547" s="32"/>
      <c r="B547" s="17"/>
      <c r="C547" s="17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30"/>
      <c r="P547" s="18"/>
      <c r="Q547" s="215"/>
      <c r="R547" s="215"/>
      <c r="S547" s="215"/>
      <c r="T547" s="215"/>
      <c r="U547" s="215"/>
      <c r="V547" s="222"/>
      <c r="W547" s="222"/>
      <c r="X547" s="222"/>
      <c r="Y547" s="215"/>
      <c r="Z547" s="215"/>
      <c r="AA547" s="215"/>
      <c r="AB547" s="215"/>
      <c r="AC547" s="215"/>
      <c r="AD547" s="215"/>
      <c r="AE547" s="215"/>
      <c r="AF547" s="215"/>
      <c r="AG547" s="215"/>
      <c r="AH547" s="215"/>
      <c r="AI547" s="215"/>
      <c r="AJ547" s="215"/>
      <c r="AK547" s="215"/>
      <c r="AL547" s="215"/>
      <c r="AM547" s="215"/>
      <c r="AN547" s="215"/>
      <c r="AO547" s="215"/>
      <c r="AP547" s="215"/>
      <c r="AQ547" s="215"/>
      <c r="AR547" s="215"/>
      <c r="AS547" s="215"/>
      <c r="AT547" s="215"/>
      <c r="AU547" s="215"/>
      <c r="AV547" s="215"/>
      <c r="AW547" s="215"/>
      <c r="AX547" s="215"/>
      <c r="AY547" s="215"/>
      <c r="AZ547" s="215"/>
      <c r="BA547" s="215"/>
      <c r="BB547" s="215"/>
      <c r="BC547" s="215"/>
      <c r="BD547" s="215"/>
      <c r="BE547" s="215"/>
      <c r="BF547" s="215"/>
      <c r="BG547" s="215"/>
      <c r="BH547" s="215"/>
      <c r="BI547" s="215"/>
      <c r="BJ547" s="215"/>
      <c r="BK547" s="215"/>
      <c r="BL547" s="215"/>
      <c r="BM547" s="215"/>
      <c r="BN547" s="215"/>
      <c r="BO547" s="215"/>
      <c r="BP547" s="215"/>
      <c r="BQ547" s="215"/>
      <c r="BR547" s="215"/>
      <c r="BS547" s="215"/>
      <c r="BT547" s="215"/>
      <c r="BU547" s="215"/>
      <c r="BV547" s="215"/>
      <c r="BW547" s="215"/>
      <c r="BX547" s="215"/>
      <c r="BY547" s="215"/>
      <c r="BZ547" s="215"/>
    </row>
    <row r="548" spans="1:78" outlineLevel="1" x14ac:dyDescent="0.2">
      <c r="A548" s="1"/>
      <c r="B548" s="1"/>
      <c r="C548" s="1"/>
      <c r="D548" s="14" t="str">
        <f>$D$9</f>
        <v>Last Twelve Months Ended,</v>
      </c>
      <c r="E548" s="14"/>
      <c r="F548" s="15"/>
      <c r="G548" s="15"/>
      <c r="H548" s="15"/>
      <c r="I548" s="15"/>
      <c r="J548" s="15"/>
      <c r="K548" s="15"/>
      <c r="L548" s="15"/>
      <c r="M548" s="15"/>
      <c r="N548" s="15"/>
      <c r="O548" s="4"/>
      <c r="P548" s="14" t="str">
        <f>'Language Index'!A14</f>
        <v>LTM</v>
      </c>
      <c r="Q548" s="215"/>
      <c r="R548" s="215"/>
      <c r="S548" s="215"/>
      <c r="T548" s="215"/>
      <c r="U548" s="215"/>
      <c r="V548" s="222"/>
      <c r="W548" s="222"/>
      <c r="X548" s="222"/>
      <c r="Y548" s="215"/>
      <c r="Z548" s="215"/>
      <c r="AA548" s="215"/>
      <c r="AB548" s="215"/>
      <c r="AC548" s="215"/>
      <c r="AD548" s="215"/>
      <c r="AE548" s="215"/>
      <c r="AF548" s="215"/>
      <c r="AG548" s="215"/>
      <c r="AH548" s="215"/>
      <c r="AI548" s="215"/>
      <c r="AJ548" s="215"/>
      <c r="AK548" s="215"/>
      <c r="AL548" s="215"/>
      <c r="AM548" s="215"/>
      <c r="AN548" s="215"/>
      <c r="AO548" s="215"/>
      <c r="AP548" s="215"/>
      <c r="AQ548" s="215"/>
      <c r="AR548" s="215"/>
      <c r="AS548" s="215"/>
      <c r="AT548" s="215"/>
      <c r="AU548" s="215"/>
      <c r="AV548" s="215"/>
      <c r="AW548" s="215"/>
      <c r="AX548" s="215"/>
      <c r="AY548" s="215"/>
      <c r="AZ548" s="215"/>
      <c r="BA548" s="215"/>
      <c r="BB548" s="215"/>
      <c r="BC548" s="215"/>
      <c r="BD548" s="215"/>
      <c r="BE548" s="215"/>
      <c r="BF548" s="215"/>
      <c r="BG548" s="215"/>
      <c r="BH548" s="215"/>
      <c r="BI548" s="215"/>
      <c r="BJ548" s="215"/>
      <c r="BK548" s="215"/>
      <c r="BL548" s="215"/>
      <c r="BM548" s="215"/>
      <c r="BN548" s="215"/>
      <c r="BO548" s="215"/>
      <c r="BP548" s="215"/>
      <c r="BQ548" s="215"/>
      <c r="BR548" s="215"/>
      <c r="BS548" s="215"/>
      <c r="BT548" s="215"/>
      <c r="BU548" s="215"/>
      <c r="BV548" s="215"/>
      <c r="BW548" s="215"/>
      <c r="BX548" s="215"/>
      <c r="BY548" s="215"/>
      <c r="BZ548" s="215"/>
    </row>
    <row r="549" spans="1:78" outlineLevel="1" x14ac:dyDescent="0.2">
      <c r="A549" s="1"/>
      <c r="B549" s="1"/>
      <c r="C549" s="1"/>
      <c r="D549" s="64">
        <f>_xll.ciqfunctions.udf.CIQ($C$2, "IQ_PERIODDATE",D$6,$F$2)</f>
        <v>45107</v>
      </c>
      <c r="E549" s="64">
        <f>_xll.ciqfunctions.udf.CIQ($C$2, "IQ_PERIODDATE",E$6,$F$2)</f>
        <v>45199</v>
      </c>
      <c r="F549" s="64">
        <f>_xll.ciqfunctions.udf.CIQ($C$2, "IQ_PERIODDATE",F$6,$F$2)</f>
        <v>45291</v>
      </c>
      <c r="G549" s="64">
        <f>_xll.ciqfunctions.udf.CIQ($C$2, "IQ_PERIODDATE",G$6,$F$2)</f>
        <v>45382</v>
      </c>
      <c r="H549" s="64">
        <f>_xll.ciqfunctions.udf.CIQ($C$2, "IQ_PERIODDATE",H$6,$F$2)</f>
        <v>45473</v>
      </c>
      <c r="I549" s="64">
        <f>_xll.ciqfunctions.udf.CIQ($C$2, "IQ_PERIODDATE",I$6,$F$2)</f>
        <v>45565</v>
      </c>
      <c r="J549" s="64">
        <f>_xll.ciqfunctions.udf.CIQ($C$2, "IQ_PERIODDATE",J$6,$F$2)</f>
        <v>45657</v>
      </c>
      <c r="K549" s="64">
        <f>_xll.ciqfunctions.udf.CIQ($C$2, "IQ_PERIODDATE",K$6,$F$2)</f>
        <v>45747</v>
      </c>
      <c r="L549" s="64">
        <f>_xll.ciqfunctions.udf.CIQ($C$2, "IQ_PERIODDATE",L$6,$F$2)</f>
        <v>45838</v>
      </c>
      <c r="M549" s="64">
        <f>_xll.ciqfunctions.udf.CIQ($C$2, "IQ_PERIODDATE",M$6,$F$2)</f>
        <v>45930</v>
      </c>
      <c r="N549" s="64">
        <f>_xll.ciqfunctions.udf.CIQ($C$2, "IQ_PERIODDATE",N$6,$F$2)</f>
        <v>46022</v>
      </c>
      <c r="O549" s="65"/>
      <c r="P549" s="64">
        <f>_xll.ciqfunctions.udf.CIQ($C$2, "IQ_PERIODDATE",P$6,$F$2)</f>
        <v>46022</v>
      </c>
      <c r="Q549" s="215"/>
      <c r="R549" s="215"/>
      <c r="S549" s="215"/>
      <c r="T549" s="215"/>
      <c r="U549" s="215"/>
      <c r="V549" s="222"/>
      <c r="W549" s="222"/>
      <c r="X549" s="222"/>
      <c r="Y549" s="215"/>
      <c r="Z549" s="215"/>
      <c r="AA549" s="215"/>
      <c r="AB549" s="215"/>
      <c r="AC549" s="215"/>
      <c r="AD549" s="215"/>
      <c r="AE549" s="215"/>
      <c r="AF549" s="215"/>
      <c r="AG549" s="215"/>
      <c r="AH549" s="215"/>
      <c r="AI549" s="215"/>
      <c r="AJ549" s="215"/>
      <c r="AK549" s="215"/>
      <c r="AL549" s="215"/>
      <c r="AM549" s="215"/>
      <c r="AN549" s="215"/>
      <c r="AO549" s="215"/>
      <c r="AP549" s="215"/>
      <c r="AQ549" s="215"/>
      <c r="AR549" s="215"/>
      <c r="AS549" s="215"/>
      <c r="AT549" s="215"/>
      <c r="AU549" s="215"/>
      <c r="AV549" s="215"/>
      <c r="AW549" s="215"/>
      <c r="AX549" s="215"/>
      <c r="AY549" s="215"/>
      <c r="AZ549" s="215"/>
      <c r="BA549" s="215"/>
      <c r="BB549" s="215"/>
      <c r="BC549" s="215"/>
      <c r="BD549" s="215"/>
      <c r="BE549" s="215"/>
      <c r="BF549" s="215"/>
      <c r="BG549" s="215"/>
      <c r="BH549" s="215"/>
      <c r="BI549" s="215"/>
      <c r="BJ549" s="215"/>
      <c r="BK549" s="215"/>
      <c r="BL549" s="215"/>
      <c r="BM549" s="215"/>
      <c r="BN549" s="215"/>
      <c r="BO549" s="215"/>
      <c r="BP549" s="215"/>
      <c r="BQ549" s="215"/>
      <c r="BR549" s="215"/>
      <c r="BS549" s="215"/>
      <c r="BT549" s="215"/>
      <c r="BU549" s="215"/>
      <c r="BV549" s="215"/>
      <c r="BW549" s="215"/>
      <c r="BX549" s="215"/>
      <c r="BY549" s="215"/>
      <c r="BZ549" s="215"/>
    </row>
    <row r="550" spans="1:78" outlineLevel="1" x14ac:dyDescent="0.2">
      <c r="A550" s="9" t="str">
        <f>'Language Index'!A493</f>
        <v>Pension</v>
      </c>
      <c r="B550" s="17"/>
      <c r="C550" s="1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15"/>
      <c r="R550" s="215"/>
      <c r="S550" s="215"/>
      <c r="T550" s="215"/>
      <c r="U550" s="215"/>
      <c r="V550" s="222"/>
      <c r="W550" s="222"/>
      <c r="X550" s="222"/>
      <c r="Y550" s="215"/>
      <c r="Z550" s="215"/>
      <c r="AA550" s="215"/>
      <c r="AB550" s="215"/>
      <c r="AC550" s="215"/>
      <c r="AD550" s="215"/>
      <c r="AE550" s="215"/>
      <c r="AF550" s="215"/>
      <c r="AG550" s="215"/>
      <c r="AH550" s="215"/>
      <c r="AI550" s="215"/>
      <c r="AJ550" s="215"/>
      <c r="AK550" s="215"/>
      <c r="AL550" s="215"/>
      <c r="AM550" s="215"/>
      <c r="AN550" s="215"/>
      <c r="AO550" s="215"/>
      <c r="AP550" s="215"/>
      <c r="AQ550" s="215"/>
      <c r="AR550" s="215"/>
      <c r="AS550" s="215"/>
      <c r="AT550" s="215"/>
      <c r="AU550" s="215"/>
      <c r="AV550" s="215"/>
      <c r="AW550" s="215"/>
      <c r="AX550" s="215"/>
      <c r="AY550" s="215"/>
      <c r="AZ550" s="215"/>
      <c r="BA550" s="215"/>
      <c r="BB550" s="215"/>
      <c r="BC550" s="215"/>
      <c r="BD550" s="215"/>
      <c r="BE550" s="215"/>
      <c r="BF550" s="215"/>
      <c r="BG550" s="215"/>
      <c r="BH550" s="215"/>
      <c r="BI550" s="215"/>
      <c r="BJ550" s="215"/>
      <c r="BK550" s="215"/>
      <c r="BL550" s="215"/>
      <c r="BM550" s="215"/>
      <c r="BN550" s="215"/>
      <c r="BO550" s="215"/>
      <c r="BP550" s="215"/>
      <c r="BQ550" s="215"/>
      <c r="BR550" s="215"/>
      <c r="BS550" s="215"/>
      <c r="BT550" s="215"/>
      <c r="BU550" s="215"/>
      <c r="BV550" s="215"/>
      <c r="BW550" s="215"/>
      <c r="BX550" s="215"/>
      <c r="BY550" s="215"/>
      <c r="BZ550" s="215"/>
    </row>
    <row r="551" spans="1:78" outlineLevel="1" x14ac:dyDescent="0.2">
      <c r="A551" s="9" t="str">
        <f>'Language Index'!A494</f>
        <v>Defined Benefit Net Periodic Cost</v>
      </c>
      <c r="B551" s="17"/>
      <c r="C551" s="17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30"/>
      <c r="P551" s="18"/>
      <c r="Q551" s="215"/>
      <c r="R551" s="215"/>
      <c r="S551" s="215"/>
      <c r="T551" s="215"/>
      <c r="U551" s="215"/>
      <c r="V551" s="222"/>
      <c r="W551" s="222"/>
      <c r="X551" s="222"/>
      <c r="Y551" s="215"/>
      <c r="Z551" s="215"/>
      <c r="AA551" s="215"/>
      <c r="AB551" s="215"/>
      <c r="AC551" s="215"/>
      <c r="AD551" s="215"/>
      <c r="AE551" s="215"/>
      <c r="AF551" s="215"/>
      <c r="AG551" s="215"/>
      <c r="AH551" s="215"/>
      <c r="AI551" s="215"/>
      <c r="AJ551" s="215"/>
      <c r="AK551" s="215"/>
      <c r="AL551" s="215"/>
      <c r="AM551" s="215"/>
      <c r="AN551" s="215"/>
      <c r="AO551" s="215"/>
      <c r="AP551" s="215"/>
      <c r="AQ551" s="215"/>
      <c r="AR551" s="215"/>
      <c r="AS551" s="215"/>
      <c r="AT551" s="215"/>
      <c r="AU551" s="215"/>
      <c r="AV551" s="215"/>
      <c r="AW551" s="215"/>
      <c r="AX551" s="215"/>
      <c r="AY551" s="215"/>
      <c r="AZ551" s="215"/>
      <c r="BA551" s="215"/>
      <c r="BB551" s="215"/>
      <c r="BC551" s="215"/>
      <c r="BD551" s="215"/>
      <c r="BE551" s="215"/>
      <c r="BF551" s="215"/>
      <c r="BG551" s="215"/>
      <c r="BH551" s="215"/>
      <c r="BI551" s="215"/>
      <c r="BJ551" s="215"/>
      <c r="BK551" s="215"/>
      <c r="BL551" s="215"/>
      <c r="BM551" s="215"/>
      <c r="BN551" s="215"/>
      <c r="BO551" s="215"/>
      <c r="BP551" s="215"/>
      <c r="BQ551" s="215"/>
      <c r="BR551" s="215"/>
      <c r="BS551" s="215"/>
      <c r="BT551" s="215"/>
      <c r="BU551" s="215"/>
      <c r="BV551" s="215"/>
      <c r="BW551" s="215"/>
      <c r="BX551" s="215"/>
      <c r="BY551" s="215"/>
      <c r="BZ551" s="215"/>
    </row>
    <row r="552" spans="1:78" outlineLevel="1" x14ac:dyDescent="0.2">
      <c r="A552" s="2" t="str">
        <f>'Language Index'!A495</f>
        <v>Def. Benefit Service Cost</v>
      </c>
      <c r="B552" s="17"/>
      <c r="C552" s="17"/>
      <c r="D552" s="18">
        <f>_xll.ciqfunctions.udf.CIQ($C$2,"IQ_PENSION_SERVICE_COST",D$6,$F$2,,,Ccy,Conv)</f>
        <v>0</v>
      </c>
      <c r="E552" s="18">
        <f>_xll.ciqfunctions.udf.CIQ($C$2,"IQ_PENSION_SERVICE_COST",E$6,$F$2,,,Ccy,Conv)</f>
        <v>0</v>
      </c>
      <c r="F552" s="18">
        <f>_xll.ciqfunctions.udf.CIQ($C$2,"IQ_PENSION_SERVICE_COST",F$6,$F$2,,,Ccy,Conv)</f>
        <v>177</v>
      </c>
      <c r="G552" s="18">
        <f>_xll.ciqfunctions.udf.CIQ($C$2,"IQ_PENSION_SERVICE_COST",G$6,$F$2,,,Ccy,Conv)</f>
        <v>0</v>
      </c>
      <c r="H552" s="18">
        <f>_xll.ciqfunctions.udf.CIQ($C$2,"IQ_PENSION_SERVICE_COST",H$6,$F$2,,,Ccy,Conv)</f>
        <v>0</v>
      </c>
      <c r="I552" s="18">
        <f>_xll.ciqfunctions.udf.CIQ($C$2,"IQ_PENSION_SERVICE_COST",I$6,$F$2,,,Ccy,Conv)</f>
        <v>0</v>
      </c>
      <c r="J552" s="18">
        <f>_xll.ciqfunctions.udf.CIQ($C$2,"IQ_PENSION_SERVICE_COST",J$6,$F$2,,,Ccy,Conv)</f>
        <v>564</v>
      </c>
      <c r="K552" s="18">
        <f>_xll.ciqfunctions.udf.CIQ($C$2,"IQ_PENSION_SERVICE_COST",K$6,$F$2,,,Ccy,Conv)</f>
        <v>0</v>
      </c>
      <c r="L552" s="18">
        <f>_xll.ciqfunctions.udf.CIQ($C$2,"IQ_PENSION_SERVICE_COST",L$6,$F$2,,,Ccy,Conv)</f>
        <v>0</v>
      </c>
      <c r="M552" s="18">
        <f>_xll.ciqfunctions.udf.CIQ($C$2,"IQ_PENSION_SERVICE_COST",M$6,$F$2,,,Ccy,Conv)</f>
        <v>0</v>
      </c>
      <c r="N552" s="18">
        <f>_xll.ciqfunctions.udf.CIQ($C$2,"IQ_PENSION_SERVICE_COST",N$6,$F$2,,,Ccy,Conv)</f>
        <v>526</v>
      </c>
      <c r="O552" s="30"/>
      <c r="P552" s="18">
        <f>_xll.ciqfunctions.udf.CIQ($C$2,"IQ_PENSION_SERVICE_COST",P$6,$F$2,,,Ccy,Conv)</f>
        <v>526</v>
      </c>
      <c r="Q552" s="215"/>
      <c r="R552" s="215"/>
      <c r="S552" s="215"/>
      <c r="T552" s="215"/>
      <c r="U552" s="215"/>
      <c r="V552" s="222"/>
      <c r="W552" s="222"/>
      <c r="X552" s="222"/>
      <c r="Y552" s="215"/>
      <c r="Z552" s="215"/>
      <c r="AA552" s="215"/>
      <c r="AB552" s="215"/>
      <c r="AC552" s="215"/>
      <c r="AD552" s="215"/>
      <c r="AE552" s="215"/>
      <c r="AF552" s="215"/>
      <c r="AG552" s="215"/>
      <c r="AH552" s="215"/>
      <c r="AI552" s="215"/>
      <c r="AJ552" s="215"/>
      <c r="AK552" s="215"/>
      <c r="AL552" s="215"/>
      <c r="AM552" s="215"/>
      <c r="AN552" s="215"/>
      <c r="AO552" s="215"/>
      <c r="AP552" s="215"/>
      <c r="AQ552" s="215"/>
      <c r="AR552" s="215"/>
      <c r="AS552" s="215"/>
      <c r="AT552" s="215"/>
      <c r="AU552" s="215"/>
      <c r="AV552" s="215"/>
      <c r="AW552" s="215"/>
      <c r="AX552" s="215"/>
      <c r="AY552" s="215"/>
      <c r="AZ552" s="215"/>
      <c r="BA552" s="215"/>
      <c r="BB552" s="215"/>
      <c r="BC552" s="215"/>
      <c r="BD552" s="215"/>
      <c r="BE552" s="215"/>
      <c r="BF552" s="215"/>
      <c r="BG552" s="215"/>
      <c r="BH552" s="215"/>
      <c r="BI552" s="215"/>
      <c r="BJ552" s="215"/>
      <c r="BK552" s="215"/>
      <c r="BL552" s="215"/>
      <c r="BM552" s="215"/>
      <c r="BN552" s="215"/>
      <c r="BO552" s="215"/>
      <c r="BP552" s="215"/>
      <c r="BQ552" s="215"/>
      <c r="BR552" s="215"/>
      <c r="BS552" s="215"/>
      <c r="BT552" s="215"/>
      <c r="BU552" s="215"/>
      <c r="BV552" s="215"/>
      <c r="BW552" s="215"/>
      <c r="BX552" s="215"/>
      <c r="BY552" s="215"/>
      <c r="BZ552" s="215"/>
    </row>
    <row r="553" spans="1:78" outlineLevel="1" x14ac:dyDescent="0.2">
      <c r="A553" s="2" t="str">
        <f>'Language Index'!A496</f>
        <v>Def. Benefit Interest Cost</v>
      </c>
      <c r="B553" s="17"/>
      <c r="C553" s="17"/>
      <c r="D553" s="18">
        <f>_xll.ciqfunctions.udf.CIQ($C$2,"IQ_PENSION_INTEREST_COST",D$6,$F$2,,,Ccy,Conv)</f>
        <v>0</v>
      </c>
      <c r="E553" s="18">
        <f>_xll.ciqfunctions.udf.CIQ($C$2,"IQ_PENSION_INTEREST_COST",E$6,$F$2,,,Ccy,Conv)</f>
        <v>0</v>
      </c>
      <c r="F553" s="18">
        <f>_xll.ciqfunctions.udf.CIQ($C$2,"IQ_PENSION_INTEREST_COST",F$6,$F$2,,,Ccy,Conv)</f>
        <v>2260</v>
      </c>
      <c r="G553" s="18">
        <f>_xll.ciqfunctions.udf.CIQ($C$2,"IQ_PENSION_INTEREST_COST",G$6,$F$2,,,Ccy,Conv)</f>
        <v>0</v>
      </c>
      <c r="H553" s="18">
        <f>_xll.ciqfunctions.udf.CIQ($C$2,"IQ_PENSION_INTEREST_COST",H$6,$F$2,,,Ccy,Conv)</f>
        <v>0</v>
      </c>
      <c r="I553" s="18">
        <f>_xll.ciqfunctions.udf.CIQ($C$2,"IQ_PENSION_INTEREST_COST",I$6,$F$2,,,Ccy,Conv)</f>
        <v>0</v>
      </c>
      <c r="J553" s="18">
        <f>_xll.ciqfunctions.udf.CIQ($C$2,"IQ_PENSION_INTEREST_COST",J$6,$F$2,,,Ccy,Conv)</f>
        <v>1988</v>
      </c>
      <c r="K553" s="18">
        <f>_xll.ciqfunctions.udf.CIQ($C$2,"IQ_PENSION_INTEREST_COST",K$6,$F$2,,,Ccy,Conv)</f>
        <v>0</v>
      </c>
      <c r="L553" s="18">
        <f>_xll.ciqfunctions.udf.CIQ($C$2,"IQ_PENSION_INTEREST_COST",L$6,$F$2,,,Ccy,Conv)</f>
        <v>0</v>
      </c>
      <c r="M553" s="18">
        <f>_xll.ciqfunctions.udf.CIQ($C$2,"IQ_PENSION_INTEREST_COST",M$6,$F$2,,,Ccy,Conv)</f>
        <v>0</v>
      </c>
      <c r="N553" s="18">
        <f>_xll.ciqfunctions.udf.CIQ($C$2,"IQ_PENSION_INTEREST_COST",N$6,$F$2,,,Ccy,Conv)</f>
        <v>1818</v>
      </c>
      <c r="O553" s="30"/>
      <c r="P553" s="18">
        <f>_xll.ciqfunctions.udf.CIQ($C$2,"IQ_PENSION_INTEREST_COST",P$6,$F$2,,,Ccy,Conv)</f>
        <v>1818</v>
      </c>
      <c r="Q553" s="215"/>
      <c r="R553" s="215"/>
      <c r="S553" s="215"/>
      <c r="T553" s="215"/>
      <c r="U553" s="215"/>
      <c r="V553" s="222"/>
      <c r="W553" s="222"/>
      <c r="X553" s="222"/>
      <c r="Y553" s="215"/>
      <c r="Z553" s="215"/>
      <c r="AA553" s="215"/>
      <c r="AB553" s="215"/>
      <c r="AC553" s="215"/>
      <c r="AD553" s="215"/>
      <c r="AE553" s="215"/>
      <c r="AF553" s="215"/>
      <c r="AG553" s="215"/>
      <c r="AH553" s="215"/>
      <c r="AI553" s="215"/>
      <c r="AJ553" s="215"/>
      <c r="AK553" s="215"/>
      <c r="AL553" s="215"/>
      <c r="AM553" s="215"/>
      <c r="AN553" s="215"/>
      <c r="AO553" s="215"/>
      <c r="AP553" s="215"/>
      <c r="AQ553" s="215"/>
      <c r="AR553" s="215"/>
      <c r="AS553" s="215"/>
      <c r="AT553" s="215"/>
      <c r="AU553" s="215"/>
      <c r="AV553" s="215"/>
      <c r="AW553" s="215"/>
      <c r="AX553" s="215"/>
      <c r="AY553" s="215"/>
      <c r="AZ553" s="215"/>
      <c r="BA553" s="215"/>
      <c r="BB553" s="215"/>
      <c r="BC553" s="215"/>
      <c r="BD553" s="215"/>
      <c r="BE553" s="215"/>
      <c r="BF553" s="215"/>
      <c r="BG553" s="215"/>
      <c r="BH553" s="215"/>
      <c r="BI553" s="215"/>
      <c r="BJ553" s="215"/>
      <c r="BK553" s="215"/>
      <c r="BL553" s="215"/>
      <c r="BM553" s="215"/>
      <c r="BN553" s="215"/>
      <c r="BO553" s="215"/>
      <c r="BP553" s="215"/>
      <c r="BQ553" s="215"/>
      <c r="BR553" s="215"/>
      <c r="BS553" s="215"/>
      <c r="BT553" s="215"/>
      <c r="BU553" s="215"/>
      <c r="BV553" s="215"/>
      <c r="BW553" s="215"/>
      <c r="BX553" s="215"/>
      <c r="BY553" s="215"/>
      <c r="BZ553" s="215"/>
    </row>
    <row r="554" spans="1:78" outlineLevel="1" x14ac:dyDescent="0.2">
      <c r="A554" s="2" t="str">
        <f>'Language Index'!A497</f>
        <v>Def. Benefit Return on Assets</v>
      </c>
      <c r="B554" s="17"/>
      <c r="C554" s="17"/>
      <c r="D554" s="18">
        <f>_xll.ciqfunctions.udf.CIQ($C$2,"IQ_PENSION_OBLIGATION_ROA",D$6,$F$2,,,Ccy,Conv)</f>
        <v>0</v>
      </c>
      <c r="E554" s="18">
        <f>_xll.ciqfunctions.udf.CIQ($C$2,"IQ_PENSION_OBLIGATION_ROA",E$6,$F$2,,,Ccy,Conv)</f>
        <v>0</v>
      </c>
      <c r="F554" s="18">
        <f>_xll.ciqfunctions.udf.CIQ($C$2,"IQ_PENSION_OBLIGATION_ROA",F$6,$F$2,,,Ccy,Conv)</f>
        <v>-2969</v>
      </c>
      <c r="G554" s="18">
        <f>_xll.ciqfunctions.udf.CIQ($C$2,"IQ_PENSION_OBLIGATION_ROA",G$6,$F$2,,,Ccy,Conv)</f>
        <v>0</v>
      </c>
      <c r="H554" s="18">
        <f>_xll.ciqfunctions.udf.CIQ($C$2,"IQ_PENSION_OBLIGATION_ROA",H$6,$F$2,,,Ccy,Conv)</f>
        <v>0</v>
      </c>
      <c r="I554" s="18">
        <f>_xll.ciqfunctions.udf.CIQ($C$2,"IQ_PENSION_OBLIGATION_ROA",I$6,$F$2,,,Ccy,Conv)</f>
        <v>0</v>
      </c>
      <c r="J554" s="18">
        <f>_xll.ciqfunctions.udf.CIQ($C$2,"IQ_PENSION_OBLIGATION_ROA",J$6,$F$2,,,Ccy,Conv)</f>
        <v>-2799</v>
      </c>
      <c r="K554" s="18">
        <f>_xll.ciqfunctions.udf.CIQ($C$2,"IQ_PENSION_OBLIGATION_ROA",K$6,$F$2,,,Ccy,Conv)</f>
        <v>0</v>
      </c>
      <c r="L554" s="18">
        <f>_xll.ciqfunctions.udf.CIQ($C$2,"IQ_PENSION_OBLIGATION_ROA",L$6,$F$2,,,Ccy,Conv)</f>
        <v>0</v>
      </c>
      <c r="M554" s="18">
        <f>_xll.ciqfunctions.udf.CIQ($C$2,"IQ_PENSION_OBLIGATION_ROA",M$6,$F$2,,,Ccy,Conv)</f>
        <v>0</v>
      </c>
      <c r="N554" s="18">
        <f>_xll.ciqfunctions.udf.CIQ($C$2,"IQ_PENSION_OBLIGATION_ROA",N$6,$F$2,,,Ccy,Conv)</f>
        <v>-2540</v>
      </c>
      <c r="O554" s="30"/>
      <c r="P554" s="18">
        <f>_xll.ciqfunctions.udf.CIQ($C$2,"IQ_PENSION_OBLIGATION_ROA",P$6,$F$2,,,Ccy,Conv)</f>
        <v>-2540</v>
      </c>
      <c r="Q554" s="215"/>
      <c r="R554" s="215"/>
      <c r="S554" s="215"/>
      <c r="T554" s="215"/>
      <c r="U554" s="215"/>
      <c r="V554" s="222"/>
      <c r="W554" s="222"/>
      <c r="X554" s="222"/>
      <c r="Y554" s="215"/>
      <c r="Z554" s="215"/>
      <c r="AA554" s="215"/>
      <c r="AB554" s="215"/>
      <c r="AC554" s="215"/>
      <c r="AD554" s="215"/>
      <c r="AE554" s="215"/>
      <c r="AF554" s="215"/>
      <c r="AG554" s="215"/>
      <c r="AH554" s="215"/>
      <c r="AI554" s="215"/>
      <c r="AJ554" s="215"/>
      <c r="AK554" s="215"/>
      <c r="AL554" s="215"/>
      <c r="AM554" s="215"/>
      <c r="AN554" s="215"/>
      <c r="AO554" s="215"/>
      <c r="AP554" s="215"/>
      <c r="AQ554" s="215"/>
      <c r="AR554" s="215"/>
      <c r="AS554" s="215"/>
      <c r="AT554" s="215"/>
      <c r="AU554" s="215"/>
      <c r="AV554" s="215"/>
      <c r="AW554" s="215"/>
      <c r="AX554" s="215"/>
      <c r="AY554" s="215"/>
      <c r="AZ554" s="215"/>
      <c r="BA554" s="215"/>
      <c r="BB554" s="215"/>
      <c r="BC554" s="215"/>
      <c r="BD554" s="215"/>
      <c r="BE554" s="215"/>
      <c r="BF554" s="215"/>
      <c r="BG554" s="215"/>
      <c r="BH554" s="215"/>
      <c r="BI554" s="215"/>
      <c r="BJ554" s="215"/>
      <c r="BK554" s="215"/>
      <c r="BL554" s="215"/>
      <c r="BM554" s="215"/>
      <c r="BN554" s="215"/>
      <c r="BO554" s="215"/>
      <c r="BP554" s="215"/>
      <c r="BQ554" s="215"/>
      <c r="BR554" s="215"/>
      <c r="BS554" s="215"/>
      <c r="BT554" s="215"/>
      <c r="BU554" s="215"/>
      <c r="BV554" s="215"/>
      <c r="BW554" s="215"/>
      <c r="BX554" s="215"/>
      <c r="BY554" s="215"/>
      <c r="BZ554" s="215"/>
    </row>
    <row r="555" spans="1:78" outlineLevel="1" x14ac:dyDescent="0.2">
      <c r="A555" s="2" t="str">
        <f>'Language Index'!A498</f>
        <v>Def. Benefit Other Cost</v>
      </c>
      <c r="B555" s="17"/>
      <c r="C555" s="17"/>
      <c r="D555" s="18">
        <f>_xll.ciqfunctions.udf.CIQ($C$2,"IQ_PENSION_OBLIGATION_OTHER_COST",D$6,$F$2,,,Ccy,Conv)</f>
        <v>0</v>
      </c>
      <c r="E555" s="18">
        <f>_xll.ciqfunctions.udf.CIQ($C$2,"IQ_PENSION_OBLIGATION_OTHER_COST",E$6,$F$2,,,Ccy,Conv)</f>
        <v>0</v>
      </c>
      <c r="F555" s="18">
        <f>_xll.ciqfunctions.udf.CIQ($C$2,"IQ_PENSION_OBLIGATION_OTHER_COST",F$6,$F$2,,,Ccy,Conv)</f>
        <v>562</v>
      </c>
      <c r="G555" s="18">
        <f>_xll.ciqfunctions.udf.CIQ($C$2,"IQ_PENSION_OBLIGATION_OTHER_COST",G$6,$F$2,,,Ccy,Conv)</f>
        <v>0</v>
      </c>
      <c r="H555" s="18">
        <f>_xll.ciqfunctions.udf.CIQ($C$2,"IQ_PENSION_OBLIGATION_OTHER_COST",H$6,$F$2,,,Ccy,Conv)</f>
        <v>0</v>
      </c>
      <c r="I555" s="18">
        <f>_xll.ciqfunctions.udf.CIQ($C$2,"IQ_PENSION_OBLIGATION_OTHER_COST",I$6,$F$2,,,Ccy,Conv)</f>
        <v>0</v>
      </c>
      <c r="J555" s="18">
        <f>_xll.ciqfunctions.udf.CIQ($C$2,"IQ_PENSION_OBLIGATION_OTHER_COST",J$6,$F$2,,,Ccy,Conv)</f>
        <v>4165</v>
      </c>
      <c r="K555" s="18">
        <f>_xll.ciqfunctions.udf.CIQ($C$2,"IQ_PENSION_OBLIGATION_OTHER_COST",K$6,$F$2,,,Ccy,Conv)</f>
        <v>0</v>
      </c>
      <c r="L555" s="18">
        <f>_xll.ciqfunctions.udf.CIQ($C$2,"IQ_PENSION_OBLIGATION_OTHER_COST",L$6,$F$2,,,Ccy,Conv)</f>
        <v>0</v>
      </c>
      <c r="M555" s="18">
        <f>_xll.ciqfunctions.udf.CIQ($C$2,"IQ_PENSION_OBLIGATION_OTHER_COST",M$6,$F$2,,,Ccy,Conv)</f>
        <v>0</v>
      </c>
      <c r="N555" s="18">
        <f>_xll.ciqfunctions.udf.CIQ($C$2,"IQ_PENSION_OBLIGATION_OTHER_COST",N$6,$F$2,,,Ccy,Conv)</f>
        <v>672</v>
      </c>
      <c r="O555" s="30"/>
      <c r="P555" s="18">
        <f>_xll.ciqfunctions.udf.CIQ($C$2,"IQ_PENSION_OBLIGATION_OTHER_COST",P$6,$F$2,,,Ccy,Conv)</f>
        <v>672</v>
      </c>
      <c r="Q555" s="215"/>
      <c r="R555" s="215"/>
      <c r="S555" s="215"/>
      <c r="T555" s="215"/>
      <c r="U555" s="215"/>
      <c r="V555" s="222"/>
      <c r="W555" s="222"/>
      <c r="X555" s="222"/>
      <c r="Y555" s="215"/>
      <c r="Z555" s="215"/>
      <c r="AA555" s="215"/>
      <c r="AB555" s="215"/>
      <c r="AC555" s="215"/>
      <c r="AD555" s="215"/>
      <c r="AE555" s="215"/>
      <c r="AF555" s="215"/>
      <c r="AG555" s="215"/>
      <c r="AH555" s="215"/>
      <c r="AI555" s="215"/>
      <c r="AJ555" s="215"/>
      <c r="AK555" s="215"/>
      <c r="AL555" s="215"/>
      <c r="AM555" s="215"/>
      <c r="AN555" s="215"/>
      <c r="AO555" s="215"/>
      <c r="AP555" s="215"/>
      <c r="AQ555" s="215"/>
      <c r="AR555" s="215"/>
      <c r="AS555" s="215"/>
      <c r="AT555" s="215"/>
      <c r="AU555" s="215"/>
      <c r="AV555" s="215"/>
      <c r="AW555" s="215"/>
      <c r="AX555" s="215"/>
      <c r="AY555" s="215"/>
      <c r="AZ555" s="215"/>
      <c r="BA555" s="215"/>
      <c r="BB555" s="215"/>
      <c r="BC555" s="215"/>
      <c r="BD555" s="215"/>
      <c r="BE555" s="215"/>
      <c r="BF555" s="215"/>
      <c r="BG555" s="215"/>
      <c r="BH555" s="215"/>
      <c r="BI555" s="215"/>
      <c r="BJ555" s="215"/>
      <c r="BK555" s="215"/>
      <c r="BL555" s="215"/>
      <c r="BM555" s="215"/>
      <c r="BN555" s="215"/>
      <c r="BO555" s="215"/>
      <c r="BP555" s="215"/>
      <c r="BQ555" s="215"/>
      <c r="BR555" s="215"/>
      <c r="BS555" s="215"/>
      <c r="BT555" s="215"/>
      <c r="BU555" s="215"/>
      <c r="BV555" s="215"/>
      <c r="BW555" s="215"/>
      <c r="BX555" s="215"/>
      <c r="BY555" s="215"/>
      <c r="BZ555" s="215"/>
    </row>
    <row r="556" spans="1:78" outlineLevel="1" x14ac:dyDescent="0.2">
      <c r="A556" s="2" t="str">
        <f>'Language Index'!A499</f>
        <v>Def. Benefit Total Cost</v>
      </c>
      <c r="B556" s="17"/>
      <c r="C556" s="17"/>
      <c r="D556" s="18">
        <f>_xll.ciqfunctions.udf.CIQ($C$2,"IQ_PENSION_OBLIGATION_TOTAL_COST",D$6,$F$2,,,Ccy,Conv)</f>
        <v>0</v>
      </c>
      <c r="E556" s="18">
        <f>_xll.ciqfunctions.udf.CIQ($C$2,"IQ_PENSION_OBLIGATION_TOTAL_COST",E$6,$F$2,,,Ccy,Conv)</f>
        <v>0</v>
      </c>
      <c r="F556" s="18">
        <f>_xll.ciqfunctions.udf.CIQ($C$2,"IQ_PENSION_OBLIGATION_TOTAL_COST",F$6,$F$2,,,Ccy,Conv)</f>
        <v>30</v>
      </c>
      <c r="G556" s="18">
        <f>_xll.ciqfunctions.udf.CIQ($C$2,"IQ_PENSION_OBLIGATION_TOTAL_COST",G$6,$F$2,,,Ccy,Conv)</f>
        <v>0</v>
      </c>
      <c r="H556" s="18">
        <f>_xll.ciqfunctions.udf.CIQ($C$2,"IQ_PENSION_OBLIGATION_TOTAL_COST",H$6,$F$2,,,Ccy,Conv)</f>
        <v>0</v>
      </c>
      <c r="I556" s="18">
        <f>_xll.ciqfunctions.udf.CIQ($C$2,"IQ_PENSION_OBLIGATION_TOTAL_COST",I$6,$F$2,,,Ccy,Conv)</f>
        <v>0</v>
      </c>
      <c r="J556" s="18">
        <f>_xll.ciqfunctions.udf.CIQ($C$2,"IQ_PENSION_OBLIGATION_TOTAL_COST",J$6,$F$2,,,Ccy,Conv)</f>
        <v>3917</v>
      </c>
      <c r="K556" s="18">
        <f>_xll.ciqfunctions.udf.CIQ($C$2,"IQ_PENSION_OBLIGATION_TOTAL_COST",K$6,$F$2,,,Ccy,Conv)</f>
        <v>0</v>
      </c>
      <c r="L556" s="18">
        <f>_xll.ciqfunctions.udf.CIQ($C$2,"IQ_PENSION_OBLIGATION_TOTAL_COST",L$6,$F$2,,,Ccy,Conv)</f>
        <v>0</v>
      </c>
      <c r="M556" s="18">
        <f>_xll.ciqfunctions.udf.CIQ($C$2,"IQ_PENSION_OBLIGATION_TOTAL_COST",M$6,$F$2,,,Ccy,Conv)</f>
        <v>0</v>
      </c>
      <c r="N556" s="18">
        <f>_xll.ciqfunctions.udf.CIQ($C$2,"IQ_PENSION_OBLIGATION_TOTAL_COST",N$6,$F$2,,,Ccy,Conv)</f>
        <v>477</v>
      </c>
      <c r="O556" s="30"/>
      <c r="P556" s="18">
        <f>_xll.ciqfunctions.udf.CIQ($C$2,"IQ_PENSION_OBLIGATION_TOTAL_COST",P$6,$F$2,,,Ccy,Conv)</f>
        <v>477</v>
      </c>
      <c r="Q556" s="215"/>
      <c r="R556" s="215"/>
      <c r="S556" s="215"/>
      <c r="T556" s="215"/>
      <c r="U556" s="215"/>
      <c r="V556" s="222"/>
      <c r="W556" s="222"/>
      <c r="X556" s="222"/>
      <c r="Y556" s="215"/>
      <c r="Z556" s="215"/>
      <c r="AA556" s="215"/>
      <c r="AB556" s="215"/>
      <c r="AC556" s="215"/>
      <c r="AD556" s="215"/>
      <c r="AE556" s="215"/>
      <c r="AF556" s="215"/>
      <c r="AG556" s="215"/>
      <c r="AH556" s="215"/>
      <c r="AI556" s="215"/>
      <c r="AJ556" s="215"/>
      <c r="AK556" s="215"/>
      <c r="AL556" s="215"/>
      <c r="AM556" s="215"/>
      <c r="AN556" s="215"/>
      <c r="AO556" s="215"/>
      <c r="AP556" s="215"/>
      <c r="AQ556" s="215"/>
      <c r="AR556" s="215"/>
      <c r="AS556" s="215"/>
      <c r="AT556" s="215"/>
      <c r="AU556" s="215"/>
      <c r="AV556" s="215"/>
      <c r="AW556" s="215"/>
      <c r="AX556" s="215"/>
      <c r="AY556" s="215"/>
      <c r="AZ556" s="215"/>
      <c r="BA556" s="215"/>
      <c r="BB556" s="215"/>
      <c r="BC556" s="215"/>
      <c r="BD556" s="215"/>
      <c r="BE556" s="215"/>
      <c r="BF556" s="215"/>
      <c r="BG556" s="215"/>
      <c r="BH556" s="215"/>
      <c r="BI556" s="215"/>
      <c r="BJ556" s="215"/>
      <c r="BK556" s="215"/>
      <c r="BL556" s="215"/>
      <c r="BM556" s="215"/>
      <c r="BN556" s="215"/>
      <c r="BO556" s="215"/>
      <c r="BP556" s="215"/>
      <c r="BQ556" s="215"/>
      <c r="BR556" s="215"/>
      <c r="BS556" s="215"/>
      <c r="BT556" s="215"/>
      <c r="BU556" s="215"/>
      <c r="BV556" s="215"/>
      <c r="BW556" s="215"/>
      <c r="BX556" s="215"/>
      <c r="BY556" s="215"/>
      <c r="BZ556" s="215"/>
    </row>
    <row r="557" spans="1:78" outlineLevel="1" x14ac:dyDescent="0.2">
      <c r="A557" s="2" t="str">
        <f>'Language Index'!A500</f>
        <v>Def. Benefit Total Cost of Supple Plans</v>
      </c>
      <c r="B557" s="17"/>
      <c r="C557" s="17"/>
      <c r="D557" s="18">
        <f>_xll.ciqfunctions.udf.CIQ($C$2,"IQ_PENSION_OBLIGATION_SUPPLE_PLANS_TOTAL_COST",D$6,$F$2,,,Ccy,Conv)</f>
        <v>0</v>
      </c>
      <c r="E557" s="18">
        <f>_xll.ciqfunctions.udf.CIQ($C$2,"IQ_PENSION_OBLIGATION_SUPPLE_PLANS_TOTAL_COST",E$6,$F$2,,,Ccy,Conv)</f>
        <v>0</v>
      </c>
      <c r="F557" s="18">
        <f>_xll.ciqfunctions.udf.CIQ($C$2,"IQ_PENSION_OBLIGATION_SUPPLE_PLANS_TOTAL_COST",F$6,$F$2,,,Ccy,Conv)</f>
        <v>0</v>
      </c>
      <c r="G557" s="18">
        <f>_xll.ciqfunctions.udf.CIQ($C$2,"IQ_PENSION_OBLIGATION_SUPPLE_PLANS_TOTAL_COST",G$6,$F$2,,,Ccy,Conv)</f>
        <v>0</v>
      </c>
      <c r="H557" s="18">
        <f>_xll.ciqfunctions.udf.CIQ($C$2,"IQ_PENSION_OBLIGATION_SUPPLE_PLANS_TOTAL_COST",H$6,$F$2,,,Ccy,Conv)</f>
        <v>0</v>
      </c>
      <c r="I557" s="18">
        <f>_xll.ciqfunctions.udf.CIQ($C$2,"IQ_PENSION_OBLIGATION_SUPPLE_PLANS_TOTAL_COST",I$6,$F$2,,,Ccy,Conv)</f>
        <v>0</v>
      </c>
      <c r="J557" s="18">
        <f>_xll.ciqfunctions.udf.CIQ($C$2,"IQ_PENSION_OBLIGATION_SUPPLE_PLANS_TOTAL_COST",J$6,$F$2,,,Ccy,Conv)</f>
        <v>0</v>
      </c>
      <c r="K557" s="18">
        <f>_xll.ciqfunctions.udf.CIQ($C$2,"IQ_PENSION_OBLIGATION_SUPPLE_PLANS_TOTAL_COST",K$6,$F$2,,,Ccy,Conv)</f>
        <v>0</v>
      </c>
      <c r="L557" s="18">
        <f>_xll.ciqfunctions.udf.CIQ($C$2,"IQ_PENSION_OBLIGATION_SUPPLE_PLANS_TOTAL_COST",L$6,$F$2,,,Ccy,Conv)</f>
        <v>0</v>
      </c>
      <c r="M557" s="18">
        <f>_xll.ciqfunctions.udf.CIQ($C$2,"IQ_PENSION_OBLIGATION_SUPPLE_PLANS_TOTAL_COST",M$6,$F$2,,,Ccy,Conv)</f>
        <v>0</v>
      </c>
      <c r="N557" s="18">
        <f>_xll.ciqfunctions.udf.CIQ($C$2,"IQ_PENSION_OBLIGATION_SUPPLE_PLANS_TOTAL_COST",N$6,$F$2,,,Ccy,Conv)</f>
        <v>0</v>
      </c>
      <c r="O557" s="30"/>
      <c r="P557" s="18">
        <f>_xll.ciqfunctions.udf.CIQ($C$2,"IQ_PENSION_OBLIGATION_SUPPLE_PLANS_TOTAL_COST",P$6,$F$2,,,Ccy,Conv)</f>
        <v>0</v>
      </c>
      <c r="Q557" s="215"/>
      <c r="R557" s="215"/>
      <c r="S557" s="215"/>
      <c r="T557" s="215"/>
      <c r="U557" s="215"/>
      <c r="V557" s="222"/>
      <c r="W557" s="222"/>
      <c r="X557" s="222"/>
      <c r="Y557" s="215"/>
      <c r="Z557" s="215"/>
      <c r="AA557" s="215"/>
      <c r="AB557" s="215"/>
      <c r="AC557" s="215"/>
      <c r="AD557" s="215"/>
      <c r="AE557" s="215"/>
      <c r="AF557" s="215"/>
      <c r="AG557" s="215"/>
      <c r="AH557" s="215"/>
      <c r="AI557" s="215"/>
      <c r="AJ557" s="215"/>
      <c r="AK557" s="215"/>
      <c r="AL557" s="215"/>
      <c r="AM557" s="215"/>
      <c r="AN557" s="215"/>
      <c r="AO557" s="215"/>
      <c r="AP557" s="215"/>
      <c r="AQ557" s="215"/>
      <c r="AR557" s="215"/>
      <c r="AS557" s="215"/>
      <c r="AT557" s="215"/>
      <c r="AU557" s="215"/>
      <c r="AV557" s="215"/>
      <c r="AW557" s="215"/>
      <c r="AX557" s="215"/>
      <c r="AY557" s="215"/>
      <c r="AZ557" s="215"/>
      <c r="BA557" s="215"/>
      <c r="BB557" s="215"/>
      <c r="BC557" s="215"/>
      <c r="BD557" s="215"/>
      <c r="BE557" s="215"/>
      <c r="BF557" s="215"/>
      <c r="BG557" s="215"/>
      <c r="BH557" s="215"/>
      <c r="BI557" s="215"/>
      <c r="BJ557" s="215"/>
      <c r="BK557" s="215"/>
      <c r="BL557" s="215"/>
      <c r="BM557" s="215"/>
      <c r="BN557" s="215"/>
      <c r="BO557" s="215"/>
      <c r="BP557" s="215"/>
      <c r="BQ557" s="215"/>
      <c r="BR557" s="215"/>
      <c r="BS557" s="215"/>
      <c r="BT557" s="215"/>
      <c r="BU557" s="215"/>
      <c r="BV557" s="215"/>
      <c r="BW557" s="215"/>
      <c r="BX557" s="215"/>
      <c r="BY557" s="215"/>
      <c r="BZ557" s="215"/>
    </row>
    <row r="558" spans="1:78" outlineLevel="1" x14ac:dyDescent="0.2">
      <c r="A558" s="2" t="str">
        <f>'Language Index'!A501</f>
        <v>Def. Contribution Cost</v>
      </c>
      <c r="B558" s="17"/>
      <c r="C558" s="17"/>
      <c r="D558" s="18">
        <f>_xll.ciqfunctions.udf.CIQ($C$2,"IQ_PENSION_CONTRIBUTION_TOTAL_COST",D$6,$F$2,,,Ccy,Conv)</f>
        <v>0</v>
      </c>
      <c r="E558" s="18">
        <f>_xll.ciqfunctions.udf.CIQ($C$2,"IQ_PENSION_CONTRIBUTION_TOTAL_COST",E$6,$F$2,,,Ccy,Conv)</f>
        <v>0</v>
      </c>
      <c r="F558" s="18">
        <f>_xll.ciqfunctions.udf.CIQ($C$2,"IQ_PENSION_CONTRIBUTION_TOTAL_COST",F$6,$F$2,,,Ccy,Conv)</f>
        <v>991</v>
      </c>
      <c r="G558" s="18">
        <f>_xll.ciqfunctions.udf.CIQ($C$2,"IQ_PENSION_CONTRIBUTION_TOTAL_COST",G$6,$F$2,,,Ccy,Conv)</f>
        <v>0</v>
      </c>
      <c r="H558" s="18">
        <f>_xll.ciqfunctions.udf.CIQ($C$2,"IQ_PENSION_CONTRIBUTION_TOTAL_COST",H$6,$F$2,,,Ccy,Conv)</f>
        <v>0</v>
      </c>
      <c r="I558" s="18">
        <f>_xll.ciqfunctions.udf.CIQ($C$2,"IQ_PENSION_CONTRIBUTION_TOTAL_COST",I$6,$F$2,,,Ccy,Conv)</f>
        <v>0</v>
      </c>
      <c r="J558" s="18">
        <f>_xll.ciqfunctions.udf.CIQ($C$2,"IQ_PENSION_CONTRIBUTION_TOTAL_COST",J$6,$F$2,,,Ccy,Conv)</f>
        <v>440</v>
      </c>
      <c r="K558" s="18">
        <f>_xll.ciqfunctions.udf.CIQ($C$2,"IQ_PENSION_CONTRIBUTION_TOTAL_COST",K$6,$F$2,,,Ccy,Conv)</f>
        <v>0</v>
      </c>
      <c r="L558" s="18">
        <f>_xll.ciqfunctions.udf.CIQ($C$2,"IQ_PENSION_CONTRIBUTION_TOTAL_COST",L$6,$F$2,,,Ccy,Conv)</f>
        <v>0</v>
      </c>
      <c r="M558" s="18">
        <f>_xll.ciqfunctions.udf.CIQ($C$2,"IQ_PENSION_CONTRIBUTION_TOTAL_COST",M$6,$F$2,,,Ccy,Conv)</f>
        <v>0</v>
      </c>
      <c r="N558" s="18">
        <f>_xll.ciqfunctions.udf.CIQ($C$2,"IQ_PENSION_CONTRIBUTION_TOTAL_COST",N$6,$F$2,,,Ccy,Conv)</f>
        <v>461</v>
      </c>
      <c r="O558" s="30"/>
      <c r="P558" s="18">
        <f>_xll.ciqfunctions.udf.CIQ($C$2,"IQ_PENSION_CONTRIBUTION_TOTAL_COST",P$6,$F$2,,,Ccy,Conv)</f>
        <v>461</v>
      </c>
      <c r="Q558" s="215"/>
      <c r="R558" s="215"/>
      <c r="S558" s="215"/>
      <c r="T558" s="215"/>
      <c r="U558" s="215"/>
      <c r="V558" s="222"/>
      <c r="W558" s="222"/>
      <c r="X558" s="222"/>
      <c r="Y558" s="215"/>
      <c r="Z558" s="215"/>
      <c r="AA558" s="215"/>
      <c r="AB558" s="215"/>
      <c r="AC558" s="215"/>
      <c r="AD558" s="215"/>
      <c r="AE558" s="215"/>
      <c r="AF558" s="215"/>
      <c r="AG558" s="215"/>
      <c r="AH558" s="215"/>
      <c r="AI558" s="215"/>
      <c r="AJ558" s="215"/>
      <c r="AK558" s="215"/>
      <c r="AL558" s="215"/>
      <c r="AM558" s="215"/>
      <c r="AN558" s="215"/>
      <c r="AO558" s="215"/>
      <c r="AP558" s="215"/>
      <c r="AQ558" s="215"/>
      <c r="AR558" s="215"/>
      <c r="AS558" s="215"/>
      <c r="AT558" s="215"/>
      <c r="AU558" s="215"/>
      <c r="AV558" s="215"/>
      <c r="AW558" s="215"/>
      <c r="AX558" s="215"/>
      <c r="AY558" s="215"/>
      <c r="AZ558" s="215"/>
      <c r="BA558" s="215"/>
      <c r="BB558" s="215"/>
      <c r="BC558" s="215"/>
      <c r="BD558" s="215"/>
      <c r="BE558" s="215"/>
      <c r="BF558" s="215"/>
      <c r="BG558" s="215"/>
      <c r="BH558" s="215"/>
      <c r="BI558" s="215"/>
      <c r="BJ558" s="215"/>
      <c r="BK558" s="215"/>
      <c r="BL558" s="215"/>
      <c r="BM558" s="215"/>
      <c r="BN558" s="215"/>
      <c r="BO558" s="215"/>
      <c r="BP558" s="215"/>
      <c r="BQ558" s="215"/>
      <c r="BR558" s="215"/>
      <c r="BS558" s="215"/>
      <c r="BT558" s="215"/>
      <c r="BU558" s="215"/>
      <c r="BV558" s="215"/>
      <c r="BW558" s="215"/>
      <c r="BX558" s="215"/>
      <c r="BY558" s="215"/>
      <c r="BZ558" s="215"/>
    </row>
    <row r="559" spans="1:78" outlineLevel="1" x14ac:dyDescent="0.2">
      <c r="A559" s="2" t="str">
        <f>'Language Index'!A502</f>
        <v>Total Pension Expense</v>
      </c>
      <c r="B559" s="17"/>
      <c r="C559" s="17"/>
      <c r="D559" s="18">
        <f>_xll.ciqfunctions.udf.CIQ($C$2,"IQ_PENSION_TOTAL_EXP",D$6,$F$2,,,Ccy,Conv)</f>
        <v>0</v>
      </c>
      <c r="E559" s="18">
        <f>_xll.ciqfunctions.udf.CIQ($C$2,"IQ_PENSION_TOTAL_EXP",E$6,$F$2,,,Ccy,Conv)</f>
        <v>0</v>
      </c>
      <c r="F559" s="18">
        <f>_xll.ciqfunctions.udf.CIQ($C$2,"IQ_PENSION_TOTAL_EXP",F$6,$F$2,,,Ccy,Conv)</f>
        <v>1021</v>
      </c>
      <c r="G559" s="18">
        <f>_xll.ciqfunctions.udf.CIQ($C$2,"IQ_PENSION_TOTAL_EXP",G$6,$F$2,,,Ccy,Conv)</f>
        <v>0</v>
      </c>
      <c r="H559" s="18">
        <f>_xll.ciqfunctions.udf.CIQ($C$2,"IQ_PENSION_TOTAL_EXP",H$6,$F$2,,,Ccy,Conv)</f>
        <v>0</v>
      </c>
      <c r="I559" s="18">
        <f>_xll.ciqfunctions.udf.CIQ($C$2,"IQ_PENSION_TOTAL_EXP",I$6,$F$2,,,Ccy,Conv)</f>
        <v>0</v>
      </c>
      <c r="J559" s="18">
        <f>_xll.ciqfunctions.udf.CIQ($C$2,"IQ_PENSION_TOTAL_EXP",J$6,$F$2,,,Ccy,Conv)</f>
        <v>4357</v>
      </c>
      <c r="K559" s="18">
        <f>_xll.ciqfunctions.udf.CIQ($C$2,"IQ_PENSION_TOTAL_EXP",K$6,$F$2,,,Ccy,Conv)</f>
        <v>0</v>
      </c>
      <c r="L559" s="18">
        <f>_xll.ciqfunctions.udf.CIQ($C$2,"IQ_PENSION_TOTAL_EXP",L$6,$F$2,,,Ccy,Conv)</f>
        <v>0</v>
      </c>
      <c r="M559" s="18">
        <f>_xll.ciqfunctions.udf.CIQ($C$2,"IQ_PENSION_TOTAL_EXP",M$6,$F$2,,,Ccy,Conv)</f>
        <v>0</v>
      </c>
      <c r="N559" s="18">
        <f>_xll.ciqfunctions.udf.CIQ($C$2,"IQ_PENSION_TOTAL_EXP",N$6,$F$2,,,Ccy,Conv)</f>
        <v>938</v>
      </c>
      <c r="O559" s="30"/>
      <c r="P559" s="18">
        <f>_xll.ciqfunctions.udf.CIQ($C$2,"IQ_PENSION_TOTAL_EXP",P$6,$F$2,,,Ccy,Conv)</f>
        <v>938</v>
      </c>
      <c r="Q559" s="215"/>
      <c r="R559" s="215"/>
      <c r="S559" s="215"/>
      <c r="T559" s="215"/>
      <c r="U559" s="215"/>
      <c r="V559" s="222"/>
      <c r="W559" s="222"/>
      <c r="X559" s="222"/>
      <c r="Y559" s="215"/>
      <c r="Z559" s="215"/>
      <c r="AA559" s="215"/>
      <c r="AB559" s="215"/>
      <c r="AC559" s="215"/>
      <c r="AD559" s="215"/>
      <c r="AE559" s="215"/>
      <c r="AF559" s="215"/>
      <c r="AG559" s="215"/>
      <c r="AH559" s="215"/>
      <c r="AI559" s="215"/>
      <c r="AJ559" s="215"/>
      <c r="AK559" s="215"/>
      <c r="AL559" s="215"/>
      <c r="AM559" s="215"/>
      <c r="AN559" s="215"/>
      <c r="AO559" s="215"/>
      <c r="AP559" s="215"/>
      <c r="AQ559" s="215"/>
      <c r="AR559" s="215"/>
      <c r="AS559" s="215"/>
      <c r="AT559" s="215"/>
      <c r="AU559" s="215"/>
      <c r="AV559" s="215"/>
      <c r="AW559" s="215"/>
      <c r="AX559" s="215"/>
      <c r="AY559" s="215"/>
      <c r="AZ559" s="215"/>
      <c r="BA559" s="215"/>
      <c r="BB559" s="215"/>
      <c r="BC559" s="215"/>
      <c r="BD559" s="215"/>
      <c r="BE559" s="215"/>
      <c r="BF559" s="215"/>
      <c r="BG559" s="215"/>
      <c r="BH559" s="215"/>
      <c r="BI559" s="215"/>
      <c r="BJ559" s="215"/>
      <c r="BK559" s="215"/>
      <c r="BL559" s="215"/>
      <c r="BM559" s="215"/>
      <c r="BN559" s="215"/>
      <c r="BO559" s="215"/>
      <c r="BP559" s="215"/>
      <c r="BQ559" s="215"/>
      <c r="BR559" s="215"/>
      <c r="BS559" s="215"/>
      <c r="BT559" s="215"/>
      <c r="BU559" s="215"/>
      <c r="BV559" s="215"/>
      <c r="BW559" s="215"/>
      <c r="BX559" s="215"/>
      <c r="BY559" s="215"/>
      <c r="BZ559" s="215"/>
    </row>
    <row r="560" spans="1:78" outlineLevel="1" x14ac:dyDescent="0.2">
      <c r="A560" s="9" t="str">
        <f>'Language Index'!A503</f>
        <v>Defined Benefit Obligation</v>
      </c>
      <c r="B560" s="17"/>
      <c r="C560" s="17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30"/>
      <c r="P560" s="18"/>
      <c r="Q560" s="215"/>
      <c r="R560" s="215"/>
      <c r="S560" s="215"/>
      <c r="T560" s="215"/>
      <c r="U560" s="215"/>
      <c r="V560" s="222"/>
      <c r="W560" s="222"/>
      <c r="X560" s="222"/>
      <c r="Y560" s="215"/>
      <c r="Z560" s="215"/>
      <c r="AA560" s="215"/>
      <c r="AB560" s="215"/>
      <c r="AC560" s="215"/>
      <c r="AD560" s="215"/>
      <c r="AE560" s="215"/>
      <c r="AF560" s="215"/>
      <c r="AG560" s="215"/>
      <c r="AH560" s="215"/>
      <c r="AI560" s="215"/>
      <c r="AJ560" s="215"/>
      <c r="AK560" s="215"/>
      <c r="AL560" s="215"/>
      <c r="AM560" s="215"/>
      <c r="AN560" s="215"/>
      <c r="AO560" s="215"/>
      <c r="AP560" s="215"/>
      <c r="AQ560" s="215"/>
      <c r="AR560" s="215"/>
      <c r="AS560" s="215"/>
      <c r="AT560" s="215"/>
      <c r="AU560" s="215"/>
      <c r="AV560" s="215"/>
      <c r="AW560" s="215"/>
      <c r="AX560" s="215"/>
      <c r="AY560" s="215"/>
      <c r="AZ560" s="215"/>
      <c r="BA560" s="215"/>
      <c r="BB560" s="215"/>
      <c r="BC560" s="215"/>
      <c r="BD560" s="215"/>
      <c r="BE560" s="215"/>
      <c r="BF560" s="215"/>
      <c r="BG560" s="215"/>
      <c r="BH560" s="215"/>
      <c r="BI560" s="215"/>
      <c r="BJ560" s="215"/>
      <c r="BK560" s="215"/>
      <c r="BL560" s="215"/>
      <c r="BM560" s="215"/>
      <c r="BN560" s="215"/>
      <c r="BO560" s="215"/>
      <c r="BP560" s="215"/>
      <c r="BQ560" s="215"/>
      <c r="BR560" s="215"/>
      <c r="BS560" s="215"/>
      <c r="BT560" s="215"/>
      <c r="BU560" s="215"/>
      <c r="BV560" s="215"/>
      <c r="BW560" s="215"/>
      <c r="BX560" s="215"/>
      <c r="BY560" s="215"/>
      <c r="BZ560" s="215"/>
    </row>
    <row r="561" spans="1:78" outlineLevel="1" x14ac:dyDescent="0.2">
      <c r="A561" s="2" t="str">
        <f>'Language Index'!A504</f>
        <v>Beg. Def. Benefit Obligation</v>
      </c>
      <c r="B561" s="17"/>
      <c r="C561" s="17"/>
      <c r="D561" s="18">
        <f>_xll.ciqfunctions.udf.CIQ($C$2,"IQ_PENSION_OBLIGATION_BEG",D$6,$F$2,,,Ccy,Conv)</f>
        <v>0</v>
      </c>
      <c r="E561" s="18">
        <f>_xll.ciqfunctions.udf.CIQ($C$2,"IQ_PENSION_OBLIGATION_BEG",E$6,$F$2,,,Ccy,Conv)</f>
        <v>0</v>
      </c>
      <c r="F561" s="18">
        <f>_xll.ciqfunctions.udf.CIQ($C$2,"IQ_PENSION_OBLIGATION_BEG",F$6,$F$2,,,Ccy,Conv)</f>
        <v>52754</v>
      </c>
      <c r="G561" s="18">
        <f>_xll.ciqfunctions.udf.CIQ($C$2,"IQ_PENSION_OBLIGATION_BEG",G$6,$F$2,,,Ccy,Conv)</f>
        <v>0</v>
      </c>
      <c r="H561" s="18">
        <f>_xll.ciqfunctions.udf.CIQ($C$2,"IQ_PENSION_OBLIGATION_BEG",H$6,$F$2,,,Ccy,Conv)</f>
        <v>0</v>
      </c>
      <c r="I561" s="18">
        <f>_xll.ciqfunctions.udf.CIQ($C$2,"IQ_PENSION_OBLIGATION_BEG",I$6,$F$2,,,Ccy,Conv)</f>
        <v>0</v>
      </c>
      <c r="J561" s="18">
        <f>_xll.ciqfunctions.udf.CIQ($C$2,"IQ_PENSION_OBLIGATION_BEG",J$6,$F$2,,,Ccy,Conv)</f>
        <v>54714</v>
      </c>
      <c r="K561" s="18">
        <f>_xll.ciqfunctions.udf.CIQ($C$2,"IQ_PENSION_OBLIGATION_BEG",K$6,$F$2,,,Ccy,Conv)</f>
        <v>0</v>
      </c>
      <c r="L561" s="18">
        <f>_xll.ciqfunctions.udf.CIQ($C$2,"IQ_PENSION_OBLIGATION_BEG",L$6,$F$2,,,Ccy,Conv)</f>
        <v>0</v>
      </c>
      <c r="M561" s="18">
        <f>_xll.ciqfunctions.udf.CIQ($C$2,"IQ_PENSION_OBLIGATION_BEG",M$6,$F$2,,,Ccy,Conv)</f>
        <v>0</v>
      </c>
      <c r="N561" s="18">
        <f>_xll.ciqfunctions.udf.CIQ($C$2,"IQ_PENSION_OBLIGATION_BEG",N$6,$F$2,,,Ccy,Conv)</f>
        <v>42709</v>
      </c>
      <c r="O561" s="30"/>
      <c r="P561" s="18">
        <f>_xll.ciqfunctions.udf.CIQ($C$2,"IQ_PENSION_OBLIGATION_BEG",P$6,$F$2,,,Ccy,Conv)</f>
        <v>42709</v>
      </c>
      <c r="Q561" s="215"/>
      <c r="R561" s="215"/>
      <c r="S561" s="215"/>
      <c r="T561" s="215"/>
      <c r="U561" s="215"/>
      <c r="V561" s="222"/>
      <c r="W561" s="222"/>
      <c r="X561" s="222"/>
      <c r="Y561" s="215"/>
      <c r="Z561" s="215"/>
      <c r="AA561" s="215"/>
      <c r="AB561" s="215"/>
      <c r="AC561" s="215"/>
      <c r="AD561" s="215"/>
      <c r="AE561" s="215"/>
      <c r="AF561" s="215"/>
      <c r="AG561" s="215"/>
      <c r="AH561" s="215"/>
      <c r="AI561" s="215"/>
      <c r="AJ561" s="215"/>
      <c r="AK561" s="215"/>
      <c r="AL561" s="215"/>
      <c r="AM561" s="215"/>
      <c r="AN561" s="215"/>
      <c r="AO561" s="215"/>
      <c r="AP561" s="215"/>
      <c r="AQ561" s="215"/>
      <c r="AR561" s="215"/>
      <c r="AS561" s="215"/>
      <c r="AT561" s="215"/>
      <c r="AU561" s="215"/>
      <c r="AV561" s="215"/>
      <c r="AW561" s="215"/>
      <c r="AX561" s="215"/>
      <c r="AY561" s="215"/>
      <c r="AZ561" s="215"/>
      <c r="BA561" s="215"/>
      <c r="BB561" s="215"/>
      <c r="BC561" s="215"/>
      <c r="BD561" s="215"/>
      <c r="BE561" s="215"/>
      <c r="BF561" s="215"/>
      <c r="BG561" s="215"/>
      <c r="BH561" s="215"/>
      <c r="BI561" s="215"/>
      <c r="BJ561" s="215"/>
      <c r="BK561" s="215"/>
      <c r="BL561" s="215"/>
      <c r="BM561" s="215"/>
      <c r="BN561" s="215"/>
      <c r="BO561" s="215"/>
      <c r="BP561" s="215"/>
      <c r="BQ561" s="215"/>
      <c r="BR561" s="215"/>
      <c r="BS561" s="215"/>
      <c r="BT561" s="215"/>
      <c r="BU561" s="215"/>
      <c r="BV561" s="215"/>
      <c r="BW561" s="215"/>
      <c r="BX561" s="215"/>
      <c r="BY561" s="215"/>
      <c r="BZ561" s="215"/>
    </row>
    <row r="562" spans="1:78" outlineLevel="1" x14ac:dyDescent="0.2">
      <c r="A562" s="2" t="str">
        <f>'Language Index'!A495</f>
        <v>Def. Benefit Service Cost</v>
      </c>
      <c r="B562" s="17"/>
      <c r="C562" s="17"/>
      <c r="D562" s="18">
        <f>_xll.ciqfunctions.udf.CIQ($C$2,"IQ_PENSION_OBLIGATION_SERVICE_COST",D$6,$F$2,,,Ccy,Conv)</f>
        <v>0</v>
      </c>
      <c r="E562" s="18">
        <f>_xll.ciqfunctions.udf.CIQ($C$2,"IQ_PENSION_OBLIGATION_SERVICE_COST",E$6,$F$2,,,Ccy,Conv)</f>
        <v>0</v>
      </c>
      <c r="F562" s="18">
        <f>_xll.ciqfunctions.udf.CIQ($C$2,"IQ_PENSION_OBLIGATION_SERVICE_COST",F$6,$F$2,,,Ccy,Conv)</f>
        <v>177</v>
      </c>
      <c r="G562" s="18">
        <f>_xll.ciqfunctions.udf.CIQ($C$2,"IQ_PENSION_OBLIGATION_SERVICE_COST",G$6,$F$2,,,Ccy,Conv)</f>
        <v>0</v>
      </c>
      <c r="H562" s="18">
        <f>_xll.ciqfunctions.udf.CIQ($C$2,"IQ_PENSION_OBLIGATION_SERVICE_COST",H$6,$F$2,,,Ccy,Conv)</f>
        <v>0</v>
      </c>
      <c r="I562" s="18">
        <f>_xll.ciqfunctions.udf.CIQ($C$2,"IQ_PENSION_OBLIGATION_SERVICE_COST",I$6,$F$2,,,Ccy,Conv)</f>
        <v>0</v>
      </c>
      <c r="J562" s="18">
        <f>_xll.ciqfunctions.udf.CIQ($C$2,"IQ_PENSION_OBLIGATION_SERVICE_COST",J$6,$F$2,,,Ccy,Conv)</f>
        <v>564</v>
      </c>
      <c r="K562" s="18">
        <f>_xll.ciqfunctions.udf.CIQ($C$2,"IQ_PENSION_OBLIGATION_SERVICE_COST",K$6,$F$2,,,Ccy,Conv)</f>
        <v>0</v>
      </c>
      <c r="L562" s="18">
        <f>_xll.ciqfunctions.udf.CIQ($C$2,"IQ_PENSION_OBLIGATION_SERVICE_COST",L$6,$F$2,,,Ccy,Conv)</f>
        <v>0</v>
      </c>
      <c r="M562" s="18">
        <f>_xll.ciqfunctions.udf.CIQ($C$2,"IQ_PENSION_OBLIGATION_SERVICE_COST",M$6,$F$2,,,Ccy,Conv)</f>
        <v>0</v>
      </c>
      <c r="N562" s="18">
        <f>_xll.ciqfunctions.udf.CIQ($C$2,"IQ_PENSION_OBLIGATION_SERVICE_COST",N$6,$F$2,,,Ccy,Conv)</f>
        <v>526</v>
      </c>
      <c r="O562" s="30"/>
      <c r="P562" s="18">
        <f>_xll.ciqfunctions.udf.CIQ($C$2,"IQ_PENSION_OBLIGATION_SERVICE_COST",P$6,$F$2,,,Ccy,Conv)</f>
        <v>526</v>
      </c>
      <c r="Q562" s="215"/>
      <c r="R562" s="215"/>
      <c r="S562" s="215"/>
      <c r="T562" s="215"/>
      <c r="U562" s="215"/>
      <c r="V562" s="222"/>
      <c r="W562" s="222"/>
      <c r="X562" s="222"/>
      <c r="Y562" s="215"/>
      <c r="Z562" s="215"/>
      <c r="AA562" s="215"/>
      <c r="AB562" s="215"/>
      <c r="AC562" s="215"/>
      <c r="AD562" s="215"/>
      <c r="AE562" s="215"/>
      <c r="AF562" s="215"/>
      <c r="AG562" s="215"/>
      <c r="AH562" s="215"/>
      <c r="AI562" s="215"/>
      <c r="AJ562" s="215"/>
      <c r="AK562" s="215"/>
      <c r="AL562" s="215"/>
      <c r="AM562" s="215"/>
      <c r="AN562" s="215"/>
      <c r="AO562" s="215"/>
      <c r="AP562" s="215"/>
      <c r="AQ562" s="215"/>
      <c r="AR562" s="215"/>
      <c r="AS562" s="215"/>
      <c r="AT562" s="215"/>
      <c r="AU562" s="215"/>
      <c r="AV562" s="215"/>
      <c r="AW562" s="215"/>
      <c r="AX562" s="215"/>
      <c r="AY562" s="215"/>
      <c r="AZ562" s="215"/>
      <c r="BA562" s="215"/>
      <c r="BB562" s="215"/>
      <c r="BC562" s="215"/>
      <c r="BD562" s="215"/>
      <c r="BE562" s="215"/>
      <c r="BF562" s="215"/>
      <c r="BG562" s="215"/>
      <c r="BH562" s="215"/>
      <c r="BI562" s="215"/>
      <c r="BJ562" s="215"/>
      <c r="BK562" s="215"/>
      <c r="BL562" s="215"/>
      <c r="BM562" s="215"/>
      <c r="BN562" s="215"/>
      <c r="BO562" s="215"/>
      <c r="BP562" s="215"/>
      <c r="BQ562" s="215"/>
      <c r="BR562" s="215"/>
      <c r="BS562" s="215"/>
      <c r="BT562" s="215"/>
      <c r="BU562" s="215"/>
      <c r="BV562" s="215"/>
      <c r="BW562" s="215"/>
      <c r="BX562" s="215"/>
      <c r="BY562" s="215"/>
      <c r="BZ562" s="215"/>
    </row>
    <row r="563" spans="1:78" outlineLevel="1" x14ac:dyDescent="0.2">
      <c r="A563" s="2" t="str">
        <f>'Language Index'!A496</f>
        <v>Def. Benefit Interest Cost</v>
      </c>
      <c r="B563" s="17"/>
      <c r="C563" s="17"/>
      <c r="D563" s="18">
        <f>_xll.ciqfunctions.udf.CIQ($C$2,"IQ_PENSION_OBLIGATION_INTEREST_COST",D$6,$F$2,,,Ccy,Conv)</f>
        <v>0</v>
      </c>
      <c r="E563" s="18">
        <f>_xll.ciqfunctions.udf.CIQ($C$2,"IQ_PENSION_OBLIGATION_INTEREST_COST",E$6,$F$2,,,Ccy,Conv)</f>
        <v>0</v>
      </c>
      <c r="F563" s="18">
        <f>_xll.ciqfunctions.udf.CIQ($C$2,"IQ_PENSION_OBLIGATION_INTEREST_COST",F$6,$F$2,,,Ccy,Conv)</f>
        <v>2260</v>
      </c>
      <c r="G563" s="18">
        <f>_xll.ciqfunctions.udf.CIQ($C$2,"IQ_PENSION_OBLIGATION_INTEREST_COST",G$6,$F$2,,,Ccy,Conv)</f>
        <v>0</v>
      </c>
      <c r="H563" s="18">
        <f>_xll.ciqfunctions.udf.CIQ($C$2,"IQ_PENSION_OBLIGATION_INTEREST_COST",H$6,$F$2,,,Ccy,Conv)</f>
        <v>0</v>
      </c>
      <c r="I563" s="18">
        <f>_xll.ciqfunctions.udf.CIQ($C$2,"IQ_PENSION_OBLIGATION_INTEREST_COST",I$6,$F$2,,,Ccy,Conv)</f>
        <v>0</v>
      </c>
      <c r="J563" s="18">
        <f>_xll.ciqfunctions.udf.CIQ($C$2,"IQ_PENSION_OBLIGATION_INTEREST_COST",J$6,$F$2,,,Ccy,Conv)</f>
        <v>1988</v>
      </c>
      <c r="K563" s="18">
        <f>_xll.ciqfunctions.udf.CIQ($C$2,"IQ_PENSION_OBLIGATION_INTEREST_COST",K$6,$F$2,,,Ccy,Conv)</f>
        <v>0</v>
      </c>
      <c r="L563" s="18">
        <f>_xll.ciqfunctions.udf.CIQ($C$2,"IQ_PENSION_OBLIGATION_INTEREST_COST",L$6,$F$2,,,Ccy,Conv)</f>
        <v>0</v>
      </c>
      <c r="M563" s="18">
        <f>_xll.ciqfunctions.udf.CIQ($C$2,"IQ_PENSION_OBLIGATION_INTEREST_COST",M$6,$F$2,,,Ccy,Conv)</f>
        <v>0</v>
      </c>
      <c r="N563" s="18">
        <f>_xll.ciqfunctions.udf.CIQ($C$2,"IQ_PENSION_OBLIGATION_INTEREST_COST",N$6,$F$2,,,Ccy,Conv)</f>
        <v>1818</v>
      </c>
      <c r="O563" s="30"/>
      <c r="P563" s="18">
        <f>_xll.ciqfunctions.udf.CIQ($C$2,"IQ_PENSION_OBLIGATION_INTEREST_COST",P$6,$F$2,,,Ccy,Conv)</f>
        <v>1818</v>
      </c>
      <c r="Q563" s="215"/>
      <c r="R563" s="215"/>
      <c r="S563" s="215"/>
      <c r="T563" s="215"/>
      <c r="U563" s="215"/>
      <c r="V563" s="222"/>
      <c r="W563" s="222"/>
      <c r="X563" s="222"/>
      <c r="Y563" s="215"/>
      <c r="Z563" s="215"/>
      <c r="AA563" s="215"/>
      <c r="AB563" s="215"/>
      <c r="AC563" s="215"/>
      <c r="AD563" s="215"/>
      <c r="AE563" s="215"/>
      <c r="AF563" s="215"/>
      <c r="AG563" s="215"/>
      <c r="AH563" s="215"/>
      <c r="AI563" s="215"/>
      <c r="AJ563" s="215"/>
      <c r="AK563" s="215"/>
      <c r="AL563" s="215"/>
      <c r="AM563" s="215"/>
      <c r="AN563" s="215"/>
      <c r="AO563" s="215"/>
      <c r="AP563" s="215"/>
      <c r="AQ563" s="215"/>
      <c r="AR563" s="215"/>
      <c r="AS563" s="215"/>
      <c r="AT563" s="215"/>
      <c r="AU563" s="215"/>
      <c r="AV563" s="215"/>
      <c r="AW563" s="215"/>
      <c r="AX563" s="215"/>
      <c r="AY563" s="215"/>
      <c r="AZ563" s="215"/>
      <c r="BA563" s="215"/>
      <c r="BB563" s="215"/>
      <c r="BC563" s="215"/>
      <c r="BD563" s="215"/>
      <c r="BE563" s="215"/>
      <c r="BF563" s="215"/>
      <c r="BG563" s="215"/>
      <c r="BH563" s="215"/>
      <c r="BI563" s="215"/>
      <c r="BJ563" s="215"/>
      <c r="BK563" s="215"/>
      <c r="BL563" s="215"/>
      <c r="BM563" s="215"/>
      <c r="BN563" s="215"/>
      <c r="BO563" s="215"/>
      <c r="BP563" s="215"/>
      <c r="BQ563" s="215"/>
      <c r="BR563" s="215"/>
      <c r="BS563" s="215"/>
      <c r="BT563" s="215"/>
      <c r="BU563" s="215"/>
      <c r="BV563" s="215"/>
      <c r="BW563" s="215"/>
      <c r="BX563" s="215"/>
      <c r="BY563" s="215"/>
      <c r="BZ563" s="215"/>
    </row>
    <row r="564" spans="1:78" outlineLevel="1" x14ac:dyDescent="0.2">
      <c r="A564" s="2" t="str">
        <f>'Language Index'!A505</f>
        <v>Def. Benefit Employee Contributions</v>
      </c>
      <c r="B564" s="17"/>
      <c r="C564" s="17"/>
      <c r="D564" s="18">
        <f>_xll.ciqfunctions.udf.CIQ($C$2,"IQ_PENSION_OBLIGATION_EMPLOYEE_CONTRIBUTIONS",D$6,$F$2,,,Ccy,Conv)</f>
        <v>0</v>
      </c>
      <c r="E564" s="18">
        <f>_xll.ciqfunctions.udf.CIQ($C$2,"IQ_PENSION_OBLIGATION_EMPLOYEE_CONTRIBUTIONS",E$6,$F$2,,,Ccy,Conv)</f>
        <v>0</v>
      </c>
      <c r="F564" s="18">
        <f>_xll.ciqfunctions.udf.CIQ($C$2,"IQ_PENSION_OBLIGATION_EMPLOYEE_CONTRIBUTIONS",F$6,$F$2,,,Ccy,Conv)</f>
        <v>17</v>
      </c>
      <c r="G564" s="18">
        <f>_xll.ciqfunctions.udf.CIQ($C$2,"IQ_PENSION_OBLIGATION_EMPLOYEE_CONTRIBUTIONS",G$6,$F$2,,,Ccy,Conv)</f>
        <v>0</v>
      </c>
      <c r="H564" s="18">
        <f>_xll.ciqfunctions.udf.CIQ($C$2,"IQ_PENSION_OBLIGATION_EMPLOYEE_CONTRIBUTIONS",H$6,$F$2,,,Ccy,Conv)</f>
        <v>0</v>
      </c>
      <c r="I564" s="18">
        <f>_xll.ciqfunctions.udf.CIQ($C$2,"IQ_PENSION_OBLIGATION_EMPLOYEE_CONTRIBUTIONS",I$6,$F$2,,,Ccy,Conv)</f>
        <v>0</v>
      </c>
      <c r="J564" s="18">
        <f>_xll.ciqfunctions.udf.CIQ($C$2,"IQ_PENSION_OBLIGATION_EMPLOYEE_CONTRIBUTIONS",J$6,$F$2,,,Ccy,Conv)</f>
        <v>17</v>
      </c>
      <c r="K564" s="18">
        <f>_xll.ciqfunctions.udf.CIQ($C$2,"IQ_PENSION_OBLIGATION_EMPLOYEE_CONTRIBUTIONS",K$6,$F$2,,,Ccy,Conv)</f>
        <v>0</v>
      </c>
      <c r="L564" s="18">
        <f>_xll.ciqfunctions.udf.CIQ($C$2,"IQ_PENSION_OBLIGATION_EMPLOYEE_CONTRIBUTIONS",L$6,$F$2,,,Ccy,Conv)</f>
        <v>0</v>
      </c>
      <c r="M564" s="18">
        <f>_xll.ciqfunctions.udf.CIQ($C$2,"IQ_PENSION_OBLIGATION_EMPLOYEE_CONTRIBUTIONS",M$6,$F$2,,,Ccy,Conv)</f>
        <v>0</v>
      </c>
      <c r="N564" s="18">
        <f>_xll.ciqfunctions.udf.CIQ($C$2,"IQ_PENSION_OBLIGATION_EMPLOYEE_CONTRIBUTIONS",N$6,$F$2,,,Ccy,Conv)</f>
        <v>19</v>
      </c>
      <c r="O564" s="30"/>
      <c r="P564" s="18">
        <f>_xll.ciqfunctions.udf.CIQ($C$2,"IQ_PENSION_OBLIGATION_EMPLOYEE_CONTRIBUTIONS",P$6,$F$2,,,Ccy,Conv)</f>
        <v>19</v>
      </c>
      <c r="Q564" s="215"/>
      <c r="R564" s="215"/>
      <c r="S564" s="215"/>
      <c r="T564" s="215"/>
      <c r="U564" s="215"/>
      <c r="V564" s="222"/>
      <c r="W564" s="222"/>
      <c r="X564" s="222"/>
      <c r="Y564" s="215"/>
      <c r="Z564" s="215"/>
      <c r="AA564" s="215"/>
      <c r="AB564" s="215"/>
      <c r="AC564" s="215"/>
      <c r="AD564" s="215"/>
      <c r="AE564" s="215"/>
      <c r="AF564" s="215"/>
      <c r="AG564" s="215"/>
      <c r="AH564" s="215"/>
      <c r="AI564" s="215"/>
      <c r="AJ564" s="215"/>
      <c r="AK564" s="215"/>
      <c r="AL564" s="215"/>
      <c r="AM564" s="215"/>
      <c r="AN564" s="215"/>
      <c r="AO564" s="215"/>
      <c r="AP564" s="215"/>
      <c r="AQ564" s="215"/>
      <c r="AR564" s="215"/>
      <c r="AS564" s="215"/>
      <c r="AT564" s="215"/>
      <c r="AU564" s="215"/>
      <c r="AV564" s="215"/>
      <c r="AW564" s="215"/>
      <c r="AX564" s="215"/>
      <c r="AY564" s="215"/>
      <c r="AZ564" s="215"/>
      <c r="BA564" s="215"/>
      <c r="BB564" s="215"/>
      <c r="BC564" s="215"/>
      <c r="BD564" s="215"/>
      <c r="BE564" s="215"/>
      <c r="BF564" s="215"/>
      <c r="BG564" s="215"/>
      <c r="BH564" s="215"/>
      <c r="BI564" s="215"/>
      <c r="BJ564" s="215"/>
      <c r="BK564" s="215"/>
      <c r="BL564" s="215"/>
      <c r="BM564" s="215"/>
      <c r="BN564" s="215"/>
      <c r="BO564" s="215"/>
      <c r="BP564" s="215"/>
      <c r="BQ564" s="215"/>
      <c r="BR564" s="215"/>
      <c r="BS564" s="215"/>
      <c r="BT564" s="215"/>
      <c r="BU564" s="215"/>
      <c r="BV564" s="215"/>
      <c r="BW564" s="215"/>
      <c r="BX564" s="215"/>
      <c r="BY564" s="215"/>
      <c r="BZ564" s="215"/>
    </row>
    <row r="565" spans="1:78" outlineLevel="1" x14ac:dyDescent="0.2">
      <c r="A565" s="2" t="str">
        <f>'Language Index'!A506</f>
        <v>Def. Benefit Actuarial Gain/Losses</v>
      </c>
      <c r="B565" s="17"/>
      <c r="C565" s="17"/>
      <c r="D565" s="18">
        <f>_xll.ciqfunctions.udf.CIQ($C$2,"IQ_PENSION_OBLIGATION_ACTUARIAL_GAIN_LOSS",D$6,$F$2,,,Ccy,Conv)</f>
        <v>0</v>
      </c>
      <c r="E565" s="18">
        <f>_xll.ciqfunctions.udf.CIQ($C$2,"IQ_PENSION_OBLIGATION_ACTUARIAL_GAIN_LOSS",E$6,$F$2,,,Ccy,Conv)</f>
        <v>0</v>
      </c>
      <c r="F565" s="18">
        <f>_xll.ciqfunctions.udf.CIQ($C$2,"IQ_PENSION_OBLIGATION_ACTUARIAL_GAIN_LOSS",F$6,$F$2,,,Ccy,Conv)</f>
        <v>2563</v>
      </c>
      <c r="G565" s="18">
        <f>_xll.ciqfunctions.udf.CIQ($C$2,"IQ_PENSION_OBLIGATION_ACTUARIAL_GAIN_LOSS",G$6,$F$2,,,Ccy,Conv)</f>
        <v>0</v>
      </c>
      <c r="H565" s="18">
        <f>_xll.ciqfunctions.udf.CIQ($C$2,"IQ_PENSION_OBLIGATION_ACTUARIAL_GAIN_LOSS",H$6,$F$2,,,Ccy,Conv)</f>
        <v>0</v>
      </c>
      <c r="I565" s="18">
        <f>_xll.ciqfunctions.udf.CIQ($C$2,"IQ_PENSION_OBLIGATION_ACTUARIAL_GAIN_LOSS",I$6,$F$2,,,Ccy,Conv)</f>
        <v>0</v>
      </c>
      <c r="J565" s="18">
        <f>_xll.ciqfunctions.udf.CIQ($C$2,"IQ_PENSION_OBLIGATION_ACTUARIAL_GAIN_LOSS",J$6,$F$2,,,Ccy,Conv)</f>
        <v>-1665</v>
      </c>
      <c r="K565" s="18">
        <f>_xll.ciqfunctions.udf.CIQ($C$2,"IQ_PENSION_OBLIGATION_ACTUARIAL_GAIN_LOSS",K$6,$F$2,,,Ccy,Conv)</f>
        <v>0</v>
      </c>
      <c r="L565" s="18">
        <f>_xll.ciqfunctions.udf.CIQ($C$2,"IQ_PENSION_OBLIGATION_ACTUARIAL_GAIN_LOSS",L$6,$F$2,,,Ccy,Conv)</f>
        <v>0</v>
      </c>
      <c r="M565" s="18">
        <f>_xll.ciqfunctions.udf.CIQ($C$2,"IQ_PENSION_OBLIGATION_ACTUARIAL_GAIN_LOSS",M$6,$F$2,,,Ccy,Conv)</f>
        <v>0</v>
      </c>
      <c r="N565" s="18">
        <f>_xll.ciqfunctions.udf.CIQ($C$2,"IQ_PENSION_OBLIGATION_ACTUARIAL_GAIN_LOSS",N$6,$F$2,,,Ccy,Conv)</f>
        <v>-328</v>
      </c>
      <c r="O565" s="30"/>
      <c r="P565" s="18">
        <f>_xll.ciqfunctions.udf.CIQ($C$2,"IQ_PENSION_OBLIGATION_ACTUARIAL_GAIN_LOSS",P$6,$F$2,,,Ccy,Conv)</f>
        <v>-328</v>
      </c>
      <c r="Q565" s="215"/>
      <c r="R565" s="215"/>
      <c r="S565" s="215"/>
      <c r="T565" s="215"/>
      <c r="U565" s="215"/>
      <c r="V565" s="222"/>
      <c r="W565" s="222"/>
      <c r="X565" s="222"/>
      <c r="Y565" s="215"/>
      <c r="Z565" s="215"/>
      <c r="AA565" s="215"/>
      <c r="AB565" s="215"/>
      <c r="AC565" s="215"/>
      <c r="AD565" s="215"/>
      <c r="AE565" s="215"/>
      <c r="AF565" s="215"/>
      <c r="AG565" s="215"/>
      <c r="AH565" s="215"/>
      <c r="AI565" s="215"/>
      <c r="AJ565" s="215"/>
      <c r="AK565" s="215"/>
      <c r="AL565" s="215"/>
      <c r="AM565" s="215"/>
      <c r="AN565" s="215"/>
      <c r="AO565" s="215"/>
      <c r="AP565" s="215"/>
      <c r="AQ565" s="215"/>
      <c r="AR565" s="215"/>
      <c r="AS565" s="215"/>
      <c r="AT565" s="215"/>
      <c r="AU565" s="215"/>
      <c r="AV565" s="215"/>
      <c r="AW565" s="215"/>
      <c r="AX565" s="215"/>
      <c r="AY565" s="215"/>
      <c r="AZ565" s="215"/>
      <c r="BA565" s="215"/>
      <c r="BB565" s="215"/>
      <c r="BC565" s="215"/>
      <c r="BD565" s="215"/>
      <c r="BE565" s="215"/>
      <c r="BF565" s="215"/>
      <c r="BG565" s="215"/>
      <c r="BH565" s="215"/>
      <c r="BI565" s="215"/>
      <c r="BJ565" s="215"/>
      <c r="BK565" s="215"/>
      <c r="BL565" s="215"/>
      <c r="BM565" s="215"/>
      <c r="BN565" s="215"/>
      <c r="BO565" s="215"/>
      <c r="BP565" s="215"/>
      <c r="BQ565" s="215"/>
      <c r="BR565" s="215"/>
      <c r="BS565" s="215"/>
      <c r="BT565" s="215"/>
      <c r="BU565" s="215"/>
      <c r="BV565" s="215"/>
      <c r="BW565" s="215"/>
      <c r="BX565" s="215"/>
      <c r="BY565" s="215"/>
      <c r="BZ565" s="215"/>
    </row>
    <row r="566" spans="1:78" outlineLevel="1" x14ac:dyDescent="0.2">
      <c r="A566" s="2" t="str">
        <f>'Language Index'!A507</f>
        <v>Def. Benefits Paid</v>
      </c>
      <c r="B566" s="17"/>
      <c r="C566" s="17"/>
      <c r="D566" s="18">
        <f>_xll.ciqfunctions.udf.CIQ($C$2,"IQ_PENSION_OBLIGATION_PAID",D$6,$F$2,,,Ccy,Conv)</f>
        <v>0</v>
      </c>
      <c r="E566" s="18">
        <f>_xll.ciqfunctions.udf.CIQ($C$2,"IQ_PENSION_OBLIGATION_PAID",E$6,$F$2,,,Ccy,Conv)</f>
        <v>0</v>
      </c>
      <c r="F566" s="18">
        <f>_xll.ciqfunctions.udf.CIQ($C$2,"IQ_PENSION_OBLIGATION_PAID",F$6,$F$2,,,Ccy,Conv)</f>
        <v>-3571</v>
      </c>
      <c r="G566" s="18">
        <f>_xll.ciqfunctions.udf.CIQ($C$2,"IQ_PENSION_OBLIGATION_PAID",G$6,$F$2,,,Ccy,Conv)</f>
        <v>0</v>
      </c>
      <c r="H566" s="18">
        <f>_xll.ciqfunctions.udf.CIQ($C$2,"IQ_PENSION_OBLIGATION_PAID",H$6,$F$2,,,Ccy,Conv)</f>
        <v>0</v>
      </c>
      <c r="I566" s="18">
        <f>_xll.ciqfunctions.udf.CIQ($C$2,"IQ_PENSION_OBLIGATION_PAID",I$6,$F$2,,,Ccy,Conv)</f>
        <v>0</v>
      </c>
      <c r="J566" s="18">
        <f>_xll.ciqfunctions.udf.CIQ($C$2,"IQ_PENSION_OBLIGATION_PAID",J$6,$F$2,,,Ccy,Conv)</f>
        <v>-3611</v>
      </c>
      <c r="K566" s="18">
        <f>_xll.ciqfunctions.udf.CIQ($C$2,"IQ_PENSION_OBLIGATION_PAID",K$6,$F$2,,,Ccy,Conv)</f>
        <v>0</v>
      </c>
      <c r="L566" s="18">
        <f>_xll.ciqfunctions.udf.CIQ($C$2,"IQ_PENSION_OBLIGATION_PAID",L$6,$F$2,,,Ccy,Conv)</f>
        <v>0</v>
      </c>
      <c r="M566" s="18">
        <f>_xll.ciqfunctions.udf.CIQ($C$2,"IQ_PENSION_OBLIGATION_PAID",M$6,$F$2,,,Ccy,Conv)</f>
        <v>0</v>
      </c>
      <c r="N566" s="18">
        <f>_xll.ciqfunctions.udf.CIQ($C$2,"IQ_PENSION_OBLIGATION_PAID",N$6,$F$2,,,Ccy,Conv)</f>
        <v>-2967</v>
      </c>
      <c r="O566" s="30"/>
      <c r="P566" s="18">
        <f>_xll.ciqfunctions.udf.CIQ($C$2,"IQ_PENSION_OBLIGATION_PAID",P$6,$F$2,,,Ccy,Conv)</f>
        <v>-2967</v>
      </c>
      <c r="Q566" s="215"/>
      <c r="R566" s="215"/>
      <c r="S566" s="215"/>
      <c r="T566" s="215"/>
      <c r="U566" s="215"/>
      <c r="V566" s="222"/>
      <c r="W566" s="222"/>
      <c r="X566" s="222"/>
      <c r="Y566" s="215"/>
      <c r="Z566" s="215"/>
      <c r="AA566" s="215"/>
      <c r="AB566" s="215"/>
      <c r="AC566" s="215"/>
      <c r="AD566" s="215"/>
      <c r="AE566" s="215"/>
      <c r="AF566" s="215"/>
      <c r="AG566" s="215"/>
      <c r="AH566" s="215"/>
      <c r="AI566" s="215"/>
      <c r="AJ566" s="215"/>
      <c r="AK566" s="215"/>
      <c r="AL566" s="215"/>
      <c r="AM566" s="215"/>
      <c r="AN566" s="215"/>
      <c r="AO566" s="215"/>
      <c r="AP566" s="215"/>
      <c r="AQ566" s="215"/>
      <c r="AR566" s="215"/>
      <c r="AS566" s="215"/>
      <c r="AT566" s="215"/>
      <c r="AU566" s="215"/>
      <c r="AV566" s="215"/>
      <c r="AW566" s="215"/>
      <c r="AX566" s="215"/>
      <c r="AY566" s="215"/>
      <c r="AZ566" s="215"/>
      <c r="BA566" s="215"/>
      <c r="BB566" s="215"/>
      <c r="BC566" s="215"/>
      <c r="BD566" s="215"/>
      <c r="BE566" s="215"/>
      <c r="BF566" s="215"/>
      <c r="BG566" s="215"/>
      <c r="BH566" s="215"/>
      <c r="BI566" s="215"/>
      <c r="BJ566" s="215"/>
      <c r="BK566" s="215"/>
      <c r="BL566" s="215"/>
      <c r="BM566" s="215"/>
      <c r="BN566" s="215"/>
      <c r="BO566" s="215"/>
      <c r="BP566" s="215"/>
      <c r="BQ566" s="215"/>
      <c r="BR566" s="215"/>
      <c r="BS566" s="215"/>
      <c r="BT566" s="215"/>
      <c r="BU566" s="215"/>
      <c r="BV566" s="215"/>
      <c r="BW566" s="215"/>
      <c r="BX566" s="215"/>
      <c r="BY566" s="215"/>
      <c r="BZ566" s="215"/>
    </row>
    <row r="567" spans="1:78" outlineLevel="1" x14ac:dyDescent="0.2">
      <c r="A567" s="2" t="str">
        <f>'Language Index'!A508</f>
        <v>Foreign Exchange Adj.</v>
      </c>
      <c r="B567" s="17"/>
      <c r="C567" s="17"/>
      <c r="D567" s="18">
        <f>_xll.ciqfunctions.udf.CIQ($C$2,"IQ_PENSION_OBLIGATION_FX_ADJ",D$6,$F$2,,,Ccy,Conv)</f>
        <v>0</v>
      </c>
      <c r="E567" s="18">
        <f>_xll.ciqfunctions.udf.CIQ($C$2,"IQ_PENSION_OBLIGATION_FX_ADJ",E$6,$F$2,,,Ccy,Conv)</f>
        <v>0</v>
      </c>
      <c r="F567" s="18">
        <f>_xll.ciqfunctions.udf.CIQ($C$2,"IQ_PENSION_OBLIGATION_FX_ADJ",F$6,$F$2,,,Ccy,Conv)</f>
        <v>1021</v>
      </c>
      <c r="G567" s="18">
        <f>_xll.ciqfunctions.udf.CIQ($C$2,"IQ_PENSION_OBLIGATION_FX_ADJ",G$6,$F$2,,,Ccy,Conv)</f>
        <v>0</v>
      </c>
      <c r="H567" s="18">
        <f>_xll.ciqfunctions.udf.CIQ($C$2,"IQ_PENSION_OBLIGATION_FX_ADJ",H$6,$F$2,,,Ccy,Conv)</f>
        <v>0</v>
      </c>
      <c r="I567" s="18">
        <f>_xll.ciqfunctions.udf.CIQ($C$2,"IQ_PENSION_OBLIGATION_FX_ADJ",I$6,$F$2,,,Ccy,Conv)</f>
        <v>0</v>
      </c>
      <c r="J567" s="18">
        <f>_xll.ciqfunctions.udf.CIQ($C$2,"IQ_PENSION_OBLIGATION_FX_ADJ",J$6,$F$2,,,Ccy,Conv)</f>
        <v>-1850</v>
      </c>
      <c r="K567" s="18">
        <f>_xll.ciqfunctions.udf.CIQ($C$2,"IQ_PENSION_OBLIGATION_FX_ADJ",K$6,$F$2,,,Ccy,Conv)</f>
        <v>0</v>
      </c>
      <c r="L567" s="18">
        <f>_xll.ciqfunctions.udf.CIQ($C$2,"IQ_PENSION_OBLIGATION_FX_ADJ",L$6,$F$2,,,Ccy,Conv)</f>
        <v>0</v>
      </c>
      <c r="M567" s="18">
        <f>_xll.ciqfunctions.udf.CIQ($C$2,"IQ_PENSION_OBLIGATION_FX_ADJ",M$6,$F$2,,,Ccy,Conv)</f>
        <v>0</v>
      </c>
      <c r="N567" s="18">
        <f>_xll.ciqfunctions.udf.CIQ($C$2,"IQ_PENSION_OBLIGATION_FX_ADJ",N$6,$F$2,,,Ccy,Conv)</f>
        <v>3031</v>
      </c>
      <c r="O567" s="30"/>
      <c r="P567" s="18">
        <f>_xll.ciqfunctions.udf.CIQ($C$2,"IQ_PENSION_OBLIGATION_FX_ADJ",P$6,$F$2,,,Ccy,Conv)</f>
        <v>3031</v>
      </c>
      <c r="Q567" s="215"/>
      <c r="R567" s="215"/>
      <c r="S567" s="215"/>
      <c r="T567" s="215"/>
      <c r="U567" s="215"/>
      <c r="V567" s="222"/>
      <c r="W567" s="222"/>
      <c r="X567" s="222"/>
      <c r="Y567" s="215"/>
      <c r="Z567" s="215"/>
      <c r="AA567" s="215"/>
      <c r="AB567" s="215"/>
      <c r="AC567" s="215"/>
      <c r="AD567" s="215"/>
      <c r="AE567" s="215"/>
      <c r="AF567" s="215"/>
      <c r="AG567" s="215"/>
      <c r="AH567" s="215"/>
      <c r="AI567" s="215"/>
      <c r="AJ567" s="215"/>
      <c r="AK567" s="215"/>
      <c r="AL567" s="215"/>
      <c r="AM567" s="215"/>
      <c r="AN567" s="215"/>
      <c r="AO567" s="215"/>
      <c r="AP567" s="215"/>
      <c r="AQ567" s="215"/>
      <c r="AR567" s="215"/>
      <c r="AS567" s="215"/>
      <c r="AT567" s="215"/>
      <c r="AU567" s="215"/>
      <c r="AV567" s="215"/>
      <c r="AW567" s="215"/>
      <c r="AX567" s="215"/>
      <c r="AY567" s="215"/>
      <c r="AZ567" s="215"/>
      <c r="BA567" s="215"/>
      <c r="BB567" s="215"/>
      <c r="BC567" s="215"/>
      <c r="BD567" s="215"/>
      <c r="BE567" s="215"/>
      <c r="BF567" s="215"/>
      <c r="BG567" s="215"/>
      <c r="BH567" s="215"/>
      <c r="BI567" s="215"/>
      <c r="BJ567" s="215"/>
      <c r="BK567" s="215"/>
      <c r="BL567" s="215"/>
      <c r="BM567" s="215"/>
      <c r="BN567" s="215"/>
      <c r="BO567" s="215"/>
      <c r="BP567" s="215"/>
      <c r="BQ567" s="215"/>
      <c r="BR567" s="215"/>
      <c r="BS567" s="215"/>
      <c r="BT567" s="215"/>
      <c r="BU567" s="215"/>
      <c r="BV567" s="215"/>
      <c r="BW567" s="215"/>
      <c r="BX567" s="215"/>
      <c r="BY567" s="215"/>
      <c r="BZ567" s="215"/>
    </row>
    <row r="568" spans="1:78" outlineLevel="1" x14ac:dyDescent="0.2">
      <c r="A568" s="2" t="str">
        <f>'Language Index'!A509</f>
        <v>Acq. Benefit Obligation</v>
      </c>
      <c r="B568" s="17"/>
      <c r="C568" s="17"/>
      <c r="D568" s="18">
        <f>_xll.ciqfunctions.udf.CIQ($C$2,"IQ_PENSION_OBLIGATION_ACQ",D$6,$F$2,,,Ccy,Conv)</f>
        <v>0</v>
      </c>
      <c r="E568" s="18">
        <f>_xll.ciqfunctions.udf.CIQ($C$2,"IQ_PENSION_OBLIGATION_ACQ",E$6,$F$2,,,Ccy,Conv)</f>
        <v>0</v>
      </c>
      <c r="F568" s="18">
        <f>_xll.ciqfunctions.udf.CIQ($C$2,"IQ_PENSION_OBLIGATION_ACQ",F$6,$F$2,,,Ccy,Conv)</f>
        <v>0</v>
      </c>
      <c r="G568" s="18">
        <f>_xll.ciqfunctions.udf.CIQ($C$2,"IQ_PENSION_OBLIGATION_ACQ",G$6,$F$2,,,Ccy,Conv)</f>
        <v>0</v>
      </c>
      <c r="H568" s="18">
        <f>_xll.ciqfunctions.udf.CIQ($C$2,"IQ_PENSION_OBLIGATION_ACQ",H$6,$F$2,,,Ccy,Conv)</f>
        <v>0</v>
      </c>
      <c r="I568" s="18">
        <f>_xll.ciqfunctions.udf.CIQ($C$2,"IQ_PENSION_OBLIGATION_ACQ",I$6,$F$2,,,Ccy,Conv)</f>
        <v>0</v>
      </c>
      <c r="J568" s="18">
        <f>_xll.ciqfunctions.udf.CIQ($C$2,"IQ_PENSION_OBLIGATION_ACQ",J$6,$F$2,,,Ccy,Conv)</f>
        <v>0</v>
      </c>
      <c r="K568" s="18">
        <f>_xll.ciqfunctions.udf.CIQ($C$2,"IQ_PENSION_OBLIGATION_ACQ",K$6,$F$2,,,Ccy,Conv)</f>
        <v>0</v>
      </c>
      <c r="L568" s="18">
        <f>_xll.ciqfunctions.udf.CIQ($C$2,"IQ_PENSION_OBLIGATION_ACQ",L$6,$F$2,,,Ccy,Conv)</f>
        <v>0</v>
      </c>
      <c r="M568" s="18">
        <f>_xll.ciqfunctions.udf.CIQ($C$2,"IQ_PENSION_OBLIGATION_ACQ",M$6,$F$2,,,Ccy,Conv)</f>
        <v>0</v>
      </c>
      <c r="N568" s="18">
        <f>_xll.ciqfunctions.udf.CIQ($C$2,"IQ_PENSION_OBLIGATION_ACQ",N$6,$F$2,,,Ccy,Conv)</f>
        <v>0</v>
      </c>
      <c r="O568" s="30"/>
      <c r="P568" s="18">
        <f>_xll.ciqfunctions.udf.CIQ($C$2,"IQ_PENSION_OBLIGATION_ACQ",P$6,$F$2,,,Ccy,Conv)</f>
        <v>0</v>
      </c>
      <c r="Q568" s="215"/>
      <c r="R568" s="215"/>
      <c r="S568" s="215"/>
      <c r="T568" s="215"/>
      <c r="U568" s="215"/>
      <c r="V568" s="222"/>
      <c r="W568" s="222"/>
      <c r="X568" s="222"/>
      <c r="Y568" s="215"/>
      <c r="Z568" s="215"/>
      <c r="AA568" s="215"/>
      <c r="AB568" s="215"/>
      <c r="AC568" s="215"/>
      <c r="AD568" s="215"/>
      <c r="AE568" s="215"/>
      <c r="AF568" s="215"/>
      <c r="AG568" s="215"/>
      <c r="AH568" s="215"/>
      <c r="AI568" s="215"/>
      <c r="AJ568" s="215"/>
      <c r="AK568" s="215"/>
      <c r="AL568" s="215"/>
      <c r="AM568" s="215"/>
      <c r="AN568" s="215"/>
      <c r="AO568" s="215"/>
      <c r="AP568" s="215"/>
      <c r="AQ568" s="215"/>
      <c r="AR568" s="215"/>
      <c r="AS568" s="215"/>
      <c r="AT568" s="215"/>
      <c r="AU568" s="215"/>
      <c r="AV568" s="215"/>
      <c r="AW568" s="215"/>
      <c r="AX568" s="215"/>
      <c r="AY568" s="215"/>
      <c r="AZ568" s="215"/>
      <c r="BA568" s="215"/>
      <c r="BB568" s="215"/>
      <c r="BC568" s="215"/>
      <c r="BD568" s="215"/>
      <c r="BE568" s="215"/>
      <c r="BF568" s="215"/>
      <c r="BG568" s="215"/>
      <c r="BH568" s="215"/>
      <c r="BI568" s="215"/>
      <c r="BJ568" s="215"/>
      <c r="BK568" s="215"/>
      <c r="BL568" s="215"/>
      <c r="BM568" s="215"/>
      <c r="BN568" s="215"/>
      <c r="BO568" s="215"/>
      <c r="BP568" s="215"/>
      <c r="BQ568" s="215"/>
      <c r="BR568" s="215"/>
      <c r="BS568" s="215"/>
      <c r="BT568" s="215"/>
      <c r="BU568" s="215"/>
      <c r="BV568" s="215"/>
      <c r="BW568" s="215"/>
      <c r="BX568" s="215"/>
      <c r="BY568" s="215"/>
      <c r="BZ568" s="215"/>
    </row>
    <row r="569" spans="1:78" outlineLevel="1" x14ac:dyDescent="0.2">
      <c r="A569" s="2" t="str">
        <f>'Language Index'!A510</f>
        <v>Def. Benefit Settlement/Curtailment</v>
      </c>
      <c r="B569" s="17"/>
      <c r="C569" s="17"/>
      <c r="D569" s="18">
        <f>_xll.ciqfunctions.udf.CIQ($C$2,"IQ_PENSION_OBLIGATION_CURTAIL",D$6,$F$2,,,Ccy,Conv)</f>
        <v>0</v>
      </c>
      <c r="E569" s="18">
        <f>_xll.ciqfunctions.udf.CIQ($C$2,"IQ_PENSION_OBLIGATION_CURTAIL",E$6,$F$2,,,Ccy,Conv)</f>
        <v>0</v>
      </c>
      <c r="F569" s="18">
        <f>_xll.ciqfunctions.udf.CIQ($C$2,"IQ_PENSION_OBLIGATION_CURTAIL",F$6,$F$2,,,Ccy,Conv)</f>
        <v>0</v>
      </c>
      <c r="G569" s="18">
        <f>_xll.ciqfunctions.udf.CIQ($C$2,"IQ_PENSION_OBLIGATION_CURTAIL",G$6,$F$2,,,Ccy,Conv)</f>
        <v>0</v>
      </c>
      <c r="H569" s="18">
        <f>_xll.ciqfunctions.udf.CIQ($C$2,"IQ_PENSION_OBLIGATION_CURTAIL",H$6,$F$2,,,Ccy,Conv)</f>
        <v>0</v>
      </c>
      <c r="I569" s="18">
        <f>_xll.ciqfunctions.udf.CIQ($C$2,"IQ_PENSION_OBLIGATION_CURTAIL",I$6,$F$2,,,Ccy,Conv)</f>
        <v>0</v>
      </c>
      <c r="J569" s="18">
        <f>_xll.ciqfunctions.udf.CIQ($C$2,"IQ_PENSION_OBLIGATION_CURTAIL",J$6,$F$2,,,Ccy,Conv)</f>
        <v>0</v>
      </c>
      <c r="K569" s="18">
        <f>_xll.ciqfunctions.udf.CIQ($C$2,"IQ_PENSION_OBLIGATION_CURTAIL",K$6,$F$2,,,Ccy,Conv)</f>
        <v>0</v>
      </c>
      <c r="L569" s="18">
        <f>_xll.ciqfunctions.udf.CIQ($C$2,"IQ_PENSION_OBLIGATION_CURTAIL",L$6,$F$2,,,Ccy,Conv)</f>
        <v>0</v>
      </c>
      <c r="M569" s="18">
        <f>_xll.ciqfunctions.udf.CIQ($C$2,"IQ_PENSION_OBLIGATION_CURTAIL",M$6,$F$2,,,Ccy,Conv)</f>
        <v>0</v>
      </c>
      <c r="N569" s="18">
        <f>_xll.ciqfunctions.udf.CIQ($C$2,"IQ_PENSION_OBLIGATION_CURTAIL",N$6,$F$2,,,Ccy,Conv)</f>
        <v>0</v>
      </c>
      <c r="O569" s="30"/>
      <c r="P569" s="18">
        <f>_xll.ciqfunctions.udf.CIQ($C$2,"IQ_PENSION_OBLIGATION_CURTAIL",P$6,$F$2,,,Ccy,Conv)</f>
        <v>0</v>
      </c>
      <c r="Q569" s="215"/>
      <c r="R569" s="215"/>
      <c r="S569" s="215"/>
      <c r="T569" s="215"/>
      <c r="U569" s="215"/>
      <c r="V569" s="222"/>
      <c r="W569" s="222"/>
      <c r="X569" s="222"/>
      <c r="Y569" s="215"/>
      <c r="Z569" s="215"/>
      <c r="AA569" s="215"/>
      <c r="AB569" s="215"/>
      <c r="AC569" s="215"/>
      <c r="AD569" s="215"/>
      <c r="AE569" s="215"/>
      <c r="AF569" s="215"/>
      <c r="AG569" s="215"/>
      <c r="AH569" s="215"/>
      <c r="AI569" s="215"/>
      <c r="AJ569" s="215"/>
      <c r="AK569" s="215"/>
      <c r="AL569" s="215"/>
      <c r="AM569" s="215"/>
      <c r="AN569" s="215"/>
      <c r="AO569" s="215"/>
      <c r="AP569" s="215"/>
      <c r="AQ569" s="215"/>
      <c r="AR569" s="215"/>
      <c r="AS569" s="215"/>
      <c r="AT569" s="215"/>
      <c r="AU569" s="215"/>
      <c r="AV569" s="215"/>
      <c r="AW569" s="215"/>
      <c r="AX569" s="215"/>
      <c r="AY569" s="215"/>
      <c r="AZ569" s="215"/>
      <c r="BA569" s="215"/>
      <c r="BB569" s="215"/>
      <c r="BC569" s="215"/>
      <c r="BD569" s="215"/>
      <c r="BE569" s="215"/>
      <c r="BF569" s="215"/>
      <c r="BG569" s="215"/>
      <c r="BH569" s="215"/>
      <c r="BI569" s="215"/>
      <c r="BJ569" s="215"/>
      <c r="BK569" s="215"/>
      <c r="BL569" s="215"/>
      <c r="BM569" s="215"/>
      <c r="BN569" s="215"/>
      <c r="BO569" s="215"/>
      <c r="BP569" s="215"/>
      <c r="BQ569" s="215"/>
      <c r="BR569" s="215"/>
      <c r="BS569" s="215"/>
      <c r="BT569" s="215"/>
      <c r="BU569" s="215"/>
      <c r="BV569" s="215"/>
      <c r="BW569" s="215"/>
      <c r="BX569" s="215"/>
      <c r="BY569" s="215"/>
      <c r="BZ569" s="215"/>
    </row>
    <row r="570" spans="1:78" outlineLevel="1" x14ac:dyDescent="0.2">
      <c r="A570" s="2" t="str">
        <f>'Language Index'!A511</f>
        <v>Other Adj. To Def. Benefit Obligation</v>
      </c>
      <c r="B570" s="17"/>
      <c r="C570" s="17"/>
      <c r="D570" s="18">
        <f>_xll.ciqfunctions.udf.CIQ($C$2,"IQ_PENSION_OBLIGATION_OTHER_PLAN_ADJ",D$6,$F$2,,,Ccy,Conv)</f>
        <v>0</v>
      </c>
      <c r="E570" s="18">
        <f>_xll.ciqfunctions.udf.CIQ($C$2,"IQ_PENSION_OBLIGATION_OTHER_PLAN_ADJ",E$6,$F$2,,,Ccy,Conv)</f>
        <v>0</v>
      </c>
      <c r="F570" s="18">
        <f>_xll.ciqfunctions.udf.CIQ($C$2,"IQ_PENSION_OBLIGATION_OTHER_PLAN_ADJ",F$6,$F$2,,,Ccy,Conv)</f>
        <v>-506</v>
      </c>
      <c r="G570" s="18">
        <f>_xll.ciqfunctions.udf.CIQ($C$2,"IQ_PENSION_OBLIGATION_OTHER_PLAN_ADJ",G$6,$F$2,,,Ccy,Conv)</f>
        <v>0</v>
      </c>
      <c r="H570" s="18">
        <f>_xll.ciqfunctions.udf.CIQ($C$2,"IQ_PENSION_OBLIGATION_OTHER_PLAN_ADJ",H$6,$F$2,,,Ccy,Conv)</f>
        <v>0</v>
      </c>
      <c r="I570" s="18">
        <f>_xll.ciqfunctions.udf.CIQ($C$2,"IQ_PENSION_OBLIGATION_OTHER_PLAN_ADJ",I$6,$F$2,,,Ccy,Conv)</f>
        <v>0</v>
      </c>
      <c r="J570" s="18">
        <f>_xll.ciqfunctions.udf.CIQ($C$2,"IQ_PENSION_OBLIGATION_OTHER_PLAN_ADJ",J$6,$F$2,,,Ccy,Conv)</f>
        <v>-7448</v>
      </c>
      <c r="K570" s="18">
        <f>_xll.ciqfunctions.udf.CIQ($C$2,"IQ_PENSION_OBLIGATION_OTHER_PLAN_ADJ",K$6,$F$2,,,Ccy,Conv)</f>
        <v>0</v>
      </c>
      <c r="L570" s="18">
        <f>_xll.ciqfunctions.udf.CIQ($C$2,"IQ_PENSION_OBLIGATION_OTHER_PLAN_ADJ",L$6,$F$2,,,Ccy,Conv)</f>
        <v>0</v>
      </c>
      <c r="M570" s="18">
        <f>_xll.ciqfunctions.udf.CIQ($C$2,"IQ_PENSION_OBLIGATION_OTHER_PLAN_ADJ",M$6,$F$2,,,Ccy,Conv)</f>
        <v>0</v>
      </c>
      <c r="N570" s="18">
        <f>_xll.ciqfunctions.udf.CIQ($C$2,"IQ_PENSION_OBLIGATION_OTHER_PLAN_ADJ",N$6,$F$2,,,Ccy,Conv)</f>
        <v>-476</v>
      </c>
      <c r="O570" s="30"/>
      <c r="P570" s="18">
        <f>_xll.ciqfunctions.udf.CIQ($C$2,"IQ_PENSION_OBLIGATION_OTHER_PLAN_ADJ",P$6,$F$2,,,Ccy,Conv)</f>
        <v>-476</v>
      </c>
      <c r="Q570" s="215"/>
      <c r="R570" s="215"/>
      <c r="S570" s="215"/>
      <c r="T570" s="215"/>
      <c r="U570" s="215"/>
      <c r="V570" s="222"/>
      <c r="W570" s="222"/>
      <c r="X570" s="222"/>
      <c r="Y570" s="215"/>
      <c r="Z570" s="215"/>
      <c r="AA570" s="215"/>
      <c r="AB570" s="215"/>
      <c r="AC570" s="215"/>
      <c r="AD570" s="215"/>
      <c r="AE570" s="215"/>
      <c r="AF570" s="215"/>
      <c r="AG570" s="215"/>
      <c r="AH570" s="215"/>
      <c r="AI570" s="215"/>
      <c r="AJ570" s="215"/>
      <c r="AK570" s="215"/>
      <c r="AL570" s="215"/>
      <c r="AM570" s="215"/>
      <c r="AN570" s="215"/>
      <c r="AO570" s="215"/>
      <c r="AP570" s="215"/>
      <c r="AQ570" s="215"/>
      <c r="AR570" s="215"/>
      <c r="AS570" s="215"/>
      <c r="AT570" s="215"/>
      <c r="AU570" s="215"/>
      <c r="AV570" s="215"/>
      <c r="AW570" s="215"/>
      <c r="AX570" s="215"/>
      <c r="AY570" s="215"/>
      <c r="AZ570" s="215"/>
      <c r="BA570" s="215"/>
      <c r="BB570" s="215"/>
      <c r="BC570" s="215"/>
      <c r="BD570" s="215"/>
      <c r="BE570" s="215"/>
      <c r="BF570" s="215"/>
      <c r="BG570" s="215"/>
      <c r="BH570" s="215"/>
      <c r="BI570" s="215"/>
      <c r="BJ570" s="215"/>
      <c r="BK570" s="215"/>
      <c r="BL570" s="215"/>
      <c r="BM570" s="215"/>
      <c r="BN570" s="215"/>
      <c r="BO570" s="215"/>
      <c r="BP570" s="215"/>
      <c r="BQ570" s="215"/>
      <c r="BR570" s="215"/>
      <c r="BS570" s="215"/>
      <c r="BT570" s="215"/>
      <c r="BU570" s="215"/>
      <c r="BV570" s="215"/>
      <c r="BW570" s="215"/>
      <c r="BX570" s="215"/>
      <c r="BY570" s="215"/>
      <c r="BZ570" s="215"/>
    </row>
    <row r="571" spans="1:78" outlineLevel="1" x14ac:dyDescent="0.2">
      <c r="A571" s="2" t="str">
        <f>'Language Index'!A512</f>
        <v>Proj. Benefit Obligation</v>
      </c>
      <c r="B571" s="17"/>
      <c r="C571" s="17"/>
      <c r="D571" s="18">
        <f>_xll.ciqfunctions.udf.CIQ($C$2,"IQ_PENSION_OBLIGATION_PROJECTED",D$6,$F$2,,,Ccy,Conv)</f>
        <v>0</v>
      </c>
      <c r="E571" s="18">
        <f>_xll.ciqfunctions.udf.CIQ($C$2,"IQ_PENSION_OBLIGATION_PROJECTED",E$6,$F$2,,,Ccy,Conv)</f>
        <v>0</v>
      </c>
      <c r="F571" s="18">
        <f>_xll.ciqfunctions.udf.CIQ($C$2,"IQ_PENSION_OBLIGATION_PROJECTED",F$6,$F$2,,,Ccy,Conv)</f>
        <v>54714</v>
      </c>
      <c r="G571" s="18">
        <f>_xll.ciqfunctions.udf.CIQ($C$2,"IQ_PENSION_OBLIGATION_PROJECTED",G$6,$F$2,,,Ccy,Conv)</f>
        <v>0</v>
      </c>
      <c r="H571" s="18">
        <f>_xll.ciqfunctions.udf.CIQ($C$2,"IQ_PENSION_OBLIGATION_PROJECTED",H$6,$F$2,,,Ccy,Conv)</f>
        <v>0</v>
      </c>
      <c r="I571" s="18">
        <f>_xll.ciqfunctions.udf.CIQ($C$2,"IQ_PENSION_OBLIGATION_PROJECTED",I$6,$F$2,,,Ccy,Conv)</f>
        <v>0</v>
      </c>
      <c r="J571" s="18">
        <f>_xll.ciqfunctions.udf.CIQ($C$2,"IQ_PENSION_OBLIGATION_PROJECTED",J$6,$F$2,,,Ccy,Conv)</f>
        <v>42709</v>
      </c>
      <c r="K571" s="18">
        <f>_xll.ciqfunctions.udf.CIQ($C$2,"IQ_PENSION_OBLIGATION_PROJECTED",K$6,$F$2,,,Ccy,Conv)</f>
        <v>0</v>
      </c>
      <c r="L571" s="18">
        <f>_xll.ciqfunctions.udf.CIQ($C$2,"IQ_PENSION_OBLIGATION_PROJECTED",L$6,$F$2,,,Ccy,Conv)</f>
        <v>0</v>
      </c>
      <c r="M571" s="18">
        <f>_xll.ciqfunctions.udf.CIQ($C$2,"IQ_PENSION_OBLIGATION_PROJECTED",M$6,$F$2,,,Ccy,Conv)</f>
        <v>0</v>
      </c>
      <c r="N571" s="18">
        <f>_xll.ciqfunctions.udf.CIQ($C$2,"IQ_PENSION_OBLIGATION_PROJECTED",N$6,$F$2,,,Ccy,Conv)</f>
        <v>44332</v>
      </c>
      <c r="O571" s="30"/>
      <c r="P571" s="18">
        <f>_xll.ciqfunctions.udf.CIQ($C$2,"IQ_PENSION_OBLIGATION_PROJECTED",P$6,$F$2,,,Ccy,Conv)</f>
        <v>44332</v>
      </c>
      <c r="Q571" s="215"/>
      <c r="R571" s="215"/>
      <c r="S571" s="215"/>
      <c r="T571" s="215"/>
      <c r="U571" s="215"/>
      <c r="V571" s="222"/>
      <c r="W571" s="222"/>
      <c r="X571" s="222"/>
      <c r="Y571" s="215"/>
      <c r="Z571" s="215"/>
      <c r="AA571" s="215"/>
      <c r="AB571" s="215"/>
      <c r="AC571" s="215"/>
      <c r="AD571" s="215"/>
      <c r="AE571" s="215"/>
      <c r="AF571" s="215"/>
      <c r="AG571" s="215"/>
      <c r="AH571" s="215"/>
      <c r="AI571" s="215"/>
      <c r="AJ571" s="215"/>
      <c r="AK571" s="215"/>
      <c r="AL571" s="215"/>
      <c r="AM571" s="215"/>
      <c r="AN571" s="215"/>
      <c r="AO571" s="215"/>
      <c r="AP571" s="215"/>
      <c r="AQ571" s="215"/>
      <c r="AR571" s="215"/>
      <c r="AS571" s="215"/>
      <c r="AT571" s="215"/>
      <c r="AU571" s="215"/>
      <c r="AV571" s="215"/>
      <c r="AW571" s="215"/>
      <c r="AX571" s="215"/>
      <c r="AY571" s="215"/>
      <c r="AZ571" s="215"/>
      <c r="BA571" s="215"/>
      <c r="BB571" s="215"/>
      <c r="BC571" s="215"/>
      <c r="BD571" s="215"/>
      <c r="BE571" s="215"/>
      <c r="BF571" s="215"/>
      <c r="BG571" s="215"/>
      <c r="BH571" s="215"/>
      <c r="BI571" s="215"/>
      <c r="BJ571" s="215"/>
      <c r="BK571" s="215"/>
      <c r="BL571" s="215"/>
      <c r="BM571" s="215"/>
      <c r="BN571" s="215"/>
      <c r="BO571" s="215"/>
      <c r="BP571" s="215"/>
      <c r="BQ571" s="215"/>
      <c r="BR571" s="215"/>
      <c r="BS571" s="215"/>
      <c r="BT571" s="215"/>
      <c r="BU571" s="215"/>
      <c r="BV571" s="215"/>
      <c r="BW571" s="215"/>
      <c r="BX571" s="215"/>
      <c r="BY571" s="215"/>
      <c r="BZ571" s="215"/>
    </row>
    <row r="572" spans="1:78" outlineLevel="1" x14ac:dyDescent="0.2">
      <c r="A572" s="2" t="str">
        <f>'Language Index'!A513</f>
        <v>Accum. Benefit Obligation (Pension)</v>
      </c>
      <c r="B572" s="17"/>
      <c r="C572" s="17"/>
      <c r="D572" s="18">
        <f>_xll.ciqfunctions.udf.CIQ($C$2,"IQ_PENSION_ACCUMULATED_OBLIGATION",D$6,$F$2,,,Ccy,Conv)</f>
        <v>0</v>
      </c>
      <c r="E572" s="18">
        <f>_xll.ciqfunctions.udf.CIQ($C$2,"IQ_PENSION_ACCUMULATED_OBLIGATION",E$6,$F$2,,,Ccy,Conv)</f>
        <v>0</v>
      </c>
      <c r="F572" s="18">
        <f>_xll.ciqfunctions.udf.CIQ($C$2,"IQ_PENSION_ACCUMULATED_OBLIGATION",F$6,$F$2,,,Ccy,Conv)</f>
        <v>54363</v>
      </c>
      <c r="G572" s="18">
        <f>_xll.ciqfunctions.udf.CIQ($C$2,"IQ_PENSION_ACCUMULATED_OBLIGATION",G$6,$F$2,,,Ccy,Conv)</f>
        <v>0</v>
      </c>
      <c r="H572" s="18">
        <f>_xll.ciqfunctions.udf.CIQ($C$2,"IQ_PENSION_ACCUMULATED_OBLIGATION",H$6,$F$2,,,Ccy,Conv)</f>
        <v>0</v>
      </c>
      <c r="I572" s="18">
        <f>_xll.ciqfunctions.udf.CIQ($C$2,"IQ_PENSION_ACCUMULATED_OBLIGATION",I$6,$F$2,,,Ccy,Conv)</f>
        <v>0</v>
      </c>
      <c r="J572" s="18">
        <f>_xll.ciqfunctions.udf.CIQ($C$2,"IQ_PENSION_ACCUMULATED_OBLIGATION",J$6,$F$2,,,Ccy,Conv)</f>
        <v>42406</v>
      </c>
      <c r="K572" s="18">
        <f>_xll.ciqfunctions.udf.CIQ($C$2,"IQ_PENSION_ACCUMULATED_OBLIGATION",K$6,$F$2,,,Ccy,Conv)</f>
        <v>0</v>
      </c>
      <c r="L572" s="18">
        <f>_xll.ciqfunctions.udf.CIQ($C$2,"IQ_PENSION_ACCUMULATED_OBLIGATION",L$6,$F$2,,,Ccy,Conv)</f>
        <v>0</v>
      </c>
      <c r="M572" s="18">
        <f>_xll.ciqfunctions.udf.CIQ($C$2,"IQ_PENSION_ACCUMULATED_OBLIGATION",M$6,$F$2,,,Ccy,Conv)</f>
        <v>0</v>
      </c>
      <c r="N572" s="18">
        <f>_xll.ciqfunctions.udf.CIQ($C$2,"IQ_PENSION_ACCUMULATED_OBLIGATION",N$6,$F$2,,,Ccy,Conv)</f>
        <v>44000</v>
      </c>
      <c r="O572" s="30"/>
      <c r="P572" s="18">
        <f>_xll.ciqfunctions.udf.CIQ($C$2,"IQ_PENSION_ACCUMULATED_OBLIGATION",P$6,$F$2,,,Ccy,Conv)</f>
        <v>44000</v>
      </c>
      <c r="Q572" s="215"/>
      <c r="R572" s="215"/>
      <c r="S572" s="215"/>
      <c r="T572" s="215"/>
      <c r="U572" s="215"/>
      <c r="V572" s="222"/>
      <c r="W572" s="222"/>
      <c r="X572" s="222"/>
      <c r="Y572" s="215"/>
      <c r="Z572" s="215"/>
      <c r="AA572" s="215"/>
      <c r="AB572" s="215"/>
      <c r="AC572" s="215"/>
      <c r="AD572" s="215"/>
      <c r="AE572" s="215"/>
      <c r="AF572" s="215"/>
      <c r="AG572" s="215"/>
      <c r="AH572" s="215"/>
      <c r="AI572" s="215"/>
      <c r="AJ572" s="215"/>
      <c r="AK572" s="215"/>
      <c r="AL572" s="215"/>
      <c r="AM572" s="215"/>
      <c r="AN572" s="215"/>
      <c r="AO572" s="215"/>
      <c r="AP572" s="215"/>
      <c r="AQ572" s="215"/>
      <c r="AR572" s="215"/>
      <c r="AS572" s="215"/>
      <c r="AT572" s="215"/>
      <c r="AU572" s="215"/>
      <c r="AV572" s="215"/>
      <c r="AW572" s="215"/>
      <c r="AX572" s="215"/>
      <c r="AY572" s="215"/>
      <c r="AZ572" s="215"/>
      <c r="BA572" s="215"/>
      <c r="BB572" s="215"/>
      <c r="BC572" s="215"/>
      <c r="BD572" s="215"/>
      <c r="BE572" s="215"/>
      <c r="BF572" s="215"/>
      <c r="BG572" s="215"/>
      <c r="BH572" s="215"/>
      <c r="BI572" s="215"/>
      <c r="BJ572" s="215"/>
      <c r="BK572" s="215"/>
      <c r="BL572" s="215"/>
      <c r="BM572" s="215"/>
      <c r="BN572" s="215"/>
      <c r="BO572" s="215"/>
      <c r="BP572" s="215"/>
      <c r="BQ572" s="215"/>
      <c r="BR572" s="215"/>
      <c r="BS572" s="215"/>
      <c r="BT572" s="215"/>
      <c r="BU572" s="215"/>
      <c r="BV572" s="215"/>
      <c r="BW572" s="215"/>
      <c r="BX572" s="215"/>
      <c r="BY572" s="215"/>
      <c r="BZ572" s="215"/>
    </row>
    <row r="573" spans="1:78" outlineLevel="1" x14ac:dyDescent="0.2">
      <c r="A573" s="9" t="str">
        <f>'Language Index'!A514</f>
        <v>Plan Assets</v>
      </c>
      <c r="B573" s="17"/>
      <c r="C573" s="17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30"/>
      <c r="P573" s="18"/>
      <c r="Q573" s="215"/>
      <c r="R573" s="215"/>
      <c r="S573" s="215"/>
      <c r="T573" s="215"/>
      <c r="U573" s="215"/>
      <c r="V573" s="222"/>
      <c r="W573" s="222"/>
      <c r="X573" s="222"/>
      <c r="Y573" s="215"/>
      <c r="Z573" s="215"/>
      <c r="AA573" s="215"/>
      <c r="AB573" s="215"/>
      <c r="AC573" s="215"/>
      <c r="AD573" s="215"/>
      <c r="AE573" s="215"/>
      <c r="AF573" s="215"/>
      <c r="AG573" s="215"/>
      <c r="AH573" s="215"/>
      <c r="AI573" s="215"/>
      <c r="AJ573" s="215"/>
      <c r="AK573" s="215"/>
      <c r="AL573" s="215"/>
      <c r="AM573" s="215"/>
      <c r="AN573" s="215"/>
      <c r="AO573" s="215"/>
      <c r="AP573" s="215"/>
      <c r="AQ573" s="215"/>
      <c r="AR573" s="215"/>
      <c r="AS573" s="215"/>
      <c r="AT573" s="215"/>
      <c r="AU573" s="215"/>
      <c r="AV573" s="215"/>
      <c r="AW573" s="215"/>
      <c r="AX573" s="215"/>
      <c r="AY573" s="215"/>
      <c r="AZ573" s="215"/>
      <c r="BA573" s="215"/>
      <c r="BB573" s="215"/>
      <c r="BC573" s="215"/>
      <c r="BD573" s="215"/>
      <c r="BE573" s="215"/>
      <c r="BF573" s="215"/>
      <c r="BG573" s="215"/>
      <c r="BH573" s="215"/>
      <c r="BI573" s="215"/>
      <c r="BJ573" s="215"/>
      <c r="BK573" s="215"/>
      <c r="BL573" s="215"/>
      <c r="BM573" s="215"/>
      <c r="BN573" s="215"/>
      <c r="BO573" s="215"/>
      <c r="BP573" s="215"/>
      <c r="BQ573" s="215"/>
      <c r="BR573" s="215"/>
      <c r="BS573" s="215"/>
      <c r="BT573" s="215"/>
      <c r="BU573" s="215"/>
      <c r="BV573" s="215"/>
      <c r="BW573" s="215"/>
      <c r="BX573" s="215"/>
      <c r="BY573" s="215"/>
      <c r="BZ573" s="215"/>
    </row>
    <row r="574" spans="1:78" outlineLevel="1" x14ac:dyDescent="0.2">
      <c r="A574" s="2" t="str">
        <f>'Language Index'!A515</f>
        <v>Beg. Plan Assets</v>
      </c>
      <c r="B574" s="17"/>
      <c r="C574" s="17"/>
      <c r="D574" s="18">
        <f>_xll.ciqfunctions.udf.CIQ($C$2,"IQ_PENSION_ASSETS_BEG",D$6,$F$2,,,Ccy,Conv)</f>
        <v>0</v>
      </c>
      <c r="E574" s="18">
        <f>_xll.ciqfunctions.udf.CIQ($C$2,"IQ_PENSION_ASSETS_BEG",E$6,$F$2,,,Ccy,Conv)</f>
        <v>0</v>
      </c>
      <c r="F574" s="18">
        <f>_xll.ciqfunctions.udf.CIQ($C$2,"IQ_PENSION_ASSETS_BEG",F$6,$F$2,,,Ccy,Conv)</f>
        <v>53465</v>
      </c>
      <c r="G574" s="18">
        <f>_xll.ciqfunctions.udf.CIQ($C$2,"IQ_PENSION_ASSETS_BEG",G$6,$F$2,,,Ccy,Conv)</f>
        <v>0</v>
      </c>
      <c r="H574" s="18">
        <f>_xll.ciqfunctions.udf.CIQ($C$2,"IQ_PENSION_ASSETS_BEG",H$6,$F$2,,,Ccy,Conv)</f>
        <v>0</v>
      </c>
      <c r="I574" s="18">
        <f>_xll.ciqfunctions.udf.CIQ($C$2,"IQ_PENSION_ASSETS_BEG",I$6,$F$2,,,Ccy,Conv)</f>
        <v>0</v>
      </c>
      <c r="J574" s="18">
        <f>_xll.ciqfunctions.udf.CIQ($C$2,"IQ_PENSION_ASSETS_BEG",J$6,$F$2,,,Ccy,Conv)</f>
        <v>53496</v>
      </c>
      <c r="K574" s="18">
        <f>_xll.ciqfunctions.udf.CIQ($C$2,"IQ_PENSION_ASSETS_BEG",K$6,$F$2,,,Ccy,Conv)</f>
        <v>0</v>
      </c>
      <c r="L574" s="18">
        <f>_xll.ciqfunctions.udf.CIQ($C$2,"IQ_PENSION_ASSETS_BEG",L$6,$F$2,,,Ccy,Conv)</f>
        <v>0</v>
      </c>
      <c r="M574" s="18">
        <f>_xll.ciqfunctions.udf.CIQ($C$2,"IQ_PENSION_ASSETS_BEG",M$6,$F$2,,,Ccy,Conv)</f>
        <v>0</v>
      </c>
      <c r="N574" s="18">
        <f>_xll.ciqfunctions.udf.CIQ($C$2,"IQ_PENSION_ASSETS_BEG",N$6,$F$2,,,Ccy,Conv)</f>
        <v>42796</v>
      </c>
      <c r="O574" s="30"/>
      <c r="P574" s="18">
        <f>_xll.ciqfunctions.udf.CIQ($C$2,"IQ_PENSION_ASSETS_BEG",P$6,$F$2,,,Ccy,Conv)</f>
        <v>42796</v>
      </c>
      <c r="Q574" s="215"/>
      <c r="R574" s="215"/>
      <c r="S574" s="215"/>
      <c r="T574" s="215"/>
      <c r="U574" s="215"/>
      <c r="V574" s="222"/>
      <c r="W574" s="222"/>
      <c r="X574" s="222"/>
      <c r="Y574" s="215"/>
      <c r="Z574" s="215"/>
      <c r="AA574" s="215"/>
      <c r="AB574" s="215"/>
      <c r="AC574" s="215"/>
      <c r="AD574" s="215"/>
      <c r="AE574" s="215"/>
      <c r="AF574" s="215"/>
      <c r="AG574" s="215"/>
      <c r="AH574" s="215"/>
      <c r="AI574" s="215"/>
      <c r="AJ574" s="215"/>
      <c r="AK574" s="215"/>
      <c r="AL574" s="215"/>
      <c r="AM574" s="215"/>
      <c r="AN574" s="215"/>
      <c r="AO574" s="215"/>
      <c r="AP574" s="215"/>
      <c r="AQ574" s="215"/>
      <c r="AR574" s="215"/>
      <c r="AS574" s="215"/>
      <c r="AT574" s="215"/>
      <c r="AU574" s="215"/>
      <c r="AV574" s="215"/>
      <c r="AW574" s="215"/>
      <c r="AX574" s="215"/>
      <c r="AY574" s="215"/>
      <c r="AZ574" s="215"/>
      <c r="BA574" s="215"/>
      <c r="BB574" s="215"/>
      <c r="BC574" s="215"/>
      <c r="BD574" s="215"/>
      <c r="BE574" s="215"/>
      <c r="BF574" s="215"/>
      <c r="BG574" s="215"/>
      <c r="BH574" s="215"/>
      <c r="BI574" s="215"/>
      <c r="BJ574" s="215"/>
      <c r="BK574" s="215"/>
      <c r="BL574" s="215"/>
      <c r="BM574" s="215"/>
      <c r="BN574" s="215"/>
      <c r="BO574" s="215"/>
      <c r="BP574" s="215"/>
      <c r="BQ574" s="215"/>
      <c r="BR574" s="215"/>
      <c r="BS574" s="215"/>
      <c r="BT574" s="215"/>
      <c r="BU574" s="215"/>
      <c r="BV574" s="215"/>
      <c r="BW574" s="215"/>
      <c r="BX574" s="215"/>
      <c r="BY574" s="215"/>
      <c r="BZ574" s="215"/>
    </row>
    <row r="575" spans="1:78" outlineLevel="1" x14ac:dyDescent="0.2">
      <c r="A575" s="2" t="str">
        <f>'Language Index'!A516</f>
        <v>Actual Return on Plan Assets</v>
      </c>
      <c r="B575" s="17"/>
      <c r="C575" s="17"/>
      <c r="D575" s="18">
        <f>_xll.ciqfunctions.udf.CIQ($C$2,"IQ_PENSION_ASSETS_ACTUAL_RETURN",D$6,$F$2,,,Ccy,Conv)</f>
        <v>0</v>
      </c>
      <c r="E575" s="18">
        <f>_xll.ciqfunctions.udf.CIQ($C$2,"IQ_PENSION_ASSETS_ACTUAL_RETURN",E$6,$F$2,,,Ccy,Conv)</f>
        <v>0</v>
      </c>
      <c r="F575" s="18">
        <f>_xll.ciqfunctions.udf.CIQ($C$2,"IQ_PENSION_ASSETS_ACTUAL_RETURN",F$6,$F$2,,,Ccy,Conv)</f>
        <v>2446</v>
      </c>
      <c r="G575" s="18">
        <f>_xll.ciqfunctions.udf.CIQ($C$2,"IQ_PENSION_ASSETS_ACTUAL_RETURN",G$6,$F$2,,,Ccy,Conv)</f>
        <v>0</v>
      </c>
      <c r="H575" s="18">
        <f>_xll.ciqfunctions.udf.CIQ($C$2,"IQ_PENSION_ASSETS_ACTUAL_RETURN",H$6,$F$2,,,Ccy,Conv)</f>
        <v>0</v>
      </c>
      <c r="I575" s="18">
        <f>_xll.ciqfunctions.udf.CIQ($C$2,"IQ_PENSION_ASSETS_ACTUAL_RETURN",I$6,$F$2,,,Ccy,Conv)</f>
        <v>0</v>
      </c>
      <c r="J575" s="18">
        <f>_xll.ciqfunctions.udf.CIQ($C$2,"IQ_PENSION_ASSETS_ACTUAL_RETURN",J$6,$F$2,,,Ccy,Conv)</f>
        <v>1263</v>
      </c>
      <c r="K575" s="18">
        <f>_xll.ciqfunctions.udf.CIQ($C$2,"IQ_PENSION_ASSETS_ACTUAL_RETURN",K$6,$F$2,,,Ccy,Conv)</f>
        <v>0</v>
      </c>
      <c r="L575" s="18">
        <f>_xll.ciqfunctions.udf.CIQ($C$2,"IQ_PENSION_ASSETS_ACTUAL_RETURN",L$6,$F$2,,,Ccy,Conv)</f>
        <v>0</v>
      </c>
      <c r="M575" s="18">
        <f>_xll.ciqfunctions.udf.CIQ($C$2,"IQ_PENSION_ASSETS_ACTUAL_RETURN",M$6,$F$2,,,Ccy,Conv)</f>
        <v>0</v>
      </c>
      <c r="N575" s="18">
        <f>_xll.ciqfunctions.udf.CIQ($C$2,"IQ_PENSION_ASSETS_ACTUAL_RETURN",N$6,$F$2,,,Ccy,Conv)</f>
        <v>2181</v>
      </c>
      <c r="O575" s="30"/>
      <c r="P575" s="18">
        <f>_xll.ciqfunctions.udf.CIQ($C$2,"IQ_PENSION_ASSETS_ACTUAL_RETURN",P$6,$F$2,,,Ccy,Conv)</f>
        <v>2181</v>
      </c>
      <c r="Q575" s="215"/>
      <c r="R575" s="215"/>
      <c r="S575" s="215"/>
      <c r="T575" s="215"/>
      <c r="U575" s="215"/>
      <c r="V575" s="222"/>
      <c r="W575" s="222"/>
      <c r="X575" s="222"/>
      <c r="Y575" s="215"/>
      <c r="Z575" s="215"/>
      <c r="AA575" s="215"/>
      <c r="AB575" s="215"/>
      <c r="AC575" s="215"/>
      <c r="AD575" s="215"/>
      <c r="AE575" s="215"/>
      <c r="AF575" s="215"/>
      <c r="AG575" s="215"/>
      <c r="AH575" s="215"/>
      <c r="AI575" s="215"/>
      <c r="AJ575" s="215"/>
      <c r="AK575" s="215"/>
      <c r="AL575" s="215"/>
      <c r="AM575" s="215"/>
      <c r="AN575" s="215"/>
      <c r="AO575" s="215"/>
      <c r="AP575" s="215"/>
      <c r="AQ575" s="215"/>
      <c r="AR575" s="215"/>
      <c r="AS575" s="215"/>
      <c r="AT575" s="215"/>
      <c r="AU575" s="215"/>
      <c r="AV575" s="215"/>
      <c r="AW575" s="215"/>
      <c r="AX575" s="215"/>
      <c r="AY575" s="215"/>
      <c r="AZ575" s="215"/>
      <c r="BA575" s="215"/>
      <c r="BB575" s="215"/>
      <c r="BC575" s="215"/>
      <c r="BD575" s="215"/>
      <c r="BE575" s="215"/>
      <c r="BF575" s="215"/>
      <c r="BG575" s="215"/>
      <c r="BH575" s="215"/>
      <c r="BI575" s="215"/>
      <c r="BJ575" s="215"/>
      <c r="BK575" s="215"/>
      <c r="BL575" s="215"/>
      <c r="BM575" s="215"/>
      <c r="BN575" s="215"/>
      <c r="BO575" s="215"/>
      <c r="BP575" s="215"/>
      <c r="BQ575" s="215"/>
      <c r="BR575" s="215"/>
      <c r="BS575" s="215"/>
      <c r="BT575" s="215"/>
      <c r="BU575" s="215"/>
      <c r="BV575" s="215"/>
      <c r="BW575" s="215"/>
      <c r="BX575" s="215"/>
      <c r="BY575" s="215"/>
      <c r="BZ575" s="215"/>
    </row>
    <row r="576" spans="1:78" outlineLevel="1" x14ac:dyDescent="0.2">
      <c r="A576" s="2" t="str">
        <f>'Language Index'!A517</f>
        <v>Employer Contributions</v>
      </c>
      <c r="B576" s="17"/>
      <c r="C576" s="17"/>
      <c r="D576" s="18">
        <f>_xll.ciqfunctions.udf.CIQ($C$2,"IQ_PENSION_ASSETS_EMPLOYER_CONTRIBUTIONS",D$6,$F$2,,,Ccy,Conv)</f>
        <v>0</v>
      </c>
      <c r="E576" s="18">
        <f>_xll.ciqfunctions.udf.CIQ($C$2,"IQ_PENSION_ASSETS_EMPLOYER_CONTRIBUTIONS",E$6,$F$2,,,Ccy,Conv)</f>
        <v>0</v>
      </c>
      <c r="F576" s="18">
        <f>_xll.ciqfunctions.udf.CIQ($C$2,"IQ_PENSION_ASSETS_EMPLOYER_CONTRIBUTIONS",F$6,$F$2,,,Ccy,Conv)</f>
        <v>57</v>
      </c>
      <c r="G576" s="18">
        <f>_xll.ciqfunctions.udf.CIQ($C$2,"IQ_PENSION_ASSETS_EMPLOYER_CONTRIBUTIONS",G$6,$F$2,,,Ccy,Conv)</f>
        <v>0</v>
      </c>
      <c r="H576" s="18">
        <f>_xll.ciqfunctions.udf.CIQ($C$2,"IQ_PENSION_ASSETS_EMPLOYER_CONTRIBUTIONS",H$6,$F$2,,,Ccy,Conv)</f>
        <v>0</v>
      </c>
      <c r="I576" s="18">
        <f>_xll.ciqfunctions.udf.CIQ($C$2,"IQ_PENSION_ASSETS_EMPLOYER_CONTRIBUTIONS",I$6,$F$2,,,Ccy,Conv)</f>
        <v>0</v>
      </c>
      <c r="J576" s="18">
        <f>_xll.ciqfunctions.udf.CIQ($C$2,"IQ_PENSION_ASSETS_EMPLOYER_CONTRIBUTIONS",J$6,$F$2,,,Ccy,Conv)</f>
        <v>67</v>
      </c>
      <c r="K576" s="18">
        <f>_xll.ciqfunctions.udf.CIQ($C$2,"IQ_PENSION_ASSETS_EMPLOYER_CONTRIBUTIONS",K$6,$F$2,,,Ccy,Conv)</f>
        <v>0</v>
      </c>
      <c r="L576" s="18">
        <f>_xll.ciqfunctions.udf.CIQ($C$2,"IQ_PENSION_ASSETS_EMPLOYER_CONTRIBUTIONS",L$6,$F$2,,,Ccy,Conv)</f>
        <v>0</v>
      </c>
      <c r="M576" s="18">
        <f>_xll.ciqfunctions.udf.CIQ($C$2,"IQ_PENSION_ASSETS_EMPLOYER_CONTRIBUTIONS",M$6,$F$2,,,Ccy,Conv)</f>
        <v>0</v>
      </c>
      <c r="N576" s="18">
        <f>_xll.ciqfunctions.udf.CIQ($C$2,"IQ_PENSION_ASSETS_EMPLOYER_CONTRIBUTIONS",N$6,$F$2,,,Ccy,Conv)</f>
        <v>40</v>
      </c>
      <c r="O576" s="30"/>
      <c r="P576" s="18">
        <f>_xll.ciqfunctions.udf.CIQ($C$2,"IQ_PENSION_ASSETS_EMPLOYER_CONTRIBUTIONS",P$6,$F$2,,,Ccy,Conv)</f>
        <v>40</v>
      </c>
      <c r="Q576" s="215"/>
      <c r="R576" s="215"/>
      <c r="S576" s="215"/>
      <c r="T576" s="215"/>
      <c r="U576" s="215"/>
      <c r="V576" s="222"/>
      <c r="W576" s="222"/>
      <c r="X576" s="222"/>
      <c r="Y576" s="215"/>
      <c r="Z576" s="215"/>
      <c r="AA576" s="215"/>
      <c r="AB576" s="215"/>
      <c r="AC576" s="215"/>
      <c r="AD576" s="215"/>
      <c r="AE576" s="215"/>
      <c r="AF576" s="215"/>
      <c r="AG576" s="215"/>
      <c r="AH576" s="215"/>
      <c r="AI576" s="215"/>
      <c r="AJ576" s="215"/>
      <c r="AK576" s="215"/>
      <c r="AL576" s="215"/>
      <c r="AM576" s="215"/>
      <c r="AN576" s="215"/>
      <c r="AO576" s="215"/>
      <c r="AP576" s="215"/>
      <c r="AQ576" s="215"/>
      <c r="AR576" s="215"/>
      <c r="AS576" s="215"/>
      <c r="AT576" s="215"/>
      <c r="AU576" s="215"/>
      <c r="AV576" s="215"/>
      <c r="AW576" s="215"/>
      <c r="AX576" s="215"/>
      <c r="AY576" s="215"/>
      <c r="AZ576" s="215"/>
      <c r="BA576" s="215"/>
      <c r="BB576" s="215"/>
      <c r="BC576" s="215"/>
      <c r="BD576" s="215"/>
      <c r="BE576" s="215"/>
      <c r="BF576" s="215"/>
      <c r="BG576" s="215"/>
      <c r="BH576" s="215"/>
      <c r="BI576" s="215"/>
      <c r="BJ576" s="215"/>
      <c r="BK576" s="215"/>
      <c r="BL576" s="215"/>
      <c r="BM576" s="215"/>
      <c r="BN576" s="215"/>
      <c r="BO576" s="215"/>
      <c r="BP576" s="215"/>
      <c r="BQ576" s="215"/>
      <c r="BR576" s="215"/>
      <c r="BS576" s="215"/>
      <c r="BT576" s="215"/>
      <c r="BU576" s="215"/>
      <c r="BV576" s="215"/>
      <c r="BW576" s="215"/>
      <c r="BX576" s="215"/>
      <c r="BY576" s="215"/>
      <c r="BZ576" s="215"/>
    </row>
    <row r="577" spans="1:78" outlineLevel="1" x14ac:dyDescent="0.2">
      <c r="A577" s="2" t="str">
        <f>'Language Index'!A518</f>
        <v>Participant Contributions</v>
      </c>
      <c r="B577" s="17"/>
      <c r="C577" s="17"/>
      <c r="D577" s="18">
        <f>_xll.ciqfunctions.udf.CIQ($C$2,"IQ_PENSION_ASSETS_PARTICIP_CONTRIBUTIONS",D$6,$F$2,,,Ccy,Conv)</f>
        <v>0</v>
      </c>
      <c r="E577" s="18">
        <f>_xll.ciqfunctions.udf.CIQ($C$2,"IQ_PENSION_ASSETS_PARTICIP_CONTRIBUTIONS",E$6,$F$2,,,Ccy,Conv)</f>
        <v>0</v>
      </c>
      <c r="F577" s="18">
        <f>_xll.ciqfunctions.udf.CIQ($C$2,"IQ_PENSION_ASSETS_PARTICIP_CONTRIBUTIONS",F$6,$F$2,,,Ccy,Conv)</f>
        <v>17</v>
      </c>
      <c r="G577" s="18">
        <f>_xll.ciqfunctions.udf.CIQ($C$2,"IQ_PENSION_ASSETS_PARTICIP_CONTRIBUTIONS",G$6,$F$2,,,Ccy,Conv)</f>
        <v>0</v>
      </c>
      <c r="H577" s="18">
        <f>_xll.ciqfunctions.udf.CIQ($C$2,"IQ_PENSION_ASSETS_PARTICIP_CONTRIBUTIONS",H$6,$F$2,,,Ccy,Conv)</f>
        <v>0</v>
      </c>
      <c r="I577" s="18">
        <f>_xll.ciqfunctions.udf.CIQ($C$2,"IQ_PENSION_ASSETS_PARTICIP_CONTRIBUTIONS",I$6,$F$2,,,Ccy,Conv)</f>
        <v>0</v>
      </c>
      <c r="J577" s="18">
        <f>_xll.ciqfunctions.udf.CIQ($C$2,"IQ_PENSION_ASSETS_PARTICIP_CONTRIBUTIONS",J$6,$F$2,,,Ccy,Conv)</f>
        <v>17</v>
      </c>
      <c r="K577" s="18">
        <f>_xll.ciqfunctions.udf.CIQ($C$2,"IQ_PENSION_ASSETS_PARTICIP_CONTRIBUTIONS",K$6,$F$2,,,Ccy,Conv)</f>
        <v>0</v>
      </c>
      <c r="L577" s="18">
        <f>_xll.ciqfunctions.udf.CIQ($C$2,"IQ_PENSION_ASSETS_PARTICIP_CONTRIBUTIONS",L$6,$F$2,,,Ccy,Conv)</f>
        <v>0</v>
      </c>
      <c r="M577" s="18">
        <f>_xll.ciqfunctions.udf.CIQ($C$2,"IQ_PENSION_ASSETS_PARTICIP_CONTRIBUTIONS",M$6,$F$2,,,Ccy,Conv)</f>
        <v>0</v>
      </c>
      <c r="N577" s="18">
        <f>_xll.ciqfunctions.udf.CIQ($C$2,"IQ_PENSION_ASSETS_PARTICIP_CONTRIBUTIONS",N$6,$F$2,,,Ccy,Conv)</f>
        <v>19</v>
      </c>
      <c r="O577" s="30"/>
      <c r="P577" s="18">
        <f>_xll.ciqfunctions.udf.CIQ($C$2,"IQ_PENSION_ASSETS_PARTICIP_CONTRIBUTIONS",P$6,$F$2,,,Ccy,Conv)</f>
        <v>19</v>
      </c>
      <c r="Q577" s="215"/>
      <c r="R577" s="215"/>
      <c r="S577" s="215"/>
      <c r="T577" s="215"/>
      <c r="U577" s="215"/>
      <c r="V577" s="222"/>
      <c r="W577" s="222"/>
      <c r="X577" s="222"/>
      <c r="Y577" s="215"/>
      <c r="Z577" s="215"/>
      <c r="AA577" s="215"/>
      <c r="AB577" s="215"/>
      <c r="AC577" s="215"/>
      <c r="AD577" s="215"/>
      <c r="AE577" s="215"/>
      <c r="AF577" s="215"/>
      <c r="AG577" s="215"/>
      <c r="AH577" s="215"/>
      <c r="AI577" s="215"/>
      <c r="AJ577" s="215"/>
      <c r="AK577" s="215"/>
      <c r="AL577" s="215"/>
      <c r="AM577" s="215"/>
      <c r="AN577" s="215"/>
      <c r="AO577" s="215"/>
      <c r="AP577" s="215"/>
      <c r="AQ577" s="215"/>
      <c r="AR577" s="215"/>
      <c r="AS577" s="215"/>
      <c r="AT577" s="215"/>
      <c r="AU577" s="215"/>
      <c r="AV577" s="215"/>
      <c r="AW577" s="215"/>
      <c r="AX577" s="215"/>
      <c r="AY577" s="215"/>
      <c r="AZ577" s="215"/>
      <c r="BA577" s="215"/>
      <c r="BB577" s="215"/>
      <c r="BC577" s="215"/>
      <c r="BD577" s="215"/>
      <c r="BE577" s="215"/>
      <c r="BF577" s="215"/>
      <c r="BG577" s="215"/>
      <c r="BH577" s="215"/>
      <c r="BI577" s="215"/>
      <c r="BJ577" s="215"/>
      <c r="BK577" s="215"/>
      <c r="BL577" s="215"/>
      <c r="BM577" s="215"/>
      <c r="BN577" s="215"/>
      <c r="BO577" s="215"/>
      <c r="BP577" s="215"/>
      <c r="BQ577" s="215"/>
      <c r="BR577" s="215"/>
      <c r="BS577" s="215"/>
      <c r="BT577" s="215"/>
      <c r="BU577" s="215"/>
      <c r="BV577" s="215"/>
      <c r="BW577" s="215"/>
      <c r="BX577" s="215"/>
      <c r="BY577" s="215"/>
      <c r="BZ577" s="215"/>
    </row>
    <row r="578" spans="1:78" outlineLevel="1" x14ac:dyDescent="0.2">
      <c r="A578" s="2" t="str">
        <f>'Language Index'!A519</f>
        <v>Benefits Paid</v>
      </c>
      <c r="B578" s="17"/>
      <c r="C578" s="17"/>
      <c r="D578" s="18">
        <f>_xll.ciqfunctions.udf.CIQ($C$2,"IQ_PENSION_ASSETS_BENEFITS_PAID",D$6,$F$2,,,Ccy,Conv)</f>
        <v>0</v>
      </c>
      <c r="E578" s="18">
        <f>_xll.ciqfunctions.udf.CIQ($C$2,"IQ_PENSION_ASSETS_BENEFITS_PAID",E$6,$F$2,,,Ccy,Conv)</f>
        <v>0</v>
      </c>
      <c r="F578" s="18">
        <f>_xll.ciqfunctions.udf.CIQ($C$2,"IQ_PENSION_ASSETS_BENEFITS_PAID",F$6,$F$2,,,Ccy,Conv)</f>
        <v>-3053</v>
      </c>
      <c r="G578" s="18">
        <f>_xll.ciqfunctions.udf.CIQ($C$2,"IQ_PENSION_ASSETS_BENEFITS_PAID",G$6,$F$2,,,Ccy,Conv)</f>
        <v>0</v>
      </c>
      <c r="H578" s="18">
        <f>_xll.ciqfunctions.udf.CIQ($C$2,"IQ_PENSION_ASSETS_BENEFITS_PAID",H$6,$F$2,,,Ccy,Conv)</f>
        <v>0</v>
      </c>
      <c r="I578" s="18">
        <f>_xll.ciqfunctions.udf.CIQ($C$2,"IQ_PENSION_ASSETS_BENEFITS_PAID",I$6,$F$2,,,Ccy,Conv)</f>
        <v>0</v>
      </c>
      <c r="J578" s="18">
        <f>_xll.ciqfunctions.udf.CIQ($C$2,"IQ_PENSION_ASSETS_BENEFITS_PAID",J$6,$F$2,,,Ccy,Conv)</f>
        <v>-3067</v>
      </c>
      <c r="K578" s="18">
        <f>_xll.ciqfunctions.udf.CIQ($C$2,"IQ_PENSION_ASSETS_BENEFITS_PAID",K$6,$F$2,,,Ccy,Conv)</f>
        <v>0</v>
      </c>
      <c r="L578" s="18">
        <f>_xll.ciqfunctions.udf.CIQ($C$2,"IQ_PENSION_ASSETS_BENEFITS_PAID",L$6,$F$2,,,Ccy,Conv)</f>
        <v>0</v>
      </c>
      <c r="M578" s="18">
        <f>_xll.ciqfunctions.udf.CIQ($C$2,"IQ_PENSION_ASSETS_BENEFITS_PAID",M$6,$F$2,,,Ccy,Conv)</f>
        <v>0</v>
      </c>
      <c r="N578" s="18">
        <f>_xll.ciqfunctions.udf.CIQ($C$2,"IQ_PENSION_ASSETS_BENEFITS_PAID",N$6,$F$2,,,Ccy,Conv)</f>
        <v>-2405</v>
      </c>
      <c r="O578" s="30"/>
      <c r="P578" s="18">
        <f>_xll.ciqfunctions.udf.CIQ($C$2,"IQ_PENSION_ASSETS_BENEFITS_PAID",P$6,$F$2,,,Ccy,Conv)</f>
        <v>-2405</v>
      </c>
      <c r="Q578" s="215"/>
      <c r="R578" s="215"/>
      <c r="S578" s="215"/>
      <c r="T578" s="215"/>
      <c r="U578" s="215"/>
      <c r="V578" s="222"/>
      <c r="W578" s="222"/>
      <c r="X578" s="222"/>
      <c r="Y578" s="215"/>
      <c r="Z578" s="215"/>
      <c r="AA578" s="215"/>
      <c r="AB578" s="215"/>
      <c r="AC578" s="215"/>
      <c r="AD578" s="215"/>
      <c r="AE578" s="215"/>
      <c r="AF578" s="215"/>
      <c r="AG578" s="215"/>
      <c r="AH578" s="215"/>
      <c r="AI578" s="215"/>
      <c r="AJ578" s="215"/>
      <c r="AK578" s="215"/>
      <c r="AL578" s="215"/>
      <c r="AM578" s="215"/>
      <c r="AN578" s="215"/>
      <c r="AO578" s="215"/>
      <c r="AP578" s="215"/>
      <c r="AQ578" s="215"/>
      <c r="AR578" s="215"/>
      <c r="AS578" s="215"/>
      <c r="AT578" s="215"/>
      <c r="AU578" s="215"/>
      <c r="AV578" s="215"/>
      <c r="AW578" s="215"/>
      <c r="AX578" s="215"/>
      <c r="AY578" s="215"/>
      <c r="AZ578" s="215"/>
      <c r="BA578" s="215"/>
      <c r="BB578" s="215"/>
      <c r="BC578" s="215"/>
      <c r="BD578" s="215"/>
      <c r="BE578" s="215"/>
      <c r="BF578" s="215"/>
      <c r="BG578" s="215"/>
      <c r="BH578" s="215"/>
      <c r="BI578" s="215"/>
      <c r="BJ578" s="215"/>
      <c r="BK578" s="215"/>
      <c r="BL578" s="215"/>
      <c r="BM578" s="215"/>
      <c r="BN578" s="215"/>
      <c r="BO578" s="215"/>
      <c r="BP578" s="215"/>
      <c r="BQ578" s="215"/>
      <c r="BR578" s="215"/>
      <c r="BS578" s="215"/>
      <c r="BT578" s="215"/>
      <c r="BU578" s="215"/>
      <c r="BV578" s="215"/>
      <c r="BW578" s="215"/>
      <c r="BX578" s="215"/>
      <c r="BY578" s="215"/>
      <c r="BZ578" s="215"/>
    </row>
    <row r="579" spans="1:78" outlineLevel="1" x14ac:dyDescent="0.2">
      <c r="A579" s="2" t="str">
        <f>'Language Index'!A520</f>
        <v>Foreign Exchange Adjustments</v>
      </c>
      <c r="B579" s="17"/>
      <c r="C579" s="17"/>
      <c r="D579" s="18">
        <f>_xll.ciqfunctions.udf.CIQ($C$2,"IQ_PENSION_ASSETS_FX_ADJ",D$6,$F$2,,,Ccy,Conv)</f>
        <v>0</v>
      </c>
      <c r="E579" s="18">
        <f>_xll.ciqfunctions.udf.CIQ($C$2,"IQ_PENSION_ASSETS_FX_ADJ",E$6,$F$2,,,Ccy,Conv)</f>
        <v>0</v>
      </c>
      <c r="F579" s="18">
        <f>_xll.ciqfunctions.udf.CIQ($C$2,"IQ_PENSION_ASSETS_FX_ADJ",F$6,$F$2,,,Ccy,Conv)</f>
        <v>1058</v>
      </c>
      <c r="G579" s="18">
        <f>_xll.ciqfunctions.udf.CIQ($C$2,"IQ_PENSION_ASSETS_FX_ADJ",G$6,$F$2,,,Ccy,Conv)</f>
        <v>0</v>
      </c>
      <c r="H579" s="18">
        <f>_xll.ciqfunctions.udf.CIQ($C$2,"IQ_PENSION_ASSETS_FX_ADJ",H$6,$F$2,,,Ccy,Conv)</f>
        <v>0</v>
      </c>
      <c r="I579" s="18">
        <f>_xll.ciqfunctions.udf.CIQ($C$2,"IQ_PENSION_ASSETS_FX_ADJ",I$6,$F$2,,,Ccy,Conv)</f>
        <v>0</v>
      </c>
      <c r="J579" s="18">
        <f>_xll.ciqfunctions.udf.CIQ($C$2,"IQ_PENSION_ASSETS_FX_ADJ",J$6,$F$2,,,Ccy,Conv)</f>
        <v>-1530</v>
      </c>
      <c r="K579" s="18">
        <f>_xll.ciqfunctions.udf.CIQ($C$2,"IQ_PENSION_ASSETS_FX_ADJ",K$6,$F$2,,,Ccy,Conv)</f>
        <v>0</v>
      </c>
      <c r="L579" s="18">
        <f>_xll.ciqfunctions.udf.CIQ($C$2,"IQ_PENSION_ASSETS_FX_ADJ",L$6,$F$2,,,Ccy,Conv)</f>
        <v>0</v>
      </c>
      <c r="M579" s="18">
        <f>_xll.ciqfunctions.udf.CIQ($C$2,"IQ_PENSION_ASSETS_FX_ADJ",M$6,$F$2,,,Ccy,Conv)</f>
        <v>0</v>
      </c>
      <c r="N579" s="18">
        <f>_xll.ciqfunctions.udf.CIQ($C$2,"IQ_PENSION_ASSETS_FX_ADJ",N$6,$F$2,,,Ccy,Conv)</f>
        <v>2654</v>
      </c>
      <c r="O579" s="30"/>
      <c r="P579" s="18">
        <f>_xll.ciqfunctions.udf.CIQ($C$2,"IQ_PENSION_ASSETS_FX_ADJ",P$6,$F$2,,,Ccy,Conv)</f>
        <v>2654</v>
      </c>
      <c r="Q579" s="215"/>
      <c r="R579" s="215"/>
      <c r="S579" s="215"/>
      <c r="T579" s="215"/>
      <c r="U579" s="215"/>
      <c r="V579" s="222"/>
      <c r="W579" s="222"/>
      <c r="X579" s="222"/>
      <c r="Y579" s="215"/>
      <c r="Z579" s="215"/>
      <c r="AA579" s="215"/>
      <c r="AB579" s="215"/>
      <c r="AC579" s="215"/>
      <c r="AD579" s="215"/>
      <c r="AE579" s="215"/>
      <c r="AF579" s="215"/>
      <c r="AG579" s="215"/>
      <c r="AH579" s="215"/>
      <c r="AI579" s="215"/>
      <c r="AJ579" s="215"/>
      <c r="AK579" s="215"/>
      <c r="AL579" s="215"/>
      <c r="AM579" s="215"/>
      <c r="AN579" s="215"/>
      <c r="AO579" s="215"/>
      <c r="AP579" s="215"/>
      <c r="AQ579" s="215"/>
      <c r="AR579" s="215"/>
      <c r="AS579" s="215"/>
      <c r="AT579" s="215"/>
      <c r="AU579" s="215"/>
      <c r="AV579" s="215"/>
      <c r="AW579" s="215"/>
      <c r="AX579" s="215"/>
      <c r="AY579" s="215"/>
      <c r="AZ579" s="215"/>
      <c r="BA579" s="215"/>
      <c r="BB579" s="215"/>
      <c r="BC579" s="215"/>
      <c r="BD579" s="215"/>
      <c r="BE579" s="215"/>
      <c r="BF579" s="215"/>
      <c r="BG579" s="215"/>
      <c r="BH579" s="215"/>
      <c r="BI579" s="215"/>
      <c r="BJ579" s="215"/>
      <c r="BK579" s="215"/>
      <c r="BL579" s="215"/>
      <c r="BM579" s="215"/>
      <c r="BN579" s="215"/>
      <c r="BO579" s="215"/>
      <c r="BP579" s="215"/>
      <c r="BQ579" s="215"/>
      <c r="BR579" s="215"/>
      <c r="BS579" s="215"/>
      <c r="BT579" s="215"/>
      <c r="BU579" s="215"/>
      <c r="BV579" s="215"/>
      <c r="BW579" s="215"/>
      <c r="BX579" s="215"/>
      <c r="BY579" s="215"/>
      <c r="BZ579" s="215"/>
    </row>
    <row r="580" spans="1:78" outlineLevel="1" x14ac:dyDescent="0.2">
      <c r="A580" s="2" t="str">
        <f>'Language Index'!A521</f>
        <v>Acquired Plan Assets</v>
      </c>
      <c r="B580" s="17"/>
      <c r="C580" s="17"/>
      <c r="D580" s="18">
        <f>_xll.ciqfunctions.udf.CIQ($C$2,"IQ_PENSION_ASSETS_ACQ",D$6,$F$2,,,Ccy,Conv)</f>
        <v>0</v>
      </c>
      <c r="E580" s="18">
        <f>_xll.ciqfunctions.udf.CIQ($C$2,"IQ_PENSION_ASSETS_ACQ",E$6,$F$2,,,Ccy,Conv)</f>
        <v>0</v>
      </c>
      <c r="F580" s="18">
        <f>_xll.ciqfunctions.udf.CIQ($C$2,"IQ_PENSION_ASSETS_ACQ",F$6,$F$2,,,Ccy,Conv)</f>
        <v>0</v>
      </c>
      <c r="G580" s="18">
        <f>_xll.ciqfunctions.udf.CIQ($C$2,"IQ_PENSION_ASSETS_ACQ",G$6,$F$2,,,Ccy,Conv)</f>
        <v>0</v>
      </c>
      <c r="H580" s="18">
        <f>_xll.ciqfunctions.udf.CIQ($C$2,"IQ_PENSION_ASSETS_ACQ",H$6,$F$2,,,Ccy,Conv)</f>
        <v>0</v>
      </c>
      <c r="I580" s="18">
        <f>_xll.ciqfunctions.udf.CIQ($C$2,"IQ_PENSION_ASSETS_ACQ",I$6,$F$2,,,Ccy,Conv)</f>
        <v>0</v>
      </c>
      <c r="J580" s="18">
        <f>_xll.ciqfunctions.udf.CIQ($C$2,"IQ_PENSION_ASSETS_ACQ",J$6,$F$2,,,Ccy,Conv)</f>
        <v>0</v>
      </c>
      <c r="K580" s="18">
        <f>_xll.ciqfunctions.udf.CIQ($C$2,"IQ_PENSION_ASSETS_ACQ",K$6,$F$2,,,Ccy,Conv)</f>
        <v>0</v>
      </c>
      <c r="L580" s="18">
        <f>_xll.ciqfunctions.udf.CIQ($C$2,"IQ_PENSION_ASSETS_ACQ",L$6,$F$2,,,Ccy,Conv)</f>
        <v>0</v>
      </c>
      <c r="M580" s="18">
        <f>_xll.ciqfunctions.udf.CIQ($C$2,"IQ_PENSION_ASSETS_ACQ",M$6,$F$2,,,Ccy,Conv)</f>
        <v>0</v>
      </c>
      <c r="N580" s="18">
        <f>_xll.ciqfunctions.udf.CIQ($C$2,"IQ_PENSION_ASSETS_ACQ",N$6,$F$2,,,Ccy,Conv)</f>
        <v>0</v>
      </c>
      <c r="O580" s="30"/>
      <c r="P580" s="18">
        <f>_xll.ciqfunctions.udf.CIQ($C$2,"IQ_PENSION_ASSETS_ACQ",P$6,$F$2,,,Ccy,Conv)</f>
        <v>0</v>
      </c>
      <c r="Q580" s="215"/>
      <c r="R580" s="215"/>
      <c r="S580" s="215"/>
      <c r="T580" s="215"/>
      <c r="U580" s="215"/>
      <c r="V580" s="222"/>
      <c r="W580" s="222"/>
      <c r="X580" s="222"/>
      <c r="Y580" s="215"/>
      <c r="Z580" s="215"/>
      <c r="AA580" s="215"/>
      <c r="AB580" s="215"/>
      <c r="AC580" s="215"/>
      <c r="AD580" s="215"/>
      <c r="AE580" s="215"/>
      <c r="AF580" s="215"/>
      <c r="AG580" s="215"/>
      <c r="AH580" s="215"/>
      <c r="AI580" s="215"/>
      <c r="AJ580" s="215"/>
      <c r="AK580" s="215"/>
      <c r="AL580" s="215"/>
      <c r="AM580" s="215"/>
      <c r="AN580" s="215"/>
      <c r="AO580" s="215"/>
      <c r="AP580" s="215"/>
      <c r="AQ580" s="215"/>
      <c r="AR580" s="215"/>
      <c r="AS580" s="215"/>
      <c r="AT580" s="215"/>
      <c r="AU580" s="215"/>
      <c r="AV580" s="215"/>
      <c r="AW580" s="215"/>
      <c r="AX580" s="215"/>
      <c r="AY580" s="215"/>
      <c r="AZ580" s="215"/>
      <c r="BA580" s="215"/>
      <c r="BB580" s="215"/>
      <c r="BC580" s="215"/>
      <c r="BD580" s="215"/>
      <c r="BE580" s="215"/>
      <c r="BF580" s="215"/>
      <c r="BG580" s="215"/>
      <c r="BH580" s="215"/>
      <c r="BI580" s="215"/>
      <c r="BJ580" s="215"/>
      <c r="BK580" s="215"/>
      <c r="BL580" s="215"/>
      <c r="BM580" s="215"/>
      <c r="BN580" s="215"/>
      <c r="BO580" s="215"/>
      <c r="BP580" s="215"/>
      <c r="BQ580" s="215"/>
      <c r="BR580" s="215"/>
      <c r="BS580" s="215"/>
      <c r="BT580" s="215"/>
      <c r="BU580" s="215"/>
      <c r="BV580" s="215"/>
      <c r="BW580" s="215"/>
      <c r="BX580" s="215"/>
      <c r="BY580" s="215"/>
      <c r="BZ580" s="215"/>
    </row>
    <row r="581" spans="1:78" outlineLevel="1" x14ac:dyDescent="0.2">
      <c r="A581" s="2" t="str">
        <f>'Language Index'!A522</f>
        <v>Plan Settlement/Curtailment</v>
      </c>
      <c r="B581" s="17"/>
      <c r="C581" s="17"/>
      <c r="D581" s="18">
        <f>_xll.ciqfunctions.udf.CIQ($C$2,"IQ_PENSION_ASSETS_CURTAIL",D$6,$F$2,,,Ccy,Conv)</f>
        <v>0</v>
      </c>
      <c r="E581" s="18">
        <f>_xll.ciqfunctions.udf.CIQ($C$2,"IQ_PENSION_ASSETS_CURTAIL",E$6,$F$2,,,Ccy,Conv)</f>
        <v>0</v>
      </c>
      <c r="F581" s="18">
        <f>_xll.ciqfunctions.udf.CIQ($C$2,"IQ_PENSION_ASSETS_CURTAIL",F$6,$F$2,,,Ccy,Conv)</f>
        <v>0</v>
      </c>
      <c r="G581" s="18">
        <f>_xll.ciqfunctions.udf.CIQ($C$2,"IQ_PENSION_ASSETS_CURTAIL",G$6,$F$2,,,Ccy,Conv)</f>
        <v>0</v>
      </c>
      <c r="H581" s="18">
        <f>_xll.ciqfunctions.udf.CIQ($C$2,"IQ_PENSION_ASSETS_CURTAIL",H$6,$F$2,,,Ccy,Conv)</f>
        <v>0</v>
      </c>
      <c r="I581" s="18">
        <f>_xll.ciqfunctions.udf.CIQ($C$2,"IQ_PENSION_ASSETS_CURTAIL",I$6,$F$2,,,Ccy,Conv)</f>
        <v>0</v>
      </c>
      <c r="J581" s="18">
        <f>_xll.ciqfunctions.udf.CIQ($C$2,"IQ_PENSION_ASSETS_CURTAIL",J$6,$F$2,,,Ccy,Conv)</f>
        <v>0</v>
      </c>
      <c r="K581" s="18">
        <f>_xll.ciqfunctions.udf.CIQ($C$2,"IQ_PENSION_ASSETS_CURTAIL",K$6,$F$2,,,Ccy,Conv)</f>
        <v>0</v>
      </c>
      <c r="L581" s="18">
        <f>_xll.ciqfunctions.udf.CIQ($C$2,"IQ_PENSION_ASSETS_CURTAIL",L$6,$F$2,,,Ccy,Conv)</f>
        <v>0</v>
      </c>
      <c r="M581" s="18">
        <f>_xll.ciqfunctions.udf.CIQ($C$2,"IQ_PENSION_ASSETS_CURTAIL",M$6,$F$2,,,Ccy,Conv)</f>
        <v>0</v>
      </c>
      <c r="N581" s="18">
        <f>_xll.ciqfunctions.udf.CIQ($C$2,"IQ_PENSION_ASSETS_CURTAIL",N$6,$F$2,,,Ccy,Conv)</f>
        <v>0</v>
      </c>
      <c r="O581" s="30"/>
      <c r="P581" s="18">
        <f>_xll.ciqfunctions.udf.CIQ($C$2,"IQ_PENSION_ASSETS_CURTAIL",P$6,$F$2,,,Ccy,Conv)</f>
        <v>0</v>
      </c>
      <c r="Q581" s="215"/>
      <c r="R581" s="215"/>
      <c r="S581" s="215"/>
      <c r="T581" s="215"/>
      <c r="U581" s="215"/>
      <c r="V581" s="222"/>
      <c r="W581" s="222"/>
      <c r="X581" s="222"/>
      <c r="Y581" s="215"/>
      <c r="Z581" s="215"/>
      <c r="AA581" s="215"/>
      <c r="AB581" s="215"/>
      <c r="AC581" s="215"/>
      <c r="AD581" s="215"/>
      <c r="AE581" s="215"/>
      <c r="AF581" s="215"/>
      <c r="AG581" s="215"/>
      <c r="AH581" s="215"/>
      <c r="AI581" s="215"/>
      <c r="AJ581" s="215"/>
      <c r="AK581" s="215"/>
      <c r="AL581" s="215"/>
      <c r="AM581" s="215"/>
      <c r="AN581" s="215"/>
      <c r="AO581" s="215"/>
      <c r="AP581" s="215"/>
      <c r="AQ581" s="215"/>
      <c r="AR581" s="215"/>
      <c r="AS581" s="215"/>
      <c r="AT581" s="215"/>
      <c r="AU581" s="215"/>
      <c r="AV581" s="215"/>
      <c r="AW581" s="215"/>
      <c r="AX581" s="215"/>
      <c r="AY581" s="215"/>
      <c r="AZ581" s="215"/>
      <c r="BA581" s="215"/>
      <c r="BB581" s="215"/>
      <c r="BC581" s="215"/>
      <c r="BD581" s="215"/>
      <c r="BE581" s="215"/>
      <c r="BF581" s="215"/>
      <c r="BG581" s="215"/>
      <c r="BH581" s="215"/>
      <c r="BI581" s="215"/>
      <c r="BJ581" s="215"/>
      <c r="BK581" s="215"/>
      <c r="BL581" s="215"/>
      <c r="BM581" s="215"/>
      <c r="BN581" s="215"/>
      <c r="BO581" s="215"/>
      <c r="BP581" s="215"/>
      <c r="BQ581" s="215"/>
      <c r="BR581" s="215"/>
      <c r="BS581" s="215"/>
      <c r="BT581" s="215"/>
      <c r="BU581" s="215"/>
      <c r="BV581" s="215"/>
      <c r="BW581" s="215"/>
      <c r="BX581" s="215"/>
      <c r="BY581" s="215"/>
      <c r="BZ581" s="215"/>
    </row>
    <row r="582" spans="1:78" outlineLevel="1" x14ac:dyDescent="0.2">
      <c r="A582" s="2" t="str">
        <f>'Language Index'!A523</f>
        <v>Other Plan Adjustments</v>
      </c>
      <c r="B582" s="17"/>
      <c r="C582" s="17"/>
      <c r="D582" s="18">
        <f>_xll.ciqfunctions.udf.CIQ($C$2,"IQ_PENSION_ASSETS_OTHER_PLAN_ADJ",D$6,$F$2,,,Ccy,Conv)</f>
        <v>0</v>
      </c>
      <c r="E582" s="18">
        <f>_xll.ciqfunctions.udf.CIQ($C$2,"IQ_PENSION_ASSETS_OTHER_PLAN_ADJ",E$6,$F$2,,,Ccy,Conv)</f>
        <v>0</v>
      </c>
      <c r="F582" s="18">
        <f>_xll.ciqfunctions.udf.CIQ($C$2,"IQ_PENSION_ASSETS_OTHER_PLAN_ADJ",F$6,$F$2,,,Ccy,Conv)</f>
        <v>-493</v>
      </c>
      <c r="G582" s="18">
        <f>_xll.ciqfunctions.udf.CIQ($C$2,"IQ_PENSION_ASSETS_OTHER_PLAN_ADJ",G$6,$F$2,,,Ccy,Conv)</f>
        <v>0</v>
      </c>
      <c r="H582" s="18">
        <f>_xll.ciqfunctions.udf.CIQ($C$2,"IQ_PENSION_ASSETS_OTHER_PLAN_ADJ",H$6,$F$2,,,Ccy,Conv)</f>
        <v>0</v>
      </c>
      <c r="I582" s="18">
        <f>_xll.ciqfunctions.udf.CIQ($C$2,"IQ_PENSION_ASSETS_OTHER_PLAN_ADJ",I$6,$F$2,,,Ccy,Conv)</f>
        <v>0</v>
      </c>
      <c r="J582" s="18">
        <f>_xll.ciqfunctions.udf.CIQ($C$2,"IQ_PENSION_ASSETS_OTHER_PLAN_ADJ",J$6,$F$2,,,Ccy,Conv)</f>
        <v>-7451</v>
      </c>
      <c r="K582" s="18">
        <f>_xll.ciqfunctions.udf.CIQ($C$2,"IQ_PENSION_ASSETS_OTHER_PLAN_ADJ",K$6,$F$2,,,Ccy,Conv)</f>
        <v>0</v>
      </c>
      <c r="L582" s="18">
        <f>_xll.ciqfunctions.udf.CIQ($C$2,"IQ_PENSION_ASSETS_OTHER_PLAN_ADJ",L$6,$F$2,,,Ccy,Conv)</f>
        <v>0</v>
      </c>
      <c r="M582" s="18">
        <f>_xll.ciqfunctions.udf.CIQ($C$2,"IQ_PENSION_ASSETS_OTHER_PLAN_ADJ",M$6,$F$2,,,Ccy,Conv)</f>
        <v>0</v>
      </c>
      <c r="N582" s="18">
        <f>_xll.ciqfunctions.udf.CIQ($C$2,"IQ_PENSION_ASSETS_OTHER_PLAN_ADJ",N$6,$F$2,,,Ccy,Conv)</f>
        <v>-479</v>
      </c>
      <c r="O582" s="30"/>
      <c r="P582" s="18">
        <f>_xll.ciqfunctions.udf.CIQ($C$2,"IQ_PENSION_ASSETS_OTHER_PLAN_ADJ",P$6,$F$2,,,Ccy,Conv)</f>
        <v>-479</v>
      </c>
      <c r="Q582" s="215"/>
      <c r="R582" s="215"/>
      <c r="S582" s="215"/>
      <c r="T582" s="215"/>
      <c r="U582" s="215"/>
      <c r="V582" s="222"/>
      <c r="W582" s="222"/>
      <c r="X582" s="222"/>
      <c r="Y582" s="215"/>
      <c r="Z582" s="215"/>
      <c r="AA582" s="215"/>
      <c r="AB582" s="215"/>
      <c r="AC582" s="215"/>
      <c r="AD582" s="215"/>
      <c r="AE582" s="215"/>
      <c r="AF582" s="215"/>
      <c r="AG582" s="215"/>
      <c r="AH582" s="215"/>
      <c r="AI582" s="215"/>
      <c r="AJ582" s="215"/>
      <c r="AK582" s="215"/>
      <c r="AL582" s="215"/>
      <c r="AM582" s="215"/>
      <c r="AN582" s="215"/>
      <c r="AO582" s="215"/>
      <c r="AP582" s="215"/>
      <c r="AQ582" s="215"/>
      <c r="AR582" s="215"/>
      <c r="AS582" s="215"/>
      <c r="AT582" s="215"/>
      <c r="AU582" s="215"/>
      <c r="AV582" s="215"/>
      <c r="AW582" s="215"/>
      <c r="AX582" s="215"/>
      <c r="AY582" s="215"/>
      <c r="AZ582" s="215"/>
      <c r="BA582" s="215"/>
      <c r="BB582" s="215"/>
      <c r="BC582" s="215"/>
      <c r="BD582" s="215"/>
      <c r="BE582" s="215"/>
      <c r="BF582" s="215"/>
      <c r="BG582" s="215"/>
      <c r="BH582" s="215"/>
      <c r="BI582" s="215"/>
      <c r="BJ582" s="215"/>
      <c r="BK582" s="215"/>
      <c r="BL582" s="215"/>
      <c r="BM582" s="215"/>
      <c r="BN582" s="215"/>
      <c r="BO582" s="215"/>
      <c r="BP582" s="215"/>
      <c r="BQ582" s="215"/>
      <c r="BR582" s="215"/>
      <c r="BS582" s="215"/>
      <c r="BT582" s="215"/>
      <c r="BU582" s="215"/>
      <c r="BV582" s="215"/>
      <c r="BW582" s="215"/>
      <c r="BX582" s="215"/>
      <c r="BY582" s="215"/>
      <c r="BZ582" s="215"/>
    </row>
    <row r="583" spans="1:78" outlineLevel="1" x14ac:dyDescent="0.2">
      <c r="A583" s="2" t="str">
        <f>'Language Index'!A524</f>
        <v>Total Plan Assets</v>
      </c>
      <c r="B583" s="17"/>
      <c r="C583" s="17"/>
      <c r="D583" s="18">
        <f>_xll.ciqfunctions.udf.CIQ($C$2,"IQ_PENSION_ASSETS",D$6,$F$2,,,Ccy,Conv)</f>
        <v>0</v>
      </c>
      <c r="E583" s="18">
        <f>_xll.ciqfunctions.udf.CIQ($C$2,"IQ_PENSION_ASSETS",E$6,$F$2,,,Ccy,Conv)</f>
        <v>0</v>
      </c>
      <c r="F583" s="18">
        <f>_xll.ciqfunctions.udf.CIQ($C$2,"IQ_PENSION_ASSETS",F$6,$F$2,,,Ccy,Conv)</f>
        <v>53496</v>
      </c>
      <c r="G583" s="18">
        <f>_xll.ciqfunctions.udf.CIQ($C$2,"IQ_PENSION_ASSETS",G$6,$F$2,,,Ccy,Conv)</f>
        <v>0</v>
      </c>
      <c r="H583" s="18">
        <f>_xll.ciqfunctions.udf.CIQ($C$2,"IQ_PENSION_ASSETS",H$6,$F$2,,,Ccy,Conv)</f>
        <v>0</v>
      </c>
      <c r="I583" s="18">
        <f>_xll.ciqfunctions.udf.CIQ($C$2,"IQ_PENSION_ASSETS",I$6,$F$2,,,Ccy,Conv)</f>
        <v>0</v>
      </c>
      <c r="J583" s="18">
        <f>_xll.ciqfunctions.udf.CIQ($C$2,"IQ_PENSION_ASSETS",J$6,$F$2,,,Ccy,Conv)</f>
        <v>42796</v>
      </c>
      <c r="K583" s="18">
        <f>_xll.ciqfunctions.udf.CIQ($C$2,"IQ_PENSION_ASSETS",K$6,$F$2,,,Ccy,Conv)</f>
        <v>0</v>
      </c>
      <c r="L583" s="18">
        <f>_xll.ciqfunctions.udf.CIQ($C$2,"IQ_PENSION_ASSETS",L$6,$F$2,,,Ccy,Conv)</f>
        <v>0</v>
      </c>
      <c r="M583" s="18">
        <f>_xll.ciqfunctions.udf.CIQ($C$2,"IQ_PENSION_ASSETS",M$6,$F$2,,,Ccy,Conv)</f>
        <v>0</v>
      </c>
      <c r="N583" s="18">
        <f>_xll.ciqfunctions.udf.CIQ($C$2,"IQ_PENSION_ASSETS",N$6,$F$2,,,Ccy,Conv)</f>
        <v>44806</v>
      </c>
      <c r="O583" s="30"/>
      <c r="P583" s="18">
        <f>_xll.ciqfunctions.udf.CIQ($C$2,"IQ_PENSION_ASSETS",P$6,$F$2,,,Ccy,Conv)</f>
        <v>44806</v>
      </c>
      <c r="Q583" s="215"/>
      <c r="R583" s="215"/>
      <c r="S583" s="215"/>
      <c r="T583" s="215"/>
      <c r="U583" s="215"/>
      <c r="V583" s="222"/>
      <c r="W583" s="222"/>
      <c r="X583" s="222"/>
      <c r="Y583" s="215"/>
      <c r="Z583" s="215"/>
      <c r="AA583" s="215"/>
      <c r="AB583" s="215"/>
      <c r="AC583" s="215"/>
      <c r="AD583" s="215"/>
      <c r="AE583" s="215"/>
      <c r="AF583" s="215"/>
      <c r="AG583" s="215"/>
      <c r="AH583" s="215"/>
      <c r="AI583" s="215"/>
      <c r="AJ583" s="215"/>
      <c r="AK583" s="215"/>
      <c r="AL583" s="215"/>
      <c r="AM583" s="215"/>
      <c r="AN583" s="215"/>
      <c r="AO583" s="215"/>
      <c r="AP583" s="215"/>
      <c r="AQ583" s="215"/>
      <c r="AR583" s="215"/>
      <c r="AS583" s="215"/>
      <c r="AT583" s="215"/>
      <c r="AU583" s="215"/>
      <c r="AV583" s="215"/>
      <c r="AW583" s="215"/>
      <c r="AX583" s="215"/>
      <c r="AY583" s="215"/>
      <c r="AZ583" s="215"/>
      <c r="BA583" s="215"/>
      <c r="BB583" s="215"/>
      <c r="BC583" s="215"/>
      <c r="BD583" s="215"/>
      <c r="BE583" s="215"/>
      <c r="BF583" s="215"/>
      <c r="BG583" s="215"/>
      <c r="BH583" s="215"/>
      <c r="BI583" s="215"/>
      <c r="BJ583" s="215"/>
      <c r="BK583" s="215"/>
      <c r="BL583" s="215"/>
      <c r="BM583" s="215"/>
      <c r="BN583" s="215"/>
      <c r="BO583" s="215"/>
      <c r="BP583" s="215"/>
      <c r="BQ583" s="215"/>
      <c r="BR583" s="215"/>
      <c r="BS583" s="215"/>
      <c r="BT583" s="215"/>
      <c r="BU583" s="215"/>
      <c r="BV583" s="215"/>
      <c r="BW583" s="215"/>
      <c r="BX583" s="215"/>
      <c r="BY583" s="215"/>
      <c r="BZ583" s="215"/>
    </row>
    <row r="584" spans="1:78" outlineLevel="1" x14ac:dyDescent="0.2">
      <c r="A584" s="9" t="str">
        <f>'Language Index'!A525</f>
        <v>Weighted Avg. Assumptions on Net Periodic Cost</v>
      </c>
      <c r="B584" s="17"/>
      <c r="C584" s="17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30"/>
      <c r="P584" s="18"/>
      <c r="Q584" s="215"/>
      <c r="R584" s="215"/>
      <c r="S584" s="215"/>
      <c r="T584" s="215"/>
      <c r="U584" s="215"/>
      <c r="V584" s="222"/>
      <c r="W584" s="222"/>
      <c r="X584" s="222"/>
      <c r="Y584" s="215"/>
      <c r="Z584" s="215"/>
      <c r="AA584" s="215"/>
      <c r="AB584" s="215"/>
      <c r="AC584" s="215"/>
      <c r="AD584" s="215"/>
      <c r="AE584" s="215"/>
      <c r="AF584" s="215"/>
      <c r="AG584" s="215"/>
      <c r="AH584" s="215"/>
      <c r="AI584" s="215"/>
      <c r="AJ584" s="215"/>
      <c r="AK584" s="215"/>
      <c r="AL584" s="215"/>
      <c r="AM584" s="215"/>
      <c r="AN584" s="215"/>
      <c r="AO584" s="215"/>
      <c r="AP584" s="215"/>
      <c r="AQ584" s="215"/>
      <c r="AR584" s="215"/>
      <c r="AS584" s="215"/>
      <c r="AT584" s="215"/>
      <c r="AU584" s="215"/>
      <c r="AV584" s="215"/>
      <c r="AW584" s="215"/>
      <c r="AX584" s="215"/>
      <c r="AY584" s="215"/>
      <c r="AZ584" s="215"/>
      <c r="BA584" s="215"/>
      <c r="BB584" s="215"/>
      <c r="BC584" s="215"/>
      <c r="BD584" s="215"/>
      <c r="BE584" s="215"/>
      <c r="BF584" s="215"/>
      <c r="BG584" s="215"/>
      <c r="BH584" s="215"/>
      <c r="BI584" s="215"/>
      <c r="BJ584" s="215"/>
      <c r="BK584" s="215"/>
      <c r="BL584" s="215"/>
      <c r="BM584" s="215"/>
      <c r="BN584" s="215"/>
      <c r="BO584" s="215"/>
      <c r="BP584" s="215"/>
      <c r="BQ584" s="215"/>
      <c r="BR584" s="215"/>
      <c r="BS584" s="215"/>
      <c r="BT584" s="215"/>
      <c r="BU584" s="215"/>
      <c r="BV584" s="215"/>
      <c r="BW584" s="215"/>
      <c r="BX584" s="215"/>
      <c r="BY584" s="215"/>
      <c r="BZ584" s="215"/>
    </row>
    <row r="585" spans="1:78" outlineLevel="1" x14ac:dyDescent="0.2">
      <c r="A585" s="2" t="str">
        <f>'Language Index'!A526</f>
        <v>Net Periodic Cost Disc. Rate - Min</v>
      </c>
      <c r="B585" s="17"/>
      <c r="C585" s="17"/>
      <c r="D585" s="18">
        <f>_xll.ciqfunctions.udf.CIQ($C$2,"IQ_PENSION_DISC_RATE_MIN",D$6,$F$2)</f>
        <v>0</v>
      </c>
      <c r="E585" s="18">
        <f>_xll.ciqfunctions.udf.CIQ($C$2,"IQ_PENSION_DISC_RATE_MIN",E$6,$F$2)</f>
        <v>0</v>
      </c>
      <c r="F585" s="18">
        <f>_xll.ciqfunctions.udf.CIQ($C$2,"IQ_PENSION_DISC_RATE_MIN",F$6,$F$2)</f>
        <v>0</v>
      </c>
      <c r="G585" s="18">
        <f>_xll.ciqfunctions.udf.CIQ($C$2,"IQ_PENSION_DISC_RATE_MIN",G$6,$F$2)</f>
        <v>0</v>
      </c>
      <c r="H585" s="18">
        <f>_xll.ciqfunctions.udf.CIQ($C$2,"IQ_PENSION_DISC_RATE_MIN",H$6,$F$2)</f>
        <v>0</v>
      </c>
      <c r="I585" s="18">
        <f>_xll.ciqfunctions.udf.CIQ($C$2,"IQ_PENSION_DISC_RATE_MIN",I$6,$F$2)</f>
        <v>0</v>
      </c>
      <c r="J585" s="18">
        <f>_xll.ciqfunctions.udf.CIQ($C$2,"IQ_PENSION_DISC_RATE_MIN",J$6,$F$2)</f>
        <v>0</v>
      </c>
      <c r="K585" s="18">
        <f>_xll.ciqfunctions.udf.CIQ($C$2,"IQ_PENSION_DISC_RATE_MIN",K$6,$F$2)</f>
        <v>0</v>
      </c>
      <c r="L585" s="18">
        <f>_xll.ciqfunctions.udf.CIQ($C$2,"IQ_PENSION_DISC_RATE_MIN",L$6,$F$2)</f>
        <v>0</v>
      </c>
      <c r="M585" s="18">
        <f>_xll.ciqfunctions.udf.CIQ($C$2,"IQ_PENSION_DISC_RATE_MIN",M$6,$F$2)</f>
        <v>0</v>
      </c>
      <c r="N585" s="18">
        <f>_xll.ciqfunctions.udf.CIQ($C$2,"IQ_PENSION_DISC_RATE_MIN",N$6,$F$2)</f>
        <v>0</v>
      </c>
      <c r="O585" s="30"/>
      <c r="P585" s="18">
        <f>_xll.ciqfunctions.udf.CIQ($C$2,"IQ_PENSION_DISC_RATE_MIN",P$6,$F$2)</f>
        <v>0</v>
      </c>
      <c r="Q585" s="245"/>
      <c r="R585" s="215"/>
      <c r="S585" s="215"/>
      <c r="T585" s="215"/>
      <c r="U585" s="215"/>
      <c r="V585" s="222"/>
      <c r="W585" s="222"/>
      <c r="X585" s="222"/>
      <c r="Y585" s="215"/>
      <c r="Z585" s="215"/>
      <c r="AA585" s="215"/>
      <c r="AB585" s="215"/>
      <c r="AC585" s="215"/>
      <c r="AD585" s="215"/>
      <c r="AE585" s="215"/>
      <c r="AF585" s="215"/>
      <c r="AG585" s="215"/>
      <c r="AH585" s="215"/>
      <c r="AI585" s="215"/>
      <c r="AJ585" s="215"/>
      <c r="AK585" s="215"/>
      <c r="AL585" s="215"/>
      <c r="AM585" s="215"/>
      <c r="AN585" s="215"/>
      <c r="AO585" s="215"/>
      <c r="AP585" s="215"/>
      <c r="AQ585" s="215"/>
      <c r="AR585" s="215"/>
      <c r="AS585" s="215"/>
      <c r="AT585" s="215"/>
      <c r="AU585" s="215"/>
      <c r="AV585" s="215"/>
      <c r="AW585" s="215"/>
      <c r="AX585" s="215"/>
      <c r="AY585" s="215"/>
      <c r="AZ585" s="215"/>
      <c r="BA585" s="215"/>
      <c r="BB585" s="215"/>
      <c r="BC585" s="215"/>
      <c r="BD585" s="215"/>
      <c r="BE585" s="215"/>
      <c r="BF585" s="215"/>
      <c r="BG585" s="215"/>
      <c r="BH585" s="215"/>
      <c r="BI585" s="215"/>
      <c r="BJ585" s="215"/>
      <c r="BK585" s="215"/>
      <c r="BL585" s="215"/>
      <c r="BM585" s="215"/>
      <c r="BN585" s="215"/>
      <c r="BO585" s="215"/>
      <c r="BP585" s="215"/>
      <c r="BQ585" s="215"/>
      <c r="BR585" s="215"/>
      <c r="BS585" s="215"/>
      <c r="BT585" s="215"/>
      <c r="BU585" s="215"/>
      <c r="BV585" s="215"/>
      <c r="BW585" s="215"/>
      <c r="BX585" s="215"/>
      <c r="BY585" s="215"/>
      <c r="BZ585" s="215"/>
    </row>
    <row r="586" spans="1:78" outlineLevel="1" x14ac:dyDescent="0.2">
      <c r="A586" s="2" t="str">
        <f>'Language Index'!A527</f>
        <v>Net Periodic Cost Disc. Rate - Max</v>
      </c>
      <c r="B586" s="17"/>
      <c r="C586" s="17"/>
      <c r="D586" s="18">
        <f>_xll.ciqfunctions.udf.CIQ($C$2,"IQ_PENSION_DISC_RATE_MAX",D$6,$F$2)</f>
        <v>0</v>
      </c>
      <c r="E586" s="18">
        <f>_xll.ciqfunctions.udf.CIQ($C$2,"IQ_PENSION_DISC_RATE_MAX",E$6,$F$2)</f>
        <v>0</v>
      </c>
      <c r="F586" s="18">
        <f>_xll.ciqfunctions.udf.CIQ($C$2,"IQ_PENSION_DISC_RATE_MAX",F$6,$F$2)</f>
        <v>0</v>
      </c>
      <c r="G586" s="18">
        <f>_xll.ciqfunctions.udf.CIQ($C$2,"IQ_PENSION_DISC_RATE_MAX",G$6,$F$2)</f>
        <v>0</v>
      </c>
      <c r="H586" s="18">
        <f>_xll.ciqfunctions.udf.CIQ($C$2,"IQ_PENSION_DISC_RATE_MAX",H$6,$F$2)</f>
        <v>0</v>
      </c>
      <c r="I586" s="18">
        <f>_xll.ciqfunctions.udf.CIQ($C$2,"IQ_PENSION_DISC_RATE_MAX",I$6,$F$2)</f>
        <v>0</v>
      </c>
      <c r="J586" s="18">
        <f>_xll.ciqfunctions.udf.CIQ($C$2,"IQ_PENSION_DISC_RATE_MAX",J$6,$F$2)</f>
        <v>0</v>
      </c>
      <c r="K586" s="18">
        <f>_xll.ciqfunctions.udf.CIQ($C$2,"IQ_PENSION_DISC_RATE_MAX",K$6,$F$2)</f>
        <v>0</v>
      </c>
      <c r="L586" s="18">
        <f>_xll.ciqfunctions.udf.CIQ($C$2,"IQ_PENSION_DISC_RATE_MAX",L$6,$F$2)</f>
        <v>0</v>
      </c>
      <c r="M586" s="18">
        <f>_xll.ciqfunctions.udf.CIQ($C$2,"IQ_PENSION_DISC_RATE_MAX",M$6,$F$2)</f>
        <v>0</v>
      </c>
      <c r="N586" s="18">
        <f>_xll.ciqfunctions.udf.CIQ($C$2,"IQ_PENSION_DISC_RATE_MAX",N$6,$F$2)</f>
        <v>0</v>
      </c>
      <c r="O586" s="30"/>
      <c r="P586" s="18">
        <f>_xll.ciqfunctions.udf.CIQ($C$2,"IQ_PENSION_DISC_RATE_MAX",P$6,$F$2)</f>
        <v>0</v>
      </c>
      <c r="Q586" s="245"/>
      <c r="R586" s="215"/>
      <c r="S586" s="215"/>
      <c r="T586" s="215"/>
      <c r="U586" s="215"/>
      <c r="V586" s="222"/>
      <c r="W586" s="222"/>
      <c r="X586" s="222"/>
      <c r="Y586" s="215"/>
      <c r="Z586" s="215"/>
      <c r="AA586" s="215"/>
      <c r="AB586" s="215"/>
      <c r="AC586" s="215"/>
      <c r="AD586" s="215"/>
      <c r="AE586" s="215"/>
      <c r="AF586" s="215"/>
      <c r="AG586" s="215"/>
      <c r="AH586" s="215"/>
      <c r="AI586" s="215"/>
      <c r="AJ586" s="215"/>
      <c r="AK586" s="215"/>
      <c r="AL586" s="215"/>
      <c r="AM586" s="215"/>
      <c r="AN586" s="215"/>
      <c r="AO586" s="215"/>
      <c r="AP586" s="215"/>
      <c r="AQ586" s="215"/>
      <c r="AR586" s="215"/>
      <c r="AS586" s="215"/>
      <c r="AT586" s="215"/>
      <c r="AU586" s="215"/>
      <c r="AV586" s="215"/>
      <c r="AW586" s="215"/>
      <c r="AX586" s="215"/>
      <c r="AY586" s="215"/>
      <c r="AZ586" s="215"/>
      <c r="BA586" s="215"/>
      <c r="BB586" s="215"/>
      <c r="BC586" s="215"/>
      <c r="BD586" s="215"/>
      <c r="BE586" s="215"/>
      <c r="BF586" s="215"/>
      <c r="BG586" s="215"/>
      <c r="BH586" s="215"/>
      <c r="BI586" s="215"/>
      <c r="BJ586" s="215"/>
      <c r="BK586" s="215"/>
      <c r="BL586" s="215"/>
      <c r="BM586" s="215"/>
      <c r="BN586" s="215"/>
      <c r="BO586" s="215"/>
      <c r="BP586" s="215"/>
      <c r="BQ586" s="215"/>
      <c r="BR586" s="215"/>
      <c r="BS586" s="215"/>
      <c r="BT586" s="215"/>
      <c r="BU586" s="215"/>
      <c r="BV586" s="215"/>
      <c r="BW586" s="215"/>
      <c r="BX586" s="215"/>
      <c r="BY586" s="215"/>
      <c r="BZ586" s="215"/>
    </row>
    <row r="587" spans="1:78" outlineLevel="1" x14ac:dyDescent="0.2">
      <c r="A587" s="2" t="str">
        <f>'Language Index'!A528</f>
        <v>Rate of Comp. Increase - Min</v>
      </c>
      <c r="B587" s="17"/>
      <c r="C587" s="17"/>
      <c r="D587" s="18">
        <f>_xll.ciqfunctions.udf.CIQ($C$2,"IQ_PENSION_RATE_COMP_INCREASE_MIN",D$6,$F$2)</f>
        <v>0</v>
      </c>
      <c r="E587" s="18">
        <f>_xll.ciqfunctions.udf.CIQ($C$2,"IQ_PENSION_RATE_COMP_INCREASE_MIN",E$6,$F$2)</f>
        <v>0</v>
      </c>
      <c r="F587" s="18">
        <f>_xll.ciqfunctions.udf.CIQ($C$2,"IQ_PENSION_RATE_COMP_INCREASE_MIN",F$6,$F$2)</f>
        <v>0</v>
      </c>
      <c r="G587" s="18">
        <f>_xll.ciqfunctions.udf.CIQ($C$2,"IQ_PENSION_RATE_COMP_INCREASE_MIN",G$6,$F$2)</f>
        <v>0</v>
      </c>
      <c r="H587" s="18">
        <f>_xll.ciqfunctions.udf.CIQ($C$2,"IQ_PENSION_RATE_COMP_INCREASE_MIN",H$6,$F$2)</f>
        <v>0</v>
      </c>
      <c r="I587" s="18">
        <f>_xll.ciqfunctions.udf.CIQ($C$2,"IQ_PENSION_RATE_COMP_INCREASE_MIN",I$6,$F$2)</f>
        <v>0</v>
      </c>
      <c r="J587" s="18">
        <f>_xll.ciqfunctions.udf.CIQ($C$2,"IQ_PENSION_RATE_COMP_INCREASE_MIN",J$6,$F$2)</f>
        <v>0</v>
      </c>
      <c r="K587" s="18">
        <f>_xll.ciqfunctions.udf.CIQ($C$2,"IQ_PENSION_RATE_COMP_INCREASE_MIN",K$6,$F$2)</f>
        <v>0</v>
      </c>
      <c r="L587" s="18">
        <f>_xll.ciqfunctions.udf.CIQ($C$2,"IQ_PENSION_RATE_COMP_INCREASE_MIN",L$6,$F$2)</f>
        <v>0</v>
      </c>
      <c r="M587" s="18">
        <f>_xll.ciqfunctions.udf.CIQ($C$2,"IQ_PENSION_RATE_COMP_INCREASE_MIN",M$6,$F$2)</f>
        <v>0</v>
      </c>
      <c r="N587" s="18">
        <f>_xll.ciqfunctions.udf.CIQ($C$2,"IQ_PENSION_RATE_COMP_INCREASE_MIN",N$6,$F$2)</f>
        <v>0</v>
      </c>
      <c r="O587" s="30"/>
      <c r="P587" s="18">
        <f>_xll.ciqfunctions.udf.CIQ($C$2,"IQ_PENSION_RATE_COMP_INCREASE_MIN",P$6,$F$2)</f>
        <v>0</v>
      </c>
      <c r="Q587" s="245"/>
      <c r="R587" s="215"/>
      <c r="S587" s="215"/>
      <c r="T587" s="215"/>
      <c r="U587" s="215"/>
      <c r="V587" s="222"/>
      <c r="W587" s="222"/>
      <c r="X587" s="222"/>
      <c r="Y587" s="215"/>
      <c r="Z587" s="215"/>
      <c r="AA587" s="215"/>
      <c r="AB587" s="215"/>
      <c r="AC587" s="215"/>
      <c r="AD587" s="215"/>
      <c r="AE587" s="215"/>
      <c r="AF587" s="215"/>
      <c r="AG587" s="215"/>
      <c r="AH587" s="215"/>
      <c r="AI587" s="215"/>
      <c r="AJ587" s="215"/>
      <c r="AK587" s="215"/>
      <c r="AL587" s="215"/>
      <c r="AM587" s="215"/>
      <c r="AN587" s="215"/>
      <c r="AO587" s="215"/>
      <c r="AP587" s="215"/>
      <c r="AQ587" s="215"/>
      <c r="AR587" s="215"/>
      <c r="AS587" s="215"/>
      <c r="AT587" s="215"/>
      <c r="AU587" s="215"/>
      <c r="AV587" s="215"/>
      <c r="AW587" s="215"/>
      <c r="AX587" s="215"/>
      <c r="AY587" s="215"/>
      <c r="AZ587" s="215"/>
      <c r="BA587" s="215"/>
      <c r="BB587" s="215"/>
      <c r="BC587" s="215"/>
      <c r="BD587" s="215"/>
      <c r="BE587" s="215"/>
      <c r="BF587" s="215"/>
      <c r="BG587" s="215"/>
      <c r="BH587" s="215"/>
      <c r="BI587" s="215"/>
      <c r="BJ587" s="215"/>
      <c r="BK587" s="215"/>
      <c r="BL587" s="215"/>
      <c r="BM587" s="215"/>
      <c r="BN587" s="215"/>
      <c r="BO587" s="215"/>
      <c r="BP587" s="215"/>
      <c r="BQ587" s="215"/>
      <c r="BR587" s="215"/>
      <c r="BS587" s="215"/>
      <c r="BT587" s="215"/>
      <c r="BU587" s="215"/>
      <c r="BV587" s="215"/>
      <c r="BW587" s="215"/>
      <c r="BX587" s="215"/>
      <c r="BY587" s="215"/>
      <c r="BZ587" s="215"/>
    </row>
    <row r="588" spans="1:78" outlineLevel="1" x14ac:dyDescent="0.2">
      <c r="A588" s="2" t="str">
        <f>'Language Index'!A529</f>
        <v>Rate of Comp. Increase - Max</v>
      </c>
      <c r="B588" s="17"/>
      <c r="C588" s="17"/>
      <c r="D588" s="18">
        <f>_xll.ciqfunctions.udf.CIQ($C$2,"IQ_PENSION_RATE_COMP_INCREASE_MAX",D$6,$F$2)</f>
        <v>0</v>
      </c>
      <c r="E588" s="18">
        <f>_xll.ciqfunctions.udf.CIQ($C$2,"IQ_PENSION_RATE_COMP_INCREASE_MAX",E$6,$F$2)</f>
        <v>0</v>
      </c>
      <c r="F588" s="18">
        <f>_xll.ciqfunctions.udf.CIQ($C$2,"IQ_PENSION_RATE_COMP_INCREASE_MAX",F$6,$F$2)</f>
        <v>0</v>
      </c>
      <c r="G588" s="18">
        <f>_xll.ciqfunctions.udf.CIQ($C$2,"IQ_PENSION_RATE_COMP_INCREASE_MAX",G$6,$F$2)</f>
        <v>0</v>
      </c>
      <c r="H588" s="18">
        <f>_xll.ciqfunctions.udf.CIQ($C$2,"IQ_PENSION_RATE_COMP_INCREASE_MAX",H$6,$F$2)</f>
        <v>0</v>
      </c>
      <c r="I588" s="18">
        <f>_xll.ciqfunctions.udf.CIQ($C$2,"IQ_PENSION_RATE_COMP_INCREASE_MAX",I$6,$F$2)</f>
        <v>0</v>
      </c>
      <c r="J588" s="18">
        <f>_xll.ciqfunctions.udf.CIQ($C$2,"IQ_PENSION_RATE_COMP_INCREASE_MAX",J$6,$F$2)</f>
        <v>0</v>
      </c>
      <c r="K588" s="18">
        <f>_xll.ciqfunctions.udf.CIQ($C$2,"IQ_PENSION_RATE_COMP_INCREASE_MAX",K$6,$F$2)</f>
        <v>0</v>
      </c>
      <c r="L588" s="18">
        <f>_xll.ciqfunctions.udf.CIQ($C$2,"IQ_PENSION_RATE_COMP_INCREASE_MAX",L$6,$F$2)</f>
        <v>0</v>
      </c>
      <c r="M588" s="18">
        <f>_xll.ciqfunctions.udf.CIQ($C$2,"IQ_PENSION_RATE_COMP_INCREASE_MAX",M$6,$F$2)</f>
        <v>0</v>
      </c>
      <c r="N588" s="18">
        <f>_xll.ciqfunctions.udf.CIQ($C$2,"IQ_PENSION_RATE_COMP_INCREASE_MAX",N$6,$F$2)</f>
        <v>0</v>
      </c>
      <c r="O588" s="30"/>
      <c r="P588" s="18">
        <f>_xll.ciqfunctions.udf.CIQ($C$2,"IQ_PENSION_RATE_COMP_INCREASE_MAX",P$6,$F$2)</f>
        <v>0</v>
      </c>
      <c r="Q588" s="245"/>
      <c r="R588" s="215"/>
      <c r="S588" s="215"/>
      <c r="T588" s="215"/>
      <c r="U588" s="215"/>
      <c r="V588" s="222"/>
      <c r="W588" s="222"/>
      <c r="X588" s="222"/>
      <c r="Y588" s="215"/>
      <c r="Z588" s="215"/>
      <c r="AA588" s="215"/>
      <c r="AB588" s="215"/>
      <c r="AC588" s="215"/>
      <c r="AD588" s="215"/>
      <c r="AE588" s="215"/>
      <c r="AF588" s="215"/>
      <c r="AG588" s="215"/>
      <c r="AH588" s="215"/>
      <c r="AI588" s="215"/>
      <c r="AJ588" s="215"/>
      <c r="AK588" s="215"/>
      <c r="AL588" s="215"/>
      <c r="AM588" s="215"/>
      <c r="AN588" s="215"/>
      <c r="AO588" s="215"/>
      <c r="AP588" s="215"/>
      <c r="AQ588" s="215"/>
      <c r="AR588" s="215"/>
      <c r="AS588" s="215"/>
      <c r="AT588" s="215"/>
      <c r="AU588" s="215"/>
      <c r="AV588" s="215"/>
      <c r="AW588" s="215"/>
      <c r="AX588" s="215"/>
      <c r="AY588" s="215"/>
      <c r="AZ588" s="215"/>
      <c r="BA588" s="215"/>
      <c r="BB588" s="215"/>
      <c r="BC588" s="215"/>
      <c r="BD588" s="215"/>
      <c r="BE588" s="215"/>
      <c r="BF588" s="215"/>
      <c r="BG588" s="215"/>
      <c r="BH588" s="215"/>
      <c r="BI588" s="215"/>
      <c r="BJ588" s="215"/>
      <c r="BK588" s="215"/>
      <c r="BL588" s="215"/>
      <c r="BM588" s="215"/>
      <c r="BN588" s="215"/>
      <c r="BO588" s="215"/>
      <c r="BP588" s="215"/>
      <c r="BQ588" s="215"/>
      <c r="BR588" s="215"/>
      <c r="BS588" s="215"/>
      <c r="BT588" s="215"/>
      <c r="BU588" s="215"/>
      <c r="BV588" s="215"/>
      <c r="BW588" s="215"/>
      <c r="BX588" s="215"/>
      <c r="BY588" s="215"/>
      <c r="BZ588" s="215"/>
    </row>
    <row r="589" spans="1:78" outlineLevel="1" x14ac:dyDescent="0.2">
      <c r="A589" s="2" t="str">
        <f>'Language Index'!A530</f>
        <v>Exp. Long-Term Rate of Return on Assets - Min</v>
      </c>
      <c r="B589" s="17"/>
      <c r="C589" s="17"/>
      <c r="D589" s="18">
        <f>_xll.ciqfunctions.udf.CIQ($C$2,"IQ_PENSION_EXP_RATE_RETURN_MIN",D$6,$F$2)</f>
        <v>0</v>
      </c>
      <c r="E589" s="18">
        <f>_xll.ciqfunctions.udf.CIQ($C$2,"IQ_PENSION_EXP_RATE_RETURN_MIN",E$6,$F$2)</f>
        <v>0</v>
      </c>
      <c r="F589" s="18">
        <f>_xll.ciqfunctions.udf.CIQ($C$2,"IQ_PENSION_EXP_RATE_RETURN_MIN",F$6,$F$2)</f>
        <v>0</v>
      </c>
      <c r="G589" s="18">
        <f>_xll.ciqfunctions.udf.CIQ($C$2,"IQ_PENSION_EXP_RATE_RETURN_MIN",G$6,$F$2)</f>
        <v>0</v>
      </c>
      <c r="H589" s="18">
        <f>_xll.ciqfunctions.udf.CIQ($C$2,"IQ_PENSION_EXP_RATE_RETURN_MIN",H$6,$F$2)</f>
        <v>0</v>
      </c>
      <c r="I589" s="18">
        <f>_xll.ciqfunctions.udf.CIQ($C$2,"IQ_PENSION_EXP_RATE_RETURN_MIN",I$6,$F$2)</f>
        <v>0</v>
      </c>
      <c r="J589" s="18">
        <f>_xll.ciqfunctions.udf.CIQ($C$2,"IQ_PENSION_EXP_RATE_RETURN_MIN",J$6,$F$2)</f>
        <v>0</v>
      </c>
      <c r="K589" s="18">
        <f>_xll.ciqfunctions.udf.CIQ($C$2,"IQ_PENSION_EXP_RATE_RETURN_MIN",K$6,$F$2)</f>
        <v>0</v>
      </c>
      <c r="L589" s="18">
        <f>_xll.ciqfunctions.udf.CIQ($C$2,"IQ_PENSION_EXP_RATE_RETURN_MIN",L$6,$F$2)</f>
        <v>0</v>
      </c>
      <c r="M589" s="18">
        <f>_xll.ciqfunctions.udf.CIQ($C$2,"IQ_PENSION_EXP_RATE_RETURN_MIN",M$6,$F$2)</f>
        <v>0</v>
      </c>
      <c r="N589" s="18">
        <f>_xll.ciqfunctions.udf.CIQ($C$2,"IQ_PENSION_EXP_RATE_RETURN_MIN",N$6,$F$2)</f>
        <v>0</v>
      </c>
      <c r="O589" s="30"/>
      <c r="P589" s="18">
        <f>_xll.ciqfunctions.udf.CIQ($C$2,"IQ_PENSION_EXP_RATE_RETURN_MIN",P$6,$F$2)</f>
        <v>0</v>
      </c>
      <c r="Q589" s="245"/>
      <c r="R589" s="215"/>
      <c r="S589" s="215"/>
      <c r="T589" s="215"/>
      <c r="U589" s="215"/>
      <c r="V589" s="222"/>
      <c r="W589" s="222"/>
      <c r="X589" s="222"/>
      <c r="Y589" s="215"/>
      <c r="Z589" s="215"/>
      <c r="AA589" s="215"/>
      <c r="AB589" s="215"/>
      <c r="AC589" s="215"/>
      <c r="AD589" s="215"/>
      <c r="AE589" s="215"/>
      <c r="AF589" s="215"/>
      <c r="AG589" s="215"/>
      <c r="AH589" s="215"/>
      <c r="AI589" s="215"/>
      <c r="AJ589" s="215"/>
      <c r="AK589" s="215"/>
      <c r="AL589" s="215"/>
      <c r="AM589" s="215"/>
      <c r="AN589" s="215"/>
      <c r="AO589" s="215"/>
      <c r="AP589" s="215"/>
      <c r="AQ589" s="215"/>
      <c r="AR589" s="215"/>
      <c r="AS589" s="215"/>
      <c r="AT589" s="215"/>
      <c r="AU589" s="215"/>
      <c r="AV589" s="215"/>
      <c r="AW589" s="215"/>
      <c r="AX589" s="215"/>
      <c r="AY589" s="215"/>
      <c r="AZ589" s="215"/>
      <c r="BA589" s="215"/>
      <c r="BB589" s="215"/>
      <c r="BC589" s="215"/>
      <c r="BD589" s="215"/>
      <c r="BE589" s="215"/>
      <c r="BF589" s="215"/>
      <c r="BG589" s="215"/>
      <c r="BH589" s="215"/>
      <c r="BI589" s="215"/>
      <c r="BJ589" s="215"/>
      <c r="BK589" s="215"/>
      <c r="BL589" s="215"/>
      <c r="BM589" s="215"/>
      <c r="BN589" s="215"/>
      <c r="BO589" s="215"/>
      <c r="BP589" s="215"/>
      <c r="BQ589" s="215"/>
      <c r="BR589" s="215"/>
      <c r="BS589" s="215"/>
      <c r="BT589" s="215"/>
      <c r="BU589" s="215"/>
      <c r="BV589" s="215"/>
      <c r="BW589" s="215"/>
      <c r="BX589" s="215"/>
      <c r="BY589" s="215"/>
      <c r="BZ589" s="215"/>
    </row>
    <row r="590" spans="1:78" outlineLevel="1" x14ac:dyDescent="0.2">
      <c r="A590" s="2" t="str">
        <f>'Language Index'!A531</f>
        <v>Exp. Long-Term Rate of Return on Assets - Max</v>
      </c>
      <c r="B590" s="17"/>
      <c r="C590" s="17"/>
      <c r="D590" s="18">
        <f>_xll.ciqfunctions.udf.CIQ($C$2,"IQ_PENSION_EXP_RATE_RETURN_MAX",D$6,$F$2)</f>
        <v>0</v>
      </c>
      <c r="E590" s="18">
        <f>_xll.ciqfunctions.udf.CIQ($C$2,"IQ_PENSION_EXP_RATE_RETURN_MAX",E$6,$F$2)</f>
        <v>0</v>
      </c>
      <c r="F590" s="18">
        <f>_xll.ciqfunctions.udf.CIQ($C$2,"IQ_PENSION_EXP_RATE_RETURN_MAX",F$6,$F$2)</f>
        <v>0</v>
      </c>
      <c r="G590" s="18">
        <f>_xll.ciqfunctions.udf.CIQ($C$2,"IQ_PENSION_EXP_RATE_RETURN_MAX",G$6,$F$2)</f>
        <v>0</v>
      </c>
      <c r="H590" s="18">
        <f>_xll.ciqfunctions.udf.CIQ($C$2,"IQ_PENSION_EXP_RATE_RETURN_MAX",H$6,$F$2)</f>
        <v>0</v>
      </c>
      <c r="I590" s="18">
        <f>_xll.ciqfunctions.udf.CIQ($C$2,"IQ_PENSION_EXP_RATE_RETURN_MAX",I$6,$F$2)</f>
        <v>0</v>
      </c>
      <c r="J590" s="18">
        <f>_xll.ciqfunctions.udf.CIQ($C$2,"IQ_PENSION_EXP_RATE_RETURN_MAX",J$6,$F$2)</f>
        <v>0</v>
      </c>
      <c r="K590" s="18">
        <f>_xll.ciqfunctions.udf.CIQ($C$2,"IQ_PENSION_EXP_RATE_RETURN_MAX",K$6,$F$2)</f>
        <v>0</v>
      </c>
      <c r="L590" s="18">
        <f>_xll.ciqfunctions.udf.CIQ($C$2,"IQ_PENSION_EXP_RATE_RETURN_MAX",L$6,$F$2)</f>
        <v>0</v>
      </c>
      <c r="M590" s="18">
        <f>_xll.ciqfunctions.udf.CIQ($C$2,"IQ_PENSION_EXP_RATE_RETURN_MAX",M$6,$F$2)</f>
        <v>0</v>
      </c>
      <c r="N590" s="18">
        <f>_xll.ciqfunctions.udf.CIQ($C$2,"IQ_PENSION_EXP_RATE_RETURN_MAX",N$6,$F$2)</f>
        <v>0</v>
      </c>
      <c r="O590" s="30"/>
      <c r="P590" s="18">
        <f>_xll.ciqfunctions.udf.CIQ($C$2,"IQ_PENSION_EXP_RATE_RETURN_MAX",P$6,$F$2)</f>
        <v>0</v>
      </c>
      <c r="Q590" s="245"/>
      <c r="R590" s="215"/>
      <c r="S590" s="215"/>
      <c r="T590" s="215"/>
      <c r="U590" s="215"/>
      <c r="V590" s="222"/>
      <c r="W590" s="222"/>
      <c r="X590" s="222"/>
      <c r="Y590" s="215"/>
      <c r="Z590" s="215"/>
      <c r="AA590" s="215"/>
      <c r="AB590" s="215"/>
      <c r="AC590" s="215"/>
      <c r="AD590" s="215"/>
      <c r="AE590" s="215"/>
      <c r="AF590" s="215"/>
      <c r="AG590" s="215"/>
      <c r="AH590" s="215"/>
      <c r="AI590" s="215"/>
      <c r="AJ590" s="215"/>
      <c r="AK590" s="215"/>
      <c r="AL590" s="215"/>
      <c r="AM590" s="215"/>
      <c r="AN590" s="215"/>
      <c r="AO590" s="215"/>
      <c r="AP590" s="215"/>
      <c r="AQ590" s="215"/>
      <c r="AR590" s="215"/>
      <c r="AS590" s="215"/>
      <c r="AT590" s="215"/>
      <c r="AU590" s="215"/>
      <c r="AV590" s="215"/>
      <c r="AW590" s="215"/>
      <c r="AX590" s="215"/>
      <c r="AY590" s="215"/>
      <c r="AZ590" s="215"/>
      <c r="BA590" s="215"/>
      <c r="BB590" s="215"/>
      <c r="BC590" s="215"/>
      <c r="BD590" s="215"/>
      <c r="BE590" s="215"/>
      <c r="BF590" s="215"/>
      <c r="BG590" s="215"/>
      <c r="BH590" s="215"/>
      <c r="BI590" s="215"/>
      <c r="BJ590" s="215"/>
      <c r="BK590" s="215"/>
      <c r="BL590" s="215"/>
      <c r="BM590" s="215"/>
      <c r="BN590" s="215"/>
      <c r="BO590" s="215"/>
      <c r="BP590" s="215"/>
      <c r="BQ590" s="215"/>
      <c r="BR590" s="215"/>
      <c r="BS590" s="215"/>
      <c r="BT590" s="215"/>
      <c r="BU590" s="215"/>
      <c r="BV590" s="215"/>
      <c r="BW590" s="215"/>
      <c r="BX590" s="215"/>
      <c r="BY590" s="215"/>
      <c r="BZ590" s="215"/>
    </row>
    <row r="591" spans="1:78" outlineLevel="1" x14ac:dyDescent="0.2">
      <c r="A591" s="9" t="str">
        <f>'Language Index'!A532</f>
        <v>Breakdown of Plan Assets</v>
      </c>
      <c r="B591" s="17"/>
      <c r="C591" s="17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30"/>
      <c r="P591" s="18"/>
      <c r="Q591" s="245"/>
      <c r="R591" s="215"/>
      <c r="S591" s="215"/>
      <c r="T591" s="215"/>
      <c r="U591" s="215"/>
      <c r="V591" s="222"/>
      <c r="W591" s="222"/>
      <c r="X591" s="222"/>
      <c r="Y591" s="215"/>
      <c r="Z591" s="215"/>
      <c r="AA591" s="215"/>
      <c r="AB591" s="215"/>
      <c r="AC591" s="215"/>
      <c r="AD591" s="215"/>
      <c r="AE591" s="215"/>
      <c r="AF591" s="215"/>
      <c r="AG591" s="215"/>
      <c r="AH591" s="215"/>
      <c r="AI591" s="215"/>
      <c r="AJ591" s="215"/>
      <c r="AK591" s="215"/>
      <c r="AL591" s="215"/>
      <c r="AM591" s="215"/>
      <c r="AN591" s="215"/>
      <c r="AO591" s="215"/>
      <c r="AP591" s="215"/>
      <c r="AQ591" s="215"/>
      <c r="AR591" s="215"/>
      <c r="AS591" s="215"/>
      <c r="AT591" s="215"/>
      <c r="AU591" s="215"/>
      <c r="AV591" s="215"/>
      <c r="AW591" s="215"/>
      <c r="AX591" s="215"/>
      <c r="AY591" s="215"/>
      <c r="AZ591" s="215"/>
      <c r="BA591" s="215"/>
      <c r="BB591" s="215"/>
      <c r="BC591" s="215"/>
      <c r="BD591" s="215"/>
      <c r="BE591" s="215"/>
      <c r="BF591" s="215"/>
      <c r="BG591" s="215"/>
      <c r="BH591" s="215"/>
      <c r="BI591" s="215"/>
      <c r="BJ591" s="215"/>
      <c r="BK591" s="215"/>
      <c r="BL591" s="215"/>
      <c r="BM591" s="215"/>
      <c r="BN591" s="215"/>
      <c r="BO591" s="215"/>
      <c r="BP591" s="215"/>
      <c r="BQ591" s="215"/>
      <c r="BR591" s="215"/>
      <c r="BS591" s="215"/>
      <c r="BT591" s="215"/>
      <c r="BU591" s="215"/>
      <c r="BV591" s="215"/>
      <c r="BW591" s="215"/>
      <c r="BX591" s="215"/>
      <c r="BY591" s="215"/>
      <c r="BZ591" s="215"/>
    </row>
    <row r="592" spans="1:78" outlineLevel="1" x14ac:dyDescent="0.2">
      <c r="A592" s="2" t="str">
        <f>'Language Index'!A533</f>
        <v>Plan Assets - Equities (%)</v>
      </c>
      <c r="B592" s="17"/>
      <c r="C592" s="17"/>
      <c r="D592" s="18">
        <f>_xll.ciqfunctions.udf.CIQ($C$2,"IQ_PENSION_BREAKDOWN_PCT_EQ",D$6,$F$2)</f>
        <v>0</v>
      </c>
      <c r="E592" s="18">
        <f>_xll.ciqfunctions.udf.CIQ($C$2,"IQ_PENSION_BREAKDOWN_PCT_EQ",E$6,$F$2)</f>
        <v>0</v>
      </c>
      <c r="F592" s="18">
        <f>_xll.ciqfunctions.udf.CIQ($C$2,"IQ_PENSION_BREAKDOWN_PCT_EQ",F$6,$F$2)</f>
        <v>1.9571000000000001</v>
      </c>
      <c r="G592" s="18">
        <f>_xll.ciqfunctions.udf.CIQ($C$2,"IQ_PENSION_BREAKDOWN_PCT_EQ",G$6,$F$2)</f>
        <v>0</v>
      </c>
      <c r="H592" s="18">
        <f>_xll.ciqfunctions.udf.CIQ($C$2,"IQ_PENSION_BREAKDOWN_PCT_EQ",H$6,$F$2)</f>
        <v>0</v>
      </c>
      <c r="I592" s="18">
        <f>_xll.ciqfunctions.udf.CIQ($C$2,"IQ_PENSION_BREAKDOWN_PCT_EQ",I$6,$F$2)</f>
        <v>0</v>
      </c>
      <c r="J592" s="18">
        <f>_xll.ciqfunctions.udf.CIQ($C$2,"IQ_PENSION_BREAKDOWN_PCT_EQ",J$6,$F$2)</f>
        <v>2.1309999999999998</v>
      </c>
      <c r="K592" s="18">
        <f>_xll.ciqfunctions.udf.CIQ($C$2,"IQ_PENSION_BREAKDOWN_PCT_EQ",K$6,$F$2)</f>
        <v>0</v>
      </c>
      <c r="L592" s="18">
        <f>_xll.ciqfunctions.udf.CIQ($C$2,"IQ_PENSION_BREAKDOWN_PCT_EQ",L$6,$F$2)</f>
        <v>0</v>
      </c>
      <c r="M592" s="18">
        <f>_xll.ciqfunctions.udf.CIQ($C$2,"IQ_PENSION_BREAKDOWN_PCT_EQ",M$6,$F$2)</f>
        <v>0</v>
      </c>
      <c r="N592" s="18">
        <f>_xll.ciqfunctions.udf.CIQ($C$2,"IQ_PENSION_BREAKDOWN_PCT_EQ",N$6,$F$2)</f>
        <v>2.5308999999999999</v>
      </c>
      <c r="O592" s="30"/>
      <c r="P592" s="18">
        <f>_xll.ciqfunctions.udf.CIQ($C$2,"IQ_PENSION_BREAKDOWN_PCT_EQ",P$6,$F$2)</f>
        <v>2.5308999999999999</v>
      </c>
      <c r="Q592" s="245"/>
      <c r="R592" s="215"/>
      <c r="S592" s="215"/>
      <c r="T592" s="215"/>
      <c r="U592" s="215"/>
      <c r="V592" s="222"/>
      <c r="W592" s="222"/>
      <c r="X592" s="222"/>
      <c r="Y592" s="215"/>
      <c r="Z592" s="215"/>
      <c r="AA592" s="215"/>
      <c r="AB592" s="215"/>
      <c r="AC592" s="215"/>
      <c r="AD592" s="215"/>
      <c r="AE592" s="215"/>
      <c r="AF592" s="215"/>
      <c r="AG592" s="215"/>
      <c r="AH592" s="215"/>
      <c r="AI592" s="215"/>
      <c r="AJ592" s="215"/>
      <c r="AK592" s="215"/>
      <c r="AL592" s="215"/>
      <c r="AM592" s="215"/>
      <c r="AN592" s="215"/>
      <c r="AO592" s="215"/>
      <c r="AP592" s="215"/>
      <c r="AQ592" s="215"/>
      <c r="AR592" s="215"/>
      <c r="AS592" s="215"/>
      <c r="AT592" s="215"/>
      <c r="AU592" s="215"/>
      <c r="AV592" s="215"/>
      <c r="AW592" s="215"/>
      <c r="AX592" s="215"/>
      <c r="AY592" s="215"/>
      <c r="AZ592" s="215"/>
      <c r="BA592" s="215"/>
      <c r="BB592" s="215"/>
      <c r="BC592" s="215"/>
      <c r="BD592" s="215"/>
      <c r="BE592" s="215"/>
      <c r="BF592" s="215"/>
      <c r="BG592" s="215"/>
      <c r="BH592" s="215"/>
      <c r="BI592" s="215"/>
      <c r="BJ592" s="215"/>
      <c r="BK592" s="215"/>
      <c r="BL592" s="215"/>
      <c r="BM592" s="215"/>
      <c r="BN592" s="215"/>
      <c r="BO592" s="215"/>
      <c r="BP592" s="215"/>
      <c r="BQ592" s="215"/>
      <c r="BR592" s="215"/>
      <c r="BS592" s="215"/>
      <c r="BT592" s="215"/>
      <c r="BU592" s="215"/>
      <c r="BV592" s="215"/>
      <c r="BW592" s="215"/>
      <c r="BX592" s="215"/>
      <c r="BY592" s="215"/>
      <c r="BZ592" s="215"/>
    </row>
    <row r="593" spans="1:78" outlineLevel="1" x14ac:dyDescent="0.2">
      <c r="A593" s="2" t="str">
        <f>'Language Index'!A534</f>
        <v>Plan Assets - Fixed Income (%)</v>
      </c>
      <c r="B593" s="17"/>
      <c r="C593" s="17"/>
      <c r="D593" s="18">
        <f>_xll.ciqfunctions.udf.CIQ($C$2,"IQ_PENSION_BREAKDOWN_PCT_FI",D$6,$F$2)</f>
        <v>0</v>
      </c>
      <c r="E593" s="18">
        <f>_xll.ciqfunctions.udf.CIQ($C$2,"IQ_PENSION_BREAKDOWN_PCT_FI",E$6,$F$2)</f>
        <v>0</v>
      </c>
      <c r="F593" s="18">
        <f>_xll.ciqfunctions.udf.CIQ($C$2,"IQ_PENSION_BREAKDOWN_PCT_FI",F$6,$F$2)</f>
        <v>62.649500000000003</v>
      </c>
      <c r="G593" s="18">
        <f>_xll.ciqfunctions.udf.CIQ($C$2,"IQ_PENSION_BREAKDOWN_PCT_FI",G$6,$F$2)</f>
        <v>0</v>
      </c>
      <c r="H593" s="18">
        <f>_xll.ciqfunctions.udf.CIQ($C$2,"IQ_PENSION_BREAKDOWN_PCT_FI",H$6,$F$2)</f>
        <v>0</v>
      </c>
      <c r="I593" s="18">
        <f>_xll.ciqfunctions.udf.CIQ($C$2,"IQ_PENSION_BREAKDOWN_PCT_FI",I$6,$F$2)</f>
        <v>0</v>
      </c>
      <c r="J593" s="18">
        <f>_xll.ciqfunctions.udf.CIQ($C$2,"IQ_PENSION_BREAKDOWN_PCT_FI",J$6,$F$2)</f>
        <v>58.750799999999998</v>
      </c>
      <c r="K593" s="18">
        <f>_xll.ciqfunctions.udf.CIQ($C$2,"IQ_PENSION_BREAKDOWN_PCT_FI",K$6,$F$2)</f>
        <v>0</v>
      </c>
      <c r="L593" s="18">
        <f>_xll.ciqfunctions.udf.CIQ($C$2,"IQ_PENSION_BREAKDOWN_PCT_FI",L$6,$F$2)</f>
        <v>0</v>
      </c>
      <c r="M593" s="18">
        <f>_xll.ciqfunctions.udf.CIQ($C$2,"IQ_PENSION_BREAKDOWN_PCT_FI",M$6,$F$2)</f>
        <v>0</v>
      </c>
      <c r="N593" s="18">
        <f>_xll.ciqfunctions.udf.CIQ($C$2,"IQ_PENSION_BREAKDOWN_PCT_FI",N$6,$F$2)</f>
        <v>56.019199999999998</v>
      </c>
      <c r="O593" s="30"/>
      <c r="P593" s="18">
        <f>_xll.ciqfunctions.udf.CIQ($C$2,"IQ_PENSION_BREAKDOWN_PCT_FI",P$6,$F$2)</f>
        <v>56.019199999999998</v>
      </c>
      <c r="Q593" s="245"/>
      <c r="R593" s="215"/>
      <c r="S593" s="215"/>
      <c r="T593" s="215"/>
      <c r="U593" s="215"/>
      <c r="V593" s="222"/>
      <c r="W593" s="222"/>
      <c r="X593" s="222"/>
      <c r="Y593" s="215"/>
      <c r="Z593" s="215"/>
      <c r="AA593" s="215"/>
      <c r="AB593" s="215"/>
      <c r="AC593" s="215"/>
      <c r="AD593" s="215"/>
      <c r="AE593" s="215"/>
      <c r="AF593" s="215"/>
      <c r="AG593" s="215"/>
      <c r="AH593" s="215"/>
      <c r="AI593" s="215"/>
      <c r="AJ593" s="215"/>
      <c r="AK593" s="215"/>
      <c r="AL593" s="215"/>
      <c r="AM593" s="215"/>
      <c r="AN593" s="215"/>
      <c r="AO593" s="215"/>
      <c r="AP593" s="215"/>
      <c r="AQ593" s="215"/>
      <c r="AR593" s="215"/>
      <c r="AS593" s="215"/>
      <c r="AT593" s="215"/>
      <c r="AU593" s="215"/>
      <c r="AV593" s="215"/>
      <c r="AW593" s="215"/>
      <c r="AX593" s="215"/>
      <c r="AY593" s="215"/>
      <c r="AZ593" s="215"/>
      <c r="BA593" s="215"/>
      <c r="BB593" s="215"/>
      <c r="BC593" s="215"/>
      <c r="BD593" s="215"/>
      <c r="BE593" s="215"/>
      <c r="BF593" s="215"/>
      <c r="BG593" s="215"/>
      <c r="BH593" s="215"/>
      <c r="BI593" s="215"/>
      <c r="BJ593" s="215"/>
      <c r="BK593" s="215"/>
      <c r="BL593" s="215"/>
      <c r="BM593" s="215"/>
      <c r="BN593" s="215"/>
      <c r="BO593" s="215"/>
      <c r="BP593" s="215"/>
      <c r="BQ593" s="215"/>
      <c r="BR593" s="215"/>
      <c r="BS593" s="215"/>
      <c r="BT593" s="215"/>
      <c r="BU593" s="215"/>
      <c r="BV593" s="215"/>
      <c r="BW593" s="215"/>
      <c r="BX593" s="215"/>
      <c r="BY593" s="215"/>
      <c r="BZ593" s="215"/>
    </row>
    <row r="594" spans="1:78" outlineLevel="1" x14ac:dyDescent="0.2">
      <c r="A594" s="2" t="str">
        <f>'Language Index'!A535</f>
        <v>Plan Assets- Real Estate (%)</v>
      </c>
      <c r="B594" s="17"/>
      <c r="C594" s="17"/>
      <c r="D594" s="18">
        <f>_xll.ciqfunctions.udf.CIQ($C$2,"IQ_PENSION_BREAKDOWN_PCT_RE",D$6,$F$2)</f>
        <v>0</v>
      </c>
      <c r="E594" s="18">
        <f>_xll.ciqfunctions.udf.CIQ($C$2,"IQ_PENSION_BREAKDOWN_PCT_RE",E$6,$F$2)</f>
        <v>0</v>
      </c>
      <c r="F594" s="18">
        <f>_xll.ciqfunctions.udf.CIQ($C$2,"IQ_PENSION_BREAKDOWN_PCT_RE",F$6,$F$2)</f>
        <v>7.4000000000000003E-3</v>
      </c>
      <c r="G594" s="18">
        <f>_xll.ciqfunctions.udf.CIQ($C$2,"IQ_PENSION_BREAKDOWN_PCT_RE",G$6,$F$2)</f>
        <v>0</v>
      </c>
      <c r="H594" s="18">
        <f>_xll.ciqfunctions.udf.CIQ($C$2,"IQ_PENSION_BREAKDOWN_PCT_RE",H$6,$F$2)</f>
        <v>0</v>
      </c>
      <c r="I594" s="18">
        <f>_xll.ciqfunctions.udf.CIQ($C$2,"IQ_PENSION_BREAKDOWN_PCT_RE",I$6,$F$2)</f>
        <v>0</v>
      </c>
      <c r="J594" s="18">
        <f>_xll.ciqfunctions.udf.CIQ($C$2,"IQ_PENSION_BREAKDOWN_PCT_RE",J$6,$F$2)</f>
        <v>7.0000000000000001E-3</v>
      </c>
      <c r="K594" s="18">
        <f>_xll.ciqfunctions.udf.CIQ($C$2,"IQ_PENSION_BREAKDOWN_PCT_RE",K$6,$F$2)</f>
        <v>0</v>
      </c>
      <c r="L594" s="18">
        <f>_xll.ciqfunctions.udf.CIQ($C$2,"IQ_PENSION_BREAKDOWN_PCT_RE",L$6,$F$2)</f>
        <v>0</v>
      </c>
      <c r="M594" s="18">
        <f>_xll.ciqfunctions.udf.CIQ($C$2,"IQ_PENSION_BREAKDOWN_PCT_RE",M$6,$F$2)</f>
        <v>0</v>
      </c>
      <c r="N594" s="18">
        <f>_xll.ciqfunctions.udf.CIQ($C$2,"IQ_PENSION_BREAKDOWN_PCT_RE",N$6,$F$2)</f>
        <v>0</v>
      </c>
      <c r="O594" s="30"/>
      <c r="P594" s="18">
        <f>_xll.ciqfunctions.udf.CIQ($C$2,"IQ_PENSION_BREAKDOWN_PCT_RE",P$6,$F$2)</f>
        <v>0</v>
      </c>
      <c r="Q594" s="245"/>
      <c r="R594" s="215"/>
      <c r="S594" s="215"/>
      <c r="T594" s="215"/>
      <c r="U594" s="215"/>
      <c r="V594" s="222"/>
      <c r="W594" s="222"/>
      <c r="X594" s="222"/>
      <c r="Y594" s="215"/>
      <c r="Z594" s="215"/>
      <c r="AA594" s="215"/>
      <c r="AB594" s="215"/>
      <c r="AC594" s="215"/>
      <c r="AD594" s="215"/>
      <c r="AE594" s="215"/>
      <c r="AF594" s="215"/>
      <c r="AG594" s="215"/>
      <c r="AH594" s="215"/>
      <c r="AI594" s="215"/>
      <c r="AJ594" s="215"/>
      <c r="AK594" s="215"/>
      <c r="AL594" s="215"/>
      <c r="AM594" s="215"/>
      <c r="AN594" s="215"/>
      <c r="AO594" s="215"/>
      <c r="AP594" s="215"/>
      <c r="AQ594" s="215"/>
      <c r="AR594" s="215"/>
      <c r="AS594" s="215"/>
      <c r="AT594" s="215"/>
      <c r="AU594" s="215"/>
      <c r="AV594" s="215"/>
      <c r="AW594" s="215"/>
      <c r="AX594" s="215"/>
      <c r="AY594" s="215"/>
      <c r="AZ594" s="215"/>
      <c r="BA594" s="215"/>
      <c r="BB594" s="215"/>
      <c r="BC594" s="215"/>
      <c r="BD594" s="215"/>
      <c r="BE594" s="215"/>
      <c r="BF594" s="215"/>
      <c r="BG594" s="215"/>
      <c r="BH594" s="215"/>
      <c r="BI594" s="215"/>
      <c r="BJ594" s="215"/>
      <c r="BK594" s="215"/>
      <c r="BL594" s="215"/>
      <c r="BM594" s="215"/>
      <c r="BN594" s="215"/>
      <c r="BO594" s="215"/>
      <c r="BP594" s="215"/>
      <c r="BQ594" s="215"/>
      <c r="BR594" s="215"/>
      <c r="BS594" s="215"/>
      <c r="BT594" s="215"/>
      <c r="BU594" s="215"/>
      <c r="BV594" s="215"/>
      <c r="BW594" s="215"/>
      <c r="BX594" s="215"/>
      <c r="BY594" s="215"/>
      <c r="BZ594" s="215"/>
    </row>
    <row r="595" spans="1:78" outlineLevel="1" x14ac:dyDescent="0.2">
      <c r="A595" s="2" t="str">
        <f>'Language Index'!A536</f>
        <v>Other Plan Assets (%)</v>
      </c>
      <c r="B595" s="17"/>
      <c r="C595" s="17"/>
      <c r="D595" s="18">
        <f>_xll.ciqfunctions.udf.CIQ($C$2,"IQ_PENSION_BREAKDOWN_PCT_OTHER",D$6,$F$2)</f>
        <v>0</v>
      </c>
      <c r="E595" s="18">
        <f>_xll.ciqfunctions.udf.CIQ($C$2,"IQ_PENSION_BREAKDOWN_PCT_OTHER",E$6,$F$2)</f>
        <v>0</v>
      </c>
      <c r="F595" s="18">
        <f>_xll.ciqfunctions.udf.CIQ($C$2,"IQ_PENSION_BREAKDOWN_PCT_OTHER",F$6,$F$2)</f>
        <v>35.387599999999999</v>
      </c>
      <c r="G595" s="18">
        <f>_xll.ciqfunctions.udf.CIQ($C$2,"IQ_PENSION_BREAKDOWN_PCT_OTHER",G$6,$F$2)</f>
        <v>0</v>
      </c>
      <c r="H595" s="18">
        <f>_xll.ciqfunctions.udf.CIQ($C$2,"IQ_PENSION_BREAKDOWN_PCT_OTHER",H$6,$F$2)</f>
        <v>0</v>
      </c>
      <c r="I595" s="18">
        <f>_xll.ciqfunctions.udf.CIQ($C$2,"IQ_PENSION_BREAKDOWN_PCT_OTHER",I$6,$F$2)</f>
        <v>0</v>
      </c>
      <c r="J595" s="18">
        <f>_xll.ciqfunctions.udf.CIQ($C$2,"IQ_PENSION_BREAKDOWN_PCT_OTHER",J$6,$F$2)</f>
        <v>39.108699999999999</v>
      </c>
      <c r="K595" s="18">
        <f>_xll.ciqfunctions.udf.CIQ($C$2,"IQ_PENSION_BREAKDOWN_PCT_OTHER",K$6,$F$2)</f>
        <v>0</v>
      </c>
      <c r="L595" s="18">
        <f>_xll.ciqfunctions.udf.CIQ($C$2,"IQ_PENSION_BREAKDOWN_PCT_OTHER",L$6,$F$2)</f>
        <v>0</v>
      </c>
      <c r="M595" s="18">
        <f>_xll.ciqfunctions.udf.CIQ($C$2,"IQ_PENSION_BREAKDOWN_PCT_OTHER",M$6,$F$2)</f>
        <v>0</v>
      </c>
      <c r="N595" s="18">
        <f>_xll.ciqfunctions.udf.CIQ($C$2,"IQ_PENSION_BREAKDOWN_PCT_OTHER",N$6,$F$2)</f>
        <v>41.449800000000003</v>
      </c>
      <c r="O595" s="30"/>
      <c r="P595" s="18">
        <f>_xll.ciqfunctions.udf.CIQ($C$2,"IQ_PENSION_BREAKDOWN_PCT_OTHER",P$6,$F$2)</f>
        <v>41.449800000000003</v>
      </c>
      <c r="Q595" s="215"/>
      <c r="R595" s="215"/>
      <c r="S595" s="215"/>
      <c r="T595" s="215"/>
      <c r="U595" s="215"/>
      <c r="V595" s="222"/>
      <c r="W595" s="222"/>
      <c r="X595" s="222"/>
      <c r="Y595" s="215"/>
      <c r="Z595" s="215"/>
      <c r="AA595" s="215"/>
      <c r="AB595" s="215"/>
      <c r="AC595" s="215"/>
      <c r="AD595" s="215"/>
      <c r="AE595" s="215"/>
      <c r="AF595" s="215"/>
      <c r="AG595" s="215"/>
      <c r="AH595" s="215"/>
      <c r="AI595" s="215"/>
      <c r="AJ595" s="215"/>
      <c r="AK595" s="215"/>
      <c r="AL595" s="215"/>
      <c r="AM595" s="215"/>
      <c r="AN595" s="215"/>
      <c r="AO595" s="215"/>
      <c r="AP595" s="215"/>
      <c r="AQ595" s="215"/>
      <c r="AR595" s="215"/>
      <c r="AS595" s="215"/>
      <c r="AT595" s="215"/>
      <c r="AU595" s="215"/>
      <c r="AV595" s="215"/>
      <c r="AW595" s="215"/>
      <c r="AX595" s="215"/>
      <c r="AY595" s="215"/>
      <c r="AZ595" s="215"/>
      <c r="BA595" s="215"/>
      <c r="BB595" s="215"/>
      <c r="BC595" s="215"/>
      <c r="BD595" s="215"/>
      <c r="BE595" s="215"/>
      <c r="BF595" s="215"/>
      <c r="BG595" s="215"/>
      <c r="BH595" s="215"/>
      <c r="BI595" s="215"/>
      <c r="BJ595" s="215"/>
      <c r="BK595" s="215"/>
      <c r="BL595" s="215"/>
      <c r="BM595" s="215"/>
      <c r="BN595" s="215"/>
      <c r="BO595" s="215"/>
      <c r="BP595" s="215"/>
      <c r="BQ595" s="215"/>
      <c r="BR595" s="215"/>
      <c r="BS595" s="215"/>
      <c r="BT595" s="215"/>
      <c r="BU595" s="215"/>
      <c r="BV595" s="215"/>
      <c r="BW595" s="215"/>
      <c r="BX595" s="215"/>
      <c r="BY595" s="215"/>
      <c r="BZ595" s="215"/>
    </row>
    <row r="596" spans="1:78" outlineLevel="1" x14ac:dyDescent="0.2">
      <c r="A596" s="9" t="str">
        <f>'Language Index'!A532</f>
        <v>Breakdown of Plan Assets</v>
      </c>
      <c r="B596" s="17"/>
      <c r="C596" s="17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30"/>
      <c r="P596" s="18"/>
      <c r="Q596" s="215"/>
      <c r="R596" s="215"/>
      <c r="S596" s="215"/>
      <c r="T596" s="215"/>
      <c r="U596" s="215"/>
      <c r="V596" s="222"/>
      <c r="W596" s="222"/>
      <c r="X596" s="222"/>
      <c r="Y596" s="215"/>
      <c r="Z596" s="215"/>
      <c r="AA596" s="215"/>
      <c r="AB596" s="215"/>
      <c r="AC596" s="215"/>
      <c r="AD596" s="215"/>
      <c r="AE596" s="215"/>
      <c r="AF596" s="215"/>
      <c r="AG596" s="215"/>
      <c r="AH596" s="215"/>
      <c r="AI596" s="215"/>
      <c r="AJ596" s="215"/>
      <c r="AK596" s="215"/>
      <c r="AL596" s="215"/>
      <c r="AM596" s="215"/>
      <c r="AN596" s="215"/>
      <c r="AO596" s="215"/>
      <c r="AP596" s="215"/>
      <c r="AQ596" s="215"/>
      <c r="AR596" s="215"/>
      <c r="AS596" s="215"/>
      <c r="AT596" s="215"/>
      <c r="AU596" s="215"/>
      <c r="AV596" s="215"/>
      <c r="AW596" s="215"/>
      <c r="AX596" s="215"/>
      <c r="AY596" s="215"/>
      <c r="AZ596" s="215"/>
      <c r="BA596" s="215"/>
      <c r="BB596" s="215"/>
      <c r="BC596" s="215"/>
      <c r="BD596" s="215"/>
      <c r="BE596" s="215"/>
      <c r="BF596" s="215"/>
      <c r="BG596" s="215"/>
      <c r="BH596" s="215"/>
      <c r="BI596" s="215"/>
      <c r="BJ596" s="215"/>
      <c r="BK596" s="215"/>
      <c r="BL596" s="215"/>
      <c r="BM596" s="215"/>
      <c r="BN596" s="215"/>
      <c r="BO596" s="215"/>
      <c r="BP596" s="215"/>
      <c r="BQ596" s="215"/>
      <c r="BR596" s="215"/>
      <c r="BS596" s="215"/>
      <c r="BT596" s="215"/>
      <c r="BU596" s="215"/>
      <c r="BV596" s="215"/>
      <c r="BW596" s="215"/>
      <c r="BX596" s="215"/>
      <c r="BY596" s="215"/>
      <c r="BZ596" s="215"/>
    </row>
    <row r="597" spans="1:78" outlineLevel="1" x14ac:dyDescent="0.2">
      <c r="A597" s="2" t="str">
        <f>'Language Index'!A537</f>
        <v>Plan Assets - Equities</v>
      </c>
      <c r="B597" s="17"/>
      <c r="C597" s="17"/>
      <c r="D597" s="18">
        <f>_xll.ciqfunctions.udf.CIQ($C$2,"IQ_PENSION_BREAKDOWN_EQ",D$6,$F$2,,,Ccy,Conv)</f>
        <v>0</v>
      </c>
      <c r="E597" s="18">
        <f>_xll.ciqfunctions.udf.CIQ($C$2,"IQ_PENSION_BREAKDOWN_EQ",E$6,$F$2,,,Ccy,Conv)</f>
        <v>0</v>
      </c>
      <c r="F597" s="18">
        <f>_xll.ciqfunctions.udf.CIQ($C$2,"IQ_PENSION_BREAKDOWN_EQ",F$6,$F$2,,,Ccy,Conv)</f>
        <v>1047</v>
      </c>
      <c r="G597" s="18">
        <f>_xll.ciqfunctions.udf.CIQ($C$2,"IQ_PENSION_BREAKDOWN_EQ",G$6,$F$2,,,Ccy,Conv)</f>
        <v>0</v>
      </c>
      <c r="H597" s="18">
        <f>_xll.ciqfunctions.udf.CIQ($C$2,"IQ_PENSION_BREAKDOWN_EQ",H$6,$F$2,,,Ccy,Conv)</f>
        <v>0</v>
      </c>
      <c r="I597" s="18">
        <f>_xll.ciqfunctions.udf.CIQ($C$2,"IQ_PENSION_BREAKDOWN_EQ",I$6,$F$2,,,Ccy,Conv)</f>
        <v>0</v>
      </c>
      <c r="J597" s="18">
        <f>_xll.ciqfunctions.udf.CIQ($C$2,"IQ_PENSION_BREAKDOWN_EQ",J$6,$F$2,,,Ccy,Conv)</f>
        <v>912</v>
      </c>
      <c r="K597" s="18">
        <f>_xll.ciqfunctions.udf.CIQ($C$2,"IQ_PENSION_BREAKDOWN_EQ",K$6,$F$2,,,Ccy,Conv)</f>
        <v>0</v>
      </c>
      <c r="L597" s="18">
        <f>_xll.ciqfunctions.udf.CIQ($C$2,"IQ_PENSION_BREAKDOWN_EQ",L$6,$F$2,,,Ccy,Conv)</f>
        <v>0</v>
      </c>
      <c r="M597" s="18">
        <f>_xll.ciqfunctions.udf.CIQ($C$2,"IQ_PENSION_BREAKDOWN_EQ",M$6,$F$2,,,Ccy,Conv)</f>
        <v>0</v>
      </c>
      <c r="N597" s="18">
        <f>_xll.ciqfunctions.udf.CIQ($C$2,"IQ_PENSION_BREAKDOWN_EQ",N$6,$F$2,,,Ccy,Conv)</f>
        <v>1134</v>
      </c>
      <c r="O597" s="30"/>
      <c r="P597" s="18">
        <f>_xll.ciqfunctions.udf.CIQ($C$2,"IQ_PENSION_BREAKDOWN_EQ",P$6,$F$2,,,Ccy,Conv)</f>
        <v>1134</v>
      </c>
      <c r="Q597" s="215"/>
      <c r="R597" s="215"/>
      <c r="S597" s="215"/>
      <c r="T597" s="215"/>
      <c r="U597" s="215"/>
      <c r="V597" s="222"/>
      <c r="W597" s="222"/>
      <c r="X597" s="222"/>
      <c r="Y597" s="215"/>
      <c r="Z597" s="215"/>
      <c r="AA597" s="215"/>
      <c r="AB597" s="215"/>
      <c r="AC597" s="215"/>
      <c r="AD597" s="215"/>
      <c r="AE597" s="215"/>
      <c r="AF597" s="215"/>
      <c r="AG597" s="215"/>
      <c r="AH597" s="215"/>
      <c r="AI597" s="215"/>
      <c r="AJ597" s="215"/>
      <c r="AK597" s="215"/>
      <c r="AL597" s="215"/>
      <c r="AM597" s="215"/>
      <c r="AN597" s="215"/>
      <c r="AO597" s="215"/>
      <c r="AP597" s="215"/>
      <c r="AQ597" s="215"/>
      <c r="AR597" s="215"/>
      <c r="AS597" s="215"/>
      <c r="AT597" s="215"/>
      <c r="AU597" s="215"/>
      <c r="AV597" s="215"/>
      <c r="AW597" s="215"/>
      <c r="AX597" s="215"/>
      <c r="AY597" s="215"/>
      <c r="AZ597" s="215"/>
      <c r="BA597" s="215"/>
      <c r="BB597" s="215"/>
      <c r="BC597" s="215"/>
      <c r="BD597" s="215"/>
      <c r="BE597" s="215"/>
      <c r="BF597" s="215"/>
      <c r="BG597" s="215"/>
      <c r="BH597" s="215"/>
      <c r="BI597" s="215"/>
      <c r="BJ597" s="215"/>
      <c r="BK597" s="215"/>
      <c r="BL597" s="215"/>
      <c r="BM597" s="215"/>
      <c r="BN597" s="215"/>
      <c r="BO597" s="215"/>
      <c r="BP597" s="215"/>
      <c r="BQ597" s="215"/>
      <c r="BR597" s="215"/>
      <c r="BS597" s="215"/>
      <c r="BT597" s="215"/>
      <c r="BU597" s="215"/>
      <c r="BV597" s="215"/>
      <c r="BW597" s="215"/>
      <c r="BX597" s="215"/>
      <c r="BY597" s="215"/>
      <c r="BZ597" s="215"/>
    </row>
    <row r="598" spans="1:78" outlineLevel="1" x14ac:dyDescent="0.2">
      <c r="A598" s="2" t="str">
        <f>'Language Index'!A538</f>
        <v>Plan Assets - Fixed Income</v>
      </c>
      <c r="B598" s="17"/>
      <c r="C598" s="17"/>
      <c r="D598" s="18">
        <f>_xll.ciqfunctions.udf.CIQ($C$2,"IQ_PENSION_BREAKDOWN_FI",D$6,$F$2,,,Ccy,Conv)</f>
        <v>0</v>
      </c>
      <c r="E598" s="18">
        <f>_xll.ciqfunctions.udf.CIQ($C$2,"IQ_PENSION_BREAKDOWN_FI",E$6,$F$2,,,Ccy,Conv)</f>
        <v>0</v>
      </c>
      <c r="F598" s="18">
        <f>_xll.ciqfunctions.udf.CIQ($C$2,"IQ_PENSION_BREAKDOWN_FI",F$6,$F$2,,,Ccy,Conv)</f>
        <v>33515</v>
      </c>
      <c r="G598" s="18">
        <f>_xll.ciqfunctions.udf.CIQ($C$2,"IQ_PENSION_BREAKDOWN_FI",G$6,$F$2,,,Ccy,Conv)</f>
        <v>0</v>
      </c>
      <c r="H598" s="18">
        <f>_xll.ciqfunctions.udf.CIQ($C$2,"IQ_PENSION_BREAKDOWN_FI",H$6,$F$2,,,Ccy,Conv)</f>
        <v>0</v>
      </c>
      <c r="I598" s="18">
        <f>_xll.ciqfunctions.udf.CIQ($C$2,"IQ_PENSION_BREAKDOWN_FI",I$6,$F$2,,,Ccy,Conv)</f>
        <v>0</v>
      </c>
      <c r="J598" s="18">
        <f>_xll.ciqfunctions.udf.CIQ($C$2,"IQ_PENSION_BREAKDOWN_FI",J$6,$F$2,,,Ccy,Conv)</f>
        <v>25143</v>
      </c>
      <c r="K598" s="18">
        <f>_xll.ciqfunctions.udf.CIQ($C$2,"IQ_PENSION_BREAKDOWN_FI",K$6,$F$2,,,Ccy,Conv)</f>
        <v>0</v>
      </c>
      <c r="L598" s="18">
        <f>_xll.ciqfunctions.udf.CIQ($C$2,"IQ_PENSION_BREAKDOWN_FI",L$6,$F$2,,,Ccy,Conv)</f>
        <v>0</v>
      </c>
      <c r="M598" s="18">
        <f>_xll.ciqfunctions.udf.CIQ($C$2,"IQ_PENSION_BREAKDOWN_FI",M$6,$F$2,,,Ccy,Conv)</f>
        <v>0</v>
      </c>
      <c r="N598" s="18">
        <f>_xll.ciqfunctions.udf.CIQ($C$2,"IQ_PENSION_BREAKDOWN_FI",N$6,$F$2,,,Ccy,Conv)</f>
        <v>25100</v>
      </c>
      <c r="O598" s="30"/>
      <c r="P598" s="18">
        <f>_xll.ciqfunctions.udf.CIQ($C$2,"IQ_PENSION_BREAKDOWN_FI",P$6,$F$2,,,Ccy,Conv)</f>
        <v>25100</v>
      </c>
      <c r="Q598" s="215"/>
      <c r="R598" s="215"/>
      <c r="S598" s="215"/>
      <c r="T598" s="215"/>
      <c r="U598" s="215"/>
      <c r="V598" s="222"/>
      <c r="W598" s="222"/>
      <c r="X598" s="222"/>
      <c r="Y598" s="215"/>
      <c r="Z598" s="215"/>
      <c r="AA598" s="215"/>
      <c r="AB598" s="215"/>
      <c r="AC598" s="215"/>
      <c r="AD598" s="215"/>
      <c r="AE598" s="215"/>
      <c r="AF598" s="215"/>
      <c r="AG598" s="215"/>
      <c r="AH598" s="215"/>
      <c r="AI598" s="215"/>
      <c r="AJ598" s="215"/>
      <c r="AK598" s="215"/>
      <c r="AL598" s="215"/>
      <c r="AM598" s="215"/>
      <c r="AN598" s="215"/>
      <c r="AO598" s="215"/>
      <c r="AP598" s="215"/>
      <c r="AQ598" s="215"/>
      <c r="AR598" s="215"/>
      <c r="AS598" s="215"/>
      <c r="AT598" s="215"/>
      <c r="AU598" s="215"/>
      <c r="AV598" s="215"/>
      <c r="AW598" s="215"/>
      <c r="AX598" s="215"/>
      <c r="AY598" s="215"/>
      <c r="AZ598" s="215"/>
      <c r="BA598" s="215"/>
      <c r="BB598" s="215"/>
      <c r="BC598" s="215"/>
      <c r="BD598" s="215"/>
      <c r="BE598" s="215"/>
      <c r="BF598" s="215"/>
      <c r="BG598" s="215"/>
      <c r="BH598" s="215"/>
      <c r="BI598" s="215"/>
      <c r="BJ598" s="215"/>
      <c r="BK598" s="215"/>
      <c r="BL598" s="215"/>
      <c r="BM598" s="215"/>
      <c r="BN598" s="215"/>
      <c r="BO598" s="215"/>
      <c r="BP598" s="215"/>
      <c r="BQ598" s="215"/>
      <c r="BR598" s="215"/>
      <c r="BS598" s="215"/>
      <c r="BT598" s="215"/>
      <c r="BU598" s="215"/>
      <c r="BV598" s="215"/>
      <c r="BW598" s="215"/>
      <c r="BX598" s="215"/>
      <c r="BY598" s="215"/>
      <c r="BZ598" s="215"/>
    </row>
    <row r="599" spans="1:78" outlineLevel="1" x14ac:dyDescent="0.2">
      <c r="A599" s="2" t="str">
        <f>'Language Index'!A539</f>
        <v>Plan Assets- Real Estate</v>
      </c>
      <c r="B599" s="17"/>
      <c r="C599" s="17"/>
      <c r="D599" s="18">
        <f>_xll.ciqfunctions.udf.CIQ($C$2,"IQ_PENSION_BREAKDOWN_RE",D$6,$F$2,,,Ccy,Conv)</f>
        <v>0</v>
      </c>
      <c r="E599" s="18">
        <f>_xll.ciqfunctions.udf.CIQ($C$2,"IQ_PENSION_BREAKDOWN_RE",E$6,$F$2,,,Ccy,Conv)</f>
        <v>0</v>
      </c>
      <c r="F599" s="18">
        <f>_xll.ciqfunctions.udf.CIQ($C$2,"IQ_PENSION_BREAKDOWN_RE",F$6,$F$2,,,Ccy,Conv)</f>
        <v>4</v>
      </c>
      <c r="G599" s="18">
        <f>_xll.ciqfunctions.udf.CIQ($C$2,"IQ_PENSION_BREAKDOWN_RE",G$6,$F$2,,,Ccy,Conv)</f>
        <v>0</v>
      </c>
      <c r="H599" s="18">
        <f>_xll.ciqfunctions.udf.CIQ($C$2,"IQ_PENSION_BREAKDOWN_RE",H$6,$F$2,,,Ccy,Conv)</f>
        <v>0</v>
      </c>
      <c r="I599" s="18">
        <f>_xll.ciqfunctions.udf.CIQ($C$2,"IQ_PENSION_BREAKDOWN_RE",I$6,$F$2,,,Ccy,Conv)</f>
        <v>0</v>
      </c>
      <c r="J599" s="18">
        <f>_xll.ciqfunctions.udf.CIQ($C$2,"IQ_PENSION_BREAKDOWN_RE",J$6,$F$2,,,Ccy,Conv)</f>
        <v>3</v>
      </c>
      <c r="K599" s="18">
        <f>_xll.ciqfunctions.udf.CIQ($C$2,"IQ_PENSION_BREAKDOWN_RE",K$6,$F$2,,,Ccy,Conv)</f>
        <v>0</v>
      </c>
      <c r="L599" s="18">
        <f>_xll.ciqfunctions.udf.CIQ($C$2,"IQ_PENSION_BREAKDOWN_RE",L$6,$F$2,,,Ccy,Conv)</f>
        <v>0</v>
      </c>
      <c r="M599" s="18">
        <f>_xll.ciqfunctions.udf.CIQ($C$2,"IQ_PENSION_BREAKDOWN_RE",M$6,$F$2,,,Ccy,Conv)</f>
        <v>0</v>
      </c>
      <c r="N599" s="18">
        <f>_xll.ciqfunctions.udf.CIQ($C$2,"IQ_PENSION_BREAKDOWN_RE",N$6,$F$2,,,Ccy,Conv)</f>
        <v>0</v>
      </c>
      <c r="O599" s="30"/>
      <c r="P599" s="18">
        <f>_xll.ciqfunctions.udf.CIQ($C$2,"IQ_PENSION_BREAKDOWN_RE",P$6,$F$2,,,Ccy,Conv)</f>
        <v>0</v>
      </c>
      <c r="Q599" s="215"/>
      <c r="R599" s="215"/>
      <c r="S599" s="215"/>
      <c r="T599" s="215"/>
      <c r="U599" s="215"/>
      <c r="V599" s="222"/>
      <c r="W599" s="222"/>
      <c r="X599" s="222"/>
      <c r="Y599" s="215"/>
      <c r="Z599" s="215"/>
      <c r="AA599" s="215"/>
      <c r="AB599" s="215"/>
      <c r="AC599" s="215"/>
      <c r="AD599" s="215"/>
      <c r="AE599" s="215"/>
      <c r="AF599" s="215"/>
      <c r="AG599" s="215"/>
      <c r="AH599" s="215"/>
      <c r="AI599" s="215"/>
      <c r="AJ599" s="215"/>
      <c r="AK599" s="215"/>
      <c r="AL599" s="215"/>
      <c r="AM599" s="215"/>
      <c r="AN599" s="215"/>
      <c r="AO599" s="215"/>
      <c r="AP599" s="215"/>
      <c r="AQ599" s="215"/>
      <c r="AR599" s="215"/>
      <c r="AS599" s="215"/>
      <c r="AT599" s="215"/>
      <c r="AU599" s="215"/>
      <c r="AV599" s="215"/>
      <c r="AW599" s="215"/>
      <c r="AX599" s="215"/>
      <c r="AY599" s="215"/>
      <c r="AZ599" s="215"/>
      <c r="BA599" s="215"/>
      <c r="BB599" s="215"/>
      <c r="BC599" s="215"/>
      <c r="BD599" s="215"/>
      <c r="BE599" s="215"/>
      <c r="BF599" s="215"/>
      <c r="BG599" s="215"/>
      <c r="BH599" s="215"/>
      <c r="BI599" s="215"/>
      <c r="BJ599" s="215"/>
      <c r="BK599" s="215"/>
      <c r="BL599" s="215"/>
      <c r="BM599" s="215"/>
      <c r="BN599" s="215"/>
      <c r="BO599" s="215"/>
      <c r="BP599" s="215"/>
      <c r="BQ599" s="215"/>
      <c r="BR599" s="215"/>
      <c r="BS599" s="215"/>
      <c r="BT599" s="215"/>
      <c r="BU599" s="215"/>
      <c r="BV599" s="215"/>
      <c r="BW599" s="215"/>
      <c r="BX599" s="215"/>
      <c r="BY599" s="215"/>
      <c r="BZ599" s="215"/>
    </row>
    <row r="600" spans="1:78" outlineLevel="1" x14ac:dyDescent="0.2">
      <c r="A600" s="2" t="str">
        <f>'Language Index'!A540</f>
        <v>Other Plan Assets</v>
      </c>
      <c r="B600" s="17"/>
      <c r="C600" s="17"/>
      <c r="D600" s="18">
        <f>_xll.ciqfunctions.udf.CIQ($C$2,"IQ_PENSION_BREAKDOWN_OTHER",D$6,$F$2,,,Ccy,Conv)</f>
        <v>0</v>
      </c>
      <c r="E600" s="18">
        <f>_xll.ciqfunctions.udf.CIQ($C$2,"IQ_PENSION_BREAKDOWN_OTHER",E$6,$F$2,,,Ccy,Conv)</f>
        <v>0</v>
      </c>
      <c r="F600" s="18">
        <f>_xll.ciqfunctions.udf.CIQ($C$2,"IQ_PENSION_BREAKDOWN_OTHER",F$6,$F$2,,,Ccy,Conv)</f>
        <v>18931</v>
      </c>
      <c r="G600" s="18">
        <f>_xll.ciqfunctions.udf.CIQ($C$2,"IQ_PENSION_BREAKDOWN_OTHER",G$6,$F$2,,,Ccy,Conv)</f>
        <v>0</v>
      </c>
      <c r="H600" s="18">
        <f>_xll.ciqfunctions.udf.CIQ($C$2,"IQ_PENSION_BREAKDOWN_OTHER",H$6,$F$2,,,Ccy,Conv)</f>
        <v>0</v>
      </c>
      <c r="I600" s="18">
        <f>_xll.ciqfunctions.udf.CIQ($C$2,"IQ_PENSION_BREAKDOWN_OTHER",I$6,$F$2,,,Ccy,Conv)</f>
        <v>0</v>
      </c>
      <c r="J600" s="18">
        <f>_xll.ciqfunctions.udf.CIQ($C$2,"IQ_PENSION_BREAKDOWN_OTHER",J$6,$F$2,,,Ccy,Conv)</f>
        <v>16737</v>
      </c>
      <c r="K600" s="18">
        <f>_xll.ciqfunctions.udf.CIQ($C$2,"IQ_PENSION_BREAKDOWN_OTHER",K$6,$F$2,,,Ccy,Conv)</f>
        <v>0</v>
      </c>
      <c r="L600" s="18">
        <f>_xll.ciqfunctions.udf.CIQ($C$2,"IQ_PENSION_BREAKDOWN_OTHER",L$6,$F$2,,,Ccy,Conv)</f>
        <v>0</v>
      </c>
      <c r="M600" s="18">
        <f>_xll.ciqfunctions.udf.CIQ($C$2,"IQ_PENSION_BREAKDOWN_OTHER",M$6,$F$2,,,Ccy,Conv)</f>
        <v>0</v>
      </c>
      <c r="N600" s="18">
        <f>_xll.ciqfunctions.udf.CIQ($C$2,"IQ_PENSION_BREAKDOWN_OTHER",N$6,$F$2,,,Ccy,Conv)</f>
        <v>18572</v>
      </c>
      <c r="O600" s="30"/>
      <c r="P600" s="18">
        <f>_xll.ciqfunctions.udf.CIQ($C$2,"IQ_PENSION_BREAKDOWN_OTHER",P$6,$F$2,,,Ccy,Conv)</f>
        <v>18572</v>
      </c>
      <c r="Q600" s="215"/>
      <c r="R600" s="215"/>
      <c r="S600" s="215"/>
      <c r="T600" s="215"/>
      <c r="U600" s="215"/>
      <c r="V600" s="222"/>
      <c r="W600" s="222"/>
      <c r="X600" s="222"/>
      <c r="Y600" s="215"/>
      <c r="Z600" s="215"/>
      <c r="AA600" s="215"/>
      <c r="AB600" s="215"/>
      <c r="AC600" s="215"/>
      <c r="AD600" s="215"/>
      <c r="AE600" s="215"/>
      <c r="AF600" s="215"/>
      <c r="AG600" s="215"/>
      <c r="AH600" s="215"/>
      <c r="AI600" s="215"/>
      <c r="AJ600" s="215"/>
      <c r="AK600" s="215"/>
      <c r="AL600" s="215"/>
      <c r="AM600" s="215"/>
      <c r="AN600" s="215"/>
      <c r="AO600" s="215"/>
      <c r="AP600" s="215"/>
      <c r="AQ600" s="215"/>
      <c r="AR600" s="215"/>
      <c r="AS600" s="215"/>
      <c r="AT600" s="215"/>
      <c r="AU600" s="215"/>
      <c r="AV600" s="215"/>
      <c r="AW600" s="215"/>
      <c r="AX600" s="215"/>
      <c r="AY600" s="215"/>
      <c r="AZ600" s="215"/>
      <c r="BA600" s="215"/>
      <c r="BB600" s="215"/>
      <c r="BC600" s="215"/>
      <c r="BD600" s="215"/>
      <c r="BE600" s="215"/>
      <c r="BF600" s="215"/>
      <c r="BG600" s="215"/>
      <c r="BH600" s="215"/>
      <c r="BI600" s="215"/>
      <c r="BJ600" s="215"/>
      <c r="BK600" s="215"/>
      <c r="BL600" s="215"/>
      <c r="BM600" s="215"/>
      <c r="BN600" s="215"/>
      <c r="BO600" s="215"/>
      <c r="BP600" s="215"/>
      <c r="BQ600" s="215"/>
      <c r="BR600" s="215"/>
      <c r="BS600" s="215"/>
      <c r="BT600" s="215"/>
      <c r="BU600" s="215"/>
      <c r="BV600" s="215"/>
      <c r="BW600" s="215"/>
      <c r="BX600" s="215"/>
      <c r="BY600" s="215"/>
      <c r="BZ600" s="215"/>
    </row>
    <row r="601" spans="1:78" outlineLevel="1" x14ac:dyDescent="0.2">
      <c r="A601" s="9" t="str">
        <f>'Language Index'!A541</f>
        <v>Breakdown of Amounts recognized in Other Comprehensive Income in BS</v>
      </c>
      <c r="B601" s="17"/>
      <c r="C601" s="17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30"/>
      <c r="P601" s="18"/>
      <c r="Q601" s="215"/>
      <c r="R601" s="215"/>
      <c r="S601" s="215"/>
      <c r="T601" s="215"/>
      <c r="U601" s="215"/>
      <c r="V601" s="222"/>
      <c r="W601" s="222"/>
      <c r="X601" s="222"/>
      <c r="Y601" s="215"/>
      <c r="Z601" s="215"/>
      <c r="AA601" s="215"/>
      <c r="AB601" s="215"/>
      <c r="AC601" s="215"/>
      <c r="AD601" s="215"/>
      <c r="AE601" s="215"/>
      <c r="AF601" s="215"/>
      <c r="AG601" s="215"/>
      <c r="AH601" s="215"/>
      <c r="AI601" s="215"/>
      <c r="AJ601" s="215"/>
      <c r="AK601" s="215"/>
      <c r="AL601" s="215"/>
      <c r="AM601" s="215"/>
      <c r="AN601" s="215"/>
      <c r="AO601" s="215"/>
      <c r="AP601" s="215"/>
      <c r="AQ601" s="215"/>
      <c r="AR601" s="215"/>
      <c r="AS601" s="215"/>
      <c r="AT601" s="215"/>
      <c r="AU601" s="215"/>
      <c r="AV601" s="215"/>
      <c r="AW601" s="215"/>
      <c r="AX601" s="215"/>
      <c r="AY601" s="215"/>
      <c r="AZ601" s="215"/>
      <c r="BA601" s="215"/>
      <c r="BB601" s="215"/>
      <c r="BC601" s="215"/>
      <c r="BD601" s="215"/>
      <c r="BE601" s="215"/>
      <c r="BF601" s="215"/>
      <c r="BG601" s="215"/>
      <c r="BH601" s="215"/>
      <c r="BI601" s="215"/>
      <c r="BJ601" s="215"/>
      <c r="BK601" s="215"/>
      <c r="BL601" s="215"/>
      <c r="BM601" s="215"/>
      <c r="BN601" s="215"/>
      <c r="BO601" s="215"/>
      <c r="BP601" s="215"/>
      <c r="BQ601" s="215"/>
      <c r="BR601" s="215"/>
      <c r="BS601" s="215"/>
      <c r="BT601" s="215"/>
      <c r="BU601" s="215"/>
      <c r="BV601" s="215"/>
      <c r="BW601" s="215"/>
      <c r="BX601" s="215"/>
      <c r="BY601" s="215"/>
      <c r="BZ601" s="215"/>
    </row>
    <row r="602" spans="1:78" outlineLevel="1" x14ac:dyDescent="0.2">
      <c r="A602" s="2" t="str">
        <f>'Language Index'!A542</f>
        <v>Net Actuarial Loss/Gain – Compr. Inc.</v>
      </c>
      <c r="B602" s="17"/>
      <c r="C602" s="17"/>
      <c r="D602" s="18">
        <f>_xll.ciqfunctions.udf.CIQ($C$2,"IQ_PENSION_CI_ACT",D$6,$F$2,,,Ccy,Conv)</f>
        <v>0</v>
      </c>
      <c r="E602" s="18">
        <f>_xll.ciqfunctions.udf.CIQ($C$2,"IQ_PENSION_CI_ACT",E$6,$F$2,,,Ccy,Conv)</f>
        <v>0</v>
      </c>
      <c r="F602" s="18">
        <f>_xll.ciqfunctions.udf.CIQ($C$2,"IQ_PENSION_CI_ACT",F$6,$F$2,,,Ccy,Conv)</f>
        <v>22404</v>
      </c>
      <c r="G602" s="18">
        <f>_xll.ciqfunctions.udf.CIQ($C$2,"IQ_PENSION_CI_ACT",G$6,$F$2,,,Ccy,Conv)</f>
        <v>0</v>
      </c>
      <c r="H602" s="18">
        <f>_xll.ciqfunctions.udf.CIQ($C$2,"IQ_PENSION_CI_ACT",H$6,$F$2,,,Ccy,Conv)</f>
        <v>0</v>
      </c>
      <c r="I602" s="18">
        <f>_xll.ciqfunctions.udf.CIQ($C$2,"IQ_PENSION_CI_ACT",I$6,$F$2,,,Ccy,Conv)</f>
        <v>0</v>
      </c>
      <c r="J602" s="18">
        <f>_xll.ciqfunctions.udf.CIQ($C$2,"IQ_PENSION_CI_ACT",J$6,$F$2,,,Ccy,Conv)</f>
        <v>18103</v>
      </c>
      <c r="K602" s="18">
        <f>_xll.ciqfunctions.udf.CIQ($C$2,"IQ_PENSION_CI_ACT",K$6,$F$2,,,Ccy,Conv)</f>
        <v>0</v>
      </c>
      <c r="L602" s="18">
        <f>_xll.ciqfunctions.udf.CIQ($C$2,"IQ_PENSION_CI_ACT",L$6,$F$2,,,Ccy,Conv)</f>
        <v>0</v>
      </c>
      <c r="M602" s="18">
        <f>_xll.ciqfunctions.udf.CIQ($C$2,"IQ_PENSION_CI_ACT",M$6,$F$2,,,Ccy,Conv)</f>
        <v>0</v>
      </c>
      <c r="N602" s="18">
        <f>_xll.ciqfunctions.udf.CIQ($C$2,"IQ_PENSION_CI_ACT",N$6,$F$2,,,Ccy,Conv)</f>
        <v>17033</v>
      </c>
      <c r="O602" s="30"/>
      <c r="P602" s="18">
        <f>_xll.ciqfunctions.udf.CIQ($C$2,"IQ_PENSION_CI_ACT",P$6,$F$2,,,Ccy,Conv)</f>
        <v>17033</v>
      </c>
      <c r="Q602" s="215"/>
      <c r="R602" s="215"/>
      <c r="S602" s="215"/>
      <c r="T602" s="215"/>
      <c r="U602" s="215"/>
      <c r="V602" s="222"/>
      <c r="W602" s="222"/>
      <c r="X602" s="222"/>
      <c r="Y602" s="215"/>
      <c r="Z602" s="215"/>
      <c r="AA602" s="215"/>
      <c r="AB602" s="215"/>
      <c r="AC602" s="215"/>
      <c r="AD602" s="215"/>
      <c r="AE602" s="215"/>
      <c r="AF602" s="215"/>
      <c r="AG602" s="215"/>
      <c r="AH602" s="215"/>
      <c r="AI602" s="215"/>
      <c r="AJ602" s="215"/>
      <c r="AK602" s="215"/>
      <c r="AL602" s="215"/>
      <c r="AM602" s="215"/>
      <c r="AN602" s="215"/>
      <c r="AO602" s="215"/>
      <c r="AP602" s="215"/>
      <c r="AQ602" s="215"/>
      <c r="AR602" s="215"/>
      <c r="AS602" s="215"/>
      <c r="AT602" s="215"/>
      <c r="AU602" s="215"/>
      <c r="AV602" s="215"/>
      <c r="AW602" s="215"/>
      <c r="AX602" s="215"/>
      <c r="AY602" s="215"/>
      <c r="AZ602" s="215"/>
      <c r="BA602" s="215"/>
      <c r="BB602" s="215"/>
      <c r="BC602" s="215"/>
      <c r="BD602" s="215"/>
      <c r="BE602" s="215"/>
      <c r="BF602" s="215"/>
      <c r="BG602" s="215"/>
      <c r="BH602" s="215"/>
      <c r="BI602" s="215"/>
      <c r="BJ602" s="215"/>
      <c r="BK602" s="215"/>
      <c r="BL602" s="215"/>
      <c r="BM602" s="215"/>
      <c r="BN602" s="215"/>
      <c r="BO602" s="215"/>
      <c r="BP602" s="215"/>
      <c r="BQ602" s="215"/>
      <c r="BR602" s="215"/>
      <c r="BS602" s="215"/>
      <c r="BT602" s="215"/>
      <c r="BU602" s="215"/>
      <c r="BV602" s="215"/>
      <c r="BW602" s="215"/>
      <c r="BX602" s="215"/>
      <c r="BY602" s="215"/>
      <c r="BZ602" s="215"/>
    </row>
    <row r="603" spans="1:78" outlineLevel="1" x14ac:dyDescent="0.2">
      <c r="A603" s="2" t="str">
        <f>'Language Index'!A543</f>
        <v>Prior Service Cost/Benefit – Compr. Inc.</v>
      </c>
      <c r="B603" s="17"/>
      <c r="C603" s="17"/>
      <c r="D603" s="18">
        <f>_xll.ciqfunctions.udf.CIQ($C$2,"IQ_PENSION_CI_PRIOR_SERVICE",D$6,$F$2,,,Ccy,Conv)</f>
        <v>0</v>
      </c>
      <c r="E603" s="18">
        <f>_xll.ciqfunctions.udf.CIQ($C$2,"IQ_PENSION_CI_PRIOR_SERVICE",E$6,$F$2,,,Ccy,Conv)</f>
        <v>0</v>
      </c>
      <c r="F603" s="18">
        <f>_xll.ciqfunctions.udf.CIQ($C$2,"IQ_PENSION_CI_PRIOR_SERVICE",F$6,$F$2,,,Ccy,Conv)</f>
        <v>309</v>
      </c>
      <c r="G603" s="18">
        <f>_xll.ciqfunctions.udf.CIQ($C$2,"IQ_PENSION_CI_PRIOR_SERVICE",G$6,$F$2,,,Ccy,Conv)</f>
        <v>0</v>
      </c>
      <c r="H603" s="18">
        <f>_xll.ciqfunctions.udf.CIQ($C$2,"IQ_PENSION_CI_PRIOR_SERVICE",H$6,$F$2,,,Ccy,Conv)</f>
        <v>0</v>
      </c>
      <c r="I603" s="18">
        <f>_xll.ciqfunctions.udf.CIQ($C$2,"IQ_PENSION_CI_PRIOR_SERVICE",I$6,$F$2,,,Ccy,Conv)</f>
        <v>0</v>
      </c>
      <c r="J603" s="18">
        <f>_xll.ciqfunctions.udf.CIQ($C$2,"IQ_PENSION_CI_PRIOR_SERVICE",J$6,$F$2,,,Ccy,Conv)</f>
        <v>342</v>
      </c>
      <c r="K603" s="18">
        <f>_xll.ciqfunctions.udf.CIQ($C$2,"IQ_PENSION_CI_PRIOR_SERVICE",K$6,$F$2,,,Ccy,Conv)</f>
        <v>0</v>
      </c>
      <c r="L603" s="18">
        <f>_xll.ciqfunctions.udf.CIQ($C$2,"IQ_PENSION_CI_PRIOR_SERVICE",L$6,$F$2,,,Ccy,Conv)</f>
        <v>0</v>
      </c>
      <c r="M603" s="18">
        <f>_xll.ciqfunctions.udf.CIQ($C$2,"IQ_PENSION_CI_PRIOR_SERVICE",M$6,$F$2,,,Ccy,Conv)</f>
        <v>0</v>
      </c>
      <c r="N603" s="18">
        <f>_xll.ciqfunctions.udf.CIQ($C$2,"IQ_PENSION_CI_PRIOR_SERVICE",N$6,$F$2,,,Ccy,Conv)</f>
        <v>789</v>
      </c>
      <c r="O603" s="30"/>
      <c r="P603" s="18">
        <f>_xll.ciqfunctions.udf.CIQ($C$2,"IQ_PENSION_CI_PRIOR_SERVICE",P$6,$F$2,,,Ccy,Conv)</f>
        <v>789</v>
      </c>
      <c r="Q603" s="215"/>
      <c r="R603" s="215"/>
      <c r="S603" s="215"/>
      <c r="T603" s="215"/>
      <c r="U603" s="215"/>
      <c r="V603" s="222"/>
      <c r="W603" s="222"/>
      <c r="X603" s="222"/>
      <c r="Y603" s="215"/>
      <c r="Z603" s="215"/>
      <c r="AA603" s="215"/>
      <c r="AB603" s="215"/>
      <c r="AC603" s="215"/>
      <c r="AD603" s="215"/>
      <c r="AE603" s="215"/>
      <c r="AF603" s="215"/>
      <c r="AG603" s="215"/>
      <c r="AH603" s="215"/>
      <c r="AI603" s="215"/>
      <c r="AJ603" s="215"/>
      <c r="AK603" s="215"/>
      <c r="AL603" s="215"/>
      <c r="AM603" s="215"/>
      <c r="AN603" s="215"/>
      <c r="AO603" s="215"/>
      <c r="AP603" s="215"/>
      <c r="AQ603" s="215"/>
      <c r="AR603" s="215"/>
      <c r="AS603" s="215"/>
      <c r="AT603" s="215"/>
      <c r="AU603" s="215"/>
      <c r="AV603" s="215"/>
      <c r="AW603" s="215"/>
      <c r="AX603" s="215"/>
      <c r="AY603" s="215"/>
      <c r="AZ603" s="215"/>
      <c r="BA603" s="215"/>
      <c r="BB603" s="215"/>
      <c r="BC603" s="215"/>
      <c r="BD603" s="215"/>
      <c r="BE603" s="215"/>
      <c r="BF603" s="215"/>
      <c r="BG603" s="215"/>
      <c r="BH603" s="215"/>
      <c r="BI603" s="215"/>
      <c r="BJ603" s="215"/>
      <c r="BK603" s="215"/>
      <c r="BL603" s="215"/>
      <c r="BM603" s="215"/>
      <c r="BN603" s="215"/>
      <c r="BO603" s="215"/>
      <c r="BP603" s="215"/>
      <c r="BQ603" s="215"/>
      <c r="BR603" s="215"/>
      <c r="BS603" s="215"/>
      <c r="BT603" s="215"/>
      <c r="BU603" s="215"/>
      <c r="BV603" s="215"/>
      <c r="BW603" s="215"/>
      <c r="BX603" s="215"/>
      <c r="BY603" s="215"/>
      <c r="BZ603" s="215"/>
    </row>
    <row r="604" spans="1:78" outlineLevel="1" x14ac:dyDescent="0.2">
      <c r="A604" s="2" t="str">
        <f>'Language Index'!A544</f>
        <v>Transition Asset/Obligation – Compr. Inc.</v>
      </c>
      <c r="B604" s="17"/>
      <c r="C604" s="17"/>
      <c r="D604" s="18">
        <f>_xll.ciqfunctions.udf.CIQ($C$2,"IQ_PENSION_CI_TRANSITION",D$6,$F$2,,,Ccy,Conv)</f>
        <v>0</v>
      </c>
      <c r="E604" s="18">
        <f>_xll.ciqfunctions.udf.CIQ($C$2,"IQ_PENSION_CI_TRANSITION",E$6,$F$2,,,Ccy,Conv)</f>
        <v>0</v>
      </c>
      <c r="F604" s="18">
        <f>_xll.ciqfunctions.udf.CIQ($C$2,"IQ_PENSION_CI_TRANSITION",F$6,$F$2,,,Ccy,Conv)</f>
        <v>0</v>
      </c>
      <c r="G604" s="18">
        <f>_xll.ciqfunctions.udf.CIQ($C$2,"IQ_PENSION_CI_TRANSITION",G$6,$F$2,,,Ccy,Conv)</f>
        <v>0</v>
      </c>
      <c r="H604" s="18">
        <f>_xll.ciqfunctions.udf.CIQ($C$2,"IQ_PENSION_CI_TRANSITION",H$6,$F$2,,,Ccy,Conv)</f>
        <v>0</v>
      </c>
      <c r="I604" s="18">
        <f>_xll.ciqfunctions.udf.CIQ($C$2,"IQ_PENSION_CI_TRANSITION",I$6,$F$2,,,Ccy,Conv)</f>
        <v>0</v>
      </c>
      <c r="J604" s="18">
        <f>_xll.ciqfunctions.udf.CIQ($C$2,"IQ_PENSION_CI_TRANSITION",J$6,$F$2,,,Ccy,Conv)</f>
        <v>0</v>
      </c>
      <c r="K604" s="18">
        <f>_xll.ciqfunctions.udf.CIQ($C$2,"IQ_PENSION_CI_TRANSITION",K$6,$F$2,,,Ccy,Conv)</f>
        <v>0</v>
      </c>
      <c r="L604" s="18">
        <f>_xll.ciqfunctions.udf.CIQ($C$2,"IQ_PENSION_CI_TRANSITION",L$6,$F$2,,,Ccy,Conv)</f>
        <v>0</v>
      </c>
      <c r="M604" s="18">
        <f>_xll.ciqfunctions.udf.CIQ($C$2,"IQ_PENSION_CI_TRANSITION",M$6,$F$2,,,Ccy,Conv)</f>
        <v>0</v>
      </c>
      <c r="N604" s="18">
        <f>_xll.ciqfunctions.udf.CIQ($C$2,"IQ_PENSION_CI_TRANSITION",N$6,$F$2,,,Ccy,Conv)</f>
        <v>0</v>
      </c>
      <c r="O604" s="30"/>
      <c r="P604" s="18">
        <f>_xll.ciqfunctions.udf.CIQ($C$2,"IQ_PENSION_CI_TRANSITION",P$6,$F$2,,,Ccy,Conv)</f>
        <v>0</v>
      </c>
      <c r="Q604" s="215"/>
      <c r="R604" s="215"/>
      <c r="S604" s="215"/>
      <c r="T604" s="215"/>
      <c r="U604" s="215"/>
      <c r="V604" s="222"/>
      <c r="W604" s="222"/>
      <c r="X604" s="222"/>
      <c r="Y604" s="215"/>
      <c r="Z604" s="215"/>
      <c r="AA604" s="215"/>
      <c r="AB604" s="215"/>
      <c r="AC604" s="215"/>
      <c r="AD604" s="215"/>
      <c r="AE604" s="215"/>
      <c r="AF604" s="215"/>
      <c r="AG604" s="215"/>
      <c r="AH604" s="215"/>
      <c r="AI604" s="215"/>
      <c r="AJ604" s="215"/>
      <c r="AK604" s="215"/>
      <c r="AL604" s="215"/>
      <c r="AM604" s="215"/>
      <c r="AN604" s="215"/>
      <c r="AO604" s="215"/>
      <c r="AP604" s="215"/>
      <c r="AQ604" s="215"/>
      <c r="AR604" s="215"/>
      <c r="AS604" s="215"/>
      <c r="AT604" s="215"/>
      <c r="AU604" s="215"/>
      <c r="AV604" s="215"/>
      <c r="AW604" s="215"/>
      <c r="AX604" s="215"/>
      <c r="AY604" s="215"/>
      <c r="AZ604" s="215"/>
      <c r="BA604" s="215"/>
      <c r="BB604" s="215"/>
      <c r="BC604" s="215"/>
      <c r="BD604" s="215"/>
      <c r="BE604" s="215"/>
      <c r="BF604" s="215"/>
      <c r="BG604" s="215"/>
      <c r="BH604" s="215"/>
      <c r="BI604" s="215"/>
      <c r="BJ604" s="215"/>
      <c r="BK604" s="215"/>
      <c r="BL604" s="215"/>
      <c r="BM604" s="215"/>
      <c r="BN604" s="215"/>
      <c r="BO604" s="215"/>
      <c r="BP604" s="215"/>
      <c r="BQ604" s="215"/>
      <c r="BR604" s="215"/>
      <c r="BS604" s="215"/>
      <c r="BT604" s="215"/>
      <c r="BU604" s="215"/>
      <c r="BV604" s="215"/>
      <c r="BW604" s="215"/>
      <c r="BX604" s="215"/>
      <c r="BY604" s="215"/>
      <c r="BZ604" s="215"/>
    </row>
    <row r="605" spans="1:78" outlineLevel="1" x14ac:dyDescent="0.2">
      <c r="A605" s="2" t="str">
        <f>'Language Index'!A545</f>
        <v>Other Misc. Adj. – Compr. Inc.</v>
      </c>
      <c r="B605" s="17"/>
      <c r="C605" s="17"/>
      <c r="D605" s="18">
        <f>_xll.ciqfunctions.udf.CIQ($C$2,"IQ_PENSION_CI_OTHER_MISC_ADJ",D$6,$F$2,,,Ccy,Conv)</f>
        <v>0</v>
      </c>
      <c r="E605" s="18">
        <f>_xll.ciqfunctions.udf.CIQ($C$2,"IQ_PENSION_CI_OTHER_MISC_ADJ",E$6,$F$2,,,Ccy,Conv)</f>
        <v>0</v>
      </c>
      <c r="F605" s="18">
        <f>_xll.ciqfunctions.udf.CIQ($C$2,"IQ_PENSION_CI_OTHER_MISC_ADJ",F$6,$F$2,,,Ccy,Conv)</f>
        <v>0</v>
      </c>
      <c r="G605" s="18">
        <f>_xll.ciqfunctions.udf.CIQ($C$2,"IQ_PENSION_CI_OTHER_MISC_ADJ",G$6,$F$2,,,Ccy,Conv)</f>
        <v>0</v>
      </c>
      <c r="H605" s="18">
        <f>_xll.ciqfunctions.udf.CIQ($C$2,"IQ_PENSION_CI_OTHER_MISC_ADJ",H$6,$F$2,,,Ccy,Conv)</f>
        <v>0</v>
      </c>
      <c r="I605" s="18">
        <f>_xll.ciqfunctions.udf.CIQ($C$2,"IQ_PENSION_CI_OTHER_MISC_ADJ",I$6,$F$2,,,Ccy,Conv)</f>
        <v>0</v>
      </c>
      <c r="J605" s="18">
        <f>_xll.ciqfunctions.udf.CIQ($C$2,"IQ_PENSION_CI_OTHER_MISC_ADJ",J$6,$F$2,,,Ccy,Conv)</f>
        <v>0</v>
      </c>
      <c r="K605" s="18">
        <f>_xll.ciqfunctions.udf.CIQ($C$2,"IQ_PENSION_CI_OTHER_MISC_ADJ",K$6,$F$2,,,Ccy,Conv)</f>
        <v>0</v>
      </c>
      <c r="L605" s="18">
        <f>_xll.ciqfunctions.udf.CIQ($C$2,"IQ_PENSION_CI_OTHER_MISC_ADJ",L$6,$F$2,,,Ccy,Conv)</f>
        <v>0</v>
      </c>
      <c r="M605" s="18">
        <f>_xll.ciqfunctions.udf.CIQ($C$2,"IQ_PENSION_CI_OTHER_MISC_ADJ",M$6,$F$2,,,Ccy,Conv)</f>
        <v>0</v>
      </c>
      <c r="N605" s="18">
        <f>_xll.ciqfunctions.udf.CIQ($C$2,"IQ_PENSION_CI_OTHER_MISC_ADJ",N$6,$F$2,,,Ccy,Conv)</f>
        <v>0</v>
      </c>
      <c r="O605" s="30"/>
      <c r="P605" s="18">
        <f>_xll.ciqfunctions.udf.CIQ($C$2,"IQ_PENSION_CI_OTHER_MISC_ADJ",P$6,$F$2,,,Ccy,Conv)</f>
        <v>0</v>
      </c>
      <c r="Q605" s="215"/>
      <c r="R605" s="215"/>
      <c r="S605" s="215"/>
      <c r="T605" s="215"/>
      <c r="U605" s="215"/>
      <c r="V605" s="222"/>
      <c r="W605" s="222"/>
      <c r="X605" s="222"/>
      <c r="Y605" s="215"/>
      <c r="Z605" s="215"/>
      <c r="AA605" s="215"/>
      <c r="AB605" s="215"/>
      <c r="AC605" s="215"/>
      <c r="AD605" s="215"/>
      <c r="AE605" s="215"/>
      <c r="AF605" s="215"/>
      <c r="AG605" s="215"/>
      <c r="AH605" s="215"/>
      <c r="AI605" s="215"/>
      <c r="AJ605" s="215"/>
      <c r="AK605" s="215"/>
      <c r="AL605" s="215"/>
      <c r="AM605" s="215"/>
      <c r="AN605" s="215"/>
      <c r="AO605" s="215"/>
      <c r="AP605" s="215"/>
      <c r="AQ605" s="215"/>
      <c r="AR605" s="215"/>
      <c r="AS605" s="215"/>
      <c r="AT605" s="215"/>
      <c r="AU605" s="215"/>
      <c r="AV605" s="215"/>
      <c r="AW605" s="215"/>
      <c r="AX605" s="215"/>
      <c r="AY605" s="215"/>
      <c r="AZ605" s="215"/>
      <c r="BA605" s="215"/>
      <c r="BB605" s="215"/>
      <c r="BC605" s="215"/>
      <c r="BD605" s="215"/>
      <c r="BE605" s="215"/>
      <c r="BF605" s="215"/>
      <c r="BG605" s="215"/>
      <c r="BH605" s="215"/>
      <c r="BI605" s="215"/>
      <c r="BJ605" s="215"/>
      <c r="BK605" s="215"/>
      <c r="BL605" s="215"/>
      <c r="BM605" s="215"/>
      <c r="BN605" s="215"/>
      <c r="BO605" s="215"/>
      <c r="BP605" s="215"/>
      <c r="BQ605" s="215"/>
      <c r="BR605" s="215"/>
      <c r="BS605" s="215"/>
      <c r="BT605" s="215"/>
      <c r="BU605" s="215"/>
      <c r="BV605" s="215"/>
      <c r="BW605" s="215"/>
      <c r="BX605" s="215"/>
      <c r="BY605" s="215"/>
      <c r="BZ605" s="215"/>
    </row>
    <row r="606" spans="1:78" outlineLevel="1" x14ac:dyDescent="0.2">
      <c r="A606" s="2" t="str">
        <f>'Language Index'!A546</f>
        <v>Net Amount Recognized – Compr. Inc.</v>
      </c>
      <c r="B606" s="17"/>
      <c r="C606" s="17"/>
      <c r="D606" s="18">
        <f>_xll.ciqfunctions.udf.CIQ($C$2,"IQ_PENSION_CI_NET_AMT_RECOG",D$6,$F$2,,,Ccy,Conv)</f>
        <v>0</v>
      </c>
      <c r="E606" s="18">
        <f>_xll.ciqfunctions.udf.CIQ($C$2,"IQ_PENSION_CI_NET_AMT_RECOG",E$6,$F$2,,,Ccy,Conv)</f>
        <v>0</v>
      </c>
      <c r="F606" s="18">
        <f>_xll.ciqfunctions.udf.CIQ($C$2,"IQ_PENSION_CI_NET_AMT_RECOG",F$6,$F$2,,,Ccy,Conv)</f>
        <v>22712</v>
      </c>
      <c r="G606" s="18">
        <f>_xll.ciqfunctions.udf.CIQ($C$2,"IQ_PENSION_CI_NET_AMT_RECOG",G$6,$F$2,,,Ccy,Conv)</f>
        <v>0</v>
      </c>
      <c r="H606" s="18">
        <f>_xll.ciqfunctions.udf.CIQ($C$2,"IQ_PENSION_CI_NET_AMT_RECOG",H$6,$F$2,,,Ccy,Conv)</f>
        <v>0</v>
      </c>
      <c r="I606" s="18">
        <f>_xll.ciqfunctions.udf.CIQ($C$2,"IQ_PENSION_CI_NET_AMT_RECOG",I$6,$F$2,,,Ccy,Conv)</f>
        <v>0</v>
      </c>
      <c r="J606" s="18">
        <f>_xll.ciqfunctions.udf.CIQ($C$2,"IQ_PENSION_CI_NET_AMT_RECOG",J$6,$F$2,,,Ccy,Conv)</f>
        <v>18446</v>
      </c>
      <c r="K606" s="18">
        <f>_xll.ciqfunctions.udf.CIQ($C$2,"IQ_PENSION_CI_NET_AMT_RECOG",K$6,$F$2,,,Ccy,Conv)</f>
        <v>0</v>
      </c>
      <c r="L606" s="18">
        <f>_xll.ciqfunctions.udf.CIQ($C$2,"IQ_PENSION_CI_NET_AMT_RECOG",L$6,$F$2,,,Ccy,Conv)</f>
        <v>0</v>
      </c>
      <c r="M606" s="18">
        <f>_xll.ciqfunctions.udf.CIQ($C$2,"IQ_PENSION_CI_NET_AMT_RECOG",M$6,$F$2,,,Ccy,Conv)</f>
        <v>0</v>
      </c>
      <c r="N606" s="18">
        <f>_xll.ciqfunctions.udf.CIQ($C$2,"IQ_PENSION_CI_NET_AMT_RECOG",N$6,$F$2,,,Ccy,Conv)</f>
        <v>17822</v>
      </c>
      <c r="O606" s="30"/>
      <c r="P606" s="18">
        <f>_xll.ciqfunctions.udf.CIQ($C$2,"IQ_PENSION_CI_NET_AMT_RECOG",P$6,$F$2,,,Ccy,Conv)</f>
        <v>17822</v>
      </c>
      <c r="Q606" s="215"/>
      <c r="R606" s="215"/>
      <c r="S606" s="215"/>
      <c r="T606" s="215"/>
      <c r="U606" s="215"/>
      <c r="V606" s="222"/>
      <c r="W606" s="222"/>
      <c r="X606" s="222"/>
      <c r="Y606" s="215"/>
      <c r="Z606" s="215"/>
      <c r="AA606" s="215"/>
      <c r="AB606" s="215"/>
      <c r="AC606" s="215"/>
      <c r="AD606" s="215"/>
      <c r="AE606" s="215"/>
      <c r="AF606" s="215"/>
      <c r="AG606" s="215"/>
      <c r="AH606" s="215"/>
      <c r="AI606" s="215"/>
      <c r="AJ606" s="215"/>
      <c r="AK606" s="215"/>
      <c r="AL606" s="215"/>
      <c r="AM606" s="215"/>
      <c r="AN606" s="215"/>
      <c r="AO606" s="215"/>
      <c r="AP606" s="215"/>
      <c r="AQ606" s="215"/>
      <c r="AR606" s="215"/>
      <c r="AS606" s="215"/>
      <c r="AT606" s="215"/>
      <c r="AU606" s="215"/>
      <c r="AV606" s="215"/>
      <c r="AW606" s="215"/>
      <c r="AX606" s="215"/>
      <c r="AY606" s="215"/>
      <c r="AZ606" s="215"/>
      <c r="BA606" s="215"/>
      <c r="BB606" s="215"/>
      <c r="BC606" s="215"/>
      <c r="BD606" s="215"/>
      <c r="BE606" s="215"/>
      <c r="BF606" s="215"/>
      <c r="BG606" s="215"/>
      <c r="BH606" s="215"/>
      <c r="BI606" s="215"/>
      <c r="BJ606" s="215"/>
      <c r="BK606" s="215"/>
      <c r="BL606" s="215"/>
      <c r="BM606" s="215"/>
      <c r="BN606" s="215"/>
      <c r="BO606" s="215"/>
      <c r="BP606" s="215"/>
      <c r="BQ606" s="215"/>
      <c r="BR606" s="215"/>
      <c r="BS606" s="215"/>
      <c r="BT606" s="215"/>
      <c r="BU606" s="215"/>
      <c r="BV606" s="215"/>
      <c r="BW606" s="215"/>
      <c r="BX606" s="215"/>
      <c r="BY606" s="215"/>
      <c r="BZ606" s="215"/>
    </row>
    <row r="607" spans="1:78" outlineLevel="1" x14ac:dyDescent="0.2">
      <c r="A607" s="9" t="str">
        <f>'Language Index'!A547</f>
        <v>Expected to be recognized as components of net periodic benefit cost in the next year</v>
      </c>
      <c r="B607" s="17"/>
      <c r="C607" s="17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30"/>
      <c r="P607" s="18"/>
      <c r="Q607" s="215"/>
      <c r="R607" s="215"/>
      <c r="S607" s="215"/>
      <c r="T607" s="215"/>
      <c r="U607" s="215"/>
      <c r="V607" s="222"/>
      <c r="W607" s="222"/>
      <c r="X607" s="222"/>
      <c r="Y607" s="215"/>
      <c r="Z607" s="215"/>
      <c r="AA607" s="215"/>
      <c r="AB607" s="215"/>
      <c r="AC607" s="215"/>
      <c r="AD607" s="215"/>
      <c r="AE607" s="215"/>
      <c r="AF607" s="215"/>
      <c r="AG607" s="215"/>
      <c r="AH607" s="215"/>
      <c r="AI607" s="215"/>
      <c r="AJ607" s="215"/>
      <c r="AK607" s="215"/>
      <c r="AL607" s="215"/>
      <c r="AM607" s="215"/>
      <c r="AN607" s="215"/>
      <c r="AO607" s="215"/>
      <c r="AP607" s="215"/>
      <c r="AQ607" s="215"/>
      <c r="AR607" s="215"/>
      <c r="AS607" s="215"/>
      <c r="AT607" s="215"/>
      <c r="AU607" s="215"/>
      <c r="AV607" s="215"/>
      <c r="AW607" s="215"/>
      <c r="AX607" s="215"/>
      <c r="AY607" s="215"/>
      <c r="AZ607" s="215"/>
      <c r="BA607" s="215"/>
      <c r="BB607" s="215"/>
      <c r="BC607" s="215"/>
      <c r="BD607" s="215"/>
      <c r="BE607" s="215"/>
      <c r="BF607" s="215"/>
      <c r="BG607" s="215"/>
      <c r="BH607" s="215"/>
      <c r="BI607" s="215"/>
      <c r="BJ607" s="215"/>
      <c r="BK607" s="215"/>
      <c r="BL607" s="215"/>
      <c r="BM607" s="215"/>
      <c r="BN607" s="215"/>
      <c r="BO607" s="215"/>
      <c r="BP607" s="215"/>
      <c r="BQ607" s="215"/>
      <c r="BR607" s="215"/>
      <c r="BS607" s="215"/>
      <c r="BT607" s="215"/>
      <c r="BU607" s="215"/>
      <c r="BV607" s="215"/>
      <c r="BW607" s="215"/>
      <c r="BX607" s="215"/>
      <c r="BY607" s="215"/>
      <c r="BZ607" s="215"/>
    </row>
    <row r="608" spans="1:78" outlineLevel="1" x14ac:dyDescent="0.2">
      <c r="A608" s="2" t="str">
        <f>'Language Index'!A548</f>
        <v>Prior Service Cost/Benefit Recog. Next Period</v>
      </c>
      <c r="B608" s="17"/>
      <c r="C608" s="17"/>
      <c r="D608" s="18">
        <f>_xll.ciqfunctions.udf.CIQ($C$2,"IQ_PENSION_PRIOR_SERVICE_NEXT",D$6,$F$2,,,Ccy,Conv)</f>
        <v>0</v>
      </c>
      <c r="E608" s="18">
        <f>_xll.ciqfunctions.udf.CIQ($C$2,"IQ_PENSION_PRIOR_SERVICE_NEXT",E$6,$F$2,,,Ccy,Conv)</f>
        <v>0</v>
      </c>
      <c r="F608" s="18">
        <f>_xll.ciqfunctions.udf.CIQ($C$2,"IQ_PENSION_PRIOR_SERVICE_NEXT",F$6,$F$2,,,Ccy,Conv)</f>
        <v>0</v>
      </c>
      <c r="G608" s="18">
        <f>_xll.ciqfunctions.udf.CIQ($C$2,"IQ_PENSION_PRIOR_SERVICE_NEXT",G$6,$F$2,,,Ccy,Conv)</f>
        <v>0</v>
      </c>
      <c r="H608" s="18">
        <f>_xll.ciqfunctions.udf.CIQ($C$2,"IQ_PENSION_PRIOR_SERVICE_NEXT",H$6,$F$2,,,Ccy,Conv)</f>
        <v>0</v>
      </c>
      <c r="I608" s="18">
        <f>_xll.ciqfunctions.udf.CIQ($C$2,"IQ_PENSION_PRIOR_SERVICE_NEXT",I$6,$F$2,,,Ccy,Conv)</f>
        <v>0</v>
      </c>
      <c r="J608" s="18">
        <f>_xll.ciqfunctions.udf.CIQ($C$2,"IQ_PENSION_PRIOR_SERVICE_NEXT",J$6,$F$2,,,Ccy,Conv)</f>
        <v>0</v>
      </c>
      <c r="K608" s="18">
        <f>_xll.ciqfunctions.udf.CIQ($C$2,"IQ_PENSION_PRIOR_SERVICE_NEXT",K$6,$F$2,,,Ccy,Conv)</f>
        <v>0</v>
      </c>
      <c r="L608" s="18">
        <f>_xll.ciqfunctions.udf.CIQ($C$2,"IQ_PENSION_PRIOR_SERVICE_NEXT",L$6,$F$2,,,Ccy,Conv)</f>
        <v>0</v>
      </c>
      <c r="M608" s="18">
        <f>_xll.ciqfunctions.udf.CIQ($C$2,"IQ_PENSION_PRIOR_SERVICE_NEXT",M$6,$F$2,,,Ccy,Conv)</f>
        <v>0</v>
      </c>
      <c r="N608" s="18">
        <f>_xll.ciqfunctions.udf.CIQ($C$2,"IQ_PENSION_PRIOR_SERVICE_NEXT",N$6,$F$2,,,Ccy,Conv)</f>
        <v>0</v>
      </c>
      <c r="O608" s="30"/>
      <c r="P608" s="18">
        <f>_xll.ciqfunctions.udf.CIQ($C$2,"IQ_PENSION_PRIOR_SERVICE_NEXT",P$6,$F$2,,,Ccy,Conv)</f>
        <v>0</v>
      </c>
      <c r="Q608" s="215"/>
      <c r="R608" s="215"/>
      <c r="S608" s="215"/>
      <c r="T608" s="215"/>
      <c r="U608" s="215"/>
      <c r="V608" s="222"/>
      <c r="W608" s="222"/>
      <c r="X608" s="222"/>
      <c r="Y608" s="215"/>
      <c r="Z608" s="215"/>
      <c r="AA608" s="215"/>
      <c r="AB608" s="215"/>
      <c r="AC608" s="215"/>
      <c r="AD608" s="215"/>
      <c r="AE608" s="215"/>
      <c r="AF608" s="215"/>
      <c r="AG608" s="215"/>
      <c r="AH608" s="215"/>
      <c r="AI608" s="215"/>
      <c r="AJ608" s="215"/>
      <c r="AK608" s="215"/>
      <c r="AL608" s="215"/>
      <c r="AM608" s="215"/>
      <c r="AN608" s="215"/>
      <c r="AO608" s="215"/>
      <c r="AP608" s="215"/>
      <c r="AQ608" s="215"/>
      <c r="AR608" s="215"/>
      <c r="AS608" s="215"/>
      <c r="AT608" s="215"/>
      <c r="AU608" s="215"/>
      <c r="AV608" s="215"/>
      <c r="AW608" s="215"/>
      <c r="AX608" s="215"/>
      <c r="AY608" s="215"/>
      <c r="AZ608" s="215"/>
      <c r="BA608" s="215"/>
      <c r="BB608" s="215"/>
      <c r="BC608" s="215"/>
      <c r="BD608" s="215"/>
      <c r="BE608" s="215"/>
      <c r="BF608" s="215"/>
      <c r="BG608" s="215"/>
      <c r="BH608" s="215"/>
      <c r="BI608" s="215"/>
      <c r="BJ608" s="215"/>
      <c r="BK608" s="215"/>
      <c r="BL608" s="215"/>
      <c r="BM608" s="215"/>
      <c r="BN608" s="215"/>
      <c r="BO608" s="215"/>
      <c r="BP608" s="215"/>
      <c r="BQ608" s="215"/>
      <c r="BR608" s="215"/>
      <c r="BS608" s="215"/>
      <c r="BT608" s="215"/>
      <c r="BU608" s="215"/>
      <c r="BV608" s="215"/>
      <c r="BW608" s="215"/>
      <c r="BX608" s="215"/>
      <c r="BY608" s="215"/>
      <c r="BZ608" s="215"/>
    </row>
    <row r="609" spans="1:78" outlineLevel="1" x14ac:dyDescent="0.2">
      <c r="A609" s="2" t="str">
        <f>'Language Index'!A549</f>
        <v>Net Actuarial Loss/Gain Recog. Next Period</v>
      </c>
      <c r="B609" s="17"/>
      <c r="C609" s="17"/>
      <c r="D609" s="18">
        <f>_xll.ciqfunctions.udf.CIQ($C$2,"IQ_PENSION_ACT_NEXT",D$6,$F$2,,,Ccy,Conv)</f>
        <v>0</v>
      </c>
      <c r="E609" s="18">
        <f>_xll.ciqfunctions.udf.CIQ($C$2,"IQ_PENSION_ACT_NEXT",E$6,$F$2,,,Ccy,Conv)</f>
        <v>0</v>
      </c>
      <c r="F609" s="18">
        <f>_xll.ciqfunctions.udf.CIQ($C$2,"IQ_PENSION_ACT_NEXT",F$6,$F$2,,,Ccy,Conv)</f>
        <v>0</v>
      </c>
      <c r="G609" s="18">
        <f>_xll.ciqfunctions.udf.CIQ($C$2,"IQ_PENSION_ACT_NEXT",G$6,$F$2,,,Ccy,Conv)</f>
        <v>0</v>
      </c>
      <c r="H609" s="18">
        <f>_xll.ciqfunctions.udf.CIQ($C$2,"IQ_PENSION_ACT_NEXT",H$6,$F$2,,,Ccy,Conv)</f>
        <v>0</v>
      </c>
      <c r="I609" s="18">
        <f>_xll.ciqfunctions.udf.CIQ($C$2,"IQ_PENSION_ACT_NEXT",I$6,$F$2,,,Ccy,Conv)</f>
        <v>0</v>
      </c>
      <c r="J609" s="18">
        <f>_xll.ciqfunctions.udf.CIQ($C$2,"IQ_PENSION_ACT_NEXT",J$6,$F$2,,,Ccy,Conv)</f>
        <v>0</v>
      </c>
      <c r="K609" s="18">
        <f>_xll.ciqfunctions.udf.CIQ($C$2,"IQ_PENSION_ACT_NEXT",K$6,$F$2,,,Ccy,Conv)</f>
        <v>0</v>
      </c>
      <c r="L609" s="18">
        <f>_xll.ciqfunctions.udf.CIQ($C$2,"IQ_PENSION_ACT_NEXT",L$6,$F$2,,,Ccy,Conv)</f>
        <v>0</v>
      </c>
      <c r="M609" s="18">
        <f>_xll.ciqfunctions.udf.CIQ($C$2,"IQ_PENSION_ACT_NEXT",M$6,$F$2,,,Ccy,Conv)</f>
        <v>0</v>
      </c>
      <c r="N609" s="18">
        <f>_xll.ciqfunctions.udf.CIQ($C$2,"IQ_PENSION_ACT_NEXT",N$6,$F$2,,,Ccy,Conv)</f>
        <v>0</v>
      </c>
      <c r="O609" s="30"/>
      <c r="P609" s="18">
        <f>_xll.ciqfunctions.udf.CIQ($C$2,"IQ_PENSION_ACT_NEXT",P$6,$F$2,,,Ccy,Conv)</f>
        <v>0</v>
      </c>
      <c r="Q609" s="215"/>
      <c r="R609" s="215"/>
      <c r="S609" s="215"/>
      <c r="T609" s="215"/>
      <c r="U609" s="215"/>
      <c r="V609" s="222"/>
      <c r="W609" s="222"/>
      <c r="X609" s="222"/>
      <c r="Y609" s="215"/>
      <c r="Z609" s="215"/>
      <c r="AA609" s="215"/>
      <c r="AB609" s="215"/>
      <c r="AC609" s="215"/>
      <c r="AD609" s="215"/>
      <c r="AE609" s="215"/>
      <c r="AF609" s="215"/>
      <c r="AG609" s="215"/>
      <c r="AH609" s="215"/>
      <c r="AI609" s="215"/>
      <c r="AJ609" s="215"/>
      <c r="AK609" s="215"/>
      <c r="AL609" s="215"/>
      <c r="AM609" s="215"/>
      <c r="AN609" s="215"/>
      <c r="AO609" s="215"/>
      <c r="AP609" s="215"/>
      <c r="AQ609" s="215"/>
      <c r="AR609" s="215"/>
      <c r="AS609" s="215"/>
      <c r="AT609" s="215"/>
      <c r="AU609" s="215"/>
      <c r="AV609" s="215"/>
      <c r="AW609" s="215"/>
      <c r="AX609" s="215"/>
      <c r="AY609" s="215"/>
      <c r="AZ609" s="215"/>
      <c r="BA609" s="215"/>
      <c r="BB609" s="215"/>
      <c r="BC609" s="215"/>
      <c r="BD609" s="215"/>
      <c r="BE609" s="215"/>
      <c r="BF609" s="215"/>
      <c r="BG609" s="215"/>
      <c r="BH609" s="215"/>
      <c r="BI609" s="215"/>
      <c r="BJ609" s="215"/>
      <c r="BK609" s="215"/>
      <c r="BL609" s="215"/>
      <c r="BM609" s="215"/>
      <c r="BN609" s="215"/>
      <c r="BO609" s="215"/>
      <c r="BP609" s="215"/>
      <c r="BQ609" s="215"/>
      <c r="BR609" s="215"/>
      <c r="BS609" s="215"/>
      <c r="BT609" s="215"/>
      <c r="BU609" s="215"/>
      <c r="BV609" s="215"/>
      <c r="BW609" s="215"/>
      <c r="BX609" s="215"/>
      <c r="BY609" s="215"/>
      <c r="BZ609" s="215"/>
    </row>
    <row r="610" spans="1:78" outlineLevel="1" x14ac:dyDescent="0.2">
      <c r="A610" s="2" t="str">
        <f>'Language Index'!A550</f>
        <v>Transition Asset/Obligation Recog. Next Period</v>
      </c>
      <c r="B610" s="17"/>
      <c r="C610" s="17"/>
      <c r="D610" s="18">
        <f>_xll.ciqfunctions.udf.CIQ($C$2,"IQ_PENSION_TRANSITION_NEXT",D$6,$F$2,,,Ccy,Conv)</f>
        <v>0</v>
      </c>
      <c r="E610" s="18">
        <f>_xll.ciqfunctions.udf.CIQ($C$2,"IQ_PENSION_TRANSITION_NEXT",E$6,$F$2,,,Ccy,Conv)</f>
        <v>0</v>
      </c>
      <c r="F610" s="18">
        <f>_xll.ciqfunctions.udf.CIQ($C$2,"IQ_PENSION_TRANSITION_NEXT",F$6,$F$2,,,Ccy,Conv)</f>
        <v>0</v>
      </c>
      <c r="G610" s="18">
        <f>_xll.ciqfunctions.udf.CIQ($C$2,"IQ_PENSION_TRANSITION_NEXT",G$6,$F$2,,,Ccy,Conv)</f>
        <v>0</v>
      </c>
      <c r="H610" s="18">
        <f>_xll.ciqfunctions.udf.CIQ($C$2,"IQ_PENSION_TRANSITION_NEXT",H$6,$F$2,,,Ccy,Conv)</f>
        <v>0</v>
      </c>
      <c r="I610" s="18">
        <f>_xll.ciqfunctions.udf.CIQ($C$2,"IQ_PENSION_TRANSITION_NEXT",I$6,$F$2,,,Ccy,Conv)</f>
        <v>0</v>
      </c>
      <c r="J610" s="18">
        <f>_xll.ciqfunctions.udf.CIQ($C$2,"IQ_PENSION_TRANSITION_NEXT",J$6,$F$2,,,Ccy,Conv)</f>
        <v>0</v>
      </c>
      <c r="K610" s="18">
        <f>_xll.ciqfunctions.udf.CIQ($C$2,"IQ_PENSION_TRANSITION_NEXT",K$6,$F$2,,,Ccy,Conv)</f>
        <v>0</v>
      </c>
      <c r="L610" s="18">
        <f>_xll.ciqfunctions.udf.CIQ($C$2,"IQ_PENSION_TRANSITION_NEXT",L$6,$F$2,,,Ccy,Conv)</f>
        <v>0</v>
      </c>
      <c r="M610" s="18">
        <f>_xll.ciqfunctions.udf.CIQ($C$2,"IQ_PENSION_TRANSITION_NEXT",M$6,$F$2,,,Ccy,Conv)</f>
        <v>0</v>
      </c>
      <c r="N610" s="18">
        <f>_xll.ciqfunctions.udf.CIQ($C$2,"IQ_PENSION_TRANSITION_NEXT",N$6,$F$2,,,Ccy,Conv)</f>
        <v>0</v>
      </c>
      <c r="O610" s="30"/>
      <c r="P610" s="18">
        <f>_xll.ciqfunctions.udf.CIQ($C$2,"IQ_PENSION_TRANSITION_NEXT",P$6,$F$2,,,Ccy,Conv)</f>
        <v>0</v>
      </c>
      <c r="Q610" s="215"/>
      <c r="R610" s="215"/>
      <c r="S610" s="215"/>
      <c r="T610" s="215"/>
      <c r="U610" s="215"/>
      <c r="V610" s="222"/>
      <c r="W610" s="222"/>
      <c r="X610" s="222"/>
      <c r="Y610" s="215"/>
      <c r="Z610" s="215"/>
      <c r="AA610" s="215"/>
      <c r="AB610" s="215"/>
      <c r="AC610" s="215"/>
      <c r="AD610" s="215"/>
      <c r="AE610" s="215"/>
      <c r="AF610" s="215"/>
      <c r="AG610" s="215"/>
      <c r="AH610" s="215"/>
      <c r="AI610" s="215"/>
      <c r="AJ610" s="215"/>
      <c r="AK610" s="215"/>
      <c r="AL610" s="215"/>
      <c r="AM610" s="215"/>
      <c r="AN610" s="215"/>
      <c r="AO610" s="215"/>
      <c r="AP610" s="215"/>
      <c r="AQ610" s="215"/>
      <c r="AR610" s="215"/>
      <c r="AS610" s="215"/>
      <c r="AT610" s="215"/>
      <c r="AU610" s="215"/>
      <c r="AV610" s="215"/>
      <c r="AW610" s="215"/>
      <c r="AX610" s="215"/>
      <c r="AY610" s="215"/>
      <c r="AZ610" s="215"/>
      <c r="BA610" s="215"/>
      <c r="BB610" s="215"/>
      <c r="BC610" s="215"/>
      <c r="BD610" s="215"/>
      <c r="BE610" s="215"/>
      <c r="BF610" s="215"/>
      <c r="BG610" s="215"/>
      <c r="BH610" s="215"/>
      <c r="BI610" s="215"/>
      <c r="BJ610" s="215"/>
      <c r="BK610" s="215"/>
      <c r="BL610" s="215"/>
      <c r="BM610" s="215"/>
      <c r="BN610" s="215"/>
      <c r="BO610" s="215"/>
      <c r="BP610" s="215"/>
      <c r="BQ610" s="215"/>
      <c r="BR610" s="215"/>
      <c r="BS610" s="215"/>
      <c r="BT610" s="215"/>
      <c r="BU610" s="215"/>
      <c r="BV610" s="215"/>
      <c r="BW610" s="215"/>
      <c r="BX610" s="215"/>
      <c r="BY610" s="215"/>
      <c r="BZ610" s="215"/>
    </row>
    <row r="611" spans="1:78" outlineLevel="1" x14ac:dyDescent="0.2">
      <c r="A611" s="2" t="str">
        <f>'Language Index'!A551</f>
        <v>Total Amount to be Recognized Next Period</v>
      </c>
      <c r="B611" s="17"/>
      <c r="C611" s="17"/>
      <c r="D611" s="18">
        <f>_xll.ciqfunctions.udf.CIQ($C$2,"IQ_PENSION_AMT_RECOG_PERIOD",D$6,$F$2,,,Ccy,Conv)</f>
        <v>0</v>
      </c>
      <c r="E611" s="18">
        <f>_xll.ciqfunctions.udf.CIQ($C$2,"IQ_PENSION_AMT_RECOG_PERIOD",E$6,$F$2,,,Ccy,Conv)</f>
        <v>0</v>
      </c>
      <c r="F611" s="18">
        <f>_xll.ciqfunctions.udf.CIQ($C$2,"IQ_PENSION_AMT_RECOG_PERIOD",F$6,$F$2,,,Ccy,Conv)</f>
        <v>0</v>
      </c>
      <c r="G611" s="18">
        <f>_xll.ciqfunctions.udf.CIQ($C$2,"IQ_PENSION_AMT_RECOG_PERIOD",G$6,$F$2,,,Ccy,Conv)</f>
        <v>0</v>
      </c>
      <c r="H611" s="18">
        <f>_xll.ciqfunctions.udf.CIQ($C$2,"IQ_PENSION_AMT_RECOG_PERIOD",H$6,$F$2,,,Ccy,Conv)</f>
        <v>0</v>
      </c>
      <c r="I611" s="18">
        <f>_xll.ciqfunctions.udf.CIQ($C$2,"IQ_PENSION_AMT_RECOG_PERIOD",I$6,$F$2,,,Ccy,Conv)</f>
        <v>0</v>
      </c>
      <c r="J611" s="18">
        <f>_xll.ciqfunctions.udf.CIQ($C$2,"IQ_PENSION_AMT_RECOG_PERIOD",J$6,$F$2,,,Ccy,Conv)</f>
        <v>0</v>
      </c>
      <c r="K611" s="18">
        <f>_xll.ciqfunctions.udf.CIQ($C$2,"IQ_PENSION_AMT_RECOG_PERIOD",K$6,$F$2,,,Ccy,Conv)</f>
        <v>0</v>
      </c>
      <c r="L611" s="18">
        <f>_xll.ciqfunctions.udf.CIQ($C$2,"IQ_PENSION_AMT_RECOG_PERIOD",L$6,$F$2,,,Ccy,Conv)</f>
        <v>0</v>
      </c>
      <c r="M611" s="18">
        <f>_xll.ciqfunctions.udf.CIQ($C$2,"IQ_PENSION_AMT_RECOG_PERIOD",M$6,$F$2,,,Ccy,Conv)</f>
        <v>0</v>
      </c>
      <c r="N611" s="18">
        <f>_xll.ciqfunctions.udf.CIQ($C$2,"IQ_PENSION_AMT_RECOG_PERIOD",N$6,$F$2,,,Ccy,Conv)</f>
        <v>0</v>
      </c>
      <c r="O611" s="30"/>
      <c r="P611" s="18">
        <f>_xll.ciqfunctions.udf.CIQ($C$2,"IQ_PENSION_AMT_RECOG_PERIOD",P$6,$F$2,,,Ccy,Conv)</f>
        <v>0</v>
      </c>
      <c r="Q611" s="215"/>
      <c r="R611" s="215"/>
      <c r="S611" s="215"/>
      <c r="T611" s="215"/>
      <c r="U611" s="215"/>
      <c r="V611" s="222"/>
      <c r="W611" s="222"/>
      <c r="X611" s="222"/>
      <c r="Y611" s="215"/>
      <c r="Z611" s="215"/>
      <c r="AA611" s="215"/>
      <c r="AB611" s="215"/>
      <c r="AC611" s="215"/>
      <c r="AD611" s="215"/>
      <c r="AE611" s="215"/>
      <c r="AF611" s="215"/>
      <c r="AG611" s="215"/>
      <c r="AH611" s="215"/>
      <c r="AI611" s="215"/>
      <c r="AJ611" s="215"/>
      <c r="AK611" s="215"/>
      <c r="AL611" s="215"/>
      <c r="AM611" s="215"/>
      <c r="AN611" s="215"/>
      <c r="AO611" s="215"/>
      <c r="AP611" s="215"/>
      <c r="AQ611" s="215"/>
      <c r="AR611" s="215"/>
      <c r="AS611" s="215"/>
      <c r="AT611" s="215"/>
      <c r="AU611" s="215"/>
      <c r="AV611" s="215"/>
      <c r="AW611" s="215"/>
      <c r="AX611" s="215"/>
      <c r="AY611" s="215"/>
      <c r="AZ611" s="215"/>
      <c r="BA611" s="215"/>
      <c r="BB611" s="215"/>
      <c r="BC611" s="215"/>
      <c r="BD611" s="215"/>
      <c r="BE611" s="215"/>
      <c r="BF611" s="215"/>
      <c r="BG611" s="215"/>
      <c r="BH611" s="215"/>
      <c r="BI611" s="215"/>
      <c r="BJ611" s="215"/>
      <c r="BK611" s="215"/>
      <c r="BL611" s="215"/>
      <c r="BM611" s="215"/>
      <c r="BN611" s="215"/>
      <c r="BO611" s="215"/>
      <c r="BP611" s="215"/>
      <c r="BQ611" s="215"/>
      <c r="BR611" s="215"/>
      <c r="BS611" s="215"/>
      <c r="BT611" s="215"/>
      <c r="BU611" s="215"/>
      <c r="BV611" s="215"/>
      <c r="BW611" s="215"/>
      <c r="BX611" s="215"/>
      <c r="BY611" s="215"/>
      <c r="BZ611" s="215"/>
    </row>
    <row r="612" spans="1:78" outlineLevel="1" x14ac:dyDescent="0.2">
      <c r="A612" s="9" t="str">
        <f>'Language Index'!A552</f>
        <v>Weighted Avg. Assumptions on Def. Benefit Obligation</v>
      </c>
      <c r="B612" s="17"/>
      <c r="C612" s="17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30"/>
      <c r="P612" s="18"/>
      <c r="Q612" s="245"/>
      <c r="R612" s="215"/>
      <c r="S612" s="215"/>
      <c r="T612" s="215"/>
      <c r="U612" s="215"/>
      <c r="V612" s="222"/>
      <c r="W612" s="222"/>
      <c r="X612" s="222"/>
      <c r="Y612" s="215"/>
      <c r="Z612" s="215"/>
      <c r="AA612" s="215"/>
      <c r="AB612" s="215"/>
      <c r="AC612" s="215"/>
      <c r="AD612" s="215"/>
      <c r="AE612" s="215"/>
      <c r="AF612" s="215"/>
      <c r="AG612" s="215"/>
      <c r="AH612" s="215"/>
      <c r="AI612" s="215"/>
      <c r="AJ612" s="215"/>
      <c r="AK612" s="215"/>
      <c r="AL612" s="215"/>
      <c r="AM612" s="215"/>
      <c r="AN612" s="215"/>
      <c r="AO612" s="215"/>
      <c r="AP612" s="215"/>
      <c r="AQ612" s="215"/>
      <c r="AR612" s="215"/>
      <c r="AS612" s="215"/>
      <c r="AT612" s="215"/>
      <c r="AU612" s="215"/>
      <c r="AV612" s="215"/>
      <c r="AW612" s="215"/>
      <c r="AX612" s="215"/>
      <c r="AY612" s="215"/>
      <c r="AZ612" s="215"/>
      <c r="BA612" s="215"/>
      <c r="BB612" s="215"/>
      <c r="BC612" s="215"/>
      <c r="BD612" s="215"/>
      <c r="BE612" s="215"/>
      <c r="BF612" s="215"/>
      <c r="BG612" s="215"/>
      <c r="BH612" s="215"/>
      <c r="BI612" s="215"/>
      <c r="BJ612" s="215"/>
      <c r="BK612" s="215"/>
      <c r="BL612" s="215"/>
      <c r="BM612" s="215"/>
      <c r="BN612" s="215"/>
      <c r="BO612" s="215"/>
      <c r="BP612" s="215"/>
      <c r="BQ612" s="215"/>
      <c r="BR612" s="215"/>
      <c r="BS612" s="215"/>
      <c r="BT612" s="215"/>
      <c r="BU612" s="215"/>
      <c r="BV612" s="215"/>
      <c r="BW612" s="215"/>
      <c r="BX612" s="215"/>
      <c r="BY612" s="215"/>
      <c r="BZ612" s="215"/>
    </row>
    <row r="613" spans="1:78" outlineLevel="1" x14ac:dyDescent="0.2">
      <c r="A613" s="2" t="str">
        <f>'Language Index'!A553</f>
        <v>PBO Assumed Rate of Return - Min</v>
      </c>
      <c r="B613" s="17"/>
      <c r="C613" s="17"/>
      <c r="D613" s="18">
        <f>_xll.ciqfunctions.udf.CIQ($C$2,"IQ_PENSION_PBO_ASSUMED_RATE_RET_MIN",D$6,$F$2)</f>
        <v>0</v>
      </c>
      <c r="E613" s="18">
        <f>_xll.ciqfunctions.udf.CIQ($C$2,"IQ_PENSION_PBO_ASSUMED_RATE_RET_MIN",E$6,$F$2)</f>
        <v>0</v>
      </c>
      <c r="F613" s="18">
        <f>_xll.ciqfunctions.udf.CIQ($C$2,"IQ_PENSION_PBO_ASSUMED_RATE_RET_MIN",F$6,$F$2)</f>
        <v>0</v>
      </c>
      <c r="G613" s="18">
        <f>_xll.ciqfunctions.udf.CIQ($C$2,"IQ_PENSION_PBO_ASSUMED_RATE_RET_MIN",G$6,$F$2)</f>
        <v>0</v>
      </c>
      <c r="H613" s="18">
        <f>_xll.ciqfunctions.udf.CIQ($C$2,"IQ_PENSION_PBO_ASSUMED_RATE_RET_MIN",H$6,$F$2)</f>
        <v>0</v>
      </c>
      <c r="I613" s="18">
        <f>_xll.ciqfunctions.udf.CIQ($C$2,"IQ_PENSION_PBO_ASSUMED_RATE_RET_MIN",I$6,$F$2)</f>
        <v>0</v>
      </c>
      <c r="J613" s="18">
        <f>_xll.ciqfunctions.udf.CIQ($C$2,"IQ_PENSION_PBO_ASSUMED_RATE_RET_MIN",J$6,$F$2)</f>
        <v>0</v>
      </c>
      <c r="K613" s="18">
        <f>_xll.ciqfunctions.udf.CIQ($C$2,"IQ_PENSION_PBO_ASSUMED_RATE_RET_MIN",K$6,$F$2)</f>
        <v>0</v>
      </c>
      <c r="L613" s="18">
        <f>_xll.ciqfunctions.udf.CIQ($C$2,"IQ_PENSION_PBO_ASSUMED_RATE_RET_MIN",L$6,$F$2)</f>
        <v>0</v>
      </c>
      <c r="M613" s="18">
        <f>_xll.ciqfunctions.udf.CIQ($C$2,"IQ_PENSION_PBO_ASSUMED_RATE_RET_MIN",M$6,$F$2)</f>
        <v>0</v>
      </c>
      <c r="N613" s="18">
        <f>_xll.ciqfunctions.udf.CIQ($C$2,"IQ_PENSION_PBO_ASSUMED_RATE_RET_MIN",N$6,$F$2)</f>
        <v>0</v>
      </c>
      <c r="O613" s="30"/>
      <c r="P613" s="18">
        <f>_xll.ciqfunctions.udf.CIQ($C$2,"IQ_PENSION_PBO_ASSUMED_RATE_RET_MIN",P$6,$F$2)</f>
        <v>0</v>
      </c>
      <c r="Q613" s="245"/>
      <c r="R613" s="215"/>
      <c r="S613" s="215"/>
      <c r="T613" s="215"/>
      <c r="U613" s="215"/>
      <c r="V613" s="222"/>
      <c r="W613" s="222"/>
      <c r="X613" s="222"/>
      <c r="Y613" s="215"/>
      <c r="Z613" s="215"/>
      <c r="AA613" s="215"/>
      <c r="AB613" s="215"/>
      <c r="AC613" s="215"/>
      <c r="AD613" s="215"/>
      <c r="AE613" s="215"/>
      <c r="AF613" s="215"/>
      <c r="AG613" s="215"/>
      <c r="AH613" s="215"/>
      <c r="AI613" s="215"/>
      <c r="AJ613" s="215"/>
      <c r="AK613" s="215"/>
      <c r="AL613" s="215"/>
      <c r="AM613" s="215"/>
      <c r="AN613" s="215"/>
      <c r="AO613" s="215"/>
      <c r="AP613" s="215"/>
      <c r="AQ613" s="215"/>
      <c r="AR613" s="215"/>
      <c r="AS613" s="215"/>
      <c r="AT613" s="215"/>
      <c r="AU613" s="215"/>
      <c r="AV613" s="215"/>
      <c r="AW613" s="215"/>
      <c r="AX613" s="215"/>
      <c r="AY613" s="215"/>
      <c r="AZ613" s="215"/>
      <c r="BA613" s="215"/>
      <c r="BB613" s="215"/>
      <c r="BC613" s="215"/>
      <c r="BD613" s="215"/>
      <c r="BE613" s="215"/>
      <c r="BF613" s="215"/>
      <c r="BG613" s="215"/>
      <c r="BH613" s="215"/>
      <c r="BI613" s="215"/>
      <c r="BJ613" s="215"/>
      <c r="BK613" s="215"/>
      <c r="BL613" s="215"/>
      <c r="BM613" s="215"/>
      <c r="BN613" s="215"/>
      <c r="BO613" s="215"/>
      <c r="BP613" s="215"/>
      <c r="BQ613" s="215"/>
      <c r="BR613" s="215"/>
      <c r="BS613" s="215"/>
      <c r="BT613" s="215"/>
      <c r="BU613" s="215"/>
      <c r="BV613" s="215"/>
      <c r="BW613" s="215"/>
      <c r="BX613" s="215"/>
      <c r="BY613" s="215"/>
      <c r="BZ613" s="215"/>
    </row>
    <row r="614" spans="1:78" outlineLevel="1" x14ac:dyDescent="0.2">
      <c r="A614" s="2" t="str">
        <f>'Language Index'!A554</f>
        <v>PBO Assumed Rate of Return - Max</v>
      </c>
      <c r="B614" s="17"/>
      <c r="C614" s="17"/>
      <c r="D614" s="18">
        <f>_xll.ciqfunctions.udf.CIQ($C$2,"IQ_PENSION_PBO_ASSUMED_RATE_RET_MAX",D$6,$F$2)</f>
        <v>0</v>
      </c>
      <c r="E614" s="18">
        <f>_xll.ciqfunctions.udf.CIQ($C$2,"IQ_PENSION_PBO_ASSUMED_RATE_RET_MAX",E$6,$F$2)</f>
        <v>0</v>
      </c>
      <c r="F614" s="18">
        <f>_xll.ciqfunctions.udf.CIQ($C$2,"IQ_PENSION_PBO_ASSUMED_RATE_RET_MAX",F$6,$F$2)</f>
        <v>0</v>
      </c>
      <c r="G614" s="18">
        <f>_xll.ciqfunctions.udf.CIQ($C$2,"IQ_PENSION_PBO_ASSUMED_RATE_RET_MAX",G$6,$F$2)</f>
        <v>0</v>
      </c>
      <c r="H614" s="18">
        <f>_xll.ciqfunctions.udf.CIQ($C$2,"IQ_PENSION_PBO_ASSUMED_RATE_RET_MAX",H$6,$F$2)</f>
        <v>0</v>
      </c>
      <c r="I614" s="18">
        <f>_xll.ciqfunctions.udf.CIQ($C$2,"IQ_PENSION_PBO_ASSUMED_RATE_RET_MAX",I$6,$F$2)</f>
        <v>0</v>
      </c>
      <c r="J614" s="18">
        <f>_xll.ciqfunctions.udf.CIQ($C$2,"IQ_PENSION_PBO_ASSUMED_RATE_RET_MAX",J$6,$F$2)</f>
        <v>0</v>
      </c>
      <c r="K614" s="18">
        <f>_xll.ciqfunctions.udf.CIQ($C$2,"IQ_PENSION_PBO_ASSUMED_RATE_RET_MAX",K$6,$F$2)</f>
        <v>0</v>
      </c>
      <c r="L614" s="18">
        <f>_xll.ciqfunctions.udf.CIQ($C$2,"IQ_PENSION_PBO_ASSUMED_RATE_RET_MAX",L$6,$F$2)</f>
        <v>0</v>
      </c>
      <c r="M614" s="18">
        <f>_xll.ciqfunctions.udf.CIQ($C$2,"IQ_PENSION_PBO_ASSUMED_RATE_RET_MAX",M$6,$F$2)</f>
        <v>0</v>
      </c>
      <c r="N614" s="18">
        <f>_xll.ciqfunctions.udf.CIQ($C$2,"IQ_PENSION_PBO_ASSUMED_RATE_RET_MAX",N$6,$F$2)</f>
        <v>0</v>
      </c>
      <c r="O614" s="30"/>
      <c r="P614" s="18">
        <f>_xll.ciqfunctions.udf.CIQ($C$2,"IQ_PENSION_PBO_ASSUMED_RATE_RET_MAX",P$6,$F$2)</f>
        <v>0</v>
      </c>
      <c r="Q614" s="245"/>
      <c r="R614" s="215"/>
      <c r="S614" s="215"/>
      <c r="T614" s="215"/>
      <c r="U614" s="215"/>
      <c r="V614" s="222"/>
      <c r="W614" s="222"/>
      <c r="X614" s="222"/>
      <c r="Y614" s="215"/>
      <c r="Z614" s="215"/>
      <c r="AA614" s="215"/>
      <c r="AB614" s="215"/>
      <c r="AC614" s="215"/>
      <c r="AD614" s="215"/>
      <c r="AE614" s="215"/>
      <c r="AF614" s="215"/>
      <c r="AG614" s="215"/>
      <c r="AH614" s="215"/>
      <c r="AI614" s="215"/>
      <c r="AJ614" s="215"/>
      <c r="AK614" s="215"/>
      <c r="AL614" s="215"/>
      <c r="AM614" s="215"/>
      <c r="AN614" s="215"/>
      <c r="AO614" s="215"/>
      <c r="AP614" s="215"/>
      <c r="AQ614" s="215"/>
      <c r="AR614" s="215"/>
      <c r="AS614" s="215"/>
      <c r="AT614" s="215"/>
      <c r="AU614" s="215"/>
      <c r="AV614" s="215"/>
      <c r="AW614" s="215"/>
      <c r="AX614" s="215"/>
      <c r="AY614" s="215"/>
      <c r="AZ614" s="215"/>
      <c r="BA614" s="215"/>
      <c r="BB614" s="215"/>
      <c r="BC614" s="215"/>
      <c r="BD614" s="215"/>
      <c r="BE614" s="215"/>
      <c r="BF614" s="215"/>
      <c r="BG614" s="215"/>
      <c r="BH614" s="215"/>
      <c r="BI614" s="215"/>
      <c r="BJ614" s="215"/>
      <c r="BK614" s="215"/>
      <c r="BL614" s="215"/>
      <c r="BM614" s="215"/>
      <c r="BN614" s="215"/>
      <c r="BO614" s="215"/>
      <c r="BP614" s="215"/>
      <c r="BQ614" s="215"/>
      <c r="BR614" s="215"/>
      <c r="BS614" s="215"/>
      <c r="BT614" s="215"/>
      <c r="BU614" s="215"/>
      <c r="BV614" s="215"/>
      <c r="BW614" s="215"/>
      <c r="BX614" s="215"/>
      <c r="BY614" s="215"/>
      <c r="BZ614" s="215"/>
    </row>
    <row r="615" spans="1:78" outlineLevel="1" x14ac:dyDescent="0.2">
      <c r="A615" s="2" t="str">
        <f>'Language Index'!A555</f>
        <v>Rate of PBO Compensation Increase - Min</v>
      </c>
      <c r="B615" s="17"/>
      <c r="C615" s="17"/>
      <c r="D615" s="18">
        <f>_xll.ciqfunctions.udf.CIQ($C$2,"IQ_PENSION_PBO_RATE_COMP_INCREASE_MIN",D$6,$F$2)</f>
        <v>0</v>
      </c>
      <c r="E615" s="18">
        <f>_xll.ciqfunctions.udf.CIQ($C$2,"IQ_PENSION_PBO_RATE_COMP_INCREASE_MIN",E$6,$F$2)</f>
        <v>0</v>
      </c>
      <c r="F615" s="18">
        <f>_xll.ciqfunctions.udf.CIQ($C$2,"IQ_PENSION_PBO_RATE_COMP_INCREASE_MIN",F$6,$F$2)</f>
        <v>0</v>
      </c>
      <c r="G615" s="18">
        <f>_xll.ciqfunctions.udf.CIQ($C$2,"IQ_PENSION_PBO_RATE_COMP_INCREASE_MIN",G$6,$F$2)</f>
        <v>0</v>
      </c>
      <c r="H615" s="18">
        <f>_xll.ciqfunctions.udf.CIQ($C$2,"IQ_PENSION_PBO_RATE_COMP_INCREASE_MIN",H$6,$F$2)</f>
        <v>0</v>
      </c>
      <c r="I615" s="18">
        <f>_xll.ciqfunctions.udf.CIQ($C$2,"IQ_PENSION_PBO_RATE_COMP_INCREASE_MIN",I$6,$F$2)</f>
        <v>0</v>
      </c>
      <c r="J615" s="18">
        <f>_xll.ciqfunctions.udf.CIQ($C$2,"IQ_PENSION_PBO_RATE_COMP_INCREASE_MIN",J$6,$F$2)</f>
        <v>0</v>
      </c>
      <c r="K615" s="18">
        <f>_xll.ciqfunctions.udf.CIQ($C$2,"IQ_PENSION_PBO_RATE_COMP_INCREASE_MIN",K$6,$F$2)</f>
        <v>0</v>
      </c>
      <c r="L615" s="18">
        <f>_xll.ciqfunctions.udf.CIQ($C$2,"IQ_PENSION_PBO_RATE_COMP_INCREASE_MIN",L$6,$F$2)</f>
        <v>0</v>
      </c>
      <c r="M615" s="18">
        <f>_xll.ciqfunctions.udf.CIQ($C$2,"IQ_PENSION_PBO_RATE_COMP_INCREASE_MIN",M$6,$F$2)</f>
        <v>0</v>
      </c>
      <c r="N615" s="18">
        <f>_xll.ciqfunctions.udf.CIQ($C$2,"IQ_PENSION_PBO_RATE_COMP_INCREASE_MIN",N$6,$F$2)</f>
        <v>0</v>
      </c>
      <c r="O615" s="30"/>
      <c r="P615" s="18">
        <f>_xll.ciqfunctions.udf.CIQ($C$2,"IQ_PENSION_PBO_RATE_COMP_INCREASE_MIN",P$6,$F$2)</f>
        <v>0</v>
      </c>
      <c r="Q615" s="215"/>
      <c r="R615" s="215"/>
      <c r="S615" s="215"/>
      <c r="T615" s="215"/>
      <c r="U615" s="215"/>
      <c r="V615" s="222"/>
      <c r="W615" s="222"/>
      <c r="X615" s="222"/>
      <c r="Y615" s="215"/>
      <c r="Z615" s="215"/>
      <c r="AA615" s="215"/>
      <c r="AB615" s="215"/>
      <c r="AC615" s="215"/>
      <c r="AD615" s="215"/>
      <c r="AE615" s="215"/>
      <c r="AF615" s="215"/>
      <c r="AG615" s="215"/>
      <c r="AH615" s="215"/>
      <c r="AI615" s="215"/>
      <c r="AJ615" s="215"/>
      <c r="AK615" s="215"/>
      <c r="AL615" s="215"/>
      <c r="AM615" s="215"/>
      <c r="AN615" s="215"/>
      <c r="AO615" s="215"/>
      <c r="AP615" s="215"/>
      <c r="AQ615" s="215"/>
      <c r="AR615" s="215"/>
      <c r="AS615" s="215"/>
      <c r="AT615" s="215"/>
      <c r="AU615" s="215"/>
      <c r="AV615" s="215"/>
      <c r="AW615" s="215"/>
      <c r="AX615" s="215"/>
      <c r="AY615" s="215"/>
      <c r="AZ615" s="215"/>
      <c r="BA615" s="215"/>
      <c r="BB615" s="215"/>
      <c r="BC615" s="215"/>
      <c r="BD615" s="215"/>
      <c r="BE615" s="215"/>
      <c r="BF615" s="215"/>
      <c r="BG615" s="215"/>
      <c r="BH615" s="215"/>
      <c r="BI615" s="215"/>
      <c r="BJ615" s="215"/>
      <c r="BK615" s="215"/>
      <c r="BL615" s="215"/>
      <c r="BM615" s="215"/>
      <c r="BN615" s="215"/>
      <c r="BO615" s="215"/>
      <c r="BP615" s="215"/>
      <c r="BQ615" s="215"/>
      <c r="BR615" s="215"/>
      <c r="BS615" s="215"/>
      <c r="BT615" s="215"/>
      <c r="BU615" s="215"/>
      <c r="BV615" s="215"/>
      <c r="BW615" s="215"/>
      <c r="BX615" s="215"/>
      <c r="BY615" s="215"/>
      <c r="BZ615" s="215"/>
    </row>
    <row r="616" spans="1:78" outlineLevel="1" x14ac:dyDescent="0.2">
      <c r="A616" s="2" t="str">
        <f>'Language Index'!A556</f>
        <v>Rate of PBO Compensation Increase - Max</v>
      </c>
      <c r="B616" s="17"/>
      <c r="C616" s="17"/>
      <c r="D616" s="18">
        <f>_xll.ciqfunctions.udf.CIQ($C$2,"IQ_PENSION_PBO_RATE_COMP_INCREASE_MAX",D$6,$F$2)</f>
        <v>0</v>
      </c>
      <c r="E616" s="18">
        <f>_xll.ciqfunctions.udf.CIQ($C$2,"IQ_PENSION_PBO_RATE_COMP_INCREASE_MAX",E$6,$F$2)</f>
        <v>0</v>
      </c>
      <c r="F616" s="18">
        <f>_xll.ciqfunctions.udf.CIQ($C$2,"IQ_PENSION_PBO_RATE_COMP_INCREASE_MAX",F$6,$F$2)</f>
        <v>0</v>
      </c>
      <c r="G616" s="18">
        <f>_xll.ciqfunctions.udf.CIQ($C$2,"IQ_PENSION_PBO_RATE_COMP_INCREASE_MAX",G$6,$F$2)</f>
        <v>0</v>
      </c>
      <c r="H616" s="18">
        <f>_xll.ciqfunctions.udf.CIQ($C$2,"IQ_PENSION_PBO_RATE_COMP_INCREASE_MAX",H$6,$F$2)</f>
        <v>0</v>
      </c>
      <c r="I616" s="18">
        <f>_xll.ciqfunctions.udf.CIQ($C$2,"IQ_PENSION_PBO_RATE_COMP_INCREASE_MAX",I$6,$F$2)</f>
        <v>0</v>
      </c>
      <c r="J616" s="18">
        <f>_xll.ciqfunctions.udf.CIQ($C$2,"IQ_PENSION_PBO_RATE_COMP_INCREASE_MAX",J$6,$F$2)</f>
        <v>0</v>
      </c>
      <c r="K616" s="18">
        <f>_xll.ciqfunctions.udf.CIQ($C$2,"IQ_PENSION_PBO_RATE_COMP_INCREASE_MAX",K$6,$F$2)</f>
        <v>0</v>
      </c>
      <c r="L616" s="18">
        <f>_xll.ciqfunctions.udf.CIQ($C$2,"IQ_PENSION_PBO_RATE_COMP_INCREASE_MAX",L$6,$F$2)</f>
        <v>0</v>
      </c>
      <c r="M616" s="18">
        <f>_xll.ciqfunctions.udf.CIQ($C$2,"IQ_PENSION_PBO_RATE_COMP_INCREASE_MAX",M$6,$F$2)</f>
        <v>0</v>
      </c>
      <c r="N616" s="18">
        <f>_xll.ciqfunctions.udf.CIQ($C$2,"IQ_PENSION_PBO_RATE_COMP_INCREASE_MAX",N$6,$F$2)</f>
        <v>0</v>
      </c>
      <c r="O616" s="30"/>
      <c r="P616" s="18">
        <f>_xll.ciqfunctions.udf.CIQ($C$2,"IQ_PENSION_PBO_RATE_COMP_INCREASE_MAX",P$6,$F$2)</f>
        <v>0</v>
      </c>
      <c r="Q616" s="215"/>
      <c r="R616" s="215"/>
      <c r="S616" s="215"/>
      <c r="T616" s="215"/>
      <c r="U616" s="215"/>
      <c r="V616" s="222"/>
      <c r="W616" s="222"/>
      <c r="X616" s="222"/>
      <c r="Y616" s="215"/>
      <c r="Z616" s="215"/>
      <c r="AA616" s="215"/>
      <c r="AB616" s="215"/>
      <c r="AC616" s="215"/>
      <c r="AD616" s="215"/>
      <c r="AE616" s="215"/>
      <c r="AF616" s="215"/>
      <c r="AG616" s="215"/>
      <c r="AH616" s="215"/>
      <c r="AI616" s="215"/>
      <c r="AJ616" s="215"/>
      <c r="AK616" s="215"/>
      <c r="AL616" s="215"/>
      <c r="AM616" s="215"/>
      <c r="AN616" s="215"/>
      <c r="AO616" s="215"/>
      <c r="AP616" s="215"/>
      <c r="AQ616" s="215"/>
      <c r="AR616" s="215"/>
      <c r="AS616" s="215"/>
      <c r="AT616" s="215"/>
      <c r="AU616" s="215"/>
      <c r="AV616" s="215"/>
      <c r="AW616" s="215"/>
      <c r="AX616" s="215"/>
      <c r="AY616" s="215"/>
      <c r="AZ616" s="215"/>
      <c r="BA616" s="215"/>
      <c r="BB616" s="215"/>
      <c r="BC616" s="215"/>
      <c r="BD616" s="215"/>
      <c r="BE616" s="215"/>
      <c r="BF616" s="215"/>
      <c r="BG616" s="215"/>
      <c r="BH616" s="215"/>
      <c r="BI616" s="215"/>
      <c r="BJ616" s="215"/>
      <c r="BK616" s="215"/>
      <c r="BL616" s="215"/>
      <c r="BM616" s="215"/>
      <c r="BN616" s="215"/>
      <c r="BO616" s="215"/>
      <c r="BP616" s="215"/>
      <c r="BQ616" s="215"/>
      <c r="BR616" s="215"/>
      <c r="BS616" s="215"/>
      <c r="BT616" s="215"/>
      <c r="BU616" s="215"/>
      <c r="BV616" s="215"/>
      <c r="BW616" s="215"/>
      <c r="BX616" s="215"/>
      <c r="BY616" s="215"/>
      <c r="BZ616" s="215"/>
    </row>
    <row r="617" spans="1:78" outlineLevel="1" x14ac:dyDescent="0.2">
      <c r="A617" s="9" t="str">
        <f>'Language Index'!A557</f>
        <v>Estimated Future Benefits Paid</v>
      </c>
      <c r="B617" s="17"/>
      <c r="C617" s="17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30"/>
      <c r="P617" s="18"/>
      <c r="Q617" s="215"/>
      <c r="R617" s="215"/>
      <c r="S617" s="215"/>
      <c r="T617" s="215"/>
      <c r="U617" s="215"/>
      <c r="V617" s="222"/>
      <c r="W617" s="222"/>
      <c r="X617" s="222"/>
      <c r="Y617" s="215"/>
      <c r="Z617" s="215"/>
      <c r="AA617" s="215"/>
      <c r="AB617" s="215"/>
      <c r="AC617" s="215"/>
      <c r="AD617" s="215"/>
      <c r="AE617" s="215"/>
      <c r="AF617" s="215"/>
      <c r="AG617" s="215"/>
      <c r="AH617" s="215"/>
      <c r="AI617" s="215"/>
      <c r="AJ617" s="215"/>
      <c r="AK617" s="215"/>
      <c r="AL617" s="215"/>
      <c r="AM617" s="215"/>
      <c r="AN617" s="215"/>
      <c r="AO617" s="215"/>
      <c r="AP617" s="215"/>
      <c r="AQ617" s="215"/>
      <c r="AR617" s="215"/>
      <c r="AS617" s="215"/>
      <c r="AT617" s="215"/>
      <c r="AU617" s="215"/>
      <c r="AV617" s="215"/>
      <c r="AW617" s="215"/>
      <c r="AX617" s="215"/>
      <c r="AY617" s="215"/>
      <c r="AZ617" s="215"/>
      <c r="BA617" s="215"/>
      <c r="BB617" s="215"/>
      <c r="BC617" s="215"/>
      <c r="BD617" s="215"/>
      <c r="BE617" s="215"/>
      <c r="BF617" s="215"/>
      <c r="BG617" s="215"/>
      <c r="BH617" s="215"/>
      <c r="BI617" s="215"/>
      <c r="BJ617" s="215"/>
      <c r="BK617" s="215"/>
      <c r="BL617" s="215"/>
      <c r="BM617" s="215"/>
      <c r="BN617" s="215"/>
      <c r="BO617" s="215"/>
      <c r="BP617" s="215"/>
      <c r="BQ617" s="215"/>
      <c r="BR617" s="215"/>
      <c r="BS617" s="215"/>
      <c r="BT617" s="215"/>
      <c r="BU617" s="215"/>
      <c r="BV617" s="215"/>
      <c r="BW617" s="215"/>
      <c r="BX617" s="215"/>
      <c r="BY617" s="215"/>
      <c r="BZ617" s="215"/>
    </row>
    <row r="618" spans="1:78" outlineLevel="1" x14ac:dyDescent="0.2">
      <c r="A618" s="2" t="str">
        <f>'Language Index'!A558</f>
        <v>Est. Future Benefits Paid - 1st Yr</v>
      </c>
      <c r="B618" s="17"/>
      <c r="C618" s="17"/>
      <c r="D618" s="18">
        <f>_xll.ciqfunctions.udf.CIQ($C$2,"IQ_PENSION_EST_BENEFIT_1YR",D$6,$F$2,,,Ccy,Conv)</f>
        <v>0</v>
      </c>
      <c r="E618" s="18">
        <f>_xll.ciqfunctions.udf.CIQ($C$2,"IQ_PENSION_EST_BENEFIT_1YR",E$6,$F$2,,,Ccy,Conv)</f>
        <v>0</v>
      </c>
      <c r="F618" s="18">
        <f>_xll.ciqfunctions.udf.CIQ($C$2,"IQ_PENSION_EST_BENEFIT_1YR",F$6,$F$2,,,Ccy,Conv)</f>
        <v>4261</v>
      </c>
      <c r="G618" s="18">
        <f>_xll.ciqfunctions.udf.CIQ($C$2,"IQ_PENSION_EST_BENEFIT_1YR",G$6,$F$2,,,Ccy,Conv)</f>
        <v>0</v>
      </c>
      <c r="H618" s="18">
        <f>_xll.ciqfunctions.udf.CIQ($C$2,"IQ_PENSION_EST_BENEFIT_1YR",H$6,$F$2,,,Ccy,Conv)</f>
        <v>0</v>
      </c>
      <c r="I618" s="18">
        <f>_xll.ciqfunctions.udf.CIQ($C$2,"IQ_PENSION_EST_BENEFIT_1YR",I$6,$F$2,,,Ccy,Conv)</f>
        <v>0</v>
      </c>
      <c r="J618" s="18">
        <f>_xll.ciqfunctions.udf.CIQ($C$2,"IQ_PENSION_EST_BENEFIT_1YR",J$6,$F$2,,,Ccy,Conv)</f>
        <v>3338</v>
      </c>
      <c r="K618" s="18">
        <f>_xll.ciqfunctions.udf.CIQ($C$2,"IQ_PENSION_EST_BENEFIT_1YR",K$6,$F$2,,,Ccy,Conv)</f>
        <v>0</v>
      </c>
      <c r="L618" s="18">
        <f>_xll.ciqfunctions.udf.CIQ($C$2,"IQ_PENSION_EST_BENEFIT_1YR",L$6,$F$2,,,Ccy,Conv)</f>
        <v>0</v>
      </c>
      <c r="M618" s="18">
        <f>_xll.ciqfunctions.udf.CIQ($C$2,"IQ_PENSION_EST_BENEFIT_1YR",M$6,$F$2,,,Ccy,Conv)</f>
        <v>0</v>
      </c>
      <c r="N618" s="18">
        <f>_xll.ciqfunctions.udf.CIQ($C$2,"IQ_PENSION_EST_BENEFIT_1YR",N$6,$F$2,,,Ccy,Conv)</f>
        <v>3713</v>
      </c>
      <c r="O618" s="30"/>
      <c r="P618" s="18">
        <f>_xll.ciqfunctions.udf.CIQ($C$2,"IQ_PENSION_EST_BENEFIT_1YR",P$6,$F$2,,,Ccy,Conv)</f>
        <v>3713</v>
      </c>
      <c r="Q618" s="215"/>
      <c r="R618" s="215"/>
      <c r="S618" s="215"/>
      <c r="T618" s="215"/>
      <c r="U618" s="215"/>
      <c r="V618" s="222"/>
      <c r="W618" s="222"/>
      <c r="X618" s="222"/>
      <c r="Y618" s="215"/>
      <c r="Z618" s="215"/>
      <c r="AA618" s="215"/>
      <c r="AB618" s="215"/>
      <c r="AC618" s="215"/>
      <c r="AD618" s="215"/>
      <c r="AE618" s="215"/>
      <c r="AF618" s="215"/>
      <c r="AG618" s="215"/>
      <c r="AH618" s="215"/>
      <c r="AI618" s="215"/>
      <c r="AJ618" s="215"/>
      <c r="AK618" s="215"/>
      <c r="AL618" s="215"/>
      <c r="AM618" s="215"/>
      <c r="AN618" s="215"/>
      <c r="AO618" s="215"/>
      <c r="AP618" s="215"/>
      <c r="AQ618" s="215"/>
      <c r="AR618" s="215"/>
      <c r="AS618" s="215"/>
      <c r="AT618" s="215"/>
      <c r="AU618" s="215"/>
      <c r="AV618" s="215"/>
      <c r="AW618" s="215"/>
      <c r="AX618" s="215"/>
      <c r="AY618" s="215"/>
      <c r="AZ618" s="215"/>
      <c r="BA618" s="215"/>
      <c r="BB618" s="215"/>
      <c r="BC618" s="215"/>
      <c r="BD618" s="215"/>
      <c r="BE618" s="215"/>
      <c r="BF618" s="215"/>
      <c r="BG618" s="215"/>
      <c r="BH618" s="215"/>
      <c r="BI618" s="215"/>
      <c r="BJ618" s="215"/>
      <c r="BK618" s="215"/>
      <c r="BL618" s="215"/>
      <c r="BM618" s="215"/>
      <c r="BN618" s="215"/>
      <c r="BO618" s="215"/>
      <c r="BP618" s="215"/>
      <c r="BQ618" s="215"/>
      <c r="BR618" s="215"/>
      <c r="BS618" s="215"/>
      <c r="BT618" s="215"/>
      <c r="BU618" s="215"/>
      <c r="BV618" s="215"/>
      <c r="BW618" s="215"/>
      <c r="BX618" s="215"/>
      <c r="BY618" s="215"/>
      <c r="BZ618" s="215"/>
    </row>
    <row r="619" spans="1:78" outlineLevel="1" x14ac:dyDescent="0.2">
      <c r="A619" s="2" t="str">
        <f>'Language Index'!A559</f>
        <v>Est. Future Benefits Paid - 2nd Yr</v>
      </c>
      <c r="B619" s="17"/>
      <c r="C619" s="17"/>
      <c r="D619" s="18">
        <f>_xll.ciqfunctions.udf.CIQ($C$2,"IQ_PENSION_EST_BENEFIT_2YR",D$6,$F$2,,,Ccy,Conv)</f>
        <v>0</v>
      </c>
      <c r="E619" s="18">
        <f>_xll.ciqfunctions.udf.CIQ($C$2,"IQ_PENSION_EST_BENEFIT_2YR",E$6,$F$2,,,Ccy,Conv)</f>
        <v>0</v>
      </c>
      <c r="F619" s="18">
        <f>_xll.ciqfunctions.udf.CIQ($C$2,"IQ_PENSION_EST_BENEFIT_2YR",F$6,$F$2,,,Ccy,Conv)</f>
        <v>4287</v>
      </c>
      <c r="G619" s="18">
        <f>_xll.ciqfunctions.udf.CIQ($C$2,"IQ_PENSION_EST_BENEFIT_2YR",G$6,$F$2,,,Ccy,Conv)</f>
        <v>0</v>
      </c>
      <c r="H619" s="18">
        <f>_xll.ciqfunctions.udf.CIQ($C$2,"IQ_PENSION_EST_BENEFIT_2YR",H$6,$F$2,,,Ccy,Conv)</f>
        <v>0</v>
      </c>
      <c r="I619" s="18">
        <f>_xll.ciqfunctions.udf.CIQ($C$2,"IQ_PENSION_EST_BENEFIT_2YR",I$6,$F$2,,,Ccy,Conv)</f>
        <v>0</v>
      </c>
      <c r="J619" s="18">
        <f>_xll.ciqfunctions.udf.CIQ($C$2,"IQ_PENSION_EST_BENEFIT_2YR",J$6,$F$2,,,Ccy,Conv)</f>
        <v>3281</v>
      </c>
      <c r="K619" s="18">
        <f>_xll.ciqfunctions.udf.CIQ($C$2,"IQ_PENSION_EST_BENEFIT_2YR",K$6,$F$2,,,Ccy,Conv)</f>
        <v>0</v>
      </c>
      <c r="L619" s="18">
        <f>_xll.ciqfunctions.udf.CIQ($C$2,"IQ_PENSION_EST_BENEFIT_2YR",L$6,$F$2,,,Ccy,Conv)</f>
        <v>0</v>
      </c>
      <c r="M619" s="18">
        <f>_xll.ciqfunctions.udf.CIQ($C$2,"IQ_PENSION_EST_BENEFIT_2YR",M$6,$F$2,,,Ccy,Conv)</f>
        <v>0</v>
      </c>
      <c r="N619" s="18">
        <f>_xll.ciqfunctions.udf.CIQ($C$2,"IQ_PENSION_EST_BENEFIT_2YR",N$6,$F$2,,,Ccy,Conv)</f>
        <v>3635</v>
      </c>
      <c r="O619" s="30"/>
      <c r="P619" s="18">
        <f>_xll.ciqfunctions.udf.CIQ($C$2,"IQ_PENSION_EST_BENEFIT_2YR",P$6,$F$2,,,Ccy,Conv)</f>
        <v>3635</v>
      </c>
      <c r="Q619" s="215"/>
      <c r="R619" s="215"/>
      <c r="S619" s="215"/>
      <c r="T619" s="215"/>
      <c r="U619" s="215"/>
      <c r="V619" s="222"/>
      <c r="W619" s="222"/>
      <c r="X619" s="222"/>
      <c r="Y619" s="215"/>
      <c r="Z619" s="215"/>
      <c r="AA619" s="215"/>
      <c r="AB619" s="215"/>
      <c r="AC619" s="215"/>
      <c r="AD619" s="215"/>
      <c r="AE619" s="215"/>
      <c r="AF619" s="215"/>
      <c r="AG619" s="215"/>
      <c r="AH619" s="215"/>
      <c r="AI619" s="215"/>
      <c r="AJ619" s="215"/>
      <c r="AK619" s="215"/>
      <c r="AL619" s="215"/>
      <c r="AM619" s="215"/>
      <c r="AN619" s="215"/>
      <c r="AO619" s="215"/>
      <c r="AP619" s="215"/>
      <c r="AQ619" s="215"/>
      <c r="AR619" s="215"/>
      <c r="AS619" s="215"/>
      <c r="AT619" s="215"/>
      <c r="AU619" s="215"/>
      <c r="AV619" s="215"/>
      <c r="AW619" s="215"/>
      <c r="AX619" s="215"/>
      <c r="AY619" s="215"/>
      <c r="AZ619" s="215"/>
      <c r="BA619" s="215"/>
      <c r="BB619" s="215"/>
      <c r="BC619" s="215"/>
      <c r="BD619" s="215"/>
      <c r="BE619" s="215"/>
      <c r="BF619" s="215"/>
      <c r="BG619" s="215"/>
      <c r="BH619" s="215"/>
      <c r="BI619" s="215"/>
      <c r="BJ619" s="215"/>
      <c r="BK619" s="215"/>
      <c r="BL619" s="215"/>
      <c r="BM619" s="215"/>
      <c r="BN619" s="215"/>
      <c r="BO619" s="215"/>
      <c r="BP619" s="215"/>
      <c r="BQ619" s="215"/>
      <c r="BR619" s="215"/>
      <c r="BS619" s="215"/>
      <c r="BT619" s="215"/>
      <c r="BU619" s="215"/>
      <c r="BV619" s="215"/>
      <c r="BW619" s="215"/>
      <c r="BX619" s="215"/>
      <c r="BY619" s="215"/>
      <c r="BZ619" s="215"/>
    </row>
    <row r="620" spans="1:78" outlineLevel="1" x14ac:dyDescent="0.2">
      <c r="A620" s="2" t="str">
        <f>'Language Index'!A560</f>
        <v>Est. Future Benefits Paid - 3rd Yr</v>
      </c>
      <c r="B620" s="17"/>
      <c r="C620" s="17"/>
      <c r="D620" s="18">
        <f>_xll.ciqfunctions.udf.CIQ($C$2,"IQ_PENSION_EST_BENEFIT_3YR",D$6,$F$2,,,Ccy,Conv)</f>
        <v>0</v>
      </c>
      <c r="E620" s="18">
        <f>_xll.ciqfunctions.udf.CIQ($C$2,"IQ_PENSION_EST_BENEFIT_3YR",E$6,$F$2,,,Ccy,Conv)</f>
        <v>0</v>
      </c>
      <c r="F620" s="18">
        <f>_xll.ciqfunctions.udf.CIQ($C$2,"IQ_PENSION_EST_BENEFIT_3YR",F$6,$F$2,,,Ccy,Conv)</f>
        <v>4283</v>
      </c>
      <c r="G620" s="18">
        <f>_xll.ciqfunctions.udf.CIQ($C$2,"IQ_PENSION_EST_BENEFIT_3YR",G$6,$F$2,,,Ccy,Conv)</f>
        <v>0</v>
      </c>
      <c r="H620" s="18">
        <f>_xll.ciqfunctions.udf.CIQ($C$2,"IQ_PENSION_EST_BENEFIT_3YR",H$6,$F$2,,,Ccy,Conv)</f>
        <v>0</v>
      </c>
      <c r="I620" s="18">
        <f>_xll.ciqfunctions.udf.CIQ($C$2,"IQ_PENSION_EST_BENEFIT_3YR",I$6,$F$2,,,Ccy,Conv)</f>
        <v>0</v>
      </c>
      <c r="J620" s="18">
        <f>_xll.ciqfunctions.udf.CIQ($C$2,"IQ_PENSION_EST_BENEFIT_3YR",J$6,$F$2,,,Ccy,Conv)</f>
        <v>3300</v>
      </c>
      <c r="K620" s="18">
        <f>_xll.ciqfunctions.udf.CIQ($C$2,"IQ_PENSION_EST_BENEFIT_3YR",K$6,$F$2,,,Ccy,Conv)</f>
        <v>0</v>
      </c>
      <c r="L620" s="18">
        <f>_xll.ciqfunctions.udf.CIQ($C$2,"IQ_PENSION_EST_BENEFIT_3YR",L$6,$F$2,,,Ccy,Conv)</f>
        <v>0</v>
      </c>
      <c r="M620" s="18">
        <f>_xll.ciqfunctions.udf.CIQ($C$2,"IQ_PENSION_EST_BENEFIT_3YR",M$6,$F$2,,,Ccy,Conv)</f>
        <v>0</v>
      </c>
      <c r="N620" s="18">
        <f>_xll.ciqfunctions.udf.CIQ($C$2,"IQ_PENSION_EST_BENEFIT_3YR",N$6,$F$2,,,Ccy,Conv)</f>
        <v>3626</v>
      </c>
      <c r="O620" s="30"/>
      <c r="P620" s="18">
        <f>_xll.ciqfunctions.udf.CIQ($C$2,"IQ_PENSION_EST_BENEFIT_3YR",P$6,$F$2,,,Ccy,Conv)</f>
        <v>3626</v>
      </c>
      <c r="Q620" s="215"/>
      <c r="R620" s="215"/>
      <c r="S620" s="215"/>
      <c r="T620" s="215"/>
      <c r="U620" s="215"/>
      <c r="V620" s="222"/>
      <c r="W620" s="222"/>
      <c r="X620" s="222"/>
      <c r="Y620" s="215"/>
      <c r="Z620" s="215"/>
      <c r="AA620" s="215"/>
      <c r="AB620" s="215"/>
      <c r="AC620" s="215"/>
      <c r="AD620" s="215"/>
      <c r="AE620" s="215"/>
      <c r="AF620" s="215"/>
      <c r="AG620" s="215"/>
      <c r="AH620" s="215"/>
      <c r="AI620" s="215"/>
      <c r="AJ620" s="215"/>
      <c r="AK620" s="215"/>
      <c r="AL620" s="215"/>
      <c r="AM620" s="215"/>
      <c r="AN620" s="215"/>
      <c r="AO620" s="215"/>
      <c r="AP620" s="215"/>
      <c r="AQ620" s="215"/>
      <c r="AR620" s="215"/>
      <c r="AS620" s="215"/>
      <c r="AT620" s="215"/>
      <c r="AU620" s="215"/>
      <c r="AV620" s="215"/>
      <c r="AW620" s="215"/>
      <c r="AX620" s="215"/>
      <c r="AY620" s="215"/>
      <c r="AZ620" s="215"/>
      <c r="BA620" s="215"/>
      <c r="BB620" s="215"/>
      <c r="BC620" s="215"/>
      <c r="BD620" s="215"/>
      <c r="BE620" s="215"/>
      <c r="BF620" s="215"/>
      <c r="BG620" s="215"/>
      <c r="BH620" s="215"/>
      <c r="BI620" s="215"/>
      <c r="BJ620" s="215"/>
      <c r="BK620" s="215"/>
      <c r="BL620" s="215"/>
      <c r="BM620" s="215"/>
      <c r="BN620" s="215"/>
      <c r="BO620" s="215"/>
      <c r="BP620" s="215"/>
      <c r="BQ620" s="215"/>
      <c r="BR620" s="215"/>
      <c r="BS620" s="215"/>
      <c r="BT620" s="215"/>
      <c r="BU620" s="215"/>
      <c r="BV620" s="215"/>
      <c r="BW620" s="215"/>
      <c r="BX620" s="215"/>
      <c r="BY620" s="215"/>
      <c r="BZ620" s="215"/>
    </row>
    <row r="621" spans="1:78" outlineLevel="1" x14ac:dyDescent="0.2">
      <c r="A621" s="2" t="str">
        <f>'Language Index'!A561</f>
        <v>Est. Future Benefits Paid - 4th Yr</v>
      </c>
      <c r="B621" s="17"/>
      <c r="C621" s="17"/>
      <c r="D621" s="18">
        <f>_xll.ciqfunctions.udf.CIQ($C$2,"IQ_PENSION_EST_BENEFIT_4YR",D$6,$F$2,,,Ccy,Conv)</f>
        <v>0</v>
      </c>
      <c r="E621" s="18">
        <f>_xll.ciqfunctions.udf.CIQ($C$2,"IQ_PENSION_EST_BENEFIT_4YR",E$6,$F$2,,,Ccy,Conv)</f>
        <v>0</v>
      </c>
      <c r="F621" s="18">
        <f>_xll.ciqfunctions.udf.CIQ($C$2,"IQ_PENSION_EST_BENEFIT_4YR",F$6,$F$2,,,Ccy,Conv)</f>
        <v>4225</v>
      </c>
      <c r="G621" s="18">
        <f>_xll.ciqfunctions.udf.CIQ($C$2,"IQ_PENSION_EST_BENEFIT_4YR",G$6,$F$2,,,Ccy,Conv)</f>
        <v>0</v>
      </c>
      <c r="H621" s="18">
        <f>_xll.ciqfunctions.udf.CIQ($C$2,"IQ_PENSION_EST_BENEFIT_4YR",H$6,$F$2,,,Ccy,Conv)</f>
        <v>0</v>
      </c>
      <c r="I621" s="18">
        <f>_xll.ciqfunctions.udf.CIQ($C$2,"IQ_PENSION_EST_BENEFIT_4YR",I$6,$F$2,,,Ccy,Conv)</f>
        <v>0</v>
      </c>
      <c r="J621" s="18">
        <f>_xll.ciqfunctions.udf.CIQ($C$2,"IQ_PENSION_EST_BENEFIT_4YR",J$6,$F$2,,,Ccy,Conv)</f>
        <v>3243</v>
      </c>
      <c r="K621" s="18">
        <f>_xll.ciqfunctions.udf.CIQ($C$2,"IQ_PENSION_EST_BENEFIT_4YR",K$6,$F$2,,,Ccy,Conv)</f>
        <v>0</v>
      </c>
      <c r="L621" s="18">
        <f>_xll.ciqfunctions.udf.CIQ($C$2,"IQ_PENSION_EST_BENEFIT_4YR",L$6,$F$2,,,Ccy,Conv)</f>
        <v>0</v>
      </c>
      <c r="M621" s="18">
        <f>_xll.ciqfunctions.udf.CIQ($C$2,"IQ_PENSION_EST_BENEFIT_4YR",M$6,$F$2,,,Ccy,Conv)</f>
        <v>0</v>
      </c>
      <c r="N621" s="18">
        <f>_xll.ciqfunctions.udf.CIQ($C$2,"IQ_PENSION_EST_BENEFIT_4YR",N$6,$F$2,,,Ccy,Conv)</f>
        <v>3607</v>
      </c>
      <c r="O621" s="30"/>
      <c r="P621" s="18">
        <f>_xll.ciqfunctions.udf.CIQ($C$2,"IQ_PENSION_EST_BENEFIT_4YR",P$6,$F$2,,,Ccy,Conv)</f>
        <v>3607</v>
      </c>
      <c r="Q621" s="215"/>
      <c r="R621" s="215"/>
      <c r="S621" s="215"/>
      <c r="T621" s="215"/>
      <c r="U621" s="215"/>
      <c r="V621" s="222"/>
      <c r="W621" s="222"/>
      <c r="X621" s="222"/>
      <c r="Y621" s="215"/>
      <c r="Z621" s="215"/>
      <c r="AA621" s="215"/>
      <c r="AB621" s="215"/>
      <c r="AC621" s="215"/>
      <c r="AD621" s="215"/>
      <c r="AE621" s="215"/>
      <c r="AF621" s="215"/>
      <c r="AG621" s="215"/>
      <c r="AH621" s="215"/>
      <c r="AI621" s="215"/>
      <c r="AJ621" s="215"/>
      <c r="AK621" s="215"/>
      <c r="AL621" s="215"/>
      <c r="AM621" s="215"/>
      <c r="AN621" s="215"/>
      <c r="AO621" s="215"/>
      <c r="AP621" s="215"/>
      <c r="AQ621" s="215"/>
      <c r="AR621" s="215"/>
      <c r="AS621" s="215"/>
      <c r="AT621" s="215"/>
      <c r="AU621" s="215"/>
      <c r="AV621" s="215"/>
      <c r="AW621" s="215"/>
      <c r="AX621" s="215"/>
      <c r="AY621" s="215"/>
      <c r="AZ621" s="215"/>
      <c r="BA621" s="215"/>
      <c r="BB621" s="215"/>
      <c r="BC621" s="215"/>
      <c r="BD621" s="215"/>
      <c r="BE621" s="215"/>
      <c r="BF621" s="215"/>
      <c r="BG621" s="215"/>
      <c r="BH621" s="215"/>
      <c r="BI621" s="215"/>
      <c r="BJ621" s="215"/>
      <c r="BK621" s="215"/>
      <c r="BL621" s="215"/>
      <c r="BM621" s="215"/>
      <c r="BN621" s="215"/>
      <c r="BO621" s="215"/>
      <c r="BP621" s="215"/>
      <c r="BQ621" s="215"/>
      <c r="BR621" s="215"/>
      <c r="BS621" s="215"/>
      <c r="BT621" s="215"/>
      <c r="BU621" s="215"/>
      <c r="BV621" s="215"/>
      <c r="BW621" s="215"/>
      <c r="BX621" s="215"/>
      <c r="BY621" s="215"/>
      <c r="BZ621" s="215"/>
    </row>
    <row r="622" spans="1:78" outlineLevel="1" x14ac:dyDescent="0.2">
      <c r="A622" s="2" t="str">
        <f>'Language Index'!A562</f>
        <v>Est. Future Benefits Paid - 5th Yr</v>
      </c>
      <c r="B622" s="17"/>
      <c r="C622" s="17"/>
      <c r="D622" s="18">
        <f>_xll.ciqfunctions.udf.CIQ($C$2,"IQ_PENSION_EST_BENEFIT_5YR",D$6,$F$2,,,Ccy,Conv)</f>
        <v>0</v>
      </c>
      <c r="E622" s="18">
        <f>_xll.ciqfunctions.udf.CIQ($C$2,"IQ_PENSION_EST_BENEFIT_5YR",E$6,$F$2,,,Ccy,Conv)</f>
        <v>0</v>
      </c>
      <c r="F622" s="18">
        <f>_xll.ciqfunctions.udf.CIQ($C$2,"IQ_PENSION_EST_BENEFIT_5YR",F$6,$F$2,,,Ccy,Conv)</f>
        <v>4145</v>
      </c>
      <c r="G622" s="18">
        <f>_xll.ciqfunctions.udf.CIQ($C$2,"IQ_PENSION_EST_BENEFIT_5YR",G$6,$F$2,,,Ccy,Conv)</f>
        <v>0</v>
      </c>
      <c r="H622" s="18">
        <f>_xll.ciqfunctions.udf.CIQ($C$2,"IQ_PENSION_EST_BENEFIT_5YR",H$6,$F$2,,,Ccy,Conv)</f>
        <v>0</v>
      </c>
      <c r="I622" s="18">
        <f>_xll.ciqfunctions.udf.CIQ($C$2,"IQ_PENSION_EST_BENEFIT_5YR",I$6,$F$2,,,Ccy,Conv)</f>
        <v>0</v>
      </c>
      <c r="J622" s="18">
        <f>_xll.ciqfunctions.udf.CIQ($C$2,"IQ_PENSION_EST_BENEFIT_5YR",J$6,$F$2,,,Ccy,Conv)</f>
        <v>3220</v>
      </c>
      <c r="K622" s="18">
        <f>_xll.ciqfunctions.udf.CIQ($C$2,"IQ_PENSION_EST_BENEFIT_5YR",K$6,$F$2,,,Ccy,Conv)</f>
        <v>0</v>
      </c>
      <c r="L622" s="18">
        <f>_xll.ciqfunctions.udf.CIQ($C$2,"IQ_PENSION_EST_BENEFIT_5YR",L$6,$F$2,,,Ccy,Conv)</f>
        <v>0</v>
      </c>
      <c r="M622" s="18">
        <f>_xll.ciqfunctions.udf.CIQ($C$2,"IQ_PENSION_EST_BENEFIT_5YR",M$6,$F$2,,,Ccy,Conv)</f>
        <v>0</v>
      </c>
      <c r="N622" s="18">
        <f>_xll.ciqfunctions.udf.CIQ($C$2,"IQ_PENSION_EST_BENEFIT_5YR",N$6,$F$2,,,Ccy,Conv)</f>
        <v>3532</v>
      </c>
      <c r="O622" s="30"/>
      <c r="P622" s="18">
        <f>_xll.ciqfunctions.udf.CIQ($C$2,"IQ_PENSION_EST_BENEFIT_5YR",P$6,$F$2,,,Ccy,Conv)</f>
        <v>3532</v>
      </c>
      <c r="Q622" s="215"/>
      <c r="R622" s="215"/>
      <c r="S622" s="215"/>
      <c r="T622" s="215"/>
      <c r="U622" s="215"/>
      <c r="V622" s="222"/>
      <c r="W622" s="222"/>
      <c r="X622" s="222"/>
      <c r="Y622" s="215"/>
      <c r="Z622" s="215"/>
      <c r="AA622" s="215"/>
      <c r="AB622" s="215"/>
      <c r="AC622" s="215"/>
      <c r="AD622" s="215"/>
      <c r="AE622" s="215"/>
      <c r="AF622" s="215"/>
      <c r="AG622" s="215"/>
      <c r="AH622" s="215"/>
      <c r="AI622" s="215"/>
      <c r="AJ622" s="215"/>
      <c r="AK622" s="215"/>
      <c r="AL622" s="215"/>
      <c r="AM622" s="215"/>
      <c r="AN622" s="215"/>
      <c r="AO622" s="215"/>
      <c r="AP622" s="215"/>
      <c r="AQ622" s="215"/>
      <c r="AR622" s="215"/>
      <c r="AS622" s="215"/>
      <c r="AT622" s="215"/>
      <c r="AU622" s="215"/>
      <c r="AV622" s="215"/>
      <c r="AW622" s="215"/>
      <c r="AX622" s="215"/>
      <c r="AY622" s="215"/>
      <c r="AZ622" s="215"/>
      <c r="BA622" s="215"/>
      <c r="BB622" s="215"/>
      <c r="BC622" s="215"/>
      <c r="BD622" s="215"/>
      <c r="BE622" s="215"/>
      <c r="BF622" s="215"/>
      <c r="BG622" s="215"/>
      <c r="BH622" s="215"/>
      <c r="BI622" s="215"/>
      <c r="BJ622" s="215"/>
      <c r="BK622" s="215"/>
      <c r="BL622" s="215"/>
      <c r="BM622" s="215"/>
      <c r="BN622" s="215"/>
      <c r="BO622" s="215"/>
      <c r="BP622" s="215"/>
      <c r="BQ622" s="215"/>
      <c r="BR622" s="215"/>
      <c r="BS622" s="215"/>
      <c r="BT622" s="215"/>
      <c r="BU622" s="215"/>
      <c r="BV622" s="215"/>
      <c r="BW622" s="215"/>
      <c r="BX622" s="215"/>
      <c r="BY622" s="215"/>
      <c r="BZ622" s="215"/>
    </row>
    <row r="623" spans="1:78" outlineLevel="1" x14ac:dyDescent="0.2">
      <c r="A623" s="2" t="str">
        <f>'Language Index'!A563</f>
        <v>Est. Future Benefits Paid - Thereafter</v>
      </c>
      <c r="B623" s="17"/>
      <c r="C623" s="17"/>
      <c r="D623" s="18">
        <f>_xll.ciqfunctions.udf.CIQ($C$2,"IQ_PENSION_EST_BENEFIT_AFTER5",D$6,$F$2,,,Ccy,Conv)</f>
        <v>0</v>
      </c>
      <c r="E623" s="18">
        <f>_xll.ciqfunctions.udf.CIQ($C$2,"IQ_PENSION_EST_BENEFIT_AFTER5",E$6,$F$2,,,Ccy,Conv)</f>
        <v>0</v>
      </c>
      <c r="F623" s="18">
        <f>_xll.ciqfunctions.udf.CIQ($C$2,"IQ_PENSION_EST_BENEFIT_AFTER5",F$6,$F$2,,,Ccy,Conv)</f>
        <v>19591</v>
      </c>
      <c r="G623" s="18">
        <f>_xll.ciqfunctions.udf.CIQ($C$2,"IQ_PENSION_EST_BENEFIT_AFTER5",G$6,$F$2,,,Ccy,Conv)</f>
        <v>0</v>
      </c>
      <c r="H623" s="18">
        <f>_xll.ciqfunctions.udf.CIQ($C$2,"IQ_PENSION_EST_BENEFIT_AFTER5",H$6,$F$2,,,Ccy,Conv)</f>
        <v>0</v>
      </c>
      <c r="I623" s="18">
        <f>_xll.ciqfunctions.udf.CIQ($C$2,"IQ_PENSION_EST_BENEFIT_AFTER5",I$6,$F$2,,,Ccy,Conv)</f>
        <v>0</v>
      </c>
      <c r="J623" s="18">
        <f>_xll.ciqfunctions.udf.CIQ($C$2,"IQ_PENSION_EST_BENEFIT_AFTER5",J$6,$F$2,,,Ccy,Conv)</f>
        <v>15243</v>
      </c>
      <c r="K623" s="18">
        <f>_xll.ciqfunctions.udf.CIQ($C$2,"IQ_PENSION_EST_BENEFIT_AFTER5",K$6,$F$2,,,Ccy,Conv)</f>
        <v>0</v>
      </c>
      <c r="L623" s="18">
        <f>_xll.ciqfunctions.udf.CIQ($C$2,"IQ_PENSION_EST_BENEFIT_AFTER5",L$6,$F$2,,,Ccy,Conv)</f>
        <v>0</v>
      </c>
      <c r="M623" s="18">
        <f>_xll.ciqfunctions.udf.CIQ($C$2,"IQ_PENSION_EST_BENEFIT_AFTER5",M$6,$F$2,,,Ccy,Conv)</f>
        <v>0</v>
      </c>
      <c r="N623" s="18">
        <f>_xll.ciqfunctions.udf.CIQ($C$2,"IQ_PENSION_EST_BENEFIT_AFTER5",N$6,$F$2,,,Ccy,Conv)</f>
        <v>16664</v>
      </c>
      <c r="O623" s="30"/>
      <c r="P623" s="18">
        <f>_xll.ciqfunctions.udf.CIQ($C$2,"IQ_PENSION_EST_BENEFIT_AFTER5",P$6,$F$2,,,Ccy,Conv)</f>
        <v>16664</v>
      </c>
      <c r="Q623" s="215"/>
      <c r="R623" s="215"/>
      <c r="S623" s="215"/>
      <c r="T623" s="215"/>
      <c r="U623" s="215"/>
      <c r="V623" s="222"/>
      <c r="W623" s="222"/>
      <c r="X623" s="222"/>
      <c r="Y623" s="215"/>
      <c r="Z623" s="215"/>
      <c r="AA623" s="215"/>
      <c r="AB623" s="215"/>
      <c r="AC623" s="215"/>
      <c r="AD623" s="215"/>
      <c r="AE623" s="215"/>
      <c r="AF623" s="215"/>
      <c r="AG623" s="215"/>
      <c r="AH623" s="215"/>
      <c r="AI623" s="215"/>
      <c r="AJ623" s="215"/>
      <c r="AK623" s="215"/>
      <c r="AL623" s="215"/>
      <c r="AM623" s="215"/>
      <c r="AN623" s="215"/>
      <c r="AO623" s="215"/>
      <c r="AP623" s="215"/>
      <c r="AQ623" s="215"/>
      <c r="AR623" s="215"/>
      <c r="AS623" s="215"/>
      <c r="AT623" s="215"/>
      <c r="AU623" s="215"/>
      <c r="AV623" s="215"/>
      <c r="AW623" s="215"/>
      <c r="AX623" s="215"/>
      <c r="AY623" s="215"/>
      <c r="AZ623" s="215"/>
      <c r="BA623" s="215"/>
      <c r="BB623" s="215"/>
      <c r="BC623" s="215"/>
      <c r="BD623" s="215"/>
      <c r="BE623" s="215"/>
      <c r="BF623" s="215"/>
      <c r="BG623" s="215"/>
      <c r="BH623" s="215"/>
      <c r="BI623" s="215"/>
      <c r="BJ623" s="215"/>
      <c r="BK623" s="215"/>
      <c r="BL623" s="215"/>
      <c r="BM623" s="215"/>
      <c r="BN623" s="215"/>
      <c r="BO623" s="215"/>
      <c r="BP623" s="215"/>
      <c r="BQ623" s="215"/>
      <c r="BR623" s="215"/>
      <c r="BS623" s="215"/>
      <c r="BT623" s="215"/>
      <c r="BU623" s="215"/>
      <c r="BV623" s="215"/>
      <c r="BW623" s="215"/>
      <c r="BX623" s="215"/>
      <c r="BY623" s="215"/>
      <c r="BZ623" s="215"/>
    </row>
    <row r="624" spans="1:78" outlineLevel="1" x14ac:dyDescent="0.2">
      <c r="A624" s="9" t="str">
        <f>'Language Index'!A564</f>
        <v>Balance Sheet Reconciliation Items</v>
      </c>
      <c r="B624" s="17"/>
      <c r="C624" s="17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30"/>
      <c r="P624" s="18"/>
      <c r="Q624" s="215"/>
      <c r="R624" s="215"/>
      <c r="S624" s="215"/>
      <c r="T624" s="215"/>
      <c r="U624" s="215"/>
      <c r="V624" s="222"/>
      <c r="W624" s="222"/>
      <c r="X624" s="222"/>
      <c r="Y624" s="215"/>
      <c r="Z624" s="215"/>
      <c r="AA624" s="215"/>
      <c r="AB624" s="215"/>
      <c r="AC624" s="215"/>
      <c r="AD624" s="215"/>
      <c r="AE624" s="215"/>
      <c r="AF624" s="215"/>
      <c r="AG624" s="215"/>
      <c r="AH624" s="215"/>
      <c r="AI624" s="215"/>
      <c r="AJ624" s="215"/>
      <c r="AK624" s="215"/>
      <c r="AL624" s="215"/>
      <c r="AM624" s="215"/>
      <c r="AN624" s="215"/>
      <c r="AO624" s="215"/>
      <c r="AP624" s="215"/>
      <c r="AQ624" s="215"/>
      <c r="AR624" s="215"/>
      <c r="AS624" s="215"/>
      <c r="AT624" s="215"/>
      <c r="AU624" s="215"/>
      <c r="AV624" s="215"/>
      <c r="AW624" s="215"/>
      <c r="AX624" s="215"/>
      <c r="AY624" s="215"/>
      <c r="AZ624" s="215"/>
      <c r="BA624" s="215"/>
      <c r="BB624" s="215"/>
      <c r="BC624" s="215"/>
      <c r="BD624" s="215"/>
      <c r="BE624" s="215"/>
      <c r="BF624" s="215"/>
      <c r="BG624" s="215"/>
      <c r="BH624" s="215"/>
      <c r="BI624" s="215"/>
      <c r="BJ624" s="215"/>
      <c r="BK624" s="215"/>
      <c r="BL624" s="215"/>
      <c r="BM624" s="215"/>
      <c r="BN624" s="215"/>
      <c r="BO624" s="215"/>
      <c r="BP624" s="215"/>
      <c r="BQ624" s="215"/>
      <c r="BR624" s="215"/>
      <c r="BS624" s="215"/>
      <c r="BT624" s="215"/>
      <c r="BU624" s="215"/>
      <c r="BV624" s="215"/>
      <c r="BW624" s="215"/>
      <c r="BX624" s="215"/>
      <c r="BY624" s="215"/>
      <c r="BZ624" s="215"/>
    </row>
    <row r="625" spans="1:78" outlineLevel="1" x14ac:dyDescent="0.2">
      <c r="A625" s="2" t="str">
        <f>'Language Index'!A565</f>
        <v>Prepaid Benefit Cost</v>
      </c>
      <c r="B625" s="17"/>
      <c r="C625" s="17"/>
      <c r="D625" s="18">
        <f>_xll.ciqfunctions.udf.CIQ($C$2,"IQ_PENSION_PREPAID_COST",D$6,$F$2,,,Ccy,Conv)</f>
        <v>0</v>
      </c>
      <c r="E625" s="18">
        <f>_xll.ciqfunctions.udf.CIQ($C$2,"IQ_PENSION_PREPAID_COST",E$6,$F$2,,,Ccy,Conv)</f>
        <v>0</v>
      </c>
      <c r="F625" s="18">
        <f>_xll.ciqfunctions.udf.CIQ($C$2,"IQ_PENSION_PREPAID_COST",F$6,$F$2,,,Ccy,Conv)</f>
        <v>0</v>
      </c>
      <c r="G625" s="18">
        <f>_xll.ciqfunctions.udf.CIQ($C$2,"IQ_PENSION_PREPAID_COST",G$6,$F$2,,,Ccy,Conv)</f>
        <v>0</v>
      </c>
      <c r="H625" s="18">
        <f>_xll.ciqfunctions.udf.CIQ($C$2,"IQ_PENSION_PREPAID_COST",H$6,$F$2,,,Ccy,Conv)</f>
        <v>0</v>
      </c>
      <c r="I625" s="18">
        <f>_xll.ciqfunctions.udf.CIQ($C$2,"IQ_PENSION_PREPAID_COST",I$6,$F$2,,,Ccy,Conv)</f>
        <v>0</v>
      </c>
      <c r="J625" s="18">
        <f>_xll.ciqfunctions.udf.CIQ($C$2,"IQ_PENSION_PREPAID_COST",J$6,$F$2,,,Ccy,Conv)</f>
        <v>0</v>
      </c>
      <c r="K625" s="18">
        <f>_xll.ciqfunctions.udf.CIQ($C$2,"IQ_PENSION_PREPAID_COST",K$6,$F$2,,,Ccy,Conv)</f>
        <v>0</v>
      </c>
      <c r="L625" s="18">
        <f>_xll.ciqfunctions.udf.CIQ($C$2,"IQ_PENSION_PREPAID_COST",L$6,$F$2,,,Ccy,Conv)</f>
        <v>0</v>
      </c>
      <c r="M625" s="18">
        <f>_xll.ciqfunctions.udf.CIQ($C$2,"IQ_PENSION_PREPAID_COST",M$6,$F$2,,,Ccy,Conv)</f>
        <v>0</v>
      </c>
      <c r="N625" s="18">
        <f>_xll.ciqfunctions.udf.CIQ($C$2,"IQ_PENSION_PREPAID_COST",N$6,$F$2,,,Ccy,Conv)</f>
        <v>0</v>
      </c>
      <c r="O625" s="30"/>
      <c r="P625" s="18">
        <f>_xll.ciqfunctions.udf.CIQ($C$2,"IQ_PENSION_PREPAID_COST",P$6,$F$2,,,Ccy,Conv)</f>
        <v>0</v>
      </c>
      <c r="Q625" s="215"/>
      <c r="R625" s="215"/>
      <c r="S625" s="215"/>
      <c r="T625" s="215"/>
      <c r="U625" s="215"/>
      <c r="V625" s="222"/>
      <c r="W625" s="222"/>
      <c r="X625" s="222"/>
      <c r="Y625" s="215"/>
      <c r="Z625" s="215"/>
      <c r="AA625" s="215"/>
      <c r="AB625" s="215"/>
      <c r="AC625" s="215"/>
      <c r="AD625" s="215"/>
      <c r="AE625" s="215"/>
      <c r="AF625" s="215"/>
      <c r="AG625" s="215"/>
      <c r="AH625" s="215"/>
      <c r="AI625" s="215"/>
      <c r="AJ625" s="215"/>
      <c r="AK625" s="215"/>
      <c r="AL625" s="215"/>
      <c r="AM625" s="215"/>
      <c r="AN625" s="215"/>
      <c r="AO625" s="215"/>
      <c r="AP625" s="215"/>
      <c r="AQ625" s="215"/>
      <c r="AR625" s="215"/>
      <c r="AS625" s="215"/>
      <c r="AT625" s="215"/>
      <c r="AU625" s="215"/>
      <c r="AV625" s="215"/>
      <c r="AW625" s="215"/>
      <c r="AX625" s="215"/>
      <c r="AY625" s="215"/>
      <c r="AZ625" s="215"/>
      <c r="BA625" s="215"/>
      <c r="BB625" s="215"/>
      <c r="BC625" s="215"/>
      <c r="BD625" s="215"/>
      <c r="BE625" s="215"/>
      <c r="BF625" s="215"/>
      <c r="BG625" s="215"/>
      <c r="BH625" s="215"/>
      <c r="BI625" s="215"/>
      <c r="BJ625" s="215"/>
      <c r="BK625" s="215"/>
      <c r="BL625" s="215"/>
      <c r="BM625" s="215"/>
      <c r="BN625" s="215"/>
      <c r="BO625" s="215"/>
      <c r="BP625" s="215"/>
      <c r="BQ625" s="215"/>
      <c r="BR625" s="215"/>
      <c r="BS625" s="215"/>
      <c r="BT625" s="215"/>
      <c r="BU625" s="215"/>
      <c r="BV625" s="215"/>
      <c r="BW625" s="215"/>
      <c r="BX625" s="215"/>
      <c r="BY625" s="215"/>
      <c r="BZ625" s="215"/>
    </row>
    <row r="626" spans="1:78" outlineLevel="1" x14ac:dyDescent="0.2">
      <c r="A626" s="2" t="str">
        <f>'Language Index'!A566</f>
        <v>Accrued Benefit Liability</v>
      </c>
      <c r="B626" s="17"/>
      <c r="C626" s="17"/>
      <c r="D626" s="18">
        <f>_xll.ciqfunctions.udf.CIQ($C$2,"IQ_PENSION_ACCRUED_LIAB",D$6,$F$2,,,Ccy,Conv)</f>
        <v>0</v>
      </c>
      <c r="E626" s="18">
        <f>_xll.ciqfunctions.udf.CIQ($C$2,"IQ_PENSION_ACCRUED_LIAB",E$6,$F$2,,,Ccy,Conv)</f>
        <v>0</v>
      </c>
      <c r="F626" s="18">
        <f>_xll.ciqfunctions.udf.CIQ($C$2,"IQ_PENSION_ACCRUED_LIAB",F$6,$F$2,,,Ccy,Conv)</f>
        <v>0</v>
      </c>
      <c r="G626" s="18">
        <f>_xll.ciqfunctions.udf.CIQ($C$2,"IQ_PENSION_ACCRUED_LIAB",G$6,$F$2,,,Ccy,Conv)</f>
        <v>0</v>
      </c>
      <c r="H626" s="18">
        <f>_xll.ciqfunctions.udf.CIQ($C$2,"IQ_PENSION_ACCRUED_LIAB",H$6,$F$2,,,Ccy,Conv)</f>
        <v>0</v>
      </c>
      <c r="I626" s="18">
        <f>_xll.ciqfunctions.udf.CIQ($C$2,"IQ_PENSION_ACCRUED_LIAB",I$6,$F$2,,,Ccy,Conv)</f>
        <v>0</v>
      </c>
      <c r="J626" s="18">
        <f>_xll.ciqfunctions.udf.CIQ($C$2,"IQ_PENSION_ACCRUED_LIAB",J$6,$F$2,,,Ccy,Conv)</f>
        <v>0</v>
      </c>
      <c r="K626" s="18">
        <f>_xll.ciqfunctions.udf.CIQ($C$2,"IQ_PENSION_ACCRUED_LIAB",K$6,$F$2,,,Ccy,Conv)</f>
        <v>0</v>
      </c>
      <c r="L626" s="18">
        <f>_xll.ciqfunctions.udf.CIQ($C$2,"IQ_PENSION_ACCRUED_LIAB",L$6,$F$2,,,Ccy,Conv)</f>
        <v>0</v>
      </c>
      <c r="M626" s="18">
        <f>_xll.ciqfunctions.udf.CIQ($C$2,"IQ_PENSION_ACCRUED_LIAB",M$6,$F$2,,,Ccy,Conv)</f>
        <v>0</v>
      </c>
      <c r="N626" s="18">
        <f>_xll.ciqfunctions.udf.CIQ($C$2,"IQ_PENSION_ACCRUED_LIAB",N$6,$F$2,,,Ccy,Conv)</f>
        <v>0</v>
      </c>
      <c r="O626" s="30"/>
      <c r="P626" s="18">
        <f>_xll.ciqfunctions.udf.CIQ($C$2,"IQ_PENSION_ACCRUED_LIAB",P$6,$F$2,,,Ccy,Conv)</f>
        <v>0</v>
      </c>
      <c r="Q626" s="245"/>
      <c r="R626" s="215"/>
      <c r="S626" s="215"/>
      <c r="T626" s="215"/>
      <c r="U626" s="215"/>
      <c r="V626" s="222"/>
      <c r="W626" s="222"/>
      <c r="X626" s="222"/>
      <c r="Y626" s="215"/>
      <c r="Z626" s="215"/>
      <c r="AA626" s="215"/>
      <c r="AB626" s="215"/>
      <c r="AC626" s="215"/>
      <c r="AD626" s="215"/>
      <c r="AE626" s="215"/>
      <c r="AF626" s="215"/>
      <c r="AG626" s="215"/>
      <c r="AH626" s="215"/>
      <c r="AI626" s="215"/>
      <c r="AJ626" s="215"/>
      <c r="AK626" s="215"/>
      <c r="AL626" s="215"/>
      <c r="AM626" s="215"/>
      <c r="AN626" s="215"/>
      <c r="AO626" s="215"/>
      <c r="AP626" s="215"/>
      <c r="AQ626" s="215"/>
      <c r="AR626" s="215"/>
      <c r="AS626" s="215"/>
      <c r="AT626" s="215"/>
      <c r="AU626" s="215"/>
      <c r="AV626" s="215"/>
      <c r="AW626" s="215"/>
      <c r="AX626" s="215"/>
      <c r="AY626" s="215"/>
      <c r="AZ626" s="215"/>
      <c r="BA626" s="215"/>
      <c r="BB626" s="215"/>
      <c r="BC626" s="215"/>
      <c r="BD626" s="215"/>
      <c r="BE626" s="215"/>
      <c r="BF626" s="215"/>
      <c r="BG626" s="215"/>
      <c r="BH626" s="215"/>
      <c r="BI626" s="215"/>
      <c r="BJ626" s="215"/>
      <c r="BK626" s="215"/>
      <c r="BL626" s="215"/>
      <c r="BM626" s="215"/>
      <c r="BN626" s="215"/>
      <c r="BO626" s="215"/>
      <c r="BP626" s="215"/>
      <c r="BQ626" s="215"/>
      <c r="BR626" s="215"/>
      <c r="BS626" s="215"/>
      <c r="BT626" s="215"/>
      <c r="BU626" s="215"/>
      <c r="BV626" s="215"/>
      <c r="BW626" s="215"/>
      <c r="BX626" s="215"/>
      <c r="BY626" s="215"/>
      <c r="BZ626" s="215"/>
    </row>
    <row r="627" spans="1:78" outlineLevel="1" x14ac:dyDescent="0.2">
      <c r="A627" s="2" t="str">
        <f>'Language Index'!A567</f>
        <v>Intangible Assets</v>
      </c>
      <c r="B627" s="17"/>
      <c r="C627" s="17"/>
      <c r="D627" s="18">
        <f>_xll.ciqfunctions.udf.CIQ($C$2,"IQ_PENSION_INTAN_ASSETS",D$6,$F$2,,,Ccy,Conv)</f>
        <v>0</v>
      </c>
      <c r="E627" s="18">
        <f>_xll.ciqfunctions.udf.CIQ($C$2,"IQ_PENSION_INTAN_ASSETS",E$6,$F$2,,,Ccy,Conv)</f>
        <v>0</v>
      </c>
      <c r="F627" s="18">
        <f>_xll.ciqfunctions.udf.CIQ($C$2,"IQ_PENSION_INTAN_ASSETS",F$6,$F$2,,,Ccy,Conv)</f>
        <v>0</v>
      </c>
      <c r="G627" s="18">
        <f>_xll.ciqfunctions.udf.CIQ($C$2,"IQ_PENSION_INTAN_ASSETS",G$6,$F$2,,,Ccy,Conv)</f>
        <v>0</v>
      </c>
      <c r="H627" s="18">
        <f>_xll.ciqfunctions.udf.CIQ($C$2,"IQ_PENSION_INTAN_ASSETS",H$6,$F$2,,,Ccy,Conv)</f>
        <v>0</v>
      </c>
      <c r="I627" s="18">
        <f>_xll.ciqfunctions.udf.CIQ($C$2,"IQ_PENSION_INTAN_ASSETS",I$6,$F$2,,,Ccy,Conv)</f>
        <v>0</v>
      </c>
      <c r="J627" s="18">
        <f>_xll.ciqfunctions.udf.CIQ($C$2,"IQ_PENSION_INTAN_ASSETS",J$6,$F$2,,,Ccy,Conv)</f>
        <v>0</v>
      </c>
      <c r="K627" s="18">
        <f>_xll.ciqfunctions.udf.CIQ($C$2,"IQ_PENSION_INTAN_ASSETS",K$6,$F$2,,,Ccy,Conv)</f>
        <v>0</v>
      </c>
      <c r="L627" s="18">
        <f>_xll.ciqfunctions.udf.CIQ($C$2,"IQ_PENSION_INTAN_ASSETS",L$6,$F$2,,,Ccy,Conv)</f>
        <v>0</v>
      </c>
      <c r="M627" s="18">
        <f>_xll.ciqfunctions.udf.CIQ($C$2,"IQ_PENSION_INTAN_ASSETS",M$6,$F$2,,,Ccy,Conv)</f>
        <v>0</v>
      </c>
      <c r="N627" s="18">
        <f>_xll.ciqfunctions.udf.CIQ($C$2,"IQ_PENSION_INTAN_ASSETS",N$6,$F$2,,,Ccy,Conv)</f>
        <v>0</v>
      </c>
      <c r="O627" s="30"/>
      <c r="P627" s="18">
        <f>_xll.ciqfunctions.udf.CIQ($C$2,"IQ_PENSION_INTAN_ASSETS",P$6,$F$2,,,Ccy,Conv)</f>
        <v>0</v>
      </c>
      <c r="Q627" s="215"/>
      <c r="R627" s="215"/>
      <c r="S627" s="215"/>
      <c r="T627" s="215"/>
      <c r="U627" s="215"/>
      <c r="V627" s="222"/>
      <c r="W627" s="222"/>
      <c r="X627" s="222"/>
      <c r="Y627" s="215"/>
      <c r="Z627" s="215"/>
      <c r="AA627" s="215"/>
      <c r="AB627" s="215"/>
      <c r="AC627" s="215"/>
      <c r="AD627" s="215"/>
      <c r="AE627" s="215"/>
      <c r="AF627" s="215"/>
      <c r="AG627" s="215"/>
      <c r="AH627" s="215"/>
      <c r="AI627" s="215"/>
      <c r="AJ627" s="215"/>
      <c r="AK627" s="215"/>
      <c r="AL627" s="215"/>
      <c r="AM627" s="215"/>
      <c r="AN627" s="215"/>
      <c r="AO627" s="215"/>
      <c r="AP627" s="215"/>
      <c r="AQ627" s="215"/>
      <c r="AR627" s="215"/>
      <c r="AS627" s="215"/>
      <c r="AT627" s="215"/>
      <c r="AU627" s="215"/>
      <c r="AV627" s="215"/>
      <c r="AW627" s="215"/>
      <c r="AX627" s="215"/>
      <c r="AY627" s="215"/>
      <c r="AZ627" s="215"/>
      <c r="BA627" s="215"/>
      <c r="BB627" s="215"/>
      <c r="BC627" s="215"/>
      <c r="BD627" s="215"/>
      <c r="BE627" s="215"/>
      <c r="BF627" s="215"/>
      <c r="BG627" s="215"/>
      <c r="BH627" s="215"/>
      <c r="BI627" s="215"/>
      <c r="BJ627" s="215"/>
      <c r="BK627" s="215"/>
      <c r="BL627" s="215"/>
      <c r="BM627" s="215"/>
      <c r="BN627" s="215"/>
      <c r="BO627" s="215"/>
      <c r="BP627" s="215"/>
      <c r="BQ627" s="215"/>
      <c r="BR627" s="215"/>
      <c r="BS627" s="215"/>
      <c r="BT627" s="215"/>
      <c r="BU627" s="215"/>
      <c r="BV627" s="215"/>
      <c r="BW627" s="215"/>
      <c r="BX627" s="215"/>
      <c r="BY627" s="215"/>
      <c r="BZ627" s="215"/>
    </row>
    <row r="628" spans="1:78" outlineLevel="1" x14ac:dyDescent="0.2">
      <c r="A628" s="2" t="str">
        <f>'Language Index'!A568</f>
        <v>Accum. Other Comp. Income</v>
      </c>
      <c r="B628" s="17"/>
      <c r="C628" s="17"/>
      <c r="D628" s="18">
        <f>_xll.ciqfunctions.udf.CIQ($C$2,"IQ_PENSION_ACCUM_OTHER_CI",D$6,$F$2,,,Ccy,Conv)</f>
        <v>0</v>
      </c>
      <c r="E628" s="18">
        <f>_xll.ciqfunctions.udf.CIQ($C$2,"IQ_PENSION_ACCUM_OTHER_CI",E$6,$F$2,,,Ccy,Conv)</f>
        <v>0</v>
      </c>
      <c r="F628" s="18">
        <f>_xll.ciqfunctions.udf.CIQ($C$2,"IQ_PENSION_ACCUM_OTHER_CI",F$6,$F$2,,,Ccy,Conv)</f>
        <v>0</v>
      </c>
      <c r="G628" s="18">
        <f>_xll.ciqfunctions.udf.CIQ($C$2,"IQ_PENSION_ACCUM_OTHER_CI",G$6,$F$2,,,Ccy,Conv)</f>
        <v>0</v>
      </c>
      <c r="H628" s="18">
        <f>_xll.ciqfunctions.udf.CIQ($C$2,"IQ_PENSION_ACCUM_OTHER_CI",H$6,$F$2,,,Ccy,Conv)</f>
        <v>0</v>
      </c>
      <c r="I628" s="18">
        <f>_xll.ciqfunctions.udf.CIQ($C$2,"IQ_PENSION_ACCUM_OTHER_CI",I$6,$F$2,,,Ccy,Conv)</f>
        <v>0</v>
      </c>
      <c r="J628" s="18">
        <f>_xll.ciqfunctions.udf.CIQ($C$2,"IQ_PENSION_ACCUM_OTHER_CI",J$6,$F$2,,,Ccy,Conv)</f>
        <v>0</v>
      </c>
      <c r="K628" s="18">
        <f>_xll.ciqfunctions.udf.CIQ($C$2,"IQ_PENSION_ACCUM_OTHER_CI",K$6,$F$2,,,Ccy,Conv)</f>
        <v>0</v>
      </c>
      <c r="L628" s="18">
        <f>_xll.ciqfunctions.udf.CIQ($C$2,"IQ_PENSION_ACCUM_OTHER_CI",L$6,$F$2,,,Ccy,Conv)</f>
        <v>0</v>
      </c>
      <c r="M628" s="18">
        <f>_xll.ciqfunctions.udf.CIQ($C$2,"IQ_PENSION_ACCUM_OTHER_CI",M$6,$F$2,,,Ccy,Conv)</f>
        <v>0</v>
      </c>
      <c r="N628" s="18">
        <f>_xll.ciqfunctions.udf.CIQ($C$2,"IQ_PENSION_ACCUM_OTHER_CI",N$6,$F$2,,,Ccy,Conv)</f>
        <v>0</v>
      </c>
      <c r="O628" s="30"/>
      <c r="P628" s="18">
        <f>_xll.ciqfunctions.udf.CIQ($C$2,"IQ_PENSION_ACCUM_OTHER_CI",P$6,$F$2,,,Ccy,Conv)</f>
        <v>0</v>
      </c>
      <c r="Q628" s="215"/>
      <c r="R628" s="215"/>
      <c r="S628" s="215"/>
      <c r="T628" s="215"/>
      <c r="U628" s="215"/>
      <c r="V628" s="222"/>
      <c r="W628" s="222"/>
      <c r="X628" s="222"/>
      <c r="Y628" s="215"/>
      <c r="Z628" s="215"/>
      <c r="AA628" s="215"/>
      <c r="AB628" s="215"/>
      <c r="AC628" s="215"/>
      <c r="AD628" s="215"/>
      <c r="AE628" s="215"/>
      <c r="AF628" s="215"/>
      <c r="AG628" s="215"/>
      <c r="AH628" s="215"/>
      <c r="AI628" s="215"/>
      <c r="AJ628" s="215"/>
      <c r="AK628" s="215"/>
      <c r="AL628" s="215"/>
      <c r="AM628" s="215"/>
      <c r="AN628" s="215"/>
      <c r="AO628" s="215"/>
      <c r="AP628" s="215"/>
      <c r="AQ628" s="215"/>
      <c r="AR628" s="215"/>
      <c r="AS628" s="215"/>
      <c r="AT628" s="215"/>
      <c r="AU628" s="215"/>
      <c r="AV628" s="215"/>
      <c r="AW628" s="215"/>
      <c r="AX628" s="215"/>
      <c r="AY628" s="215"/>
      <c r="AZ628" s="215"/>
      <c r="BA628" s="215"/>
      <c r="BB628" s="215"/>
      <c r="BC628" s="215"/>
      <c r="BD628" s="215"/>
      <c r="BE628" s="215"/>
      <c r="BF628" s="215"/>
      <c r="BG628" s="215"/>
      <c r="BH628" s="215"/>
      <c r="BI628" s="215"/>
      <c r="BJ628" s="215"/>
      <c r="BK628" s="215"/>
      <c r="BL628" s="215"/>
      <c r="BM628" s="215"/>
      <c r="BN628" s="215"/>
      <c r="BO628" s="215"/>
      <c r="BP628" s="215"/>
      <c r="BQ628" s="215"/>
      <c r="BR628" s="215"/>
      <c r="BS628" s="215"/>
      <c r="BT628" s="215"/>
      <c r="BU628" s="215"/>
      <c r="BV628" s="215"/>
      <c r="BW628" s="215"/>
      <c r="BX628" s="215"/>
      <c r="BY628" s="215"/>
      <c r="BZ628" s="215"/>
    </row>
    <row r="629" spans="1:78" outlineLevel="1" x14ac:dyDescent="0.2">
      <c r="A629" s="2" t="str">
        <f>'Language Index'!A569</f>
        <v>Long Term Assets</v>
      </c>
      <c r="B629" s="17"/>
      <c r="C629" s="17"/>
      <c r="D629" s="18">
        <f>_xll.ciqfunctions.udf.CIQ($C$2,"IQ_PENSION_LT_ASSETS",D$6,$F$2,,,Ccy,Conv)</f>
        <v>0</v>
      </c>
      <c r="E629" s="18">
        <f>_xll.ciqfunctions.udf.CIQ($C$2,"IQ_PENSION_LT_ASSETS",E$6,$F$2,,,Ccy,Conv)</f>
        <v>0</v>
      </c>
      <c r="F629" s="18">
        <f>_xll.ciqfunctions.udf.CIQ($C$2,"IQ_PENSION_LT_ASSETS",F$6,$F$2,,,Ccy,Conv)</f>
        <v>7507</v>
      </c>
      <c r="G629" s="18">
        <f>_xll.ciqfunctions.udf.CIQ($C$2,"IQ_PENSION_LT_ASSETS",G$6,$F$2,,,Ccy,Conv)</f>
        <v>0</v>
      </c>
      <c r="H629" s="18">
        <f>_xll.ciqfunctions.udf.CIQ($C$2,"IQ_PENSION_LT_ASSETS",H$6,$F$2,,,Ccy,Conv)</f>
        <v>0</v>
      </c>
      <c r="I629" s="18">
        <f>_xll.ciqfunctions.udf.CIQ($C$2,"IQ_PENSION_LT_ASSETS",I$6,$F$2,,,Ccy,Conv)</f>
        <v>0</v>
      </c>
      <c r="J629" s="18">
        <f>_xll.ciqfunctions.udf.CIQ($C$2,"IQ_PENSION_LT_ASSETS",J$6,$F$2,,,Ccy,Conv)</f>
        <v>7493</v>
      </c>
      <c r="K629" s="18">
        <f>_xll.ciqfunctions.udf.CIQ($C$2,"IQ_PENSION_LT_ASSETS",K$6,$F$2,,,Ccy,Conv)</f>
        <v>0</v>
      </c>
      <c r="L629" s="18">
        <f>_xll.ciqfunctions.udf.CIQ($C$2,"IQ_PENSION_LT_ASSETS",L$6,$F$2,,,Ccy,Conv)</f>
        <v>0</v>
      </c>
      <c r="M629" s="18">
        <f>_xll.ciqfunctions.udf.CIQ($C$2,"IQ_PENSION_LT_ASSETS",M$6,$F$2,,,Ccy,Conv)</f>
        <v>0</v>
      </c>
      <c r="N629" s="18">
        <f>_xll.ciqfunctions.udf.CIQ($C$2,"IQ_PENSION_LT_ASSETS",N$6,$F$2,,,Ccy,Conv)</f>
        <v>7545</v>
      </c>
      <c r="O629" s="30"/>
      <c r="P629" s="18">
        <f>_xll.ciqfunctions.udf.CIQ($C$2,"IQ_PENSION_LT_ASSETS",P$6,$F$2,,,Ccy,Conv)</f>
        <v>7545</v>
      </c>
      <c r="Q629" s="215"/>
      <c r="R629" s="215"/>
      <c r="S629" s="215"/>
      <c r="T629" s="215"/>
      <c r="U629" s="215"/>
      <c r="V629" s="222"/>
      <c r="W629" s="222"/>
      <c r="X629" s="222"/>
      <c r="Y629" s="215"/>
      <c r="Z629" s="215"/>
      <c r="AA629" s="215"/>
      <c r="AB629" s="215"/>
      <c r="AC629" s="215"/>
      <c r="AD629" s="215"/>
      <c r="AE629" s="215"/>
      <c r="AF629" s="215"/>
      <c r="AG629" s="215"/>
      <c r="AH629" s="215"/>
      <c r="AI629" s="215"/>
      <c r="AJ629" s="215"/>
      <c r="AK629" s="215"/>
      <c r="AL629" s="215"/>
      <c r="AM629" s="215"/>
      <c r="AN629" s="215"/>
      <c r="AO629" s="215"/>
      <c r="AP629" s="215"/>
      <c r="AQ629" s="215"/>
      <c r="AR629" s="215"/>
      <c r="AS629" s="215"/>
      <c r="AT629" s="215"/>
      <c r="AU629" s="215"/>
      <c r="AV629" s="215"/>
      <c r="AW629" s="215"/>
      <c r="AX629" s="215"/>
      <c r="AY629" s="215"/>
      <c r="AZ629" s="215"/>
      <c r="BA629" s="215"/>
      <c r="BB629" s="215"/>
      <c r="BC629" s="215"/>
      <c r="BD629" s="215"/>
      <c r="BE629" s="215"/>
      <c r="BF629" s="215"/>
      <c r="BG629" s="215"/>
      <c r="BH629" s="215"/>
      <c r="BI629" s="215"/>
      <c r="BJ629" s="215"/>
      <c r="BK629" s="215"/>
      <c r="BL629" s="215"/>
      <c r="BM629" s="215"/>
      <c r="BN629" s="215"/>
      <c r="BO629" s="215"/>
      <c r="BP629" s="215"/>
      <c r="BQ629" s="215"/>
      <c r="BR629" s="215"/>
      <c r="BS629" s="215"/>
      <c r="BT629" s="215"/>
      <c r="BU629" s="215"/>
      <c r="BV629" s="215"/>
      <c r="BW629" s="215"/>
      <c r="BX629" s="215"/>
      <c r="BY629" s="215"/>
      <c r="BZ629" s="215"/>
    </row>
    <row r="630" spans="1:78" outlineLevel="1" x14ac:dyDescent="0.2">
      <c r="A630" s="2" t="str">
        <f>'Language Index'!A570</f>
        <v>Current Liabilities</v>
      </c>
      <c r="B630" s="17"/>
      <c r="C630" s="17"/>
      <c r="D630" s="18">
        <f>_xll.ciqfunctions.udf.CIQ($C$2,"IQ_PENSION_CL",D$6,$F$2,,,Ccy,Conv)</f>
        <v>0</v>
      </c>
      <c r="E630" s="18">
        <f>_xll.ciqfunctions.udf.CIQ($C$2,"IQ_PENSION_CL",E$6,$F$2,,,Ccy,Conv)</f>
        <v>0</v>
      </c>
      <c r="F630" s="18">
        <f>_xll.ciqfunctions.udf.CIQ($C$2,"IQ_PENSION_CL",F$6,$F$2,,,Ccy,Conv)</f>
        <v>-485</v>
      </c>
      <c r="G630" s="18">
        <f>_xll.ciqfunctions.udf.CIQ($C$2,"IQ_PENSION_CL",G$6,$F$2,,,Ccy,Conv)</f>
        <v>0</v>
      </c>
      <c r="H630" s="18">
        <f>_xll.ciqfunctions.udf.CIQ($C$2,"IQ_PENSION_CL",H$6,$F$2,,,Ccy,Conv)</f>
        <v>0</v>
      </c>
      <c r="I630" s="18">
        <f>_xll.ciqfunctions.udf.CIQ($C$2,"IQ_PENSION_CL",I$6,$F$2,,,Ccy,Conv)</f>
        <v>0</v>
      </c>
      <c r="J630" s="18">
        <f>_xll.ciqfunctions.udf.CIQ($C$2,"IQ_PENSION_CL",J$6,$F$2,,,Ccy,Conv)</f>
        <v>-479</v>
      </c>
      <c r="K630" s="18">
        <f>_xll.ciqfunctions.udf.CIQ($C$2,"IQ_PENSION_CL",K$6,$F$2,,,Ccy,Conv)</f>
        <v>0</v>
      </c>
      <c r="L630" s="18">
        <f>_xll.ciqfunctions.udf.CIQ($C$2,"IQ_PENSION_CL",L$6,$F$2,,,Ccy,Conv)</f>
        <v>0</v>
      </c>
      <c r="M630" s="18">
        <f>_xll.ciqfunctions.udf.CIQ($C$2,"IQ_PENSION_CL",M$6,$F$2,,,Ccy,Conv)</f>
        <v>0</v>
      </c>
      <c r="N630" s="18">
        <f>_xll.ciqfunctions.udf.CIQ($C$2,"IQ_PENSION_CL",N$6,$F$2,,,Ccy,Conv)</f>
        <v>-523</v>
      </c>
      <c r="O630" s="30"/>
      <c r="P630" s="18">
        <f>_xll.ciqfunctions.udf.CIQ($C$2,"IQ_PENSION_CL",P$6,$F$2,,,Ccy,Conv)</f>
        <v>-523</v>
      </c>
      <c r="Q630" s="215"/>
      <c r="R630" s="215"/>
      <c r="S630" s="215"/>
      <c r="T630" s="215"/>
      <c r="U630" s="215"/>
      <c r="V630" s="222"/>
      <c r="W630" s="222"/>
      <c r="X630" s="222"/>
      <c r="Y630" s="215"/>
      <c r="Z630" s="215"/>
      <c r="AA630" s="215"/>
      <c r="AB630" s="215"/>
      <c r="AC630" s="215"/>
      <c r="AD630" s="215"/>
      <c r="AE630" s="215"/>
      <c r="AF630" s="215"/>
      <c r="AG630" s="215"/>
      <c r="AH630" s="215"/>
      <c r="AI630" s="215"/>
      <c r="AJ630" s="215"/>
      <c r="AK630" s="215"/>
      <c r="AL630" s="215"/>
      <c r="AM630" s="215"/>
      <c r="AN630" s="215"/>
      <c r="AO630" s="215"/>
      <c r="AP630" s="215"/>
      <c r="AQ630" s="215"/>
      <c r="AR630" s="215"/>
      <c r="AS630" s="215"/>
      <c r="AT630" s="215"/>
      <c r="AU630" s="215"/>
      <c r="AV630" s="215"/>
      <c r="AW630" s="215"/>
      <c r="AX630" s="215"/>
      <c r="AY630" s="215"/>
      <c r="AZ630" s="215"/>
      <c r="BA630" s="215"/>
      <c r="BB630" s="215"/>
      <c r="BC630" s="215"/>
      <c r="BD630" s="215"/>
      <c r="BE630" s="215"/>
      <c r="BF630" s="215"/>
      <c r="BG630" s="215"/>
      <c r="BH630" s="215"/>
      <c r="BI630" s="215"/>
      <c r="BJ630" s="215"/>
      <c r="BK630" s="215"/>
      <c r="BL630" s="215"/>
      <c r="BM630" s="215"/>
      <c r="BN630" s="215"/>
      <c r="BO630" s="215"/>
      <c r="BP630" s="215"/>
      <c r="BQ630" s="215"/>
      <c r="BR630" s="215"/>
      <c r="BS630" s="215"/>
      <c r="BT630" s="215"/>
      <c r="BU630" s="215"/>
      <c r="BV630" s="215"/>
      <c r="BW630" s="215"/>
      <c r="BX630" s="215"/>
      <c r="BY630" s="215"/>
      <c r="BZ630" s="215"/>
    </row>
    <row r="631" spans="1:78" outlineLevel="1" x14ac:dyDescent="0.2">
      <c r="A631" s="2" t="str">
        <f>'Language Index'!A571</f>
        <v>Long Term Liabilities</v>
      </c>
      <c r="B631" s="17"/>
      <c r="C631" s="17"/>
      <c r="D631" s="18">
        <f>_xll.ciqfunctions.udf.CIQ($C$2,"IQ_PENSION_LT_LIAB",D$6,$F$2,,,Ccy,Conv)</f>
        <v>0</v>
      </c>
      <c r="E631" s="18">
        <f>_xll.ciqfunctions.udf.CIQ($C$2,"IQ_PENSION_LT_LIAB",E$6,$F$2,,,Ccy,Conv)</f>
        <v>0</v>
      </c>
      <c r="F631" s="18">
        <f>_xll.ciqfunctions.udf.CIQ($C$2,"IQ_PENSION_LT_LIAB",F$6,$F$2,,,Ccy,Conv)</f>
        <v>-8239</v>
      </c>
      <c r="G631" s="18">
        <f>_xll.ciqfunctions.udf.CIQ($C$2,"IQ_PENSION_LT_LIAB",G$6,$F$2,,,Ccy,Conv)</f>
        <v>0</v>
      </c>
      <c r="H631" s="18">
        <f>_xll.ciqfunctions.udf.CIQ($C$2,"IQ_PENSION_LT_LIAB",H$6,$F$2,,,Ccy,Conv)</f>
        <v>0</v>
      </c>
      <c r="I631" s="18">
        <f>_xll.ciqfunctions.udf.CIQ($C$2,"IQ_PENSION_LT_LIAB",I$6,$F$2,,,Ccy,Conv)</f>
        <v>0</v>
      </c>
      <c r="J631" s="18">
        <f>_xll.ciqfunctions.udf.CIQ($C$2,"IQ_PENSION_LT_LIAB",J$6,$F$2,,,Ccy,Conv)</f>
        <v>-6926</v>
      </c>
      <c r="K631" s="18">
        <f>_xll.ciqfunctions.udf.CIQ($C$2,"IQ_PENSION_LT_LIAB",K$6,$F$2,,,Ccy,Conv)</f>
        <v>0</v>
      </c>
      <c r="L631" s="18">
        <f>_xll.ciqfunctions.udf.CIQ($C$2,"IQ_PENSION_LT_LIAB",L$6,$F$2,,,Ccy,Conv)</f>
        <v>0</v>
      </c>
      <c r="M631" s="18">
        <f>_xll.ciqfunctions.udf.CIQ($C$2,"IQ_PENSION_LT_LIAB",M$6,$F$2,,,Ccy,Conv)</f>
        <v>0</v>
      </c>
      <c r="N631" s="18">
        <f>_xll.ciqfunctions.udf.CIQ($C$2,"IQ_PENSION_LT_LIAB",N$6,$F$2,,,Ccy,Conv)</f>
        <v>-6548</v>
      </c>
      <c r="O631" s="30"/>
      <c r="P631" s="18">
        <f>_xll.ciqfunctions.udf.CIQ($C$2,"IQ_PENSION_LT_LIAB",P$6,$F$2,,,Ccy,Conv)</f>
        <v>-6548</v>
      </c>
      <c r="Q631" s="215"/>
      <c r="R631" s="215"/>
      <c r="S631" s="215"/>
      <c r="T631" s="215"/>
      <c r="U631" s="215"/>
      <c r="V631" s="222"/>
      <c r="W631" s="222"/>
      <c r="X631" s="222"/>
      <c r="Y631" s="215"/>
      <c r="Z631" s="215"/>
      <c r="AA631" s="215"/>
      <c r="AB631" s="215"/>
      <c r="AC631" s="215"/>
      <c r="AD631" s="215"/>
      <c r="AE631" s="215"/>
      <c r="AF631" s="215"/>
      <c r="AG631" s="215"/>
      <c r="AH631" s="215"/>
      <c r="AI631" s="215"/>
      <c r="AJ631" s="215"/>
      <c r="AK631" s="215"/>
      <c r="AL631" s="215"/>
      <c r="AM631" s="215"/>
      <c r="AN631" s="215"/>
      <c r="AO631" s="215"/>
      <c r="AP631" s="215"/>
      <c r="AQ631" s="215"/>
      <c r="AR631" s="215"/>
      <c r="AS631" s="215"/>
      <c r="AT631" s="215"/>
      <c r="AU631" s="215"/>
      <c r="AV631" s="215"/>
      <c r="AW631" s="215"/>
      <c r="AX631" s="215"/>
      <c r="AY631" s="215"/>
      <c r="AZ631" s="215"/>
      <c r="BA631" s="215"/>
      <c r="BB631" s="215"/>
      <c r="BC631" s="215"/>
      <c r="BD631" s="215"/>
      <c r="BE631" s="215"/>
      <c r="BF631" s="215"/>
      <c r="BG631" s="215"/>
      <c r="BH631" s="215"/>
      <c r="BI631" s="215"/>
      <c r="BJ631" s="215"/>
      <c r="BK631" s="215"/>
      <c r="BL631" s="215"/>
      <c r="BM631" s="215"/>
      <c r="BN631" s="215"/>
      <c r="BO631" s="215"/>
      <c r="BP631" s="215"/>
      <c r="BQ631" s="215"/>
      <c r="BR631" s="215"/>
      <c r="BS631" s="215"/>
      <c r="BT631" s="215"/>
      <c r="BU631" s="215"/>
      <c r="BV631" s="215"/>
      <c r="BW631" s="215"/>
      <c r="BX631" s="215"/>
      <c r="BY631" s="215"/>
      <c r="BZ631" s="215"/>
    </row>
    <row r="632" spans="1:78" outlineLevel="1" x14ac:dyDescent="0.2">
      <c r="A632" s="2" t="str">
        <f>'Language Index'!A572</f>
        <v>Other Assets/Liabilities</v>
      </c>
      <c r="B632" s="17"/>
      <c r="C632" s="17"/>
      <c r="D632" s="18">
        <f>_xll.ciqfunctions.udf.CIQ($C$2,"IQ_PENSION_OTHER",D$6,$F$2,,,Ccy,Conv)</f>
        <v>0</v>
      </c>
      <c r="E632" s="18">
        <f>_xll.ciqfunctions.udf.CIQ($C$2,"IQ_PENSION_OTHER",E$6,$F$2,,,Ccy,Conv)</f>
        <v>0</v>
      </c>
      <c r="F632" s="18">
        <f>_xll.ciqfunctions.udf.CIQ($C$2,"IQ_PENSION_OTHER",F$6,$F$2,,,Ccy,Conv)</f>
        <v>0</v>
      </c>
      <c r="G632" s="18">
        <f>_xll.ciqfunctions.udf.CIQ($C$2,"IQ_PENSION_OTHER",G$6,$F$2,,,Ccy,Conv)</f>
        <v>0</v>
      </c>
      <c r="H632" s="18">
        <f>_xll.ciqfunctions.udf.CIQ($C$2,"IQ_PENSION_OTHER",H$6,$F$2,,,Ccy,Conv)</f>
        <v>0</v>
      </c>
      <c r="I632" s="18">
        <f>_xll.ciqfunctions.udf.CIQ($C$2,"IQ_PENSION_OTHER",I$6,$F$2,,,Ccy,Conv)</f>
        <v>0</v>
      </c>
      <c r="J632" s="18">
        <f>_xll.ciqfunctions.udf.CIQ($C$2,"IQ_PENSION_OTHER",J$6,$F$2,,,Ccy,Conv)</f>
        <v>0</v>
      </c>
      <c r="K632" s="18">
        <f>_xll.ciqfunctions.udf.CIQ($C$2,"IQ_PENSION_OTHER",K$6,$F$2,,,Ccy,Conv)</f>
        <v>0</v>
      </c>
      <c r="L632" s="18">
        <f>_xll.ciqfunctions.udf.CIQ($C$2,"IQ_PENSION_OTHER",L$6,$F$2,,,Ccy,Conv)</f>
        <v>0</v>
      </c>
      <c r="M632" s="18">
        <f>_xll.ciqfunctions.udf.CIQ($C$2,"IQ_PENSION_OTHER",M$6,$F$2,,,Ccy,Conv)</f>
        <v>0</v>
      </c>
      <c r="N632" s="18">
        <f>_xll.ciqfunctions.udf.CIQ($C$2,"IQ_PENSION_OTHER",N$6,$F$2,,,Ccy,Conv)</f>
        <v>0</v>
      </c>
      <c r="O632" s="30"/>
      <c r="P632" s="18">
        <f>_xll.ciqfunctions.udf.CIQ($C$2,"IQ_PENSION_OTHER",P$6,$F$2,,,Ccy,Conv)</f>
        <v>0</v>
      </c>
      <c r="Q632" s="215"/>
      <c r="R632" s="215"/>
      <c r="S632" s="215"/>
      <c r="T632" s="215"/>
      <c r="U632" s="215"/>
      <c r="V632" s="222"/>
      <c r="W632" s="222"/>
      <c r="X632" s="222"/>
      <c r="Y632" s="215"/>
      <c r="Z632" s="215"/>
      <c r="AA632" s="215"/>
      <c r="AB632" s="215"/>
      <c r="AC632" s="215"/>
      <c r="AD632" s="215"/>
      <c r="AE632" s="215"/>
      <c r="AF632" s="215"/>
      <c r="AG632" s="215"/>
      <c r="AH632" s="215"/>
      <c r="AI632" s="215"/>
      <c r="AJ632" s="215"/>
      <c r="AK632" s="215"/>
      <c r="AL632" s="215"/>
      <c r="AM632" s="215"/>
      <c r="AN632" s="215"/>
      <c r="AO632" s="215"/>
      <c r="AP632" s="215"/>
      <c r="AQ632" s="215"/>
      <c r="AR632" s="215"/>
      <c r="AS632" s="215"/>
      <c r="AT632" s="215"/>
      <c r="AU632" s="215"/>
      <c r="AV632" s="215"/>
      <c r="AW632" s="215"/>
      <c r="AX632" s="215"/>
      <c r="AY632" s="215"/>
      <c r="AZ632" s="215"/>
      <c r="BA632" s="215"/>
      <c r="BB632" s="215"/>
      <c r="BC632" s="215"/>
      <c r="BD632" s="215"/>
      <c r="BE632" s="215"/>
      <c r="BF632" s="215"/>
      <c r="BG632" s="215"/>
      <c r="BH632" s="215"/>
      <c r="BI632" s="215"/>
      <c r="BJ632" s="215"/>
      <c r="BK632" s="215"/>
      <c r="BL632" s="215"/>
      <c r="BM632" s="215"/>
      <c r="BN632" s="215"/>
      <c r="BO632" s="215"/>
      <c r="BP632" s="215"/>
      <c r="BQ632" s="215"/>
      <c r="BR632" s="215"/>
      <c r="BS632" s="215"/>
      <c r="BT632" s="215"/>
      <c r="BU632" s="215"/>
      <c r="BV632" s="215"/>
      <c r="BW632" s="215"/>
      <c r="BX632" s="215"/>
      <c r="BY632" s="215"/>
      <c r="BZ632" s="215"/>
    </row>
    <row r="633" spans="1:78" outlineLevel="1" x14ac:dyDescent="0.2">
      <c r="A633" s="9" t="str">
        <f>'Language Index'!A573</f>
        <v>Adj. for Liability Recognized on Balance Sheet</v>
      </c>
      <c r="B633" s="17"/>
      <c r="C633" s="17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30"/>
      <c r="P633" s="18"/>
      <c r="Q633" s="215"/>
      <c r="R633" s="215"/>
      <c r="S633" s="215"/>
      <c r="T633" s="215"/>
      <c r="U633" s="215"/>
      <c r="V633" s="222"/>
      <c r="W633" s="222"/>
      <c r="X633" s="222"/>
      <c r="Y633" s="215"/>
      <c r="Z633" s="215"/>
      <c r="AA633" s="215"/>
      <c r="AB633" s="215"/>
      <c r="AC633" s="215"/>
      <c r="AD633" s="215"/>
      <c r="AE633" s="215"/>
      <c r="AF633" s="215"/>
      <c r="AG633" s="215"/>
      <c r="AH633" s="215"/>
      <c r="AI633" s="215"/>
      <c r="AJ633" s="215"/>
      <c r="AK633" s="215"/>
      <c r="AL633" s="215"/>
      <c r="AM633" s="215"/>
      <c r="AN633" s="215"/>
      <c r="AO633" s="215"/>
      <c r="AP633" s="215"/>
      <c r="AQ633" s="215"/>
      <c r="AR633" s="215"/>
      <c r="AS633" s="215"/>
      <c r="AT633" s="215"/>
      <c r="AU633" s="215"/>
      <c r="AV633" s="215"/>
      <c r="AW633" s="215"/>
      <c r="AX633" s="215"/>
      <c r="AY633" s="215"/>
      <c r="AZ633" s="215"/>
      <c r="BA633" s="215"/>
      <c r="BB633" s="215"/>
      <c r="BC633" s="215"/>
      <c r="BD633" s="215"/>
      <c r="BE633" s="215"/>
      <c r="BF633" s="215"/>
      <c r="BG633" s="215"/>
      <c r="BH633" s="215"/>
      <c r="BI633" s="215"/>
      <c r="BJ633" s="215"/>
      <c r="BK633" s="215"/>
      <c r="BL633" s="215"/>
      <c r="BM633" s="215"/>
      <c r="BN633" s="215"/>
      <c r="BO633" s="215"/>
      <c r="BP633" s="215"/>
      <c r="BQ633" s="215"/>
      <c r="BR633" s="215"/>
      <c r="BS633" s="215"/>
      <c r="BT633" s="215"/>
      <c r="BU633" s="215"/>
      <c r="BV633" s="215"/>
      <c r="BW633" s="215"/>
      <c r="BX633" s="215"/>
      <c r="BY633" s="215"/>
      <c r="BZ633" s="215"/>
    </row>
    <row r="634" spans="1:78" outlineLevel="1" x14ac:dyDescent="0.2">
      <c r="A634" s="2" t="str">
        <f>'Language Index'!A574</f>
        <v>Unrecog. Prior Plan Service Cost</v>
      </c>
      <c r="B634" s="17"/>
      <c r="C634" s="17"/>
      <c r="D634" s="18">
        <f>_xll.ciqfunctions.udf.CIQ($C$2,"IQ_PENSION_UNRECOG_PRIOR",D$6,$F$2,,,Ccy,Conv)</f>
        <v>0</v>
      </c>
      <c r="E634" s="18">
        <f>_xll.ciqfunctions.udf.CIQ($C$2,"IQ_PENSION_UNRECOG_PRIOR",E$6,$F$2,,,Ccy,Conv)</f>
        <v>0</v>
      </c>
      <c r="F634" s="18">
        <f>_xll.ciqfunctions.udf.CIQ($C$2,"IQ_PENSION_UNRECOG_PRIOR",F$6,$F$2,,,Ccy,Conv)</f>
        <v>0</v>
      </c>
      <c r="G634" s="18">
        <f>_xll.ciqfunctions.udf.CIQ($C$2,"IQ_PENSION_UNRECOG_PRIOR",G$6,$F$2,,,Ccy,Conv)</f>
        <v>0</v>
      </c>
      <c r="H634" s="18">
        <f>_xll.ciqfunctions.udf.CIQ($C$2,"IQ_PENSION_UNRECOG_PRIOR",H$6,$F$2,,,Ccy,Conv)</f>
        <v>0</v>
      </c>
      <c r="I634" s="18">
        <f>_xll.ciqfunctions.udf.CIQ($C$2,"IQ_PENSION_UNRECOG_PRIOR",I$6,$F$2,,,Ccy,Conv)</f>
        <v>0</v>
      </c>
      <c r="J634" s="18">
        <f>_xll.ciqfunctions.udf.CIQ($C$2,"IQ_PENSION_UNRECOG_PRIOR",J$6,$F$2,,,Ccy,Conv)</f>
        <v>0</v>
      </c>
      <c r="K634" s="18">
        <f>_xll.ciqfunctions.udf.CIQ($C$2,"IQ_PENSION_UNRECOG_PRIOR",K$6,$F$2,,,Ccy,Conv)</f>
        <v>0</v>
      </c>
      <c r="L634" s="18">
        <f>_xll.ciqfunctions.udf.CIQ($C$2,"IQ_PENSION_UNRECOG_PRIOR",L$6,$F$2,,,Ccy,Conv)</f>
        <v>0</v>
      </c>
      <c r="M634" s="18">
        <f>_xll.ciqfunctions.udf.CIQ($C$2,"IQ_PENSION_UNRECOG_PRIOR",M$6,$F$2,,,Ccy,Conv)</f>
        <v>0</v>
      </c>
      <c r="N634" s="18">
        <f>_xll.ciqfunctions.udf.CIQ($C$2,"IQ_PENSION_UNRECOG_PRIOR",N$6,$F$2,,,Ccy,Conv)</f>
        <v>0</v>
      </c>
      <c r="O634" s="30"/>
      <c r="P634" s="18">
        <f>_xll.ciqfunctions.udf.CIQ($C$2,"IQ_PENSION_UNRECOG_PRIOR",P$6,$F$2,,,Ccy,Conv)</f>
        <v>0</v>
      </c>
      <c r="Q634" s="215"/>
      <c r="R634" s="215"/>
      <c r="S634" s="215"/>
      <c r="T634" s="215"/>
      <c r="U634" s="215"/>
      <c r="V634" s="222"/>
      <c r="W634" s="222"/>
      <c r="X634" s="222"/>
      <c r="Y634" s="215"/>
      <c r="Z634" s="215"/>
      <c r="AA634" s="215"/>
      <c r="AB634" s="215"/>
      <c r="AC634" s="215"/>
      <c r="AD634" s="215"/>
      <c r="AE634" s="215"/>
      <c r="AF634" s="215"/>
      <c r="AG634" s="215"/>
      <c r="AH634" s="215"/>
      <c r="AI634" s="215"/>
      <c r="AJ634" s="215"/>
      <c r="AK634" s="215"/>
      <c r="AL634" s="215"/>
      <c r="AM634" s="215"/>
      <c r="AN634" s="215"/>
      <c r="AO634" s="215"/>
      <c r="AP634" s="215"/>
      <c r="AQ634" s="215"/>
      <c r="AR634" s="215"/>
      <c r="AS634" s="215"/>
      <c r="AT634" s="215"/>
      <c r="AU634" s="215"/>
      <c r="AV634" s="215"/>
      <c r="AW634" s="215"/>
      <c r="AX634" s="215"/>
      <c r="AY634" s="215"/>
      <c r="AZ634" s="215"/>
      <c r="BA634" s="215"/>
      <c r="BB634" s="215"/>
      <c r="BC634" s="215"/>
      <c r="BD634" s="215"/>
      <c r="BE634" s="215"/>
      <c r="BF634" s="215"/>
      <c r="BG634" s="215"/>
      <c r="BH634" s="215"/>
      <c r="BI634" s="215"/>
      <c r="BJ634" s="215"/>
      <c r="BK634" s="215"/>
      <c r="BL634" s="215"/>
      <c r="BM634" s="215"/>
      <c r="BN634" s="215"/>
      <c r="BO634" s="215"/>
      <c r="BP634" s="215"/>
      <c r="BQ634" s="215"/>
      <c r="BR634" s="215"/>
      <c r="BS634" s="215"/>
      <c r="BT634" s="215"/>
      <c r="BU634" s="215"/>
      <c r="BV634" s="215"/>
      <c r="BW634" s="215"/>
      <c r="BX634" s="215"/>
      <c r="BY634" s="215"/>
      <c r="BZ634" s="215"/>
    </row>
    <row r="635" spans="1:78" outlineLevel="1" x14ac:dyDescent="0.2">
      <c r="A635" s="2" t="str">
        <f>'Language Index'!A575</f>
        <v>Other Adj. (Net Benefit Asset/Liab.)</v>
      </c>
      <c r="B635" s="17"/>
      <c r="C635" s="17"/>
      <c r="D635" s="18">
        <f>_xll.ciqfunctions.udf.CIQ($C$2,"IQ_PENSION_OTHER_ADJ",D$6,$F$2,,,Ccy,Conv)</f>
        <v>0</v>
      </c>
      <c r="E635" s="18">
        <f>_xll.ciqfunctions.udf.CIQ($C$2,"IQ_PENSION_OTHER_ADJ",E$6,$F$2,,,Ccy,Conv)</f>
        <v>0</v>
      </c>
      <c r="F635" s="18">
        <f>_xll.ciqfunctions.udf.CIQ($C$2,"IQ_PENSION_OTHER_ADJ",F$6,$F$2,,,Ccy,Conv)</f>
        <v>0</v>
      </c>
      <c r="G635" s="18">
        <f>_xll.ciqfunctions.udf.CIQ($C$2,"IQ_PENSION_OTHER_ADJ",G$6,$F$2,,,Ccy,Conv)</f>
        <v>0</v>
      </c>
      <c r="H635" s="18">
        <f>_xll.ciqfunctions.udf.CIQ($C$2,"IQ_PENSION_OTHER_ADJ",H$6,$F$2,,,Ccy,Conv)</f>
        <v>0</v>
      </c>
      <c r="I635" s="18">
        <f>_xll.ciqfunctions.udf.CIQ($C$2,"IQ_PENSION_OTHER_ADJ",I$6,$F$2,,,Ccy,Conv)</f>
        <v>0</v>
      </c>
      <c r="J635" s="18">
        <f>_xll.ciqfunctions.udf.CIQ($C$2,"IQ_PENSION_OTHER_ADJ",J$6,$F$2,,,Ccy,Conv)</f>
        <v>0</v>
      </c>
      <c r="K635" s="18">
        <f>_xll.ciqfunctions.udf.CIQ($C$2,"IQ_PENSION_OTHER_ADJ",K$6,$F$2,,,Ccy,Conv)</f>
        <v>0</v>
      </c>
      <c r="L635" s="18">
        <f>_xll.ciqfunctions.udf.CIQ($C$2,"IQ_PENSION_OTHER_ADJ",L$6,$F$2,,,Ccy,Conv)</f>
        <v>0</v>
      </c>
      <c r="M635" s="18">
        <f>_xll.ciqfunctions.udf.CIQ($C$2,"IQ_PENSION_OTHER_ADJ",M$6,$F$2,,,Ccy,Conv)</f>
        <v>0</v>
      </c>
      <c r="N635" s="18">
        <f>_xll.ciqfunctions.udf.CIQ($C$2,"IQ_PENSION_OTHER_ADJ",N$6,$F$2,,,Ccy,Conv)</f>
        <v>0</v>
      </c>
      <c r="O635" s="30"/>
      <c r="P635" s="18">
        <f>_xll.ciqfunctions.udf.CIQ($C$2,"IQ_PENSION_OTHER_ADJ",P$6,$F$2,,,Ccy,Conv)</f>
        <v>0</v>
      </c>
      <c r="Q635" s="215"/>
      <c r="R635" s="215"/>
      <c r="S635" s="215"/>
      <c r="T635" s="215"/>
      <c r="U635" s="215"/>
      <c r="V635" s="222"/>
      <c r="W635" s="222"/>
      <c r="X635" s="222"/>
      <c r="Y635" s="215"/>
      <c r="Z635" s="215"/>
      <c r="AA635" s="215"/>
      <c r="AB635" s="215"/>
      <c r="AC635" s="215"/>
      <c r="AD635" s="215"/>
      <c r="AE635" s="215"/>
      <c r="AF635" s="215"/>
      <c r="AG635" s="215"/>
      <c r="AH635" s="215"/>
      <c r="AI635" s="215"/>
      <c r="AJ635" s="215"/>
      <c r="AK635" s="215"/>
      <c r="AL635" s="215"/>
      <c r="AM635" s="215"/>
      <c r="AN635" s="215"/>
      <c r="AO635" s="215"/>
      <c r="AP635" s="215"/>
      <c r="AQ635" s="215"/>
      <c r="AR635" s="215"/>
      <c r="AS635" s="215"/>
      <c r="AT635" s="215"/>
      <c r="AU635" s="215"/>
      <c r="AV635" s="215"/>
      <c r="AW635" s="215"/>
      <c r="AX635" s="215"/>
      <c r="AY635" s="215"/>
      <c r="AZ635" s="215"/>
      <c r="BA635" s="215"/>
      <c r="BB635" s="215"/>
      <c r="BC635" s="215"/>
      <c r="BD635" s="215"/>
      <c r="BE635" s="215"/>
      <c r="BF635" s="215"/>
      <c r="BG635" s="215"/>
      <c r="BH635" s="215"/>
      <c r="BI635" s="215"/>
      <c r="BJ635" s="215"/>
      <c r="BK635" s="215"/>
      <c r="BL635" s="215"/>
      <c r="BM635" s="215"/>
      <c r="BN635" s="215"/>
      <c r="BO635" s="215"/>
      <c r="BP635" s="215"/>
      <c r="BQ635" s="215"/>
      <c r="BR635" s="215"/>
      <c r="BS635" s="215"/>
      <c r="BT635" s="215"/>
      <c r="BU635" s="215"/>
      <c r="BV635" s="215"/>
      <c r="BW635" s="215"/>
      <c r="BX635" s="215"/>
      <c r="BY635" s="215"/>
      <c r="BZ635" s="215"/>
    </row>
    <row r="636" spans="1:78" outlineLevel="1" x14ac:dyDescent="0.2">
      <c r="A636" s="2" t="str">
        <f>'Language Index'!A576</f>
        <v>Net Asset/Liability Recognized on Balance Sheet</v>
      </c>
      <c r="B636" s="17"/>
      <c r="C636" s="17"/>
      <c r="D636" s="18">
        <f>_xll.ciqfunctions.udf.CIQ($C$2,"IQ_PENSION_NET_ASSET_RECOG",D$6,$F$2,,,Ccy,Conv)</f>
        <v>0</v>
      </c>
      <c r="E636" s="18">
        <f>_xll.ciqfunctions.udf.CIQ($C$2,"IQ_PENSION_NET_ASSET_RECOG",E$6,$F$2,,,Ccy,Conv)</f>
        <v>0</v>
      </c>
      <c r="F636" s="18">
        <f>_xll.ciqfunctions.udf.CIQ($C$2,"IQ_PENSION_NET_ASSET_RECOG",F$6,$F$2,,,Ccy,Conv)</f>
        <v>-1218</v>
      </c>
      <c r="G636" s="18">
        <f>_xll.ciqfunctions.udf.CIQ($C$2,"IQ_PENSION_NET_ASSET_RECOG",G$6,$F$2,,,Ccy,Conv)</f>
        <v>0</v>
      </c>
      <c r="H636" s="18">
        <f>_xll.ciqfunctions.udf.CIQ($C$2,"IQ_PENSION_NET_ASSET_RECOG",H$6,$F$2,,,Ccy,Conv)</f>
        <v>0</v>
      </c>
      <c r="I636" s="18">
        <f>_xll.ciqfunctions.udf.CIQ($C$2,"IQ_PENSION_NET_ASSET_RECOG",I$6,$F$2,,,Ccy,Conv)</f>
        <v>0</v>
      </c>
      <c r="J636" s="18">
        <f>_xll.ciqfunctions.udf.CIQ($C$2,"IQ_PENSION_NET_ASSET_RECOG",J$6,$F$2,,,Ccy,Conv)</f>
        <v>87</v>
      </c>
      <c r="K636" s="18">
        <f>_xll.ciqfunctions.udf.CIQ($C$2,"IQ_PENSION_NET_ASSET_RECOG",K$6,$F$2,,,Ccy,Conv)</f>
        <v>0</v>
      </c>
      <c r="L636" s="18">
        <f>_xll.ciqfunctions.udf.CIQ($C$2,"IQ_PENSION_NET_ASSET_RECOG",L$6,$F$2,,,Ccy,Conv)</f>
        <v>0</v>
      </c>
      <c r="M636" s="18">
        <f>_xll.ciqfunctions.udf.CIQ($C$2,"IQ_PENSION_NET_ASSET_RECOG",M$6,$F$2,,,Ccy,Conv)</f>
        <v>0</v>
      </c>
      <c r="N636" s="18">
        <f>_xll.ciqfunctions.udf.CIQ($C$2,"IQ_PENSION_NET_ASSET_RECOG",N$6,$F$2,,,Ccy,Conv)</f>
        <v>474</v>
      </c>
      <c r="O636" s="30"/>
      <c r="P636" s="18">
        <f>_xll.ciqfunctions.udf.CIQ($C$2,"IQ_PENSION_NET_ASSET_RECOG",P$6,$F$2,,,Ccy,Conv)</f>
        <v>474</v>
      </c>
      <c r="Q636" s="215"/>
      <c r="R636" s="215"/>
      <c r="S636" s="215"/>
      <c r="T636" s="215"/>
      <c r="U636" s="215"/>
      <c r="V636" s="222"/>
      <c r="W636" s="222"/>
      <c r="X636" s="222"/>
      <c r="Y636" s="215"/>
      <c r="Z636" s="215"/>
      <c r="AA636" s="215"/>
      <c r="AB636" s="215"/>
      <c r="AC636" s="215"/>
      <c r="AD636" s="215"/>
      <c r="AE636" s="215"/>
      <c r="AF636" s="215"/>
      <c r="AG636" s="215"/>
      <c r="AH636" s="215"/>
      <c r="AI636" s="215"/>
      <c r="AJ636" s="215"/>
      <c r="AK636" s="215"/>
      <c r="AL636" s="215"/>
      <c r="AM636" s="215"/>
      <c r="AN636" s="215"/>
      <c r="AO636" s="215"/>
      <c r="AP636" s="215"/>
      <c r="AQ636" s="215"/>
      <c r="AR636" s="215"/>
      <c r="AS636" s="215"/>
      <c r="AT636" s="215"/>
      <c r="AU636" s="215"/>
      <c r="AV636" s="215"/>
      <c r="AW636" s="215"/>
      <c r="AX636" s="215"/>
      <c r="AY636" s="215"/>
      <c r="AZ636" s="215"/>
      <c r="BA636" s="215"/>
      <c r="BB636" s="215"/>
      <c r="BC636" s="215"/>
      <c r="BD636" s="215"/>
      <c r="BE636" s="215"/>
      <c r="BF636" s="215"/>
      <c r="BG636" s="215"/>
      <c r="BH636" s="215"/>
      <c r="BI636" s="215"/>
      <c r="BJ636" s="215"/>
      <c r="BK636" s="215"/>
      <c r="BL636" s="215"/>
      <c r="BM636" s="215"/>
      <c r="BN636" s="215"/>
      <c r="BO636" s="215"/>
      <c r="BP636" s="215"/>
      <c r="BQ636" s="215"/>
      <c r="BR636" s="215"/>
      <c r="BS636" s="215"/>
      <c r="BT636" s="215"/>
      <c r="BU636" s="215"/>
      <c r="BV636" s="215"/>
      <c r="BW636" s="215"/>
      <c r="BX636" s="215"/>
      <c r="BY636" s="215"/>
      <c r="BZ636" s="215"/>
    </row>
    <row r="637" spans="1:78" outlineLevel="1" x14ac:dyDescent="0.2">
      <c r="A637" s="9" t="str">
        <f>'Language Index'!A577</f>
        <v>Other Pension Related Items</v>
      </c>
      <c r="B637" s="17"/>
      <c r="C637" s="17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30"/>
      <c r="P637" s="18"/>
      <c r="Q637" s="215"/>
      <c r="R637" s="215"/>
      <c r="S637" s="215"/>
      <c r="T637" s="215"/>
      <c r="U637" s="215"/>
      <c r="V637" s="222"/>
      <c r="W637" s="222"/>
      <c r="X637" s="222"/>
      <c r="Y637" s="215"/>
      <c r="Z637" s="215"/>
      <c r="AA637" s="215"/>
      <c r="AB637" s="215"/>
      <c r="AC637" s="215"/>
      <c r="AD637" s="215"/>
      <c r="AE637" s="215"/>
      <c r="AF637" s="215"/>
      <c r="AG637" s="215"/>
      <c r="AH637" s="215"/>
      <c r="AI637" s="215"/>
      <c r="AJ637" s="215"/>
      <c r="AK637" s="215"/>
      <c r="AL637" s="215"/>
      <c r="AM637" s="215"/>
      <c r="AN637" s="215"/>
      <c r="AO637" s="215"/>
      <c r="AP637" s="215"/>
      <c r="AQ637" s="215"/>
      <c r="AR637" s="215"/>
      <c r="AS637" s="215"/>
      <c r="AT637" s="215"/>
      <c r="AU637" s="215"/>
      <c r="AV637" s="215"/>
      <c r="AW637" s="215"/>
      <c r="AX637" s="215"/>
      <c r="AY637" s="215"/>
      <c r="AZ637" s="215"/>
      <c r="BA637" s="215"/>
      <c r="BB637" s="215"/>
      <c r="BC637" s="215"/>
      <c r="BD637" s="215"/>
      <c r="BE637" s="215"/>
      <c r="BF637" s="215"/>
      <c r="BG637" s="215"/>
      <c r="BH637" s="215"/>
      <c r="BI637" s="215"/>
      <c r="BJ637" s="215"/>
      <c r="BK637" s="215"/>
      <c r="BL637" s="215"/>
      <c r="BM637" s="215"/>
      <c r="BN637" s="215"/>
      <c r="BO637" s="215"/>
      <c r="BP637" s="215"/>
      <c r="BQ637" s="215"/>
      <c r="BR637" s="215"/>
      <c r="BS637" s="215"/>
      <c r="BT637" s="215"/>
      <c r="BU637" s="215"/>
      <c r="BV637" s="215"/>
      <c r="BW637" s="215"/>
      <c r="BX637" s="215"/>
      <c r="BY637" s="215"/>
      <c r="BZ637" s="215"/>
    </row>
    <row r="638" spans="1:78" outlineLevel="1" x14ac:dyDescent="0.2">
      <c r="A638" s="2" t="str">
        <f>'Language Index'!A578</f>
        <v>Unfunded &amp; Vested Pension Liab.</v>
      </c>
      <c r="B638" s="17"/>
      <c r="C638" s="17"/>
      <c r="D638" s="18">
        <f>_xll.ciqfunctions.udf.CIQ($C$2,"IQ_PENSION_UV_LIAB",D$6,$F$2,,,Ccy,Conv)</f>
        <v>0</v>
      </c>
      <c r="E638" s="18">
        <f>_xll.ciqfunctions.udf.CIQ($C$2,"IQ_PENSION_UV_LIAB",E$6,$F$2,,,Ccy,Conv)</f>
        <v>0</v>
      </c>
      <c r="F638" s="18">
        <f>_xll.ciqfunctions.udf.CIQ($C$2,"IQ_PENSION_UV_LIAB",F$6,$F$2,,,Ccy,Conv)</f>
        <v>0</v>
      </c>
      <c r="G638" s="18">
        <f>_xll.ciqfunctions.udf.CIQ($C$2,"IQ_PENSION_UV_LIAB",G$6,$F$2,,,Ccy,Conv)</f>
        <v>0</v>
      </c>
      <c r="H638" s="18">
        <f>_xll.ciqfunctions.udf.CIQ($C$2,"IQ_PENSION_UV_LIAB",H$6,$F$2,,,Ccy,Conv)</f>
        <v>0</v>
      </c>
      <c r="I638" s="18">
        <f>_xll.ciqfunctions.udf.CIQ($C$2,"IQ_PENSION_UV_LIAB",I$6,$F$2,,,Ccy,Conv)</f>
        <v>0</v>
      </c>
      <c r="J638" s="18">
        <f>_xll.ciqfunctions.udf.CIQ($C$2,"IQ_PENSION_UV_LIAB",J$6,$F$2,,,Ccy,Conv)</f>
        <v>0</v>
      </c>
      <c r="K638" s="18">
        <f>_xll.ciqfunctions.udf.CIQ($C$2,"IQ_PENSION_UV_LIAB",K$6,$F$2,,,Ccy,Conv)</f>
        <v>0</v>
      </c>
      <c r="L638" s="18">
        <f>_xll.ciqfunctions.udf.CIQ($C$2,"IQ_PENSION_UV_LIAB",L$6,$F$2,,,Ccy,Conv)</f>
        <v>0</v>
      </c>
      <c r="M638" s="18">
        <f>_xll.ciqfunctions.udf.CIQ($C$2,"IQ_PENSION_UV_LIAB",M$6,$F$2,,,Ccy,Conv)</f>
        <v>0</v>
      </c>
      <c r="N638" s="18">
        <f>_xll.ciqfunctions.udf.CIQ($C$2,"IQ_PENSION_UV_LIAB",N$6,$F$2,,,Ccy,Conv)</f>
        <v>0</v>
      </c>
      <c r="O638" s="30"/>
      <c r="P638" s="18">
        <f>_xll.ciqfunctions.udf.CIQ($C$2,"IQ_PENSION_UV_LIAB",P$6,$F$2,,,Ccy,Conv)</f>
        <v>0</v>
      </c>
      <c r="Q638" s="215"/>
      <c r="R638" s="215"/>
      <c r="S638" s="215"/>
      <c r="T638" s="215"/>
      <c r="U638" s="215"/>
      <c r="V638" s="222"/>
      <c r="W638" s="222"/>
      <c r="X638" s="222"/>
      <c r="Y638" s="215"/>
      <c r="Z638" s="215"/>
      <c r="AA638" s="215"/>
      <c r="AB638" s="215"/>
      <c r="AC638" s="215"/>
      <c r="AD638" s="215"/>
      <c r="AE638" s="215"/>
      <c r="AF638" s="215"/>
      <c r="AG638" s="215"/>
      <c r="AH638" s="215"/>
      <c r="AI638" s="215"/>
      <c r="AJ638" s="215"/>
      <c r="AK638" s="215"/>
      <c r="AL638" s="215"/>
      <c r="AM638" s="215"/>
      <c r="AN638" s="215"/>
      <c r="AO638" s="215"/>
      <c r="AP638" s="215"/>
      <c r="AQ638" s="215"/>
      <c r="AR638" s="215"/>
      <c r="AS638" s="215"/>
      <c r="AT638" s="215"/>
      <c r="AU638" s="215"/>
      <c r="AV638" s="215"/>
      <c r="AW638" s="215"/>
      <c r="AX638" s="215"/>
      <c r="AY638" s="215"/>
      <c r="AZ638" s="215"/>
      <c r="BA638" s="215"/>
      <c r="BB638" s="215"/>
      <c r="BC638" s="215"/>
      <c r="BD638" s="215"/>
      <c r="BE638" s="215"/>
      <c r="BF638" s="215"/>
      <c r="BG638" s="215"/>
      <c r="BH638" s="215"/>
      <c r="BI638" s="215"/>
      <c r="BJ638" s="215"/>
      <c r="BK638" s="215"/>
      <c r="BL638" s="215"/>
      <c r="BM638" s="215"/>
      <c r="BN638" s="215"/>
      <c r="BO638" s="215"/>
      <c r="BP638" s="215"/>
      <c r="BQ638" s="215"/>
      <c r="BR638" s="215"/>
      <c r="BS638" s="215"/>
      <c r="BT638" s="215"/>
      <c r="BU638" s="215"/>
      <c r="BV638" s="215"/>
      <c r="BW638" s="215"/>
      <c r="BX638" s="215"/>
      <c r="BY638" s="215"/>
      <c r="BZ638" s="215"/>
    </row>
    <row r="639" spans="1:78" outlineLevel="1" x14ac:dyDescent="0.2">
      <c r="A639" s="2" t="str">
        <f>'Language Index'!A579</f>
        <v>Est. Contributions - Next Year</v>
      </c>
      <c r="B639" s="17"/>
      <c r="C639" s="17"/>
      <c r="D639" s="18">
        <f>_xll.ciqfunctions.udf.CIQ($C$2,"IQ_PENSION_EST_CONTRIBUTIONS_NEXTYR",D$6,$F$2,,,Ccy,Conv)</f>
        <v>0</v>
      </c>
      <c r="E639" s="18">
        <f>_xll.ciqfunctions.udf.CIQ($C$2,"IQ_PENSION_EST_CONTRIBUTIONS_NEXTYR",E$6,$F$2,,,Ccy,Conv)</f>
        <v>0</v>
      </c>
      <c r="F639" s="18">
        <f>_xll.ciqfunctions.udf.CIQ($C$2,"IQ_PENSION_EST_CONTRIBUTIONS_NEXTYR",F$6,$F$2,,,Ccy,Conv)</f>
        <v>200</v>
      </c>
      <c r="G639" s="18">
        <f>_xll.ciqfunctions.udf.CIQ($C$2,"IQ_PENSION_EST_CONTRIBUTIONS_NEXTYR",G$6,$F$2,,,Ccy,Conv)</f>
        <v>0</v>
      </c>
      <c r="H639" s="18">
        <f>_xll.ciqfunctions.udf.CIQ($C$2,"IQ_PENSION_EST_CONTRIBUTIONS_NEXTYR",H$6,$F$2,,,Ccy,Conv)</f>
        <v>0</v>
      </c>
      <c r="I639" s="18">
        <f>_xll.ciqfunctions.udf.CIQ($C$2,"IQ_PENSION_EST_CONTRIBUTIONS_NEXTYR",I$6,$F$2,,,Ccy,Conv)</f>
        <v>0</v>
      </c>
      <c r="J639" s="18">
        <f>_xll.ciqfunctions.udf.CIQ($C$2,"IQ_PENSION_EST_CONTRIBUTIONS_NEXTYR",J$6,$F$2,,,Ccy,Conv)</f>
        <v>100</v>
      </c>
      <c r="K639" s="18">
        <f>_xll.ciqfunctions.udf.CIQ($C$2,"IQ_PENSION_EST_CONTRIBUTIONS_NEXTYR",K$6,$F$2,,,Ccy,Conv)</f>
        <v>0</v>
      </c>
      <c r="L639" s="18">
        <f>_xll.ciqfunctions.udf.CIQ($C$2,"IQ_PENSION_EST_CONTRIBUTIONS_NEXTYR",L$6,$F$2,,,Ccy,Conv)</f>
        <v>0</v>
      </c>
      <c r="M639" s="18">
        <f>_xll.ciqfunctions.udf.CIQ($C$2,"IQ_PENSION_EST_CONTRIBUTIONS_NEXTYR",M$6,$F$2,,,Ccy,Conv)</f>
        <v>0</v>
      </c>
      <c r="N639" s="18">
        <f>_xll.ciqfunctions.udf.CIQ($C$2,"IQ_PENSION_EST_CONTRIBUTIONS_NEXTYR",N$6,$F$2,,,Ccy,Conv)</f>
        <v>100</v>
      </c>
      <c r="O639" s="30"/>
      <c r="P639" s="18">
        <f>_xll.ciqfunctions.udf.CIQ($C$2,"IQ_PENSION_EST_CONTRIBUTIONS_NEXTYR",P$6,$F$2,,,Ccy,Conv)</f>
        <v>100</v>
      </c>
      <c r="Q639" s="215"/>
      <c r="R639" s="215"/>
      <c r="S639" s="215"/>
      <c r="T639" s="215"/>
      <c r="U639" s="215"/>
      <c r="V639" s="222"/>
      <c r="W639" s="222"/>
      <c r="X639" s="222"/>
      <c r="Y639" s="215"/>
      <c r="Z639" s="215"/>
      <c r="AA639" s="215"/>
      <c r="AB639" s="215"/>
      <c r="AC639" s="215"/>
      <c r="AD639" s="215"/>
      <c r="AE639" s="215"/>
      <c r="AF639" s="215"/>
      <c r="AG639" s="215"/>
      <c r="AH639" s="215"/>
      <c r="AI639" s="215"/>
      <c r="AJ639" s="215"/>
      <c r="AK639" s="215"/>
      <c r="AL639" s="215"/>
      <c r="AM639" s="215"/>
      <c r="AN639" s="215"/>
      <c r="AO639" s="215"/>
      <c r="AP639" s="215"/>
      <c r="AQ639" s="215"/>
      <c r="AR639" s="215"/>
      <c r="AS639" s="215"/>
      <c r="AT639" s="215"/>
      <c r="AU639" s="215"/>
      <c r="AV639" s="215"/>
      <c r="AW639" s="215"/>
      <c r="AX639" s="215"/>
      <c r="AY639" s="215"/>
      <c r="AZ639" s="215"/>
      <c r="BA639" s="215"/>
      <c r="BB639" s="215"/>
      <c r="BC639" s="215"/>
      <c r="BD639" s="215"/>
      <c r="BE639" s="215"/>
      <c r="BF639" s="215"/>
      <c r="BG639" s="215"/>
      <c r="BH639" s="215"/>
      <c r="BI639" s="215"/>
      <c r="BJ639" s="215"/>
      <c r="BK639" s="215"/>
      <c r="BL639" s="215"/>
      <c r="BM639" s="215"/>
      <c r="BN639" s="215"/>
      <c r="BO639" s="215"/>
      <c r="BP639" s="215"/>
      <c r="BQ639" s="215"/>
      <c r="BR639" s="215"/>
      <c r="BS639" s="215"/>
      <c r="BT639" s="215"/>
      <c r="BU639" s="215"/>
      <c r="BV639" s="215"/>
      <c r="BW639" s="215"/>
      <c r="BX639" s="215"/>
      <c r="BY639" s="215"/>
      <c r="BZ639" s="215"/>
    </row>
    <row r="640" spans="1:78" outlineLevel="1" x14ac:dyDescent="0.2">
      <c r="A640" s="2" t="str">
        <f>'Language Index'!A580</f>
        <v>Quarterly Employer Contribution</v>
      </c>
      <c r="B640" s="17"/>
      <c r="C640" s="17"/>
      <c r="D640" s="18">
        <f>_xll.ciqfunctions.udf.CIQ($C$2,"IQ_PENSION_QUART_EMPLOYER_CONTRIBUTIONS",D$6,$F$2,,,Ccy,Conv)</f>
        <v>0</v>
      </c>
      <c r="E640" s="18">
        <f>_xll.ciqfunctions.udf.CIQ($C$2,"IQ_PENSION_QUART_EMPLOYER_CONTRIBUTIONS",E$6,$F$2,,,Ccy,Conv)</f>
        <v>0</v>
      </c>
      <c r="F640" s="18">
        <f>_xll.ciqfunctions.udf.CIQ($C$2,"IQ_PENSION_QUART_EMPLOYER_CONTRIBUTIONS",F$6,$F$2,,,Ccy,Conv)</f>
        <v>0</v>
      </c>
      <c r="G640" s="18">
        <f>_xll.ciqfunctions.udf.CIQ($C$2,"IQ_PENSION_QUART_EMPLOYER_CONTRIBUTIONS",G$6,$F$2,,,Ccy,Conv)</f>
        <v>0</v>
      </c>
      <c r="H640" s="18">
        <f>_xll.ciqfunctions.udf.CIQ($C$2,"IQ_PENSION_QUART_EMPLOYER_CONTRIBUTIONS",H$6,$F$2,,,Ccy,Conv)</f>
        <v>0</v>
      </c>
      <c r="I640" s="18">
        <f>_xll.ciqfunctions.udf.CIQ($C$2,"IQ_PENSION_QUART_EMPLOYER_CONTRIBUTIONS",I$6,$F$2,,,Ccy,Conv)</f>
        <v>0</v>
      </c>
      <c r="J640" s="18">
        <f>_xll.ciqfunctions.udf.CIQ($C$2,"IQ_PENSION_QUART_EMPLOYER_CONTRIBUTIONS",J$6,$F$2,,,Ccy,Conv)</f>
        <v>0</v>
      </c>
      <c r="K640" s="18">
        <f>_xll.ciqfunctions.udf.CIQ($C$2,"IQ_PENSION_QUART_EMPLOYER_CONTRIBUTIONS",K$6,$F$2,,,Ccy,Conv)</f>
        <v>0</v>
      </c>
      <c r="L640" s="18">
        <f>_xll.ciqfunctions.udf.CIQ($C$2,"IQ_PENSION_QUART_EMPLOYER_CONTRIBUTIONS",L$6,$F$2,,,Ccy,Conv)</f>
        <v>0</v>
      </c>
      <c r="M640" s="18">
        <f>_xll.ciqfunctions.udf.CIQ($C$2,"IQ_PENSION_QUART_EMPLOYER_CONTRIBUTIONS",M$6,$F$2,,,Ccy,Conv)</f>
        <v>0</v>
      </c>
      <c r="N640" s="18">
        <f>_xll.ciqfunctions.udf.CIQ($C$2,"IQ_PENSION_QUART_EMPLOYER_CONTRIBUTIONS",N$6,$F$2,,,Ccy,Conv)</f>
        <v>0</v>
      </c>
      <c r="O640" s="30"/>
      <c r="P640" s="18">
        <f>_xll.ciqfunctions.udf.CIQ($C$2,"IQ_PENSION_QUART_EMPLOYER_CONTRIBUTIONS",P$6,$F$2,,,Ccy,Conv)</f>
        <v>0</v>
      </c>
      <c r="Q640" s="215"/>
      <c r="R640" s="215"/>
      <c r="S640" s="215"/>
      <c r="T640" s="215"/>
      <c r="U640" s="215"/>
      <c r="V640" s="222"/>
      <c r="W640" s="222"/>
      <c r="X640" s="222"/>
      <c r="Y640" s="215"/>
      <c r="Z640" s="215"/>
      <c r="AA640" s="215"/>
      <c r="AB640" s="215"/>
      <c r="AC640" s="215"/>
      <c r="AD640" s="215"/>
      <c r="AE640" s="215"/>
      <c r="AF640" s="215"/>
      <c r="AG640" s="215"/>
      <c r="AH640" s="215"/>
      <c r="AI640" s="215"/>
      <c r="AJ640" s="215"/>
      <c r="AK640" s="215"/>
      <c r="AL640" s="215"/>
      <c r="AM640" s="215"/>
      <c r="AN640" s="215"/>
      <c r="AO640" s="215"/>
      <c r="AP640" s="215"/>
      <c r="AQ640" s="215"/>
      <c r="AR640" s="215"/>
      <c r="AS640" s="215"/>
      <c r="AT640" s="215"/>
      <c r="AU640" s="215"/>
      <c r="AV640" s="215"/>
      <c r="AW640" s="215"/>
      <c r="AX640" s="215"/>
      <c r="AY640" s="215"/>
      <c r="AZ640" s="215"/>
      <c r="BA640" s="215"/>
      <c r="BB640" s="215"/>
      <c r="BC640" s="215"/>
      <c r="BD640" s="215"/>
      <c r="BE640" s="215"/>
      <c r="BF640" s="215"/>
      <c r="BG640" s="215"/>
      <c r="BH640" s="215"/>
      <c r="BI640" s="215"/>
      <c r="BJ640" s="215"/>
      <c r="BK640" s="215"/>
      <c r="BL640" s="215"/>
      <c r="BM640" s="215"/>
      <c r="BN640" s="215"/>
      <c r="BO640" s="215"/>
      <c r="BP640" s="215"/>
      <c r="BQ640" s="215"/>
      <c r="BR640" s="215"/>
      <c r="BS640" s="215"/>
      <c r="BT640" s="215"/>
      <c r="BU640" s="215"/>
      <c r="BV640" s="215"/>
      <c r="BW640" s="215"/>
      <c r="BX640" s="215"/>
      <c r="BY640" s="215"/>
      <c r="BZ640" s="215"/>
    </row>
    <row r="641" spans="1:78" outlineLevel="1" x14ac:dyDescent="0.2">
      <c r="A641" s="2" t="str">
        <f>'Language Index'!A581</f>
        <v>Quarterly Additional Contributions Expected</v>
      </c>
      <c r="B641" s="17"/>
      <c r="C641" s="17"/>
      <c r="D641" s="18">
        <f>_xll.ciqfunctions.udf.CIQ($C$2,"IQ_PENSION_QUART_ADDL_CONTRIBUTIONS_EXP",D$6,$F$2,,,Ccy,Conv)</f>
        <v>0</v>
      </c>
      <c r="E641" s="18">
        <f>_xll.ciqfunctions.udf.CIQ($C$2,"IQ_PENSION_QUART_ADDL_CONTRIBUTIONS_EXP",E$6,$F$2,,,Ccy,Conv)</f>
        <v>0</v>
      </c>
      <c r="F641" s="18">
        <f>_xll.ciqfunctions.udf.CIQ($C$2,"IQ_PENSION_QUART_ADDL_CONTRIBUTIONS_EXP",F$6,$F$2,,,Ccy,Conv)</f>
        <v>0</v>
      </c>
      <c r="G641" s="18">
        <f>_xll.ciqfunctions.udf.CIQ($C$2,"IQ_PENSION_QUART_ADDL_CONTRIBUTIONS_EXP",G$6,$F$2,,,Ccy,Conv)</f>
        <v>0</v>
      </c>
      <c r="H641" s="18">
        <f>_xll.ciqfunctions.udf.CIQ($C$2,"IQ_PENSION_QUART_ADDL_CONTRIBUTIONS_EXP",H$6,$F$2,,,Ccy,Conv)</f>
        <v>0</v>
      </c>
      <c r="I641" s="18">
        <f>_xll.ciqfunctions.udf.CIQ($C$2,"IQ_PENSION_QUART_ADDL_CONTRIBUTIONS_EXP",I$6,$F$2,,,Ccy,Conv)</f>
        <v>0</v>
      </c>
      <c r="J641" s="18">
        <f>_xll.ciqfunctions.udf.CIQ($C$2,"IQ_PENSION_QUART_ADDL_CONTRIBUTIONS_EXP",J$6,$F$2,,,Ccy,Conv)</f>
        <v>0</v>
      </c>
      <c r="K641" s="18">
        <f>_xll.ciqfunctions.udf.CIQ($C$2,"IQ_PENSION_QUART_ADDL_CONTRIBUTIONS_EXP",K$6,$F$2,,,Ccy,Conv)</f>
        <v>0</v>
      </c>
      <c r="L641" s="18">
        <f>_xll.ciqfunctions.udf.CIQ($C$2,"IQ_PENSION_QUART_ADDL_CONTRIBUTIONS_EXP",L$6,$F$2,,,Ccy,Conv)</f>
        <v>0</v>
      </c>
      <c r="M641" s="18">
        <f>_xll.ciqfunctions.udf.CIQ($C$2,"IQ_PENSION_QUART_ADDL_CONTRIBUTIONS_EXP",M$6,$F$2,,,Ccy,Conv)</f>
        <v>0</v>
      </c>
      <c r="N641" s="18">
        <f>_xll.ciqfunctions.udf.CIQ($C$2,"IQ_PENSION_QUART_ADDL_CONTRIBUTIONS_EXP",N$6,$F$2,,,Ccy,Conv)</f>
        <v>0</v>
      </c>
      <c r="O641" s="30"/>
      <c r="P641" s="18">
        <f>_xll.ciqfunctions.udf.CIQ($C$2,"IQ_PENSION_QUART_ADDL_CONTRIBUTIONS_EXP",P$6,$F$2,,,Ccy,Conv)</f>
        <v>0</v>
      </c>
      <c r="Q641" s="215"/>
      <c r="R641" s="215"/>
      <c r="S641" s="215"/>
      <c r="T641" s="215"/>
      <c r="U641" s="215"/>
      <c r="V641" s="222"/>
      <c r="W641" s="222"/>
      <c r="X641" s="222"/>
      <c r="Y641" s="215"/>
      <c r="Z641" s="215"/>
      <c r="AA641" s="215"/>
      <c r="AB641" s="215"/>
      <c r="AC641" s="215"/>
      <c r="AD641" s="215"/>
      <c r="AE641" s="215"/>
      <c r="AF641" s="215"/>
      <c r="AG641" s="215"/>
      <c r="AH641" s="215"/>
      <c r="AI641" s="215"/>
      <c r="AJ641" s="215"/>
      <c r="AK641" s="215"/>
      <c r="AL641" s="215"/>
      <c r="AM641" s="215"/>
      <c r="AN641" s="215"/>
      <c r="AO641" s="215"/>
      <c r="AP641" s="215"/>
      <c r="AQ641" s="215"/>
      <c r="AR641" s="215"/>
      <c r="AS641" s="215"/>
      <c r="AT641" s="215"/>
      <c r="AU641" s="215"/>
      <c r="AV641" s="215"/>
      <c r="AW641" s="215"/>
      <c r="AX641" s="215"/>
      <c r="AY641" s="215"/>
      <c r="AZ641" s="215"/>
      <c r="BA641" s="215"/>
      <c r="BB641" s="215"/>
      <c r="BC641" s="215"/>
      <c r="BD641" s="215"/>
      <c r="BE641" s="215"/>
      <c r="BF641" s="215"/>
      <c r="BG641" s="215"/>
      <c r="BH641" s="215"/>
      <c r="BI641" s="215"/>
      <c r="BJ641" s="215"/>
      <c r="BK641" s="215"/>
      <c r="BL641" s="215"/>
      <c r="BM641" s="215"/>
      <c r="BN641" s="215"/>
      <c r="BO641" s="215"/>
      <c r="BP641" s="215"/>
      <c r="BQ641" s="215"/>
      <c r="BR641" s="215"/>
      <c r="BS641" s="215"/>
      <c r="BT641" s="215"/>
      <c r="BU641" s="215"/>
      <c r="BV641" s="215"/>
      <c r="BW641" s="215"/>
      <c r="BX641" s="215"/>
      <c r="BY641" s="215"/>
      <c r="BZ641" s="215"/>
    </row>
    <row r="642" spans="1:78" outlineLevel="1" x14ac:dyDescent="0.2">
      <c r="A642" s="2" t="str">
        <f>'Language Index'!A582</f>
        <v>Unfunded Additional Minimum Liab.</v>
      </c>
      <c r="B642" s="17"/>
      <c r="C642" s="17"/>
      <c r="D642" s="18">
        <f>_xll.ciqfunctions.udf.CIQ($C$2,"IQ_PENSION_UNFUNDED_ADDL_MIN_LIAB",D$6,$F$2,,,Ccy,Conv)</f>
        <v>0</v>
      </c>
      <c r="E642" s="18">
        <f>_xll.ciqfunctions.udf.CIQ($C$2,"IQ_PENSION_UNFUNDED_ADDL_MIN_LIAB",E$6,$F$2,,,Ccy,Conv)</f>
        <v>0</v>
      </c>
      <c r="F642" s="18">
        <f>_xll.ciqfunctions.udf.CIQ($C$2,"IQ_PENSION_UNFUNDED_ADDL_MIN_LIAB",F$6,$F$2,,,Ccy,Conv)</f>
        <v>0</v>
      </c>
      <c r="G642" s="18">
        <f>_xll.ciqfunctions.udf.CIQ($C$2,"IQ_PENSION_UNFUNDED_ADDL_MIN_LIAB",G$6,$F$2,,,Ccy,Conv)</f>
        <v>0</v>
      </c>
      <c r="H642" s="18">
        <f>_xll.ciqfunctions.udf.CIQ($C$2,"IQ_PENSION_UNFUNDED_ADDL_MIN_LIAB",H$6,$F$2,,,Ccy,Conv)</f>
        <v>0</v>
      </c>
      <c r="I642" s="18">
        <f>_xll.ciqfunctions.udf.CIQ($C$2,"IQ_PENSION_UNFUNDED_ADDL_MIN_LIAB",I$6,$F$2,,,Ccy,Conv)</f>
        <v>0</v>
      </c>
      <c r="J642" s="18">
        <f>_xll.ciqfunctions.udf.CIQ($C$2,"IQ_PENSION_UNFUNDED_ADDL_MIN_LIAB",J$6,$F$2,,,Ccy,Conv)</f>
        <v>0</v>
      </c>
      <c r="K642" s="18">
        <f>_xll.ciqfunctions.udf.CIQ($C$2,"IQ_PENSION_UNFUNDED_ADDL_MIN_LIAB",K$6,$F$2,,,Ccy,Conv)</f>
        <v>0</v>
      </c>
      <c r="L642" s="18">
        <f>_xll.ciqfunctions.udf.CIQ($C$2,"IQ_PENSION_UNFUNDED_ADDL_MIN_LIAB",L$6,$F$2,,,Ccy,Conv)</f>
        <v>0</v>
      </c>
      <c r="M642" s="18">
        <f>_xll.ciqfunctions.udf.CIQ($C$2,"IQ_PENSION_UNFUNDED_ADDL_MIN_LIAB",M$6,$F$2,,,Ccy,Conv)</f>
        <v>0</v>
      </c>
      <c r="N642" s="18">
        <f>_xll.ciqfunctions.udf.CIQ($C$2,"IQ_PENSION_UNFUNDED_ADDL_MIN_LIAB",N$6,$F$2,,,Ccy,Conv)</f>
        <v>0</v>
      </c>
      <c r="O642" s="30"/>
      <c r="P642" s="18">
        <f>_xll.ciqfunctions.udf.CIQ($C$2,"IQ_PENSION_UNFUNDED_ADDL_MIN_LIAB",P$6,$F$2,,,Ccy,Conv)</f>
        <v>0</v>
      </c>
      <c r="Q642" s="215"/>
      <c r="R642" s="215"/>
      <c r="S642" s="215"/>
      <c r="T642" s="215"/>
      <c r="U642" s="215"/>
      <c r="V642" s="222"/>
      <c r="W642" s="222"/>
      <c r="X642" s="222"/>
      <c r="Y642" s="215"/>
      <c r="Z642" s="215"/>
      <c r="AA642" s="215"/>
      <c r="AB642" s="215"/>
      <c r="AC642" s="215"/>
      <c r="AD642" s="215"/>
      <c r="AE642" s="215"/>
      <c r="AF642" s="215"/>
      <c r="AG642" s="215"/>
      <c r="AH642" s="215"/>
      <c r="AI642" s="215"/>
      <c r="AJ642" s="215"/>
      <c r="AK642" s="215"/>
      <c r="AL642" s="215"/>
      <c r="AM642" s="215"/>
      <c r="AN642" s="215"/>
      <c r="AO642" s="215"/>
      <c r="AP642" s="215"/>
      <c r="AQ642" s="215"/>
      <c r="AR642" s="215"/>
      <c r="AS642" s="215"/>
      <c r="AT642" s="215"/>
      <c r="AU642" s="215"/>
      <c r="AV642" s="215"/>
      <c r="AW642" s="215"/>
      <c r="AX642" s="215"/>
      <c r="AY642" s="215"/>
      <c r="AZ642" s="215"/>
      <c r="BA642" s="215"/>
      <c r="BB642" s="215"/>
      <c r="BC642" s="215"/>
      <c r="BD642" s="215"/>
      <c r="BE642" s="215"/>
      <c r="BF642" s="215"/>
      <c r="BG642" s="215"/>
      <c r="BH642" s="215"/>
      <c r="BI642" s="215"/>
      <c r="BJ642" s="215"/>
      <c r="BK642" s="215"/>
      <c r="BL642" s="215"/>
      <c r="BM642" s="215"/>
      <c r="BN642" s="215"/>
      <c r="BO642" s="215"/>
      <c r="BP642" s="215"/>
      <c r="BQ642" s="215"/>
      <c r="BR642" s="215"/>
      <c r="BS642" s="215"/>
      <c r="BT642" s="215"/>
      <c r="BU642" s="215"/>
      <c r="BV642" s="215"/>
      <c r="BW642" s="215"/>
      <c r="BX642" s="215"/>
      <c r="BY642" s="215"/>
      <c r="BZ642" s="215"/>
    </row>
    <row r="643" spans="1:78" outlineLevel="1" x14ac:dyDescent="0.2">
      <c r="A643" s="2" t="str">
        <f>'Language Index'!A583</f>
        <v>Benefit Info Date</v>
      </c>
      <c r="B643" s="17"/>
      <c r="C643" s="17"/>
      <c r="D643" s="35" t="str">
        <f>IF(_xll.ciqfunctions.udf.CIQ($C$2,"IQ_PENSION_BENEFIT_INFO_DATE",D$6,$F$2)=0,"NA ",_xll.ciqfunctions.udf.CIQ($C$2,"IQ_PENSION_BENEFIT_INFO_DATE",D$6,$F$2))</f>
        <v xml:space="preserve">NA </v>
      </c>
      <c r="E643" s="35" t="str">
        <f>IF(_xll.ciqfunctions.udf.CIQ($C$2,"IQ_PENSION_BENEFIT_INFO_DATE",E$6,$F$2)=0,"NA ",_xll.ciqfunctions.udf.CIQ($C$2,"IQ_PENSION_BENEFIT_INFO_DATE",E$6,$F$2))</f>
        <v xml:space="preserve">NA </v>
      </c>
      <c r="F643" s="35">
        <f>IF(_xll.ciqfunctions.udf.CIQ($C$2,"IQ_PENSION_BENEFIT_INFO_DATE",F$6,$F$2)=0,"NA ",_xll.ciqfunctions.udf.CIQ($C$2,"IQ_PENSION_BENEFIT_INFO_DATE",F$6,$F$2))</f>
        <v>45291</v>
      </c>
      <c r="G643" s="35" t="str">
        <f>IF(_xll.ciqfunctions.udf.CIQ($C$2,"IQ_PENSION_BENEFIT_INFO_DATE",G$6,$F$2)=0,"NA ",_xll.ciqfunctions.udf.CIQ($C$2,"IQ_PENSION_BENEFIT_INFO_DATE",G$6,$F$2))</f>
        <v xml:space="preserve">NA </v>
      </c>
      <c r="H643" s="35" t="str">
        <f>IF(_xll.ciqfunctions.udf.CIQ($C$2,"IQ_PENSION_BENEFIT_INFO_DATE",H$6,$F$2)=0,"NA ",_xll.ciqfunctions.udf.CIQ($C$2,"IQ_PENSION_BENEFIT_INFO_DATE",H$6,$F$2))</f>
        <v xml:space="preserve">NA </v>
      </c>
      <c r="I643" s="35" t="str">
        <f>IF(_xll.ciqfunctions.udf.CIQ($C$2,"IQ_PENSION_BENEFIT_INFO_DATE",I$6,$F$2)=0,"NA ",_xll.ciqfunctions.udf.CIQ($C$2,"IQ_PENSION_BENEFIT_INFO_DATE",I$6,$F$2))</f>
        <v xml:space="preserve">NA </v>
      </c>
      <c r="J643" s="35">
        <f>IF(_xll.ciqfunctions.udf.CIQ($C$2,"IQ_PENSION_BENEFIT_INFO_DATE",J$6,$F$2)=0,"NA ",_xll.ciqfunctions.udf.CIQ($C$2,"IQ_PENSION_BENEFIT_INFO_DATE",J$6,$F$2))</f>
        <v>45657</v>
      </c>
      <c r="K643" s="35" t="str">
        <f>IF(_xll.ciqfunctions.udf.CIQ($C$2,"IQ_PENSION_BENEFIT_INFO_DATE",K$6,$F$2)=0,"NA ",_xll.ciqfunctions.udf.CIQ($C$2,"IQ_PENSION_BENEFIT_INFO_DATE",K$6,$F$2))</f>
        <v xml:space="preserve">NA </v>
      </c>
      <c r="L643" s="35" t="str">
        <f>IF(_xll.ciqfunctions.udf.CIQ($C$2,"IQ_PENSION_BENEFIT_INFO_DATE",L$6,$F$2)=0,"NA ",_xll.ciqfunctions.udf.CIQ($C$2,"IQ_PENSION_BENEFIT_INFO_DATE",L$6,$F$2))</f>
        <v xml:space="preserve">NA </v>
      </c>
      <c r="M643" s="35" t="str">
        <f>IF(_xll.ciqfunctions.udf.CIQ($C$2,"IQ_PENSION_BENEFIT_INFO_DATE",M$6,$F$2)=0,"NA ",_xll.ciqfunctions.udf.CIQ($C$2,"IQ_PENSION_BENEFIT_INFO_DATE",M$6,$F$2))</f>
        <v xml:space="preserve">NA </v>
      </c>
      <c r="N643" s="35">
        <f>IF(_xll.ciqfunctions.udf.CIQ($C$2,"IQ_PENSION_BENEFIT_INFO_DATE",N$6,$F$2)=0,"NA ",_xll.ciqfunctions.udf.CIQ($C$2,"IQ_PENSION_BENEFIT_INFO_DATE",N$6,$F$2))</f>
        <v>46022</v>
      </c>
      <c r="O643" s="35"/>
      <c r="P643" s="35">
        <f>IF(_xll.ciqfunctions.udf.CIQ($C$2,"IQ_PENSION_BENEFIT_INFO_DATE",P$6,$F$2)=0,"NA ",_xll.ciqfunctions.udf.CIQ($C$2,"IQ_PENSION_BENEFIT_INFO_DATE",P$6,$F$2))</f>
        <v>46022</v>
      </c>
      <c r="Q643" s="215"/>
      <c r="R643" s="215"/>
      <c r="S643" s="215"/>
      <c r="T643" s="215"/>
      <c r="U643" s="215"/>
      <c r="V643" s="222"/>
      <c r="W643" s="222"/>
      <c r="X643" s="222"/>
      <c r="Y643" s="215"/>
      <c r="Z643" s="215"/>
      <c r="AA643" s="215"/>
      <c r="AB643" s="215"/>
      <c r="AC643" s="215"/>
      <c r="AD643" s="215"/>
      <c r="AE643" s="215"/>
      <c r="AF643" s="215"/>
      <c r="AG643" s="215"/>
      <c r="AH643" s="215"/>
      <c r="AI643" s="215"/>
      <c r="AJ643" s="215"/>
      <c r="AK643" s="215"/>
      <c r="AL643" s="215"/>
      <c r="AM643" s="215"/>
      <c r="AN643" s="215"/>
      <c r="AO643" s="215"/>
      <c r="AP643" s="215"/>
      <c r="AQ643" s="215"/>
      <c r="AR643" s="215"/>
      <c r="AS643" s="215"/>
      <c r="AT643" s="215"/>
      <c r="AU643" s="215"/>
      <c r="AV643" s="215"/>
      <c r="AW643" s="215"/>
      <c r="AX643" s="215"/>
      <c r="AY643" s="215"/>
      <c r="AZ643" s="215"/>
      <c r="BA643" s="215"/>
      <c r="BB643" s="215"/>
      <c r="BC643" s="215"/>
      <c r="BD643" s="215"/>
      <c r="BE643" s="215"/>
      <c r="BF643" s="215"/>
      <c r="BG643" s="215"/>
      <c r="BH643" s="215"/>
      <c r="BI643" s="215"/>
      <c r="BJ643" s="215"/>
      <c r="BK643" s="215"/>
      <c r="BL643" s="215"/>
      <c r="BM643" s="215"/>
      <c r="BN643" s="215"/>
      <c r="BO643" s="215"/>
      <c r="BP643" s="215"/>
      <c r="BQ643" s="215"/>
      <c r="BR643" s="215"/>
      <c r="BS643" s="215"/>
      <c r="BT643" s="215"/>
      <c r="BU643" s="215"/>
      <c r="BV643" s="215"/>
      <c r="BW643" s="215"/>
      <c r="BX643" s="215"/>
      <c r="BY643" s="215"/>
      <c r="BZ643" s="215"/>
    </row>
    <row r="644" spans="1:78" outlineLevel="1" x14ac:dyDescent="0.2">
      <c r="A644" s="2"/>
      <c r="B644" s="17"/>
      <c r="C644" s="17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30"/>
      <c r="P644" s="18"/>
      <c r="Q644" s="215"/>
      <c r="R644" s="215"/>
      <c r="S644" s="215"/>
      <c r="T644" s="215"/>
      <c r="U644" s="215"/>
      <c r="V644" s="222"/>
      <c r="W644" s="222"/>
      <c r="X644" s="222"/>
      <c r="Y644" s="215"/>
      <c r="Z644" s="215"/>
      <c r="AA644" s="215"/>
      <c r="AB644" s="215"/>
      <c r="AC644" s="215"/>
      <c r="AD644" s="215"/>
      <c r="AE644" s="215"/>
      <c r="AF644" s="215"/>
      <c r="AG644" s="215"/>
      <c r="AH644" s="215"/>
      <c r="AI644" s="215"/>
      <c r="AJ644" s="215"/>
      <c r="AK644" s="215"/>
      <c r="AL644" s="215"/>
      <c r="AM644" s="215"/>
      <c r="AN644" s="215"/>
      <c r="AO644" s="215"/>
      <c r="AP644" s="215"/>
      <c r="AQ644" s="215"/>
      <c r="AR644" s="215"/>
      <c r="AS644" s="215"/>
      <c r="AT644" s="215"/>
      <c r="AU644" s="215"/>
      <c r="AV644" s="215"/>
      <c r="AW644" s="215"/>
      <c r="AX644" s="215"/>
      <c r="AY644" s="215"/>
      <c r="AZ644" s="215"/>
      <c r="BA644" s="215"/>
      <c r="BB644" s="215"/>
      <c r="BC644" s="215"/>
      <c r="BD644" s="215"/>
      <c r="BE644" s="215"/>
      <c r="BF644" s="215"/>
      <c r="BG644" s="215"/>
      <c r="BH644" s="215"/>
      <c r="BI644" s="215"/>
      <c r="BJ644" s="215"/>
      <c r="BK644" s="215"/>
      <c r="BL644" s="215"/>
      <c r="BM644" s="215"/>
      <c r="BN644" s="215"/>
      <c r="BO644" s="215"/>
      <c r="BP644" s="215"/>
      <c r="BQ644" s="215"/>
      <c r="BR644" s="215"/>
      <c r="BS644" s="215"/>
      <c r="BT644" s="215"/>
      <c r="BU644" s="215"/>
      <c r="BV644" s="215"/>
      <c r="BW644" s="215"/>
      <c r="BX644" s="215"/>
      <c r="BY644" s="215"/>
      <c r="BZ644" s="215"/>
    </row>
    <row r="645" spans="1:78" outlineLevel="1" x14ac:dyDescent="0.2">
      <c r="A645" s="9" t="str">
        <f>'Language Index'!A584</f>
        <v>OPEB</v>
      </c>
      <c r="B645" s="17"/>
      <c r="C645" s="17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30"/>
      <c r="P645" s="18"/>
      <c r="Q645" s="215"/>
      <c r="R645" s="215"/>
      <c r="S645" s="215"/>
      <c r="T645" s="215"/>
      <c r="U645" s="215"/>
      <c r="V645" s="222"/>
      <c r="W645" s="222"/>
      <c r="X645" s="222"/>
      <c r="Y645" s="215"/>
      <c r="Z645" s="215"/>
      <c r="AA645" s="215"/>
      <c r="AB645" s="215"/>
      <c r="AC645" s="215"/>
      <c r="AD645" s="215"/>
      <c r="AE645" s="215"/>
      <c r="AF645" s="215"/>
      <c r="AG645" s="215"/>
      <c r="AH645" s="215"/>
      <c r="AI645" s="215"/>
      <c r="AJ645" s="215"/>
      <c r="AK645" s="215"/>
      <c r="AL645" s="215"/>
      <c r="AM645" s="215"/>
      <c r="AN645" s="215"/>
      <c r="AO645" s="215"/>
      <c r="AP645" s="215"/>
      <c r="AQ645" s="215"/>
      <c r="AR645" s="215"/>
      <c r="AS645" s="215"/>
      <c r="AT645" s="215"/>
      <c r="AU645" s="215"/>
      <c r="AV645" s="215"/>
      <c r="AW645" s="215"/>
      <c r="AX645" s="215"/>
      <c r="AY645" s="215"/>
      <c r="AZ645" s="215"/>
      <c r="BA645" s="215"/>
      <c r="BB645" s="215"/>
      <c r="BC645" s="215"/>
      <c r="BD645" s="215"/>
      <c r="BE645" s="215"/>
      <c r="BF645" s="215"/>
      <c r="BG645" s="215"/>
      <c r="BH645" s="215"/>
      <c r="BI645" s="215"/>
      <c r="BJ645" s="215"/>
      <c r="BK645" s="215"/>
      <c r="BL645" s="215"/>
      <c r="BM645" s="215"/>
      <c r="BN645" s="215"/>
      <c r="BO645" s="215"/>
      <c r="BP645" s="215"/>
      <c r="BQ645" s="215"/>
      <c r="BR645" s="215"/>
      <c r="BS645" s="215"/>
      <c r="BT645" s="215"/>
      <c r="BU645" s="215"/>
      <c r="BV645" s="215"/>
      <c r="BW645" s="215"/>
      <c r="BX645" s="215"/>
      <c r="BY645" s="215"/>
      <c r="BZ645" s="215"/>
    </row>
    <row r="646" spans="1:78" outlineLevel="1" x14ac:dyDescent="0.2">
      <c r="A646" s="9" t="str">
        <f>'Language Index'!A494</f>
        <v>Defined Benefit Net Periodic Cost</v>
      </c>
      <c r="B646" s="17"/>
      <c r="C646" s="17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30"/>
      <c r="P646" s="18"/>
      <c r="Q646" s="215"/>
      <c r="R646" s="215"/>
      <c r="S646" s="215"/>
      <c r="T646" s="215"/>
      <c r="U646" s="215"/>
      <c r="V646" s="222"/>
      <c r="W646" s="222"/>
      <c r="X646" s="222"/>
      <c r="Y646" s="215"/>
      <c r="Z646" s="215"/>
      <c r="AA646" s="215"/>
      <c r="AB646" s="215"/>
      <c r="AC646" s="215"/>
      <c r="AD646" s="215"/>
      <c r="AE646" s="215"/>
      <c r="AF646" s="215"/>
      <c r="AG646" s="215"/>
      <c r="AH646" s="215"/>
      <c r="AI646" s="215"/>
      <c r="AJ646" s="215"/>
      <c r="AK646" s="215"/>
      <c r="AL646" s="215"/>
      <c r="AM646" s="215"/>
      <c r="AN646" s="215"/>
      <c r="AO646" s="215"/>
      <c r="AP646" s="215"/>
      <c r="AQ646" s="215"/>
      <c r="AR646" s="215"/>
      <c r="AS646" s="215"/>
      <c r="AT646" s="215"/>
      <c r="AU646" s="215"/>
      <c r="AV646" s="215"/>
      <c r="AW646" s="215"/>
      <c r="AX646" s="215"/>
      <c r="AY646" s="215"/>
      <c r="AZ646" s="215"/>
      <c r="BA646" s="215"/>
      <c r="BB646" s="215"/>
      <c r="BC646" s="215"/>
      <c r="BD646" s="215"/>
      <c r="BE646" s="215"/>
      <c r="BF646" s="215"/>
      <c r="BG646" s="215"/>
      <c r="BH646" s="215"/>
      <c r="BI646" s="215"/>
      <c r="BJ646" s="215"/>
      <c r="BK646" s="215"/>
      <c r="BL646" s="215"/>
      <c r="BM646" s="215"/>
      <c r="BN646" s="215"/>
      <c r="BO646" s="215"/>
      <c r="BP646" s="215"/>
      <c r="BQ646" s="215"/>
      <c r="BR646" s="215"/>
      <c r="BS646" s="215"/>
      <c r="BT646" s="215"/>
      <c r="BU646" s="215"/>
      <c r="BV646" s="215"/>
      <c r="BW646" s="215"/>
      <c r="BX646" s="215"/>
      <c r="BY646" s="215"/>
      <c r="BZ646" s="215"/>
    </row>
    <row r="647" spans="1:78" outlineLevel="1" x14ac:dyDescent="0.2">
      <c r="A647" s="2" t="str">
        <f>'Language Index'!A495</f>
        <v>Def. Benefit Service Cost</v>
      </c>
      <c r="B647" s="17"/>
      <c r="C647" s="17"/>
      <c r="D647" s="18">
        <f>_xll.ciqfunctions.udf.CIQ($C$2,"IQ_OPEB_SERVICE_COST",D$6,$F$2,,,Ccy,Conv)</f>
        <v>0</v>
      </c>
      <c r="E647" s="18">
        <f>_xll.ciqfunctions.udf.CIQ($C$2,"IQ_OPEB_SERVICE_COST",E$6,$F$2,,,Ccy,Conv)</f>
        <v>0</v>
      </c>
      <c r="F647" s="18">
        <f>_xll.ciqfunctions.udf.CIQ($C$2,"IQ_OPEB_SERVICE_COST",F$6,$F$2,,,Ccy,Conv)</f>
        <v>6</v>
      </c>
      <c r="G647" s="18">
        <f>_xll.ciqfunctions.udf.CIQ($C$2,"IQ_OPEB_SERVICE_COST",G$6,$F$2,,,Ccy,Conv)</f>
        <v>0</v>
      </c>
      <c r="H647" s="18">
        <f>_xll.ciqfunctions.udf.CIQ($C$2,"IQ_OPEB_SERVICE_COST",H$6,$F$2,,,Ccy,Conv)</f>
        <v>0</v>
      </c>
      <c r="I647" s="18">
        <f>_xll.ciqfunctions.udf.CIQ($C$2,"IQ_OPEB_SERVICE_COST",I$6,$F$2,,,Ccy,Conv)</f>
        <v>0</v>
      </c>
      <c r="J647" s="18">
        <f>_xll.ciqfunctions.udf.CIQ($C$2,"IQ_OPEB_SERVICE_COST",J$6,$F$2,,,Ccy,Conv)</f>
        <v>4</v>
      </c>
      <c r="K647" s="18">
        <f>_xll.ciqfunctions.udf.CIQ($C$2,"IQ_OPEB_SERVICE_COST",K$6,$F$2,,,Ccy,Conv)</f>
        <v>0</v>
      </c>
      <c r="L647" s="18">
        <f>_xll.ciqfunctions.udf.CIQ($C$2,"IQ_OPEB_SERVICE_COST",L$6,$F$2,,,Ccy,Conv)</f>
        <v>0</v>
      </c>
      <c r="M647" s="18">
        <f>_xll.ciqfunctions.udf.CIQ($C$2,"IQ_OPEB_SERVICE_COST",M$6,$F$2,,,Ccy,Conv)</f>
        <v>0</v>
      </c>
      <c r="N647" s="18">
        <f>_xll.ciqfunctions.udf.CIQ($C$2,"IQ_OPEB_SERVICE_COST",N$6,$F$2,,,Ccy,Conv)</f>
        <v>4</v>
      </c>
      <c r="O647" s="30"/>
      <c r="P647" s="18">
        <f>_xll.ciqfunctions.udf.CIQ($C$2,"IQ_OPEB_SERVICE_COST",P$6,$F$2,,,Ccy,Conv)</f>
        <v>4</v>
      </c>
      <c r="Q647" s="215"/>
      <c r="R647" s="215"/>
      <c r="S647" s="215"/>
      <c r="T647" s="215"/>
      <c r="U647" s="215"/>
      <c r="V647" s="222"/>
      <c r="W647" s="222"/>
      <c r="X647" s="222"/>
      <c r="Y647" s="215"/>
      <c r="Z647" s="215"/>
      <c r="AA647" s="215"/>
      <c r="AB647" s="215"/>
      <c r="AC647" s="215"/>
      <c r="AD647" s="215"/>
      <c r="AE647" s="215"/>
      <c r="AF647" s="215"/>
      <c r="AG647" s="215"/>
      <c r="AH647" s="215"/>
      <c r="AI647" s="215"/>
      <c r="AJ647" s="215"/>
      <c r="AK647" s="215"/>
      <c r="AL647" s="215"/>
      <c r="AM647" s="215"/>
      <c r="AN647" s="215"/>
      <c r="AO647" s="215"/>
      <c r="AP647" s="215"/>
      <c r="AQ647" s="215"/>
      <c r="AR647" s="215"/>
      <c r="AS647" s="215"/>
      <c r="AT647" s="215"/>
      <c r="AU647" s="215"/>
      <c r="AV647" s="215"/>
      <c r="AW647" s="215"/>
      <c r="AX647" s="215"/>
      <c r="AY647" s="215"/>
      <c r="AZ647" s="215"/>
      <c r="BA647" s="215"/>
      <c r="BB647" s="215"/>
      <c r="BC647" s="215"/>
      <c r="BD647" s="215"/>
      <c r="BE647" s="215"/>
      <c r="BF647" s="215"/>
      <c r="BG647" s="215"/>
      <c r="BH647" s="215"/>
      <c r="BI647" s="215"/>
      <c r="BJ647" s="215"/>
      <c r="BK647" s="215"/>
      <c r="BL647" s="215"/>
      <c r="BM647" s="215"/>
      <c r="BN647" s="215"/>
      <c r="BO647" s="215"/>
      <c r="BP647" s="215"/>
      <c r="BQ647" s="215"/>
      <c r="BR647" s="215"/>
      <c r="BS647" s="215"/>
      <c r="BT647" s="215"/>
      <c r="BU647" s="215"/>
      <c r="BV647" s="215"/>
      <c r="BW647" s="215"/>
      <c r="BX647" s="215"/>
      <c r="BY647" s="215"/>
      <c r="BZ647" s="215"/>
    </row>
    <row r="648" spans="1:78" outlineLevel="1" x14ac:dyDescent="0.2">
      <c r="A648" s="2" t="str">
        <f>'Language Index'!A496</f>
        <v>Def. Benefit Interest Cost</v>
      </c>
      <c r="B648" s="17"/>
      <c r="C648" s="17"/>
      <c r="D648" s="18">
        <f>_xll.ciqfunctions.udf.CIQ($C$2,"IQ_OPEB_INTEREST_COST",D$6,$F$2,,,Ccy,Conv)</f>
        <v>0</v>
      </c>
      <c r="E648" s="18">
        <f>_xll.ciqfunctions.udf.CIQ($C$2,"IQ_OPEB_INTEREST_COST",E$6,$F$2,,,Ccy,Conv)</f>
        <v>0</v>
      </c>
      <c r="F648" s="18">
        <f>_xll.ciqfunctions.udf.CIQ($C$2,"IQ_OPEB_INTEREST_COST",F$6,$F$2,,,Ccy,Conv)</f>
        <v>156</v>
      </c>
      <c r="G648" s="18">
        <f>_xll.ciqfunctions.udf.CIQ($C$2,"IQ_OPEB_INTEREST_COST",G$6,$F$2,,,Ccy,Conv)</f>
        <v>0</v>
      </c>
      <c r="H648" s="18">
        <f>_xll.ciqfunctions.udf.CIQ($C$2,"IQ_OPEB_INTEREST_COST",H$6,$F$2,,,Ccy,Conv)</f>
        <v>0</v>
      </c>
      <c r="I648" s="18">
        <f>_xll.ciqfunctions.udf.CIQ($C$2,"IQ_OPEB_INTEREST_COST",I$6,$F$2,,,Ccy,Conv)</f>
        <v>0</v>
      </c>
      <c r="J648" s="18">
        <f>_xll.ciqfunctions.udf.CIQ($C$2,"IQ_OPEB_INTEREST_COST",J$6,$F$2,,,Ccy,Conv)</f>
        <v>147</v>
      </c>
      <c r="K648" s="18">
        <f>_xll.ciqfunctions.udf.CIQ($C$2,"IQ_OPEB_INTEREST_COST",K$6,$F$2,,,Ccy,Conv)</f>
        <v>0</v>
      </c>
      <c r="L648" s="18">
        <f>_xll.ciqfunctions.udf.CIQ($C$2,"IQ_OPEB_INTEREST_COST",L$6,$F$2,,,Ccy,Conv)</f>
        <v>0</v>
      </c>
      <c r="M648" s="18">
        <f>_xll.ciqfunctions.udf.CIQ($C$2,"IQ_OPEB_INTEREST_COST",M$6,$F$2,,,Ccy,Conv)</f>
        <v>0</v>
      </c>
      <c r="N648" s="18">
        <f>_xll.ciqfunctions.udf.CIQ($C$2,"IQ_OPEB_INTEREST_COST",N$6,$F$2,,,Ccy,Conv)</f>
        <v>156</v>
      </c>
      <c r="O648" s="30"/>
      <c r="P648" s="18">
        <f>_xll.ciqfunctions.udf.CIQ($C$2,"IQ_OPEB_INTEREST_COST",P$6,$F$2,,,Ccy,Conv)</f>
        <v>156</v>
      </c>
      <c r="Q648" s="215"/>
      <c r="R648" s="215"/>
      <c r="S648" s="215"/>
      <c r="T648" s="215"/>
      <c r="U648" s="215"/>
      <c r="V648" s="222"/>
      <c r="W648" s="222"/>
      <c r="X648" s="222"/>
      <c r="Y648" s="215"/>
      <c r="Z648" s="215"/>
      <c r="AA648" s="215"/>
      <c r="AB648" s="215"/>
      <c r="AC648" s="215"/>
      <c r="AD648" s="215"/>
      <c r="AE648" s="215"/>
      <c r="AF648" s="215"/>
      <c r="AG648" s="215"/>
      <c r="AH648" s="215"/>
      <c r="AI648" s="215"/>
      <c r="AJ648" s="215"/>
      <c r="AK648" s="215"/>
      <c r="AL648" s="215"/>
      <c r="AM648" s="215"/>
      <c r="AN648" s="215"/>
      <c r="AO648" s="215"/>
      <c r="AP648" s="215"/>
      <c r="AQ648" s="215"/>
      <c r="AR648" s="215"/>
      <c r="AS648" s="215"/>
      <c r="AT648" s="215"/>
      <c r="AU648" s="215"/>
      <c r="AV648" s="215"/>
      <c r="AW648" s="215"/>
      <c r="AX648" s="215"/>
      <c r="AY648" s="215"/>
      <c r="AZ648" s="215"/>
      <c r="BA648" s="215"/>
      <c r="BB648" s="215"/>
      <c r="BC648" s="215"/>
      <c r="BD648" s="215"/>
      <c r="BE648" s="215"/>
      <c r="BF648" s="215"/>
      <c r="BG648" s="215"/>
      <c r="BH648" s="215"/>
      <c r="BI648" s="215"/>
      <c r="BJ648" s="215"/>
      <c r="BK648" s="215"/>
      <c r="BL648" s="215"/>
      <c r="BM648" s="215"/>
      <c r="BN648" s="215"/>
      <c r="BO648" s="215"/>
      <c r="BP648" s="215"/>
      <c r="BQ648" s="215"/>
      <c r="BR648" s="215"/>
      <c r="BS648" s="215"/>
      <c r="BT648" s="215"/>
      <c r="BU648" s="215"/>
      <c r="BV648" s="215"/>
      <c r="BW648" s="215"/>
      <c r="BX648" s="215"/>
      <c r="BY648" s="215"/>
      <c r="BZ648" s="215"/>
    </row>
    <row r="649" spans="1:78" outlineLevel="1" x14ac:dyDescent="0.2">
      <c r="A649" s="2" t="str">
        <f>'Language Index'!A585</f>
        <v>Def. Benefit Expected Return on Assets</v>
      </c>
      <c r="B649" s="17"/>
      <c r="C649" s="17"/>
      <c r="D649" s="18">
        <f>_xll.ciqfunctions.udf.CIQ($C$2,"IQ_OPEB_EXP_RETURN",D$6,$F$2,,,Ccy,Conv)</f>
        <v>0</v>
      </c>
      <c r="E649" s="18">
        <f>_xll.ciqfunctions.udf.CIQ($C$2,"IQ_OPEB_EXP_RETURN",E$6,$F$2,,,Ccy,Conv)</f>
        <v>0</v>
      </c>
      <c r="F649" s="18">
        <f>_xll.ciqfunctions.udf.CIQ($C$2,"IQ_OPEB_EXP_RETURN",F$6,$F$2,,,Ccy,Conv)</f>
        <v>-2</v>
      </c>
      <c r="G649" s="18">
        <f>_xll.ciqfunctions.udf.CIQ($C$2,"IQ_OPEB_EXP_RETURN",G$6,$F$2,,,Ccy,Conv)</f>
        <v>0</v>
      </c>
      <c r="H649" s="18">
        <f>_xll.ciqfunctions.udf.CIQ($C$2,"IQ_OPEB_EXP_RETURN",H$6,$F$2,,,Ccy,Conv)</f>
        <v>0</v>
      </c>
      <c r="I649" s="18">
        <f>_xll.ciqfunctions.udf.CIQ($C$2,"IQ_OPEB_EXP_RETURN",I$6,$F$2,,,Ccy,Conv)</f>
        <v>0</v>
      </c>
      <c r="J649" s="18">
        <f>_xll.ciqfunctions.udf.CIQ($C$2,"IQ_OPEB_EXP_RETURN",J$6,$F$2,,,Ccy,Conv)</f>
        <v>-1</v>
      </c>
      <c r="K649" s="18">
        <f>_xll.ciqfunctions.udf.CIQ($C$2,"IQ_OPEB_EXP_RETURN",K$6,$F$2,,,Ccy,Conv)</f>
        <v>0</v>
      </c>
      <c r="L649" s="18">
        <f>_xll.ciqfunctions.udf.CIQ($C$2,"IQ_OPEB_EXP_RETURN",L$6,$F$2,,,Ccy,Conv)</f>
        <v>0</v>
      </c>
      <c r="M649" s="18">
        <f>_xll.ciqfunctions.udf.CIQ($C$2,"IQ_OPEB_EXP_RETURN",M$6,$F$2,,,Ccy,Conv)</f>
        <v>0</v>
      </c>
      <c r="N649" s="18">
        <f>_xll.ciqfunctions.udf.CIQ($C$2,"IQ_OPEB_EXP_RETURN",N$6,$F$2,,,Ccy,Conv)</f>
        <v>-1</v>
      </c>
      <c r="O649" s="30"/>
      <c r="P649" s="18">
        <f>_xll.ciqfunctions.udf.CIQ($C$2,"IQ_OPEB_EXP_RETURN",P$6,$F$2,,,Ccy,Conv)</f>
        <v>-1</v>
      </c>
      <c r="Q649" s="215"/>
      <c r="R649" s="215"/>
      <c r="S649" s="215"/>
      <c r="T649" s="215"/>
      <c r="U649" s="215"/>
      <c r="V649" s="222"/>
      <c r="W649" s="222"/>
      <c r="X649" s="222"/>
      <c r="Y649" s="215"/>
      <c r="Z649" s="215"/>
      <c r="AA649" s="215"/>
      <c r="AB649" s="215"/>
      <c r="AC649" s="215"/>
      <c r="AD649" s="215"/>
      <c r="AE649" s="215"/>
      <c r="AF649" s="215"/>
      <c r="AG649" s="215"/>
      <c r="AH649" s="215"/>
      <c r="AI649" s="215"/>
      <c r="AJ649" s="215"/>
      <c r="AK649" s="215"/>
      <c r="AL649" s="215"/>
      <c r="AM649" s="215"/>
      <c r="AN649" s="215"/>
      <c r="AO649" s="215"/>
      <c r="AP649" s="215"/>
      <c r="AQ649" s="215"/>
      <c r="AR649" s="215"/>
      <c r="AS649" s="215"/>
      <c r="AT649" s="215"/>
      <c r="AU649" s="215"/>
      <c r="AV649" s="215"/>
      <c r="AW649" s="215"/>
      <c r="AX649" s="215"/>
      <c r="AY649" s="215"/>
      <c r="AZ649" s="215"/>
      <c r="BA649" s="215"/>
      <c r="BB649" s="215"/>
      <c r="BC649" s="215"/>
      <c r="BD649" s="215"/>
      <c r="BE649" s="215"/>
      <c r="BF649" s="215"/>
      <c r="BG649" s="215"/>
      <c r="BH649" s="215"/>
      <c r="BI649" s="215"/>
      <c r="BJ649" s="215"/>
      <c r="BK649" s="215"/>
      <c r="BL649" s="215"/>
      <c r="BM649" s="215"/>
      <c r="BN649" s="215"/>
      <c r="BO649" s="215"/>
      <c r="BP649" s="215"/>
      <c r="BQ649" s="215"/>
      <c r="BR649" s="215"/>
      <c r="BS649" s="215"/>
      <c r="BT649" s="215"/>
      <c r="BU649" s="215"/>
      <c r="BV649" s="215"/>
      <c r="BW649" s="215"/>
      <c r="BX649" s="215"/>
      <c r="BY649" s="215"/>
      <c r="BZ649" s="215"/>
    </row>
    <row r="650" spans="1:78" outlineLevel="1" x14ac:dyDescent="0.2">
      <c r="A650" s="2" t="str">
        <f>'Language Index'!A498</f>
        <v>Def. Benefit Other Cost</v>
      </c>
      <c r="B650" s="17"/>
      <c r="C650" s="17"/>
      <c r="D650" s="18">
        <f>_xll.ciqfunctions.udf.CIQ($C$2,"IQ_OPEB_OTHER_COST",D$6,$F$2,,,Ccy,Conv)</f>
        <v>0</v>
      </c>
      <c r="E650" s="18">
        <f>_xll.ciqfunctions.udf.CIQ($C$2,"IQ_OPEB_OTHER_COST",E$6,$F$2,,,Ccy,Conv)</f>
        <v>0</v>
      </c>
      <c r="F650" s="18">
        <f>_xll.ciqfunctions.udf.CIQ($C$2,"IQ_OPEB_OTHER_COST",F$6,$F$2,,,Ccy,Conv)</f>
        <v>-32</v>
      </c>
      <c r="G650" s="18">
        <f>_xll.ciqfunctions.udf.CIQ($C$2,"IQ_OPEB_OTHER_COST",G$6,$F$2,,,Ccy,Conv)</f>
        <v>0</v>
      </c>
      <c r="H650" s="18">
        <f>_xll.ciqfunctions.udf.CIQ($C$2,"IQ_OPEB_OTHER_COST",H$6,$F$2,,,Ccy,Conv)</f>
        <v>0</v>
      </c>
      <c r="I650" s="18">
        <f>_xll.ciqfunctions.udf.CIQ($C$2,"IQ_OPEB_OTHER_COST",I$6,$F$2,,,Ccy,Conv)</f>
        <v>0</v>
      </c>
      <c r="J650" s="18">
        <f>_xll.ciqfunctions.udf.CIQ($C$2,"IQ_OPEB_OTHER_COST",J$6,$F$2,,,Ccy,Conv)</f>
        <v>-30</v>
      </c>
      <c r="K650" s="18">
        <f>_xll.ciqfunctions.udf.CIQ($C$2,"IQ_OPEB_OTHER_COST",K$6,$F$2,,,Ccy,Conv)</f>
        <v>0</v>
      </c>
      <c r="L650" s="18">
        <f>_xll.ciqfunctions.udf.CIQ($C$2,"IQ_OPEB_OTHER_COST",L$6,$F$2,,,Ccy,Conv)</f>
        <v>0</v>
      </c>
      <c r="M650" s="18">
        <f>_xll.ciqfunctions.udf.CIQ($C$2,"IQ_OPEB_OTHER_COST",M$6,$F$2,,,Ccy,Conv)</f>
        <v>0</v>
      </c>
      <c r="N650" s="18">
        <f>_xll.ciqfunctions.udf.CIQ($C$2,"IQ_OPEB_OTHER_COST",N$6,$F$2,,,Ccy,Conv)</f>
        <v>-28</v>
      </c>
      <c r="O650" s="30"/>
      <c r="P650" s="18">
        <f>_xll.ciqfunctions.udf.CIQ($C$2,"IQ_OPEB_OTHER_COST",P$6,$F$2,,,Ccy,Conv)</f>
        <v>-28</v>
      </c>
      <c r="Q650" s="215"/>
      <c r="R650" s="215"/>
      <c r="S650" s="215"/>
      <c r="T650" s="215"/>
      <c r="U650" s="215"/>
      <c r="V650" s="222"/>
      <c r="W650" s="222"/>
      <c r="X650" s="222"/>
      <c r="Y650" s="215"/>
      <c r="Z650" s="215"/>
      <c r="AA650" s="215"/>
      <c r="AB650" s="215"/>
      <c r="AC650" s="215"/>
      <c r="AD650" s="215"/>
      <c r="AE650" s="215"/>
      <c r="AF650" s="215"/>
      <c r="AG650" s="215"/>
      <c r="AH650" s="215"/>
      <c r="AI650" s="215"/>
      <c r="AJ650" s="215"/>
      <c r="AK650" s="215"/>
      <c r="AL650" s="215"/>
      <c r="AM650" s="215"/>
      <c r="AN650" s="215"/>
      <c r="AO650" s="215"/>
      <c r="AP650" s="215"/>
      <c r="AQ650" s="215"/>
      <c r="AR650" s="215"/>
      <c r="AS650" s="215"/>
      <c r="AT650" s="215"/>
      <c r="AU650" s="215"/>
      <c r="AV650" s="215"/>
      <c r="AW650" s="215"/>
      <c r="AX650" s="215"/>
      <c r="AY650" s="215"/>
      <c r="AZ650" s="215"/>
      <c r="BA650" s="215"/>
      <c r="BB650" s="215"/>
      <c r="BC650" s="215"/>
      <c r="BD650" s="215"/>
      <c r="BE650" s="215"/>
      <c r="BF650" s="215"/>
      <c r="BG650" s="215"/>
      <c r="BH650" s="215"/>
      <c r="BI650" s="215"/>
      <c r="BJ650" s="215"/>
      <c r="BK650" s="215"/>
      <c r="BL650" s="215"/>
      <c r="BM650" s="215"/>
      <c r="BN650" s="215"/>
      <c r="BO650" s="215"/>
      <c r="BP650" s="215"/>
      <c r="BQ650" s="215"/>
      <c r="BR650" s="215"/>
      <c r="BS650" s="215"/>
      <c r="BT650" s="215"/>
      <c r="BU650" s="215"/>
      <c r="BV650" s="215"/>
      <c r="BW650" s="215"/>
      <c r="BX650" s="215"/>
      <c r="BY650" s="215"/>
      <c r="BZ650" s="215"/>
    </row>
    <row r="651" spans="1:78" outlineLevel="1" x14ac:dyDescent="0.2">
      <c r="A651" s="2" t="str">
        <f>'Language Index'!A586</f>
        <v>Def. Benefit Benefit Total Cost</v>
      </c>
      <c r="B651" s="17"/>
      <c r="C651" s="17"/>
      <c r="D651" s="18">
        <f>_xll.ciqfunctions.udf.CIQ($C$2,"IQ_OPEB_TOTAL_COST",D$6,$F$2,,,Ccy,Conv)</f>
        <v>0</v>
      </c>
      <c r="E651" s="18">
        <f>_xll.ciqfunctions.udf.CIQ($C$2,"IQ_OPEB_TOTAL_COST",E$6,$F$2,,,Ccy,Conv)</f>
        <v>0</v>
      </c>
      <c r="F651" s="18">
        <f>_xll.ciqfunctions.udf.CIQ($C$2,"IQ_OPEB_TOTAL_COST",F$6,$F$2,,,Ccy,Conv)</f>
        <v>128</v>
      </c>
      <c r="G651" s="18">
        <f>_xll.ciqfunctions.udf.CIQ($C$2,"IQ_OPEB_TOTAL_COST",G$6,$F$2,,,Ccy,Conv)</f>
        <v>0</v>
      </c>
      <c r="H651" s="18">
        <f>_xll.ciqfunctions.udf.CIQ($C$2,"IQ_OPEB_TOTAL_COST",H$6,$F$2,,,Ccy,Conv)</f>
        <v>0</v>
      </c>
      <c r="I651" s="18">
        <f>_xll.ciqfunctions.udf.CIQ($C$2,"IQ_OPEB_TOTAL_COST",I$6,$F$2,,,Ccy,Conv)</f>
        <v>0</v>
      </c>
      <c r="J651" s="18">
        <f>_xll.ciqfunctions.udf.CIQ($C$2,"IQ_OPEB_TOTAL_COST",J$6,$F$2,,,Ccy,Conv)</f>
        <v>120</v>
      </c>
      <c r="K651" s="18">
        <f>_xll.ciqfunctions.udf.CIQ($C$2,"IQ_OPEB_TOTAL_COST",K$6,$F$2,,,Ccy,Conv)</f>
        <v>0</v>
      </c>
      <c r="L651" s="18">
        <f>_xll.ciqfunctions.udf.CIQ($C$2,"IQ_OPEB_TOTAL_COST",L$6,$F$2,,,Ccy,Conv)</f>
        <v>0</v>
      </c>
      <c r="M651" s="18">
        <f>_xll.ciqfunctions.udf.CIQ($C$2,"IQ_OPEB_TOTAL_COST",M$6,$F$2,,,Ccy,Conv)</f>
        <v>0</v>
      </c>
      <c r="N651" s="18">
        <f>_xll.ciqfunctions.udf.CIQ($C$2,"IQ_OPEB_TOTAL_COST",N$6,$F$2,,,Ccy,Conv)</f>
        <v>130</v>
      </c>
      <c r="O651" s="30"/>
      <c r="P651" s="18">
        <f>_xll.ciqfunctions.udf.CIQ($C$2,"IQ_OPEB_TOTAL_COST",P$6,$F$2,,,Ccy,Conv)</f>
        <v>130</v>
      </c>
      <c r="Q651" s="215"/>
      <c r="R651" s="215"/>
      <c r="S651" s="215"/>
      <c r="T651" s="215"/>
      <c r="U651" s="215"/>
      <c r="V651" s="222"/>
      <c r="W651" s="222"/>
      <c r="X651" s="222"/>
      <c r="Y651" s="215"/>
      <c r="Z651" s="215"/>
      <c r="AA651" s="215"/>
      <c r="AB651" s="215"/>
      <c r="AC651" s="215"/>
      <c r="AD651" s="215"/>
      <c r="AE651" s="215"/>
      <c r="AF651" s="215"/>
      <c r="AG651" s="215"/>
      <c r="AH651" s="215"/>
      <c r="AI651" s="215"/>
      <c r="AJ651" s="215"/>
      <c r="AK651" s="215"/>
      <c r="AL651" s="215"/>
      <c r="AM651" s="215"/>
      <c r="AN651" s="215"/>
      <c r="AO651" s="215"/>
      <c r="AP651" s="215"/>
      <c r="AQ651" s="215"/>
      <c r="AR651" s="215"/>
      <c r="AS651" s="215"/>
      <c r="AT651" s="215"/>
      <c r="AU651" s="215"/>
      <c r="AV651" s="215"/>
      <c r="AW651" s="215"/>
      <c r="AX651" s="215"/>
      <c r="AY651" s="215"/>
      <c r="AZ651" s="215"/>
      <c r="BA651" s="215"/>
      <c r="BB651" s="215"/>
      <c r="BC651" s="215"/>
      <c r="BD651" s="215"/>
      <c r="BE651" s="215"/>
      <c r="BF651" s="215"/>
      <c r="BG651" s="215"/>
      <c r="BH651" s="215"/>
      <c r="BI651" s="215"/>
      <c r="BJ651" s="215"/>
      <c r="BK651" s="215"/>
      <c r="BL651" s="215"/>
      <c r="BM651" s="215"/>
      <c r="BN651" s="215"/>
      <c r="BO651" s="215"/>
      <c r="BP651" s="215"/>
      <c r="BQ651" s="215"/>
      <c r="BR651" s="215"/>
      <c r="BS651" s="215"/>
      <c r="BT651" s="215"/>
      <c r="BU651" s="215"/>
      <c r="BV651" s="215"/>
      <c r="BW651" s="215"/>
      <c r="BX651" s="215"/>
      <c r="BY651" s="215"/>
      <c r="BZ651" s="215"/>
    </row>
    <row r="652" spans="1:78" outlineLevel="1" x14ac:dyDescent="0.2">
      <c r="A652" s="2" t="str">
        <f>'Language Index'!A500</f>
        <v>Def. Benefit Total Cost of Supple Plans</v>
      </c>
      <c r="B652" s="17"/>
      <c r="C652" s="17"/>
      <c r="D652" s="18">
        <f>_xll.ciqfunctions.udf.CIQ($C$2,"IQ_OPEB_SUPPLE_PLANS_TOTAL_COST",D$6,$F$2,,,Ccy,Conv)</f>
        <v>0</v>
      </c>
      <c r="E652" s="18">
        <f>_xll.ciqfunctions.udf.CIQ($C$2,"IQ_OPEB_SUPPLE_PLANS_TOTAL_COST",E$6,$F$2,,,Ccy,Conv)</f>
        <v>0</v>
      </c>
      <c r="F652" s="18">
        <f>_xll.ciqfunctions.udf.CIQ($C$2,"IQ_OPEB_SUPPLE_PLANS_TOTAL_COST",F$6,$F$2,,,Ccy,Conv)</f>
        <v>0</v>
      </c>
      <c r="G652" s="18">
        <f>_xll.ciqfunctions.udf.CIQ($C$2,"IQ_OPEB_SUPPLE_PLANS_TOTAL_COST",G$6,$F$2,,,Ccy,Conv)</f>
        <v>0</v>
      </c>
      <c r="H652" s="18">
        <f>_xll.ciqfunctions.udf.CIQ($C$2,"IQ_OPEB_SUPPLE_PLANS_TOTAL_COST",H$6,$F$2,,,Ccy,Conv)</f>
        <v>0</v>
      </c>
      <c r="I652" s="18">
        <f>_xll.ciqfunctions.udf.CIQ($C$2,"IQ_OPEB_SUPPLE_PLANS_TOTAL_COST",I$6,$F$2,,,Ccy,Conv)</f>
        <v>0</v>
      </c>
      <c r="J652" s="18">
        <f>_xll.ciqfunctions.udf.CIQ($C$2,"IQ_OPEB_SUPPLE_PLANS_TOTAL_COST",J$6,$F$2,,,Ccy,Conv)</f>
        <v>0</v>
      </c>
      <c r="K652" s="18">
        <f>_xll.ciqfunctions.udf.CIQ($C$2,"IQ_OPEB_SUPPLE_PLANS_TOTAL_COST",K$6,$F$2,,,Ccy,Conv)</f>
        <v>0</v>
      </c>
      <c r="L652" s="18">
        <f>_xll.ciqfunctions.udf.CIQ($C$2,"IQ_OPEB_SUPPLE_PLANS_TOTAL_COST",L$6,$F$2,,,Ccy,Conv)</f>
        <v>0</v>
      </c>
      <c r="M652" s="18">
        <f>_xll.ciqfunctions.udf.CIQ($C$2,"IQ_OPEB_SUPPLE_PLANS_TOTAL_COST",M$6,$F$2,,,Ccy,Conv)</f>
        <v>0</v>
      </c>
      <c r="N652" s="18">
        <f>_xll.ciqfunctions.udf.CIQ($C$2,"IQ_OPEB_SUPPLE_PLANS_TOTAL_COST",N$6,$F$2,,,Ccy,Conv)</f>
        <v>0</v>
      </c>
      <c r="O652" s="30"/>
      <c r="P652" s="18">
        <f>_xll.ciqfunctions.udf.CIQ($C$2,"IQ_OPEB_SUPPLE_PLANS_TOTAL_COST",P$6,$F$2,,,Ccy,Conv)</f>
        <v>0</v>
      </c>
      <c r="Q652" s="215"/>
      <c r="R652" s="215"/>
      <c r="S652" s="215"/>
      <c r="T652" s="215"/>
      <c r="U652" s="215"/>
      <c r="V652" s="222"/>
      <c r="W652" s="222"/>
      <c r="X652" s="222"/>
      <c r="Y652" s="215"/>
      <c r="Z652" s="215"/>
      <c r="AA652" s="215"/>
      <c r="AB652" s="215"/>
      <c r="AC652" s="215"/>
      <c r="AD652" s="215"/>
      <c r="AE652" s="215"/>
      <c r="AF652" s="215"/>
      <c r="AG652" s="215"/>
      <c r="AH652" s="215"/>
      <c r="AI652" s="215"/>
      <c r="AJ652" s="215"/>
      <c r="AK652" s="215"/>
      <c r="AL652" s="215"/>
      <c r="AM652" s="215"/>
      <c r="AN652" s="215"/>
      <c r="AO652" s="215"/>
      <c r="AP652" s="215"/>
      <c r="AQ652" s="215"/>
      <c r="AR652" s="215"/>
      <c r="AS652" s="215"/>
      <c r="AT652" s="215"/>
      <c r="AU652" s="215"/>
      <c r="AV652" s="215"/>
      <c r="AW652" s="215"/>
      <c r="AX652" s="215"/>
      <c r="AY652" s="215"/>
      <c r="AZ652" s="215"/>
      <c r="BA652" s="215"/>
      <c r="BB652" s="215"/>
      <c r="BC652" s="215"/>
      <c r="BD652" s="215"/>
      <c r="BE652" s="215"/>
      <c r="BF652" s="215"/>
      <c r="BG652" s="215"/>
      <c r="BH652" s="215"/>
      <c r="BI652" s="215"/>
      <c r="BJ652" s="215"/>
      <c r="BK652" s="215"/>
      <c r="BL652" s="215"/>
      <c r="BM652" s="215"/>
      <c r="BN652" s="215"/>
      <c r="BO652" s="215"/>
      <c r="BP652" s="215"/>
      <c r="BQ652" s="215"/>
      <c r="BR652" s="215"/>
      <c r="BS652" s="215"/>
      <c r="BT652" s="215"/>
      <c r="BU652" s="215"/>
      <c r="BV652" s="215"/>
      <c r="BW652" s="215"/>
      <c r="BX652" s="215"/>
      <c r="BY652" s="215"/>
      <c r="BZ652" s="215"/>
    </row>
    <row r="653" spans="1:78" outlineLevel="1" x14ac:dyDescent="0.2">
      <c r="A653" s="2" t="str">
        <f>'Language Index'!A587</f>
        <v>Total OPEB Expense</v>
      </c>
      <c r="B653" s="17"/>
      <c r="C653" s="17"/>
      <c r="D653" s="18">
        <f>_xll.ciqfunctions.udf.CIQ($C$2,"IQ_POST_RETIRE_EXP",D$6,$F$2,,,Ccy,Conv)</f>
        <v>0</v>
      </c>
      <c r="E653" s="18">
        <f>_xll.ciqfunctions.udf.CIQ($C$2,"IQ_POST_RETIRE_EXP",E$6,$F$2,,,Ccy,Conv)</f>
        <v>0</v>
      </c>
      <c r="F653" s="18">
        <f>_xll.ciqfunctions.udf.CIQ($C$2,"IQ_POST_RETIRE_EXP",F$6,$F$2,,,Ccy,Conv)</f>
        <v>128</v>
      </c>
      <c r="G653" s="18">
        <f>_xll.ciqfunctions.udf.CIQ($C$2,"IQ_POST_RETIRE_EXP",G$6,$F$2,,,Ccy,Conv)</f>
        <v>0</v>
      </c>
      <c r="H653" s="18">
        <f>_xll.ciqfunctions.udf.CIQ($C$2,"IQ_POST_RETIRE_EXP",H$6,$F$2,,,Ccy,Conv)</f>
        <v>0</v>
      </c>
      <c r="I653" s="18">
        <f>_xll.ciqfunctions.udf.CIQ($C$2,"IQ_POST_RETIRE_EXP",I$6,$F$2,,,Ccy,Conv)</f>
        <v>0</v>
      </c>
      <c r="J653" s="18">
        <f>_xll.ciqfunctions.udf.CIQ($C$2,"IQ_POST_RETIRE_EXP",J$6,$F$2,,,Ccy,Conv)</f>
        <v>120</v>
      </c>
      <c r="K653" s="18">
        <f>_xll.ciqfunctions.udf.CIQ($C$2,"IQ_POST_RETIRE_EXP",K$6,$F$2,,,Ccy,Conv)</f>
        <v>0</v>
      </c>
      <c r="L653" s="18">
        <f>_xll.ciqfunctions.udf.CIQ($C$2,"IQ_POST_RETIRE_EXP",L$6,$F$2,,,Ccy,Conv)</f>
        <v>0</v>
      </c>
      <c r="M653" s="18">
        <f>_xll.ciqfunctions.udf.CIQ($C$2,"IQ_POST_RETIRE_EXP",M$6,$F$2,,,Ccy,Conv)</f>
        <v>0</v>
      </c>
      <c r="N653" s="18">
        <f>_xll.ciqfunctions.udf.CIQ($C$2,"IQ_POST_RETIRE_EXP",N$6,$F$2,,,Ccy,Conv)</f>
        <v>130</v>
      </c>
      <c r="O653" s="30"/>
      <c r="P653" s="18">
        <f>_xll.ciqfunctions.udf.CIQ($C$2,"IQ_POST_RETIRE_EXP",P$6,$F$2,,,Ccy,Conv)</f>
        <v>130</v>
      </c>
      <c r="Q653" s="215"/>
      <c r="R653" s="215"/>
      <c r="S653" s="215"/>
      <c r="T653" s="215"/>
      <c r="U653" s="215"/>
      <c r="V653" s="222"/>
      <c r="W653" s="222"/>
      <c r="X653" s="222"/>
      <c r="Y653" s="215"/>
      <c r="Z653" s="215"/>
      <c r="AA653" s="215"/>
      <c r="AB653" s="215"/>
      <c r="AC653" s="215"/>
      <c r="AD653" s="215"/>
      <c r="AE653" s="215"/>
      <c r="AF653" s="215"/>
      <c r="AG653" s="215"/>
      <c r="AH653" s="215"/>
      <c r="AI653" s="215"/>
      <c r="AJ653" s="215"/>
      <c r="AK653" s="215"/>
      <c r="AL653" s="215"/>
      <c r="AM653" s="215"/>
      <c r="AN653" s="215"/>
      <c r="AO653" s="215"/>
      <c r="AP653" s="215"/>
      <c r="AQ653" s="215"/>
      <c r="AR653" s="215"/>
      <c r="AS653" s="215"/>
      <c r="AT653" s="215"/>
      <c r="AU653" s="215"/>
      <c r="AV653" s="215"/>
      <c r="AW653" s="215"/>
      <c r="AX653" s="215"/>
      <c r="AY653" s="215"/>
      <c r="AZ653" s="215"/>
      <c r="BA653" s="215"/>
      <c r="BB653" s="215"/>
      <c r="BC653" s="215"/>
      <c r="BD653" s="215"/>
      <c r="BE653" s="215"/>
      <c r="BF653" s="215"/>
      <c r="BG653" s="215"/>
      <c r="BH653" s="215"/>
      <c r="BI653" s="215"/>
      <c r="BJ653" s="215"/>
      <c r="BK653" s="215"/>
      <c r="BL653" s="215"/>
      <c r="BM653" s="215"/>
      <c r="BN653" s="215"/>
      <c r="BO653" s="215"/>
      <c r="BP653" s="215"/>
      <c r="BQ653" s="215"/>
      <c r="BR653" s="215"/>
      <c r="BS653" s="215"/>
      <c r="BT653" s="215"/>
      <c r="BU653" s="215"/>
      <c r="BV653" s="215"/>
      <c r="BW653" s="215"/>
      <c r="BX653" s="215"/>
      <c r="BY653" s="215"/>
      <c r="BZ653" s="215"/>
    </row>
    <row r="654" spans="1:78" outlineLevel="1" x14ac:dyDescent="0.2">
      <c r="A654" s="9" t="str">
        <f>'Language Index'!A503</f>
        <v>Defined Benefit Obligation</v>
      </c>
      <c r="B654" s="17"/>
      <c r="C654" s="17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30"/>
      <c r="P654" s="18"/>
      <c r="Q654" s="215"/>
      <c r="R654" s="215"/>
      <c r="S654" s="215"/>
      <c r="T654" s="215"/>
      <c r="U654" s="215"/>
      <c r="V654" s="222"/>
      <c r="W654" s="222"/>
      <c r="X654" s="222"/>
      <c r="Y654" s="215"/>
      <c r="Z654" s="215"/>
      <c r="AA654" s="215"/>
      <c r="AB654" s="215"/>
      <c r="AC654" s="215"/>
      <c r="AD654" s="215"/>
      <c r="AE654" s="215"/>
      <c r="AF654" s="215"/>
      <c r="AG654" s="215"/>
      <c r="AH654" s="215"/>
      <c r="AI654" s="215"/>
      <c r="AJ654" s="215"/>
      <c r="AK654" s="215"/>
      <c r="AL654" s="215"/>
      <c r="AM654" s="215"/>
      <c r="AN654" s="215"/>
      <c r="AO654" s="215"/>
      <c r="AP654" s="215"/>
      <c r="AQ654" s="215"/>
      <c r="AR654" s="215"/>
      <c r="AS654" s="215"/>
      <c r="AT654" s="215"/>
      <c r="AU654" s="215"/>
      <c r="AV654" s="215"/>
      <c r="AW654" s="215"/>
      <c r="AX654" s="215"/>
      <c r="AY654" s="215"/>
      <c r="AZ654" s="215"/>
      <c r="BA654" s="215"/>
      <c r="BB654" s="215"/>
      <c r="BC654" s="215"/>
      <c r="BD654" s="215"/>
      <c r="BE654" s="215"/>
      <c r="BF654" s="215"/>
      <c r="BG654" s="215"/>
      <c r="BH654" s="215"/>
      <c r="BI654" s="215"/>
      <c r="BJ654" s="215"/>
      <c r="BK654" s="215"/>
      <c r="BL654" s="215"/>
      <c r="BM654" s="215"/>
      <c r="BN654" s="215"/>
      <c r="BO654" s="215"/>
      <c r="BP654" s="215"/>
      <c r="BQ654" s="215"/>
      <c r="BR654" s="215"/>
      <c r="BS654" s="215"/>
      <c r="BT654" s="215"/>
      <c r="BU654" s="215"/>
      <c r="BV654" s="215"/>
      <c r="BW654" s="215"/>
      <c r="BX654" s="215"/>
      <c r="BY654" s="215"/>
      <c r="BZ654" s="215"/>
    </row>
    <row r="655" spans="1:78" outlineLevel="1" x14ac:dyDescent="0.2">
      <c r="A655" s="2" t="str">
        <f>'Language Index'!A504</f>
        <v>Beg. Def. Benefit Obligation</v>
      </c>
      <c r="B655" s="17"/>
      <c r="C655" s="17"/>
      <c r="D655" s="18">
        <f>_xll.ciqfunctions.udf.CIQ($C$2,"IQ_OPEB_OBLIGATION_BEG",D$6,$F$2,,,Ccy,Conv)</f>
        <v>0</v>
      </c>
      <c r="E655" s="18">
        <f>_xll.ciqfunctions.udf.CIQ($C$2,"IQ_OPEB_OBLIGATION_BEG",E$6,$F$2,,,Ccy,Conv)</f>
        <v>0</v>
      </c>
      <c r="F655" s="18">
        <f>_xll.ciqfunctions.udf.CIQ($C$2,"IQ_OPEB_OBLIGATION_BEG",F$6,$F$2,,,Ccy,Conv)</f>
        <v>2900</v>
      </c>
      <c r="G655" s="18">
        <f>_xll.ciqfunctions.udf.CIQ($C$2,"IQ_OPEB_OBLIGATION_BEG",G$6,$F$2,,,Ccy,Conv)</f>
        <v>0</v>
      </c>
      <c r="H655" s="18">
        <f>_xll.ciqfunctions.udf.CIQ($C$2,"IQ_OPEB_OBLIGATION_BEG",H$6,$F$2,,,Ccy,Conv)</f>
        <v>0</v>
      </c>
      <c r="I655" s="18">
        <f>_xll.ciqfunctions.udf.CIQ($C$2,"IQ_OPEB_OBLIGATION_BEG",I$6,$F$2,,,Ccy,Conv)</f>
        <v>0</v>
      </c>
      <c r="J655" s="18">
        <f>_xll.ciqfunctions.udf.CIQ($C$2,"IQ_OPEB_OBLIGATION_BEG",J$6,$F$2,,,Ccy,Conv)</f>
        <v>2819</v>
      </c>
      <c r="K655" s="18">
        <f>_xll.ciqfunctions.udf.CIQ($C$2,"IQ_OPEB_OBLIGATION_BEG",K$6,$F$2,,,Ccy,Conv)</f>
        <v>0</v>
      </c>
      <c r="L655" s="18">
        <f>_xll.ciqfunctions.udf.CIQ($C$2,"IQ_OPEB_OBLIGATION_BEG",L$6,$F$2,,,Ccy,Conv)</f>
        <v>0</v>
      </c>
      <c r="M655" s="18">
        <f>_xll.ciqfunctions.udf.CIQ($C$2,"IQ_OPEB_OBLIGATION_BEG",M$6,$F$2,,,Ccy,Conv)</f>
        <v>0</v>
      </c>
      <c r="N655" s="18">
        <f>_xll.ciqfunctions.udf.CIQ($C$2,"IQ_OPEB_OBLIGATION_BEG",N$6,$F$2,,,Ccy,Conv)</f>
        <v>2764</v>
      </c>
      <c r="O655" s="30"/>
      <c r="P655" s="18">
        <f>_xll.ciqfunctions.udf.CIQ($C$2,"IQ_OPEB_OBLIGATION_BEG",P$6,$F$2,,,Ccy,Conv)</f>
        <v>2764</v>
      </c>
      <c r="Q655" s="215"/>
      <c r="R655" s="215"/>
      <c r="S655" s="215"/>
      <c r="T655" s="215"/>
      <c r="U655" s="215"/>
      <c r="V655" s="222"/>
      <c r="W655" s="222"/>
      <c r="X655" s="222"/>
      <c r="Y655" s="215"/>
      <c r="Z655" s="215"/>
      <c r="AA655" s="215"/>
      <c r="AB655" s="215"/>
      <c r="AC655" s="215"/>
      <c r="AD655" s="215"/>
      <c r="AE655" s="215"/>
      <c r="AF655" s="215"/>
      <c r="AG655" s="215"/>
      <c r="AH655" s="215"/>
      <c r="AI655" s="215"/>
      <c r="AJ655" s="215"/>
      <c r="AK655" s="215"/>
      <c r="AL655" s="215"/>
      <c r="AM655" s="215"/>
      <c r="AN655" s="215"/>
      <c r="AO655" s="215"/>
      <c r="AP655" s="215"/>
      <c r="AQ655" s="215"/>
      <c r="AR655" s="215"/>
      <c r="AS655" s="215"/>
      <c r="AT655" s="215"/>
      <c r="AU655" s="215"/>
      <c r="AV655" s="215"/>
      <c r="AW655" s="215"/>
      <c r="AX655" s="215"/>
      <c r="AY655" s="215"/>
      <c r="AZ655" s="215"/>
      <c r="BA655" s="215"/>
      <c r="BB655" s="215"/>
      <c r="BC655" s="215"/>
      <c r="BD655" s="215"/>
      <c r="BE655" s="215"/>
      <c r="BF655" s="215"/>
      <c r="BG655" s="215"/>
      <c r="BH655" s="215"/>
      <c r="BI655" s="215"/>
      <c r="BJ655" s="215"/>
      <c r="BK655" s="215"/>
      <c r="BL655" s="215"/>
      <c r="BM655" s="215"/>
      <c r="BN655" s="215"/>
      <c r="BO655" s="215"/>
      <c r="BP655" s="215"/>
      <c r="BQ655" s="215"/>
      <c r="BR655" s="215"/>
      <c r="BS655" s="215"/>
      <c r="BT655" s="215"/>
      <c r="BU655" s="215"/>
      <c r="BV655" s="215"/>
      <c r="BW655" s="215"/>
      <c r="BX655" s="215"/>
      <c r="BY655" s="215"/>
      <c r="BZ655" s="215"/>
    </row>
    <row r="656" spans="1:78" outlineLevel="1" x14ac:dyDescent="0.2">
      <c r="A656" s="2" t="str">
        <f>'Language Index'!A495</f>
        <v>Def. Benefit Service Cost</v>
      </c>
      <c r="B656" s="17"/>
      <c r="C656" s="17"/>
      <c r="D656" s="18">
        <f>_xll.ciqfunctions.udf.CIQ($C$2,"IQ_OPEB_OBLIGATION_SERVICE_COST",D$6,$F$2,,,Ccy,Conv)</f>
        <v>0</v>
      </c>
      <c r="E656" s="18">
        <f>_xll.ciqfunctions.udf.CIQ($C$2,"IQ_OPEB_OBLIGATION_SERVICE_COST",E$6,$F$2,,,Ccy,Conv)</f>
        <v>0</v>
      </c>
      <c r="F656" s="18">
        <f>_xll.ciqfunctions.udf.CIQ($C$2,"IQ_OPEB_OBLIGATION_SERVICE_COST",F$6,$F$2,,,Ccy,Conv)</f>
        <v>6</v>
      </c>
      <c r="G656" s="18">
        <f>_xll.ciqfunctions.udf.CIQ($C$2,"IQ_OPEB_OBLIGATION_SERVICE_COST",G$6,$F$2,,,Ccy,Conv)</f>
        <v>0</v>
      </c>
      <c r="H656" s="18">
        <f>_xll.ciqfunctions.udf.CIQ($C$2,"IQ_OPEB_OBLIGATION_SERVICE_COST",H$6,$F$2,,,Ccy,Conv)</f>
        <v>0</v>
      </c>
      <c r="I656" s="18">
        <f>_xll.ciqfunctions.udf.CIQ($C$2,"IQ_OPEB_OBLIGATION_SERVICE_COST",I$6,$F$2,,,Ccy,Conv)</f>
        <v>0</v>
      </c>
      <c r="J656" s="18">
        <f>_xll.ciqfunctions.udf.CIQ($C$2,"IQ_OPEB_OBLIGATION_SERVICE_COST",J$6,$F$2,,,Ccy,Conv)</f>
        <v>4</v>
      </c>
      <c r="K656" s="18">
        <f>_xll.ciqfunctions.udf.CIQ($C$2,"IQ_OPEB_OBLIGATION_SERVICE_COST",K$6,$F$2,,,Ccy,Conv)</f>
        <v>0</v>
      </c>
      <c r="L656" s="18">
        <f>_xll.ciqfunctions.udf.CIQ($C$2,"IQ_OPEB_OBLIGATION_SERVICE_COST",L$6,$F$2,,,Ccy,Conv)</f>
        <v>0</v>
      </c>
      <c r="M656" s="18">
        <f>_xll.ciqfunctions.udf.CIQ($C$2,"IQ_OPEB_OBLIGATION_SERVICE_COST",M$6,$F$2,,,Ccy,Conv)</f>
        <v>0</v>
      </c>
      <c r="N656" s="18">
        <f>_xll.ciqfunctions.udf.CIQ($C$2,"IQ_OPEB_OBLIGATION_SERVICE_COST",N$6,$F$2,,,Ccy,Conv)</f>
        <v>4</v>
      </c>
      <c r="O656" s="30"/>
      <c r="P656" s="18">
        <f>_xll.ciqfunctions.udf.CIQ($C$2,"IQ_OPEB_OBLIGATION_SERVICE_COST",P$6,$F$2,,,Ccy,Conv)</f>
        <v>4</v>
      </c>
      <c r="Q656" s="215"/>
      <c r="R656" s="215"/>
      <c r="S656" s="215"/>
      <c r="T656" s="215"/>
      <c r="U656" s="215"/>
      <c r="V656" s="222"/>
      <c r="W656" s="222"/>
      <c r="X656" s="222"/>
      <c r="Y656" s="215"/>
      <c r="Z656" s="215"/>
      <c r="AA656" s="215"/>
      <c r="AB656" s="215"/>
      <c r="AC656" s="215"/>
      <c r="AD656" s="215"/>
      <c r="AE656" s="215"/>
      <c r="AF656" s="215"/>
      <c r="AG656" s="215"/>
      <c r="AH656" s="215"/>
      <c r="AI656" s="215"/>
      <c r="AJ656" s="215"/>
      <c r="AK656" s="215"/>
      <c r="AL656" s="215"/>
      <c r="AM656" s="215"/>
      <c r="AN656" s="215"/>
      <c r="AO656" s="215"/>
      <c r="AP656" s="215"/>
      <c r="AQ656" s="215"/>
      <c r="AR656" s="215"/>
      <c r="AS656" s="215"/>
      <c r="AT656" s="215"/>
      <c r="AU656" s="215"/>
      <c r="AV656" s="215"/>
      <c r="AW656" s="215"/>
      <c r="AX656" s="215"/>
      <c r="AY656" s="215"/>
      <c r="AZ656" s="215"/>
      <c r="BA656" s="215"/>
      <c r="BB656" s="215"/>
      <c r="BC656" s="215"/>
      <c r="BD656" s="215"/>
      <c r="BE656" s="215"/>
      <c r="BF656" s="215"/>
      <c r="BG656" s="215"/>
      <c r="BH656" s="215"/>
      <c r="BI656" s="215"/>
      <c r="BJ656" s="215"/>
      <c r="BK656" s="215"/>
      <c r="BL656" s="215"/>
      <c r="BM656" s="215"/>
      <c r="BN656" s="215"/>
      <c r="BO656" s="215"/>
      <c r="BP656" s="215"/>
      <c r="BQ656" s="215"/>
      <c r="BR656" s="215"/>
      <c r="BS656" s="215"/>
      <c r="BT656" s="215"/>
      <c r="BU656" s="215"/>
      <c r="BV656" s="215"/>
      <c r="BW656" s="215"/>
      <c r="BX656" s="215"/>
      <c r="BY656" s="215"/>
      <c r="BZ656" s="215"/>
    </row>
    <row r="657" spans="1:78" outlineLevel="1" x14ac:dyDescent="0.2">
      <c r="A657" s="2" t="str">
        <f>'Language Index'!A496</f>
        <v>Def. Benefit Interest Cost</v>
      </c>
      <c r="B657" s="17"/>
      <c r="C657" s="17"/>
      <c r="D657" s="18">
        <f>_xll.ciqfunctions.udf.CIQ($C$2,"IQ_OPEB_OBLIGATION_INTEREST_COST",D$6,$F$2,,,Ccy,Conv)</f>
        <v>0</v>
      </c>
      <c r="E657" s="18">
        <f>_xll.ciqfunctions.udf.CIQ($C$2,"IQ_OPEB_OBLIGATION_INTEREST_COST",E$6,$F$2,,,Ccy,Conv)</f>
        <v>0</v>
      </c>
      <c r="F657" s="18">
        <f>_xll.ciqfunctions.udf.CIQ($C$2,"IQ_OPEB_OBLIGATION_INTEREST_COST",F$6,$F$2,,,Ccy,Conv)</f>
        <v>156</v>
      </c>
      <c r="G657" s="18">
        <f>_xll.ciqfunctions.udf.CIQ($C$2,"IQ_OPEB_OBLIGATION_INTEREST_COST",G$6,$F$2,,,Ccy,Conv)</f>
        <v>0</v>
      </c>
      <c r="H657" s="18">
        <f>_xll.ciqfunctions.udf.CIQ($C$2,"IQ_OPEB_OBLIGATION_INTEREST_COST",H$6,$F$2,,,Ccy,Conv)</f>
        <v>0</v>
      </c>
      <c r="I657" s="18">
        <f>_xll.ciqfunctions.udf.CIQ($C$2,"IQ_OPEB_OBLIGATION_INTEREST_COST",I$6,$F$2,,,Ccy,Conv)</f>
        <v>0</v>
      </c>
      <c r="J657" s="18">
        <f>_xll.ciqfunctions.udf.CIQ($C$2,"IQ_OPEB_OBLIGATION_INTEREST_COST",J$6,$F$2,,,Ccy,Conv)</f>
        <v>147</v>
      </c>
      <c r="K657" s="18">
        <f>_xll.ciqfunctions.udf.CIQ($C$2,"IQ_OPEB_OBLIGATION_INTEREST_COST",K$6,$F$2,,,Ccy,Conv)</f>
        <v>0</v>
      </c>
      <c r="L657" s="18">
        <f>_xll.ciqfunctions.udf.CIQ($C$2,"IQ_OPEB_OBLIGATION_INTEREST_COST",L$6,$F$2,,,Ccy,Conv)</f>
        <v>0</v>
      </c>
      <c r="M657" s="18">
        <f>_xll.ciqfunctions.udf.CIQ($C$2,"IQ_OPEB_OBLIGATION_INTEREST_COST",M$6,$F$2,,,Ccy,Conv)</f>
        <v>0</v>
      </c>
      <c r="N657" s="18">
        <f>_xll.ciqfunctions.udf.CIQ($C$2,"IQ_OPEB_OBLIGATION_INTEREST_COST",N$6,$F$2,,,Ccy,Conv)</f>
        <v>156</v>
      </c>
      <c r="O657" s="30"/>
      <c r="P657" s="18">
        <f>_xll.ciqfunctions.udf.CIQ($C$2,"IQ_OPEB_OBLIGATION_INTEREST_COST",P$6,$F$2,,,Ccy,Conv)</f>
        <v>156</v>
      </c>
      <c r="Q657" s="215"/>
      <c r="R657" s="215"/>
      <c r="S657" s="215"/>
      <c r="T657" s="215"/>
      <c r="U657" s="215"/>
      <c r="V657" s="222"/>
      <c r="W657" s="222"/>
      <c r="X657" s="222"/>
      <c r="Y657" s="215"/>
      <c r="Z657" s="215"/>
      <c r="AA657" s="215"/>
      <c r="AB657" s="215"/>
      <c r="AC657" s="215"/>
      <c r="AD657" s="215"/>
      <c r="AE657" s="215"/>
      <c r="AF657" s="215"/>
      <c r="AG657" s="215"/>
      <c r="AH657" s="215"/>
      <c r="AI657" s="215"/>
      <c r="AJ657" s="215"/>
      <c r="AK657" s="215"/>
      <c r="AL657" s="215"/>
      <c r="AM657" s="215"/>
      <c r="AN657" s="215"/>
      <c r="AO657" s="215"/>
      <c r="AP657" s="215"/>
      <c r="AQ657" s="215"/>
      <c r="AR657" s="215"/>
      <c r="AS657" s="215"/>
      <c r="AT657" s="215"/>
      <c r="AU657" s="215"/>
      <c r="AV657" s="215"/>
      <c r="AW657" s="215"/>
      <c r="AX657" s="215"/>
      <c r="AY657" s="215"/>
      <c r="AZ657" s="215"/>
      <c r="BA657" s="215"/>
      <c r="BB657" s="215"/>
      <c r="BC657" s="215"/>
      <c r="BD657" s="215"/>
      <c r="BE657" s="215"/>
      <c r="BF657" s="215"/>
      <c r="BG657" s="215"/>
      <c r="BH657" s="215"/>
      <c r="BI657" s="215"/>
      <c r="BJ657" s="215"/>
      <c r="BK657" s="215"/>
      <c r="BL657" s="215"/>
      <c r="BM657" s="215"/>
      <c r="BN657" s="215"/>
      <c r="BO657" s="215"/>
      <c r="BP657" s="215"/>
      <c r="BQ657" s="215"/>
      <c r="BR657" s="215"/>
      <c r="BS657" s="215"/>
      <c r="BT657" s="215"/>
      <c r="BU657" s="215"/>
      <c r="BV657" s="215"/>
      <c r="BW657" s="215"/>
      <c r="BX657" s="215"/>
      <c r="BY657" s="215"/>
      <c r="BZ657" s="215"/>
    </row>
    <row r="658" spans="1:78" outlineLevel="1" x14ac:dyDescent="0.2">
      <c r="A658" s="2" t="str">
        <f>'Language Index'!A505</f>
        <v>Def. Benefit Employee Contributions</v>
      </c>
      <c r="B658" s="17"/>
      <c r="C658" s="17"/>
      <c r="D658" s="18">
        <f>_xll.ciqfunctions.udf.CIQ($C$2,"IQ_OPEB_OBLIGATION_EMPLOYEE_CONTRIBUTIONS",D$6,$F$2,,,Ccy,Conv)</f>
        <v>0</v>
      </c>
      <c r="E658" s="18">
        <f>_xll.ciqfunctions.udf.CIQ($C$2,"IQ_OPEB_OBLIGATION_EMPLOYEE_CONTRIBUTIONS",E$6,$F$2,,,Ccy,Conv)</f>
        <v>0</v>
      </c>
      <c r="F658" s="18">
        <f>_xll.ciqfunctions.udf.CIQ($C$2,"IQ_OPEB_OBLIGATION_EMPLOYEE_CONTRIBUTIONS",F$6,$F$2,,,Ccy,Conv)</f>
        <v>38</v>
      </c>
      <c r="G658" s="18">
        <f>_xll.ciqfunctions.udf.CIQ($C$2,"IQ_OPEB_OBLIGATION_EMPLOYEE_CONTRIBUTIONS",G$6,$F$2,,,Ccy,Conv)</f>
        <v>0</v>
      </c>
      <c r="H658" s="18">
        <f>_xll.ciqfunctions.udf.CIQ($C$2,"IQ_OPEB_OBLIGATION_EMPLOYEE_CONTRIBUTIONS",H$6,$F$2,,,Ccy,Conv)</f>
        <v>0</v>
      </c>
      <c r="I658" s="18">
        <f>_xll.ciqfunctions.udf.CIQ($C$2,"IQ_OPEB_OBLIGATION_EMPLOYEE_CONTRIBUTIONS",I$6,$F$2,,,Ccy,Conv)</f>
        <v>0</v>
      </c>
      <c r="J658" s="18">
        <f>_xll.ciqfunctions.udf.CIQ($C$2,"IQ_OPEB_OBLIGATION_EMPLOYEE_CONTRIBUTIONS",J$6,$F$2,,,Ccy,Conv)</f>
        <v>33</v>
      </c>
      <c r="K658" s="18">
        <f>_xll.ciqfunctions.udf.CIQ($C$2,"IQ_OPEB_OBLIGATION_EMPLOYEE_CONTRIBUTIONS",K$6,$F$2,,,Ccy,Conv)</f>
        <v>0</v>
      </c>
      <c r="L658" s="18">
        <f>_xll.ciqfunctions.udf.CIQ($C$2,"IQ_OPEB_OBLIGATION_EMPLOYEE_CONTRIBUTIONS",L$6,$F$2,,,Ccy,Conv)</f>
        <v>0</v>
      </c>
      <c r="M658" s="18">
        <f>_xll.ciqfunctions.udf.CIQ($C$2,"IQ_OPEB_OBLIGATION_EMPLOYEE_CONTRIBUTIONS",M$6,$F$2,,,Ccy,Conv)</f>
        <v>0</v>
      </c>
      <c r="N658" s="18">
        <f>_xll.ciqfunctions.udf.CIQ($C$2,"IQ_OPEB_OBLIGATION_EMPLOYEE_CONTRIBUTIONS",N$6,$F$2,,,Ccy,Conv)</f>
        <v>33</v>
      </c>
      <c r="O658" s="30"/>
      <c r="P658" s="18">
        <f>_xll.ciqfunctions.udf.CIQ($C$2,"IQ_OPEB_OBLIGATION_EMPLOYEE_CONTRIBUTIONS",P$6,$F$2,,,Ccy,Conv)</f>
        <v>33</v>
      </c>
      <c r="Q658" s="215"/>
      <c r="R658" s="215"/>
      <c r="S658" s="215"/>
      <c r="T658" s="215"/>
      <c r="U658" s="215"/>
      <c r="V658" s="222"/>
      <c r="W658" s="222"/>
      <c r="X658" s="222"/>
      <c r="Y658" s="215"/>
      <c r="Z658" s="215"/>
      <c r="AA658" s="215"/>
      <c r="AB658" s="215"/>
      <c r="AC658" s="215"/>
      <c r="AD658" s="215"/>
      <c r="AE658" s="215"/>
      <c r="AF658" s="215"/>
      <c r="AG658" s="215"/>
      <c r="AH658" s="215"/>
      <c r="AI658" s="215"/>
      <c r="AJ658" s="215"/>
      <c r="AK658" s="215"/>
      <c r="AL658" s="215"/>
      <c r="AM658" s="215"/>
      <c r="AN658" s="215"/>
      <c r="AO658" s="215"/>
      <c r="AP658" s="215"/>
      <c r="AQ658" s="215"/>
      <c r="AR658" s="215"/>
      <c r="AS658" s="215"/>
      <c r="AT658" s="215"/>
      <c r="AU658" s="215"/>
      <c r="AV658" s="215"/>
      <c r="AW658" s="215"/>
      <c r="AX658" s="215"/>
      <c r="AY658" s="215"/>
      <c r="AZ658" s="215"/>
      <c r="BA658" s="215"/>
      <c r="BB658" s="215"/>
      <c r="BC658" s="215"/>
      <c r="BD658" s="215"/>
      <c r="BE658" s="215"/>
      <c r="BF658" s="215"/>
      <c r="BG658" s="215"/>
      <c r="BH658" s="215"/>
      <c r="BI658" s="215"/>
      <c r="BJ658" s="215"/>
      <c r="BK658" s="215"/>
      <c r="BL658" s="215"/>
      <c r="BM658" s="215"/>
      <c r="BN658" s="215"/>
      <c r="BO658" s="215"/>
      <c r="BP658" s="215"/>
      <c r="BQ658" s="215"/>
      <c r="BR658" s="215"/>
      <c r="BS658" s="215"/>
      <c r="BT658" s="215"/>
      <c r="BU658" s="215"/>
      <c r="BV658" s="215"/>
      <c r="BW658" s="215"/>
      <c r="BX658" s="215"/>
      <c r="BY658" s="215"/>
      <c r="BZ658" s="215"/>
    </row>
    <row r="659" spans="1:78" outlineLevel="1" x14ac:dyDescent="0.2">
      <c r="A659" s="2" t="str">
        <f>'Language Index'!A506</f>
        <v>Def. Benefit Actuarial Gain/Losses</v>
      </c>
      <c r="B659" s="17"/>
      <c r="C659" s="17"/>
      <c r="D659" s="18">
        <f>_xll.ciqfunctions.udf.CIQ($C$2,"IQ_OPEB_OBLIGATION_ACTUARIAL_GAIN_LOSS",D$6,$F$2,,,Ccy,Conv)</f>
        <v>0</v>
      </c>
      <c r="E659" s="18">
        <f>_xll.ciqfunctions.udf.CIQ($C$2,"IQ_OPEB_OBLIGATION_ACTUARIAL_GAIN_LOSS",E$6,$F$2,,,Ccy,Conv)</f>
        <v>0</v>
      </c>
      <c r="F659" s="18">
        <f>_xll.ciqfunctions.udf.CIQ($C$2,"IQ_OPEB_OBLIGATION_ACTUARIAL_GAIN_LOSS",F$6,$F$2,,,Ccy,Conv)</f>
        <v>16</v>
      </c>
      <c r="G659" s="18">
        <f>_xll.ciqfunctions.udf.CIQ($C$2,"IQ_OPEB_OBLIGATION_ACTUARIAL_GAIN_LOSS",G$6,$F$2,,,Ccy,Conv)</f>
        <v>0</v>
      </c>
      <c r="H659" s="18">
        <f>_xll.ciqfunctions.udf.CIQ($C$2,"IQ_OPEB_OBLIGATION_ACTUARIAL_GAIN_LOSS",H$6,$F$2,,,Ccy,Conv)</f>
        <v>0</v>
      </c>
      <c r="I659" s="18">
        <f>_xll.ciqfunctions.udf.CIQ($C$2,"IQ_OPEB_OBLIGATION_ACTUARIAL_GAIN_LOSS",I$6,$F$2,,,Ccy,Conv)</f>
        <v>0</v>
      </c>
      <c r="J659" s="18">
        <f>_xll.ciqfunctions.udf.CIQ($C$2,"IQ_OPEB_OBLIGATION_ACTUARIAL_GAIN_LOSS",J$6,$F$2,,,Ccy,Conv)</f>
        <v>116</v>
      </c>
      <c r="K659" s="18">
        <f>_xll.ciqfunctions.udf.CIQ($C$2,"IQ_OPEB_OBLIGATION_ACTUARIAL_GAIN_LOSS",K$6,$F$2,,,Ccy,Conv)</f>
        <v>0</v>
      </c>
      <c r="L659" s="18">
        <f>_xll.ciqfunctions.udf.CIQ($C$2,"IQ_OPEB_OBLIGATION_ACTUARIAL_GAIN_LOSS",L$6,$F$2,,,Ccy,Conv)</f>
        <v>0</v>
      </c>
      <c r="M659" s="18">
        <f>_xll.ciqfunctions.udf.CIQ($C$2,"IQ_OPEB_OBLIGATION_ACTUARIAL_GAIN_LOSS",M$6,$F$2,,,Ccy,Conv)</f>
        <v>0</v>
      </c>
      <c r="N659" s="18">
        <f>_xll.ciqfunctions.udf.CIQ($C$2,"IQ_OPEB_OBLIGATION_ACTUARIAL_GAIN_LOSS",N$6,$F$2,,,Ccy,Conv)</f>
        <v>62</v>
      </c>
      <c r="O659" s="30"/>
      <c r="P659" s="18">
        <f>_xll.ciqfunctions.udf.CIQ($C$2,"IQ_OPEB_OBLIGATION_ACTUARIAL_GAIN_LOSS",P$6,$F$2,,,Ccy,Conv)</f>
        <v>62</v>
      </c>
      <c r="Q659" s="215"/>
      <c r="R659" s="215"/>
      <c r="S659" s="215"/>
      <c r="T659" s="215"/>
      <c r="U659" s="215"/>
      <c r="V659" s="222"/>
      <c r="W659" s="222"/>
      <c r="X659" s="222"/>
      <c r="Y659" s="215"/>
      <c r="Z659" s="215"/>
      <c r="AA659" s="215"/>
      <c r="AB659" s="215"/>
      <c r="AC659" s="215"/>
      <c r="AD659" s="215"/>
      <c r="AE659" s="215"/>
      <c r="AF659" s="215"/>
      <c r="AG659" s="215"/>
      <c r="AH659" s="215"/>
      <c r="AI659" s="215"/>
      <c r="AJ659" s="215"/>
      <c r="AK659" s="215"/>
      <c r="AL659" s="215"/>
      <c r="AM659" s="215"/>
      <c r="AN659" s="215"/>
      <c r="AO659" s="215"/>
      <c r="AP659" s="215"/>
      <c r="AQ659" s="215"/>
      <c r="AR659" s="215"/>
      <c r="AS659" s="215"/>
      <c r="AT659" s="215"/>
      <c r="AU659" s="215"/>
      <c r="AV659" s="215"/>
      <c r="AW659" s="215"/>
      <c r="AX659" s="215"/>
      <c r="AY659" s="215"/>
      <c r="AZ659" s="215"/>
      <c r="BA659" s="215"/>
      <c r="BB659" s="215"/>
      <c r="BC659" s="215"/>
      <c r="BD659" s="215"/>
      <c r="BE659" s="215"/>
      <c r="BF659" s="215"/>
      <c r="BG659" s="215"/>
      <c r="BH659" s="215"/>
      <c r="BI659" s="215"/>
      <c r="BJ659" s="215"/>
      <c r="BK659" s="215"/>
      <c r="BL659" s="215"/>
      <c r="BM659" s="215"/>
      <c r="BN659" s="215"/>
      <c r="BO659" s="215"/>
      <c r="BP659" s="215"/>
      <c r="BQ659" s="215"/>
      <c r="BR659" s="215"/>
      <c r="BS659" s="215"/>
      <c r="BT659" s="215"/>
      <c r="BU659" s="215"/>
      <c r="BV659" s="215"/>
      <c r="BW659" s="215"/>
      <c r="BX659" s="215"/>
      <c r="BY659" s="215"/>
      <c r="BZ659" s="215"/>
    </row>
    <row r="660" spans="1:78" outlineLevel="1" x14ac:dyDescent="0.2">
      <c r="A660" s="2" t="str">
        <f>'Language Index'!A507</f>
        <v>Def. Benefits Paid</v>
      </c>
      <c r="B660" s="17"/>
      <c r="C660" s="17"/>
      <c r="D660" s="18">
        <f>_xll.ciqfunctions.udf.CIQ($C$2,"IQ_OPEB_OBLIGATION_PAID",D$6,$F$2,,,Ccy,Conv)</f>
        <v>0</v>
      </c>
      <c r="E660" s="18">
        <f>_xll.ciqfunctions.udf.CIQ($C$2,"IQ_OPEB_OBLIGATION_PAID",E$6,$F$2,,,Ccy,Conv)</f>
        <v>0</v>
      </c>
      <c r="F660" s="18">
        <f>_xll.ciqfunctions.udf.CIQ($C$2,"IQ_OPEB_OBLIGATION_PAID",F$6,$F$2,,,Ccy,Conv)</f>
        <v>-315</v>
      </c>
      <c r="G660" s="18">
        <f>_xll.ciqfunctions.udf.CIQ($C$2,"IQ_OPEB_OBLIGATION_PAID",G$6,$F$2,,,Ccy,Conv)</f>
        <v>0</v>
      </c>
      <c r="H660" s="18">
        <f>_xll.ciqfunctions.udf.CIQ($C$2,"IQ_OPEB_OBLIGATION_PAID",H$6,$F$2,,,Ccy,Conv)</f>
        <v>0</v>
      </c>
      <c r="I660" s="18">
        <f>_xll.ciqfunctions.udf.CIQ($C$2,"IQ_OPEB_OBLIGATION_PAID",I$6,$F$2,,,Ccy,Conv)</f>
        <v>0</v>
      </c>
      <c r="J660" s="18">
        <f>_xll.ciqfunctions.udf.CIQ($C$2,"IQ_OPEB_OBLIGATION_PAID",J$6,$F$2,,,Ccy,Conv)</f>
        <v>-271</v>
      </c>
      <c r="K660" s="18">
        <f>_xll.ciqfunctions.udf.CIQ($C$2,"IQ_OPEB_OBLIGATION_PAID",K$6,$F$2,,,Ccy,Conv)</f>
        <v>0</v>
      </c>
      <c r="L660" s="18">
        <f>_xll.ciqfunctions.udf.CIQ($C$2,"IQ_OPEB_OBLIGATION_PAID",L$6,$F$2,,,Ccy,Conv)</f>
        <v>0</v>
      </c>
      <c r="M660" s="18">
        <f>_xll.ciqfunctions.udf.CIQ($C$2,"IQ_OPEB_OBLIGATION_PAID",M$6,$F$2,,,Ccy,Conv)</f>
        <v>0</v>
      </c>
      <c r="N660" s="18">
        <f>_xll.ciqfunctions.udf.CIQ($C$2,"IQ_OPEB_OBLIGATION_PAID",N$6,$F$2,,,Ccy,Conv)</f>
        <v>-284</v>
      </c>
      <c r="O660" s="30"/>
      <c r="P660" s="18">
        <f>_xll.ciqfunctions.udf.CIQ($C$2,"IQ_OPEB_OBLIGATION_PAID",P$6,$F$2,,,Ccy,Conv)</f>
        <v>-284</v>
      </c>
      <c r="Q660" s="215"/>
      <c r="R660" s="215"/>
      <c r="S660" s="215"/>
      <c r="T660" s="215"/>
      <c r="U660" s="215"/>
      <c r="V660" s="222"/>
      <c r="W660" s="222"/>
      <c r="X660" s="222"/>
      <c r="Y660" s="215"/>
      <c r="Z660" s="215"/>
      <c r="AA660" s="215"/>
      <c r="AB660" s="215"/>
      <c r="AC660" s="215"/>
      <c r="AD660" s="215"/>
      <c r="AE660" s="215"/>
      <c r="AF660" s="215"/>
      <c r="AG660" s="215"/>
      <c r="AH660" s="215"/>
      <c r="AI660" s="215"/>
      <c r="AJ660" s="215"/>
      <c r="AK660" s="215"/>
      <c r="AL660" s="215"/>
      <c r="AM660" s="215"/>
      <c r="AN660" s="215"/>
      <c r="AO660" s="215"/>
      <c r="AP660" s="215"/>
      <c r="AQ660" s="215"/>
      <c r="AR660" s="215"/>
      <c r="AS660" s="215"/>
      <c r="AT660" s="215"/>
      <c r="AU660" s="215"/>
      <c r="AV660" s="215"/>
      <c r="AW660" s="215"/>
      <c r="AX660" s="215"/>
      <c r="AY660" s="215"/>
      <c r="AZ660" s="215"/>
      <c r="BA660" s="215"/>
      <c r="BB660" s="215"/>
      <c r="BC660" s="215"/>
      <c r="BD660" s="215"/>
      <c r="BE660" s="215"/>
      <c r="BF660" s="215"/>
      <c r="BG660" s="215"/>
      <c r="BH660" s="215"/>
      <c r="BI660" s="215"/>
      <c r="BJ660" s="215"/>
      <c r="BK660" s="215"/>
      <c r="BL660" s="215"/>
      <c r="BM660" s="215"/>
      <c r="BN660" s="215"/>
      <c r="BO660" s="215"/>
      <c r="BP660" s="215"/>
      <c r="BQ660" s="215"/>
      <c r="BR660" s="215"/>
      <c r="BS660" s="215"/>
      <c r="BT660" s="215"/>
      <c r="BU660" s="215"/>
      <c r="BV660" s="215"/>
      <c r="BW660" s="215"/>
      <c r="BX660" s="215"/>
      <c r="BY660" s="215"/>
      <c r="BZ660" s="215"/>
    </row>
    <row r="661" spans="1:78" outlineLevel="1" x14ac:dyDescent="0.2">
      <c r="A661" s="2" t="str">
        <f>'Language Index'!A508</f>
        <v>Foreign Exchange Adj.</v>
      </c>
      <c r="B661" s="17"/>
      <c r="C661" s="17"/>
      <c r="D661" s="18">
        <f>_xll.ciqfunctions.udf.CIQ($C$2,"IQ_OPEB_OBLIGATION_FX_ADJ",D$6,$F$2,,,Ccy,Conv)</f>
        <v>0</v>
      </c>
      <c r="E661" s="18">
        <f>_xll.ciqfunctions.udf.CIQ($C$2,"IQ_OPEB_OBLIGATION_FX_ADJ",E$6,$F$2,,,Ccy,Conv)</f>
        <v>0</v>
      </c>
      <c r="F661" s="18">
        <f>_xll.ciqfunctions.udf.CIQ($C$2,"IQ_OPEB_OBLIGATION_FX_ADJ",F$6,$F$2,,,Ccy,Conv)</f>
        <v>22</v>
      </c>
      <c r="G661" s="18">
        <f>_xll.ciqfunctions.udf.CIQ($C$2,"IQ_OPEB_OBLIGATION_FX_ADJ",G$6,$F$2,,,Ccy,Conv)</f>
        <v>0</v>
      </c>
      <c r="H661" s="18">
        <f>_xll.ciqfunctions.udf.CIQ($C$2,"IQ_OPEB_OBLIGATION_FX_ADJ",H$6,$F$2,,,Ccy,Conv)</f>
        <v>0</v>
      </c>
      <c r="I661" s="18">
        <f>_xll.ciqfunctions.udf.CIQ($C$2,"IQ_OPEB_OBLIGATION_FX_ADJ",I$6,$F$2,,,Ccy,Conv)</f>
        <v>0</v>
      </c>
      <c r="J661" s="18">
        <f>_xll.ciqfunctions.udf.CIQ($C$2,"IQ_OPEB_OBLIGATION_FX_ADJ",J$6,$F$2,,,Ccy,Conv)</f>
        <v>-85</v>
      </c>
      <c r="K661" s="18">
        <f>_xll.ciqfunctions.udf.CIQ($C$2,"IQ_OPEB_OBLIGATION_FX_ADJ",K$6,$F$2,,,Ccy,Conv)</f>
        <v>0</v>
      </c>
      <c r="L661" s="18">
        <f>_xll.ciqfunctions.udf.CIQ($C$2,"IQ_OPEB_OBLIGATION_FX_ADJ",L$6,$F$2,,,Ccy,Conv)</f>
        <v>0</v>
      </c>
      <c r="M661" s="18">
        <f>_xll.ciqfunctions.udf.CIQ($C$2,"IQ_OPEB_OBLIGATION_FX_ADJ",M$6,$F$2,,,Ccy,Conv)</f>
        <v>0</v>
      </c>
      <c r="N661" s="18">
        <f>_xll.ciqfunctions.udf.CIQ($C$2,"IQ_OPEB_OBLIGATION_FX_ADJ",N$6,$F$2,,,Ccy,Conv)</f>
        <v>36</v>
      </c>
      <c r="O661" s="30"/>
      <c r="P661" s="18">
        <f>_xll.ciqfunctions.udf.CIQ($C$2,"IQ_OPEB_OBLIGATION_FX_ADJ",P$6,$F$2,,,Ccy,Conv)</f>
        <v>36</v>
      </c>
      <c r="Q661" s="215"/>
      <c r="R661" s="215"/>
      <c r="S661" s="215"/>
      <c r="T661" s="215"/>
      <c r="U661" s="215"/>
      <c r="V661" s="222"/>
      <c r="W661" s="222"/>
      <c r="X661" s="222"/>
      <c r="Y661" s="215"/>
      <c r="Z661" s="215"/>
      <c r="AA661" s="215"/>
      <c r="AB661" s="215"/>
      <c r="AC661" s="215"/>
      <c r="AD661" s="215"/>
      <c r="AE661" s="215"/>
      <c r="AF661" s="215"/>
      <c r="AG661" s="215"/>
      <c r="AH661" s="215"/>
      <c r="AI661" s="215"/>
      <c r="AJ661" s="215"/>
      <c r="AK661" s="215"/>
      <c r="AL661" s="215"/>
      <c r="AM661" s="215"/>
      <c r="AN661" s="215"/>
      <c r="AO661" s="215"/>
      <c r="AP661" s="215"/>
      <c r="AQ661" s="215"/>
      <c r="AR661" s="215"/>
      <c r="AS661" s="215"/>
      <c r="AT661" s="215"/>
      <c r="AU661" s="215"/>
      <c r="AV661" s="215"/>
      <c r="AW661" s="215"/>
      <c r="AX661" s="215"/>
      <c r="AY661" s="215"/>
      <c r="AZ661" s="215"/>
      <c r="BA661" s="215"/>
      <c r="BB661" s="215"/>
      <c r="BC661" s="215"/>
      <c r="BD661" s="215"/>
      <c r="BE661" s="215"/>
      <c r="BF661" s="215"/>
      <c r="BG661" s="215"/>
      <c r="BH661" s="215"/>
      <c r="BI661" s="215"/>
      <c r="BJ661" s="215"/>
      <c r="BK661" s="215"/>
      <c r="BL661" s="215"/>
      <c r="BM661" s="215"/>
      <c r="BN661" s="215"/>
      <c r="BO661" s="215"/>
      <c r="BP661" s="215"/>
      <c r="BQ661" s="215"/>
      <c r="BR661" s="215"/>
      <c r="BS661" s="215"/>
      <c r="BT661" s="215"/>
      <c r="BU661" s="215"/>
      <c r="BV661" s="215"/>
      <c r="BW661" s="215"/>
      <c r="BX661" s="215"/>
      <c r="BY661" s="215"/>
      <c r="BZ661" s="215"/>
    </row>
    <row r="662" spans="1:78" outlineLevel="1" x14ac:dyDescent="0.2">
      <c r="A662" s="2" t="str">
        <f>'Language Index'!A509</f>
        <v>Acq. Benefit Obligation</v>
      </c>
      <c r="B662" s="17"/>
      <c r="C662" s="17"/>
      <c r="D662" s="18">
        <f>_xll.ciqfunctions.udf.CIQ($C$2,"IQ_OPEB_OBLIGATION_ACQ",D$6,$F$2,,,Ccy,Conv)</f>
        <v>0</v>
      </c>
      <c r="E662" s="18">
        <f>_xll.ciqfunctions.udf.CIQ($C$2,"IQ_OPEB_OBLIGATION_ACQ",E$6,$F$2,,,Ccy,Conv)</f>
        <v>0</v>
      </c>
      <c r="F662" s="18">
        <f>_xll.ciqfunctions.udf.CIQ($C$2,"IQ_OPEB_OBLIGATION_ACQ",F$6,$F$2,,,Ccy,Conv)</f>
        <v>0</v>
      </c>
      <c r="G662" s="18">
        <f>_xll.ciqfunctions.udf.CIQ($C$2,"IQ_OPEB_OBLIGATION_ACQ",G$6,$F$2,,,Ccy,Conv)</f>
        <v>0</v>
      </c>
      <c r="H662" s="18">
        <f>_xll.ciqfunctions.udf.CIQ($C$2,"IQ_OPEB_OBLIGATION_ACQ",H$6,$F$2,,,Ccy,Conv)</f>
        <v>0</v>
      </c>
      <c r="I662" s="18">
        <f>_xll.ciqfunctions.udf.CIQ($C$2,"IQ_OPEB_OBLIGATION_ACQ",I$6,$F$2,,,Ccy,Conv)</f>
        <v>0</v>
      </c>
      <c r="J662" s="18">
        <f>_xll.ciqfunctions.udf.CIQ($C$2,"IQ_OPEB_OBLIGATION_ACQ",J$6,$F$2,,,Ccy,Conv)</f>
        <v>0</v>
      </c>
      <c r="K662" s="18">
        <f>_xll.ciqfunctions.udf.CIQ($C$2,"IQ_OPEB_OBLIGATION_ACQ",K$6,$F$2,,,Ccy,Conv)</f>
        <v>0</v>
      </c>
      <c r="L662" s="18">
        <f>_xll.ciqfunctions.udf.CIQ($C$2,"IQ_OPEB_OBLIGATION_ACQ",L$6,$F$2,,,Ccy,Conv)</f>
        <v>0</v>
      </c>
      <c r="M662" s="18">
        <f>_xll.ciqfunctions.udf.CIQ($C$2,"IQ_OPEB_OBLIGATION_ACQ",M$6,$F$2,,,Ccy,Conv)</f>
        <v>0</v>
      </c>
      <c r="N662" s="18">
        <f>_xll.ciqfunctions.udf.CIQ($C$2,"IQ_OPEB_OBLIGATION_ACQ",N$6,$F$2,,,Ccy,Conv)</f>
        <v>0</v>
      </c>
      <c r="O662" s="30"/>
      <c r="P662" s="18">
        <f>_xll.ciqfunctions.udf.CIQ($C$2,"IQ_OPEB_OBLIGATION_ACQ",P$6,$F$2,,,Ccy,Conv)</f>
        <v>0</v>
      </c>
      <c r="Q662" s="215"/>
      <c r="R662" s="215"/>
      <c r="S662" s="215"/>
      <c r="T662" s="215"/>
      <c r="U662" s="215"/>
      <c r="V662" s="222"/>
      <c r="W662" s="222"/>
      <c r="X662" s="222"/>
      <c r="Y662" s="215"/>
      <c r="Z662" s="215"/>
      <c r="AA662" s="215"/>
      <c r="AB662" s="215"/>
      <c r="AC662" s="215"/>
      <c r="AD662" s="215"/>
      <c r="AE662" s="215"/>
      <c r="AF662" s="215"/>
      <c r="AG662" s="215"/>
      <c r="AH662" s="215"/>
      <c r="AI662" s="215"/>
      <c r="AJ662" s="215"/>
      <c r="AK662" s="215"/>
      <c r="AL662" s="215"/>
      <c r="AM662" s="215"/>
      <c r="AN662" s="215"/>
      <c r="AO662" s="215"/>
      <c r="AP662" s="215"/>
      <c r="AQ662" s="215"/>
      <c r="AR662" s="215"/>
      <c r="AS662" s="215"/>
      <c r="AT662" s="215"/>
      <c r="AU662" s="215"/>
      <c r="AV662" s="215"/>
      <c r="AW662" s="215"/>
      <c r="AX662" s="215"/>
      <c r="AY662" s="215"/>
      <c r="AZ662" s="215"/>
      <c r="BA662" s="215"/>
      <c r="BB662" s="215"/>
      <c r="BC662" s="215"/>
      <c r="BD662" s="215"/>
      <c r="BE662" s="215"/>
      <c r="BF662" s="215"/>
      <c r="BG662" s="215"/>
      <c r="BH662" s="215"/>
      <c r="BI662" s="215"/>
      <c r="BJ662" s="215"/>
      <c r="BK662" s="215"/>
      <c r="BL662" s="215"/>
      <c r="BM662" s="215"/>
      <c r="BN662" s="215"/>
      <c r="BO662" s="215"/>
      <c r="BP662" s="215"/>
      <c r="BQ662" s="215"/>
      <c r="BR662" s="215"/>
      <c r="BS662" s="215"/>
      <c r="BT662" s="215"/>
      <c r="BU662" s="215"/>
      <c r="BV662" s="215"/>
      <c r="BW662" s="215"/>
      <c r="BX662" s="215"/>
      <c r="BY662" s="215"/>
      <c r="BZ662" s="215"/>
    </row>
    <row r="663" spans="1:78" outlineLevel="1" x14ac:dyDescent="0.2">
      <c r="A663" s="2" t="str">
        <f>'Language Index'!A510</f>
        <v>Def. Benefit Settlement/Curtailment</v>
      </c>
      <c r="B663" s="17"/>
      <c r="C663" s="17"/>
      <c r="D663" s="18">
        <f>_xll.ciqfunctions.udf.CIQ($C$2,"IQ_OPEB_OBLIGATION_CURTAIL",D$6,$F$2,,,Ccy,Conv)</f>
        <v>0</v>
      </c>
      <c r="E663" s="18">
        <f>_xll.ciqfunctions.udf.CIQ($C$2,"IQ_OPEB_OBLIGATION_CURTAIL",E$6,$F$2,,,Ccy,Conv)</f>
        <v>0</v>
      </c>
      <c r="F663" s="18">
        <f>_xll.ciqfunctions.udf.CIQ($C$2,"IQ_OPEB_OBLIGATION_CURTAIL",F$6,$F$2,,,Ccy,Conv)</f>
        <v>0</v>
      </c>
      <c r="G663" s="18">
        <f>_xll.ciqfunctions.udf.CIQ($C$2,"IQ_OPEB_OBLIGATION_CURTAIL",G$6,$F$2,,,Ccy,Conv)</f>
        <v>0</v>
      </c>
      <c r="H663" s="18">
        <f>_xll.ciqfunctions.udf.CIQ($C$2,"IQ_OPEB_OBLIGATION_CURTAIL",H$6,$F$2,,,Ccy,Conv)</f>
        <v>0</v>
      </c>
      <c r="I663" s="18">
        <f>_xll.ciqfunctions.udf.CIQ($C$2,"IQ_OPEB_OBLIGATION_CURTAIL",I$6,$F$2,,,Ccy,Conv)</f>
        <v>0</v>
      </c>
      <c r="J663" s="18">
        <f>_xll.ciqfunctions.udf.CIQ($C$2,"IQ_OPEB_OBLIGATION_CURTAIL",J$6,$F$2,,,Ccy,Conv)</f>
        <v>0</v>
      </c>
      <c r="K663" s="18">
        <f>_xll.ciqfunctions.udf.CIQ($C$2,"IQ_OPEB_OBLIGATION_CURTAIL",K$6,$F$2,,,Ccy,Conv)</f>
        <v>0</v>
      </c>
      <c r="L663" s="18">
        <f>_xll.ciqfunctions.udf.CIQ($C$2,"IQ_OPEB_OBLIGATION_CURTAIL",L$6,$F$2,,,Ccy,Conv)</f>
        <v>0</v>
      </c>
      <c r="M663" s="18">
        <f>_xll.ciqfunctions.udf.CIQ($C$2,"IQ_OPEB_OBLIGATION_CURTAIL",M$6,$F$2,,,Ccy,Conv)</f>
        <v>0</v>
      </c>
      <c r="N663" s="18">
        <f>_xll.ciqfunctions.udf.CIQ($C$2,"IQ_OPEB_OBLIGATION_CURTAIL",N$6,$F$2,,,Ccy,Conv)</f>
        <v>0</v>
      </c>
      <c r="O663" s="30"/>
      <c r="P663" s="18">
        <f>_xll.ciqfunctions.udf.CIQ($C$2,"IQ_OPEB_OBLIGATION_CURTAIL",P$6,$F$2,,,Ccy,Conv)</f>
        <v>0</v>
      </c>
      <c r="Q663" s="215"/>
      <c r="R663" s="215"/>
      <c r="S663" s="215"/>
      <c r="T663" s="215"/>
      <c r="U663" s="215"/>
      <c r="V663" s="222"/>
      <c r="W663" s="222"/>
      <c r="X663" s="222"/>
      <c r="Y663" s="215"/>
      <c r="Z663" s="215"/>
      <c r="AA663" s="215"/>
      <c r="AB663" s="215"/>
      <c r="AC663" s="215"/>
      <c r="AD663" s="215"/>
      <c r="AE663" s="215"/>
      <c r="AF663" s="215"/>
      <c r="AG663" s="215"/>
      <c r="AH663" s="215"/>
      <c r="AI663" s="215"/>
      <c r="AJ663" s="215"/>
      <c r="AK663" s="215"/>
      <c r="AL663" s="215"/>
      <c r="AM663" s="215"/>
      <c r="AN663" s="215"/>
      <c r="AO663" s="215"/>
      <c r="AP663" s="215"/>
      <c r="AQ663" s="215"/>
      <c r="AR663" s="215"/>
      <c r="AS663" s="215"/>
      <c r="AT663" s="215"/>
      <c r="AU663" s="215"/>
      <c r="AV663" s="215"/>
      <c r="AW663" s="215"/>
      <c r="AX663" s="215"/>
      <c r="AY663" s="215"/>
      <c r="AZ663" s="215"/>
      <c r="BA663" s="215"/>
      <c r="BB663" s="215"/>
      <c r="BC663" s="215"/>
      <c r="BD663" s="215"/>
      <c r="BE663" s="215"/>
      <c r="BF663" s="215"/>
      <c r="BG663" s="215"/>
      <c r="BH663" s="215"/>
      <c r="BI663" s="215"/>
      <c r="BJ663" s="215"/>
      <c r="BK663" s="215"/>
      <c r="BL663" s="215"/>
      <c r="BM663" s="215"/>
      <c r="BN663" s="215"/>
      <c r="BO663" s="215"/>
      <c r="BP663" s="215"/>
      <c r="BQ663" s="215"/>
      <c r="BR663" s="215"/>
      <c r="BS663" s="215"/>
      <c r="BT663" s="215"/>
      <c r="BU663" s="215"/>
      <c r="BV663" s="215"/>
      <c r="BW663" s="215"/>
      <c r="BX663" s="215"/>
      <c r="BY663" s="215"/>
      <c r="BZ663" s="215"/>
    </row>
    <row r="664" spans="1:78" outlineLevel="1" x14ac:dyDescent="0.2">
      <c r="A664" s="2" t="str">
        <f>'Language Index'!A511</f>
        <v>Other Adj. To Def. Benefit Obligation</v>
      </c>
      <c r="B664" s="17"/>
      <c r="C664" s="17"/>
      <c r="D664" s="18">
        <f>_xll.ciqfunctions.udf.CIQ($C$2,"IQ_OPEB_OBLIGATION_OTHER_PLAN_ADJ",D$6,$F$2,,,Ccy,Conv)</f>
        <v>0</v>
      </c>
      <c r="E664" s="18">
        <f>_xll.ciqfunctions.udf.CIQ($C$2,"IQ_OPEB_OBLIGATION_OTHER_PLAN_ADJ",E$6,$F$2,,,Ccy,Conv)</f>
        <v>0</v>
      </c>
      <c r="F664" s="18">
        <f>_xll.ciqfunctions.udf.CIQ($C$2,"IQ_OPEB_OBLIGATION_OTHER_PLAN_ADJ",F$6,$F$2,,,Ccy,Conv)</f>
        <v>-4</v>
      </c>
      <c r="G664" s="18">
        <f>_xll.ciqfunctions.udf.CIQ($C$2,"IQ_OPEB_OBLIGATION_OTHER_PLAN_ADJ",G$6,$F$2,,,Ccy,Conv)</f>
        <v>0</v>
      </c>
      <c r="H664" s="18">
        <f>_xll.ciqfunctions.udf.CIQ($C$2,"IQ_OPEB_OBLIGATION_OTHER_PLAN_ADJ",H$6,$F$2,,,Ccy,Conv)</f>
        <v>0</v>
      </c>
      <c r="I664" s="18">
        <f>_xll.ciqfunctions.udf.CIQ($C$2,"IQ_OPEB_OBLIGATION_OTHER_PLAN_ADJ",I$6,$F$2,,,Ccy,Conv)</f>
        <v>0</v>
      </c>
      <c r="J664" s="18">
        <f>_xll.ciqfunctions.udf.CIQ($C$2,"IQ_OPEB_OBLIGATION_OTHER_PLAN_ADJ",J$6,$F$2,,,Ccy,Conv)</f>
        <v>-1</v>
      </c>
      <c r="K664" s="18">
        <f>_xll.ciqfunctions.udf.CIQ($C$2,"IQ_OPEB_OBLIGATION_OTHER_PLAN_ADJ",K$6,$F$2,,,Ccy,Conv)</f>
        <v>0</v>
      </c>
      <c r="L664" s="18">
        <f>_xll.ciqfunctions.udf.CIQ($C$2,"IQ_OPEB_OBLIGATION_OTHER_PLAN_ADJ",L$6,$F$2,,,Ccy,Conv)</f>
        <v>0</v>
      </c>
      <c r="M664" s="18">
        <f>_xll.ciqfunctions.udf.CIQ($C$2,"IQ_OPEB_OBLIGATION_OTHER_PLAN_ADJ",M$6,$F$2,,,Ccy,Conv)</f>
        <v>0</v>
      </c>
      <c r="N664" s="18">
        <f>_xll.ciqfunctions.udf.CIQ($C$2,"IQ_OPEB_OBLIGATION_OTHER_PLAN_ADJ",N$6,$F$2,,,Ccy,Conv)</f>
        <v>0</v>
      </c>
      <c r="O664" s="30"/>
      <c r="P664" s="18">
        <f>_xll.ciqfunctions.udf.CIQ($C$2,"IQ_OPEB_OBLIGATION_OTHER_PLAN_ADJ",P$6,$F$2,,,Ccy,Conv)</f>
        <v>0</v>
      </c>
      <c r="Q664" s="215"/>
      <c r="R664" s="215"/>
      <c r="S664" s="215"/>
      <c r="T664" s="215"/>
      <c r="U664" s="215"/>
      <c r="V664" s="222"/>
      <c r="W664" s="222"/>
      <c r="X664" s="222"/>
      <c r="Y664" s="215"/>
      <c r="Z664" s="215"/>
      <c r="AA664" s="215"/>
      <c r="AB664" s="215"/>
      <c r="AC664" s="215"/>
      <c r="AD664" s="215"/>
      <c r="AE664" s="215"/>
      <c r="AF664" s="215"/>
      <c r="AG664" s="215"/>
      <c r="AH664" s="215"/>
      <c r="AI664" s="215"/>
      <c r="AJ664" s="215"/>
      <c r="AK664" s="215"/>
      <c r="AL664" s="215"/>
      <c r="AM664" s="215"/>
      <c r="AN664" s="215"/>
      <c r="AO664" s="215"/>
      <c r="AP664" s="215"/>
      <c r="AQ664" s="215"/>
      <c r="AR664" s="215"/>
      <c r="AS664" s="215"/>
      <c r="AT664" s="215"/>
      <c r="AU664" s="215"/>
      <c r="AV664" s="215"/>
      <c r="AW664" s="215"/>
      <c r="AX664" s="215"/>
      <c r="AY664" s="215"/>
      <c r="AZ664" s="215"/>
      <c r="BA664" s="215"/>
      <c r="BB664" s="215"/>
      <c r="BC664" s="215"/>
      <c r="BD664" s="215"/>
      <c r="BE664" s="215"/>
      <c r="BF664" s="215"/>
      <c r="BG664" s="215"/>
      <c r="BH664" s="215"/>
      <c r="BI664" s="215"/>
      <c r="BJ664" s="215"/>
      <c r="BK664" s="215"/>
      <c r="BL664" s="215"/>
      <c r="BM664" s="215"/>
      <c r="BN664" s="215"/>
      <c r="BO664" s="215"/>
      <c r="BP664" s="215"/>
      <c r="BQ664" s="215"/>
      <c r="BR664" s="215"/>
      <c r="BS664" s="215"/>
      <c r="BT664" s="215"/>
      <c r="BU664" s="215"/>
      <c r="BV664" s="215"/>
      <c r="BW664" s="215"/>
      <c r="BX664" s="215"/>
      <c r="BY664" s="215"/>
      <c r="BZ664" s="215"/>
    </row>
    <row r="665" spans="1:78" outlineLevel="1" x14ac:dyDescent="0.2">
      <c r="A665" s="2" t="str">
        <f>'Language Index'!A588</f>
        <v>Projected Benefit Obligation</v>
      </c>
      <c r="B665" s="17"/>
      <c r="C665" s="17"/>
      <c r="D665" s="18">
        <f>_xll.ciqfunctions.udf.CIQ($C$2,"IQ_OPEB_OBLIGATION_PROJECTED",D$6,$F$2,,,Ccy,Conv)</f>
        <v>0</v>
      </c>
      <c r="E665" s="18">
        <f>_xll.ciqfunctions.udf.CIQ($C$2,"IQ_OPEB_OBLIGATION_PROJECTED",E$6,$F$2,,,Ccy,Conv)</f>
        <v>0</v>
      </c>
      <c r="F665" s="18">
        <f>_xll.ciqfunctions.udf.CIQ($C$2,"IQ_OPEB_OBLIGATION_PROJECTED",F$6,$F$2,,,Ccy,Conv)</f>
        <v>2819</v>
      </c>
      <c r="G665" s="18">
        <f>_xll.ciqfunctions.udf.CIQ($C$2,"IQ_OPEB_OBLIGATION_PROJECTED",G$6,$F$2,,,Ccy,Conv)</f>
        <v>0</v>
      </c>
      <c r="H665" s="18">
        <f>_xll.ciqfunctions.udf.CIQ($C$2,"IQ_OPEB_OBLIGATION_PROJECTED",H$6,$F$2,,,Ccy,Conv)</f>
        <v>0</v>
      </c>
      <c r="I665" s="18">
        <f>_xll.ciqfunctions.udf.CIQ($C$2,"IQ_OPEB_OBLIGATION_PROJECTED",I$6,$F$2,,,Ccy,Conv)</f>
        <v>0</v>
      </c>
      <c r="J665" s="18">
        <f>_xll.ciqfunctions.udf.CIQ($C$2,"IQ_OPEB_OBLIGATION_PROJECTED",J$6,$F$2,,,Ccy,Conv)</f>
        <v>2764</v>
      </c>
      <c r="K665" s="18">
        <f>_xll.ciqfunctions.udf.CIQ($C$2,"IQ_OPEB_OBLIGATION_PROJECTED",K$6,$F$2,,,Ccy,Conv)</f>
        <v>0</v>
      </c>
      <c r="L665" s="18">
        <f>_xll.ciqfunctions.udf.CIQ($C$2,"IQ_OPEB_OBLIGATION_PROJECTED",L$6,$F$2,,,Ccy,Conv)</f>
        <v>0</v>
      </c>
      <c r="M665" s="18">
        <f>_xll.ciqfunctions.udf.CIQ($C$2,"IQ_OPEB_OBLIGATION_PROJECTED",M$6,$F$2,,,Ccy,Conv)</f>
        <v>0</v>
      </c>
      <c r="N665" s="18">
        <f>_xll.ciqfunctions.udf.CIQ($C$2,"IQ_OPEB_OBLIGATION_PROJECTED",N$6,$F$2,,,Ccy,Conv)</f>
        <v>2771</v>
      </c>
      <c r="O665" s="30"/>
      <c r="P665" s="18">
        <f>_xll.ciqfunctions.udf.CIQ($C$2,"IQ_OPEB_OBLIGATION_PROJECTED",P$6,$F$2,,,Ccy,Conv)</f>
        <v>2771</v>
      </c>
      <c r="Q665" s="215"/>
      <c r="R665" s="215"/>
      <c r="S665" s="215"/>
      <c r="T665" s="215"/>
      <c r="U665" s="215"/>
      <c r="V665" s="222"/>
      <c r="W665" s="222"/>
      <c r="X665" s="222"/>
      <c r="Y665" s="215"/>
      <c r="Z665" s="215"/>
      <c r="AA665" s="215"/>
      <c r="AB665" s="215"/>
      <c r="AC665" s="215"/>
      <c r="AD665" s="215"/>
      <c r="AE665" s="215"/>
      <c r="AF665" s="215"/>
      <c r="AG665" s="215"/>
      <c r="AH665" s="215"/>
      <c r="AI665" s="215"/>
      <c r="AJ665" s="215"/>
      <c r="AK665" s="215"/>
      <c r="AL665" s="215"/>
      <c r="AM665" s="215"/>
      <c r="AN665" s="215"/>
      <c r="AO665" s="215"/>
      <c r="AP665" s="215"/>
      <c r="AQ665" s="215"/>
      <c r="AR665" s="215"/>
      <c r="AS665" s="215"/>
      <c r="AT665" s="215"/>
      <c r="AU665" s="215"/>
      <c r="AV665" s="215"/>
      <c r="AW665" s="215"/>
      <c r="AX665" s="215"/>
      <c r="AY665" s="215"/>
      <c r="AZ665" s="215"/>
      <c r="BA665" s="215"/>
      <c r="BB665" s="215"/>
      <c r="BC665" s="215"/>
      <c r="BD665" s="215"/>
      <c r="BE665" s="215"/>
      <c r="BF665" s="215"/>
      <c r="BG665" s="215"/>
      <c r="BH665" s="215"/>
      <c r="BI665" s="215"/>
      <c r="BJ665" s="215"/>
      <c r="BK665" s="215"/>
      <c r="BL665" s="215"/>
      <c r="BM665" s="215"/>
      <c r="BN665" s="215"/>
      <c r="BO665" s="215"/>
      <c r="BP665" s="215"/>
      <c r="BQ665" s="215"/>
      <c r="BR665" s="215"/>
      <c r="BS665" s="215"/>
      <c r="BT665" s="215"/>
      <c r="BU665" s="215"/>
      <c r="BV665" s="215"/>
      <c r="BW665" s="215"/>
      <c r="BX665" s="215"/>
      <c r="BY665" s="215"/>
      <c r="BZ665" s="215"/>
    </row>
    <row r="666" spans="1:78" outlineLevel="1" x14ac:dyDescent="0.2">
      <c r="A666" s="2" t="str">
        <f>'Language Index'!A589</f>
        <v>Accumulated Benefit Obligation</v>
      </c>
      <c r="B666" s="17"/>
      <c r="C666" s="17"/>
      <c r="D666" s="18">
        <f>_xll.ciqfunctions.udf.CIQ($C$2,"IQ_OPEB_OBLIGATION_ACCUMULATED",D$6,$F$2,,,Ccy,Conv)</f>
        <v>0</v>
      </c>
      <c r="E666" s="18">
        <f>_xll.ciqfunctions.udf.CIQ($C$2,"IQ_OPEB_OBLIGATION_ACCUMULATED",E$6,$F$2,,,Ccy,Conv)</f>
        <v>0</v>
      </c>
      <c r="F666" s="18">
        <f>_xll.ciqfunctions.udf.CIQ($C$2,"IQ_OPEB_OBLIGATION_ACCUMULATED",F$6,$F$2,,,Ccy,Conv)</f>
        <v>0</v>
      </c>
      <c r="G666" s="18">
        <f>_xll.ciqfunctions.udf.CIQ($C$2,"IQ_OPEB_OBLIGATION_ACCUMULATED",G$6,$F$2,,,Ccy,Conv)</f>
        <v>0</v>
      </c>
      <c r="H666" s="18">
        <f>_xll.ciqfunctions.udf.CIQ($C$2,"IQ_OPEB_OBLIGATION_ACCUMULATED",H$6,$F$2,,,Ccy,Conv)</f>
        <v>0</v>
      </c>
      <c r="I666" s="18">
        <f>_xll.ciqfunctions.udf.CIQ($C$2,"IQ_OPEB_OBLIGATION_ACCUMULATED",I$6,$F$2,,,Ccy,Conv)</f>
        <v>0</v>
      </c>
      <c r="J666" s="18">
        <f>_xll.ciqfunctions.udf.CIQ($C$2,"IQ_OPEB_OBLIGATION_ACCUMULATED",J$6,$F$2,,,Ccy,Conv)</f>
        <v>0</v>
      </c>
      <c r="K666" s="18">
        <f>_xll.ciqfunctions.udf.CIQ($C$2,"IQ_OPEB_OBLIGATION_ACCUMULATED",K$6,$F$2,,,Ccy,Conv)</f>
        <v>0</v>
      </c>
      <c r="L666" s="18">
        <f>_xll.ciqfunctions.udf.CIQ($C$2,"IQ_OPEB_OBLIGATION_ACCUMULATED",L$6,$F$2,,,Ccy,Conv)</f>
        <v>0</v>
      </c>
      <c r="M666" s="18">
        <f>_xll.ciqfunctions.udf.CIQ($C$2,"IQ_OPEB_OBLIGATION_ACCUMULATED",M$6,$F$2,,,Ccy,Conv)</f>
        <v>0</v>
      </c>
      <c r="N666" s="18">
        <f>_xll.ciqfunctions.udf.CIQ($C$2,"IQ_OPEB_OBLIGATION_ACCUMULATED",N$6,$F$2,,,Ccy,Conv)</f>
        <v>0</v>
      </c>
      <c r="O666" s="30"/>
      <c r="P666" s="18">
        <f>_xll.ciqfunctions.udf.CIQ($C$2,"IQ_OPEB_OBLIGATION_ACCUMULATED",P$6,$F$2,,,Ccy,Conv)</f>
        <v>0</v>
      </c>
      <c r="Q666" s="215"/>
      <c r="R666" s="215"/>
      <c r="S666" s="215"/>
      <c r="T666" s="215"/>
      <c r="U666" s="215"/>
      <c r="V666" s="222"/>
      <c r="W666" s="222"/>
      <c r="X666" s="222"/>
      <c r="Y666" s="215"/>
      <c r="Z666" s="215"/>
      <c r="AA666" s="215"/>
      <c r="AB666" s="215"/>
      <c r="AC666" s="215"/>
      <c r="AD666" s="215"/>
      <c r="AE666" s="215"/>
      <c r="AF666" s="215"/>
      <c r="AG666" s="215"/>
      <c r="AH666" s="215"/>
      <c r="AI666" s="215"/>
      <c r="AJ666" s="215"/>
      <c r="AK666" s="215"/>
      <c r="AL666" s="215"/>
      <c r="AM666" s="215"/>
      <c r="AN666" s="215"/>
      <c r="AO666" s="215"/>
      <c r="AP666" s="215"/>
      <c r="AQ666" s="215"/>
      <c r="AR666" s="215"/>
      <c r="AS666" s="215"/>
      <c r="AT666" s="215"/>
      <c r="AU666" s="215"/>
      <c r="AV666" s="215"/>
      <c r="AW666" s="215"/>
      <c r="AX666" s="215"/>
      <c r="AY666" s="215"/>
      <c r="AZ666" s="215"/>
      <c r="BA666" s="215"/>
      <c r="BB666" s="215"/>
      <c r="BC666" s="215"/>
      <c r="BD666" s="215"/>
      <c r="BE666" s="215"/>
      <c r="BF666" s="215"/>
      <c r="BG666" s="215"/>
      <c r="BH666" s="215"/>
      <c r="BI666" s="215"/>
      <c r="BJ666" s="215"/>
      <c r="BK666" s="215"/>
      <c r="BL666" s="215"/>
      <c r="BM666" s="215"/>
      <c r="BN666" s="215"/>
      <c r="BO666" s="215"/>
      <c r="BP666" s="215"/>
      <c r="BQ666" s="215"/>
      <c r="BR666" s="215"/>
      <c r="BS666" s="215"/>
      <c r="BT666" s="215"/>
      <c r="BU666" s="215"/>
      <c r="BV666" s="215"/>
      <c r="BW666" s="215"/>
      <c r="BX666" s="215"/>
      <c r="BY666" s="215"/>
      <c r="BZ666" s="215"/>
    </row>
    <row r="667" spans="1:78" outlineLevel="1" x14ac:dyDescent="0.2">
      <c r="A667" s="9" t="str">
        <f>'Language Index'!A514</f>
        <v>Plan Assets</v>
      </c>
      <c r="B667" s="17"/>
      <c r="C667" s="17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30"/>
      <c r="P667" s="18"/>
      <c r="Q667" s="215"/>
      <c r="R667" s="215"/>
      <c r="S667" s="215"/>
      <c r="T667" s="215"/>
      <c r="U667" s="215"/>
      <c r="V667" s="222"/>
      <c r="W667" s="222"/>
      <c r="X667" s="222"/>
      <c r="Y667" s="215"/>
      <c r="Z667" s="215"/>
      <c r="AA667" s="215"/>
      <c r="AB667" s="215"/>
      <c r="AC667" s="215"/>
      <c r="AD667" s="215"/>
      <c r="AE667" s="215"/>
      <c r="AF667" s="215"/>
      <c r="AG667" s="215"/>
      <c r="AH667" s="215"/>
      <c r="AI667" s="215"/>
      <c r="AJ667" s="215"/>
      <c r="AK667" s="215"/>
      <c r="AL667" s="215"/>
      <c r="AM667" s="215"/>
      <c r="AN667" s="215"/>
      <c r="AO667" s="215"/>
      <c r="AP667" s="215"/>
      <c r="AQ667" s="215"/>
      <c r="AR667" s="215"/>
      <c r="AS667" s="215"/>
      <c r="AT667" s="215"/>
      <c r="AU667" s="215"/>
      <c r="AV667" s="215"/>
      <c r="AW667" s="215"/>
      <c r="AX667" s="215"/>
      <c r="AY667" s="215"/>
      <c r="AZ667" s="215"/>
      <c r="BA667" s="215"/>
      <c r="BB667" s="215"/>
      <c r="BC667" s="215"/>
      <c r="BD667" s="215"/>
      <c r="BE667" s="215"/>
      <c r="BF667" s="215"/>
      <c r="BG667" s="215"/>
      <c r="BH667" s="215"/>
      <c r="BI667" s="215"/>
      <c r="BJ667" s="215"/>
      <c r="BK667" s="215"/>
      <c r="BL667" s="215"/>
      <c r="BM667" s="215"/>
      <c r="BN667" s="215"/>
      <c r="BO667" s="215"/>
      <c r="BP667" s="215"/>
      <c r="BQ667" s="215"/>
      <c r="BR667" s="215"/>
      <c r="BS667" s="215"/>
      <c r="BT667" s="215"/>
      <c r="BU667" s="215"/>
      <c r="BV667" s="215"/>
      <c r="BW667" s="215"/>
      <c r="BX667" s="215"/>
      <c r="BY667" s="215"/>
      <c r="BZ667" s="215"/>
    </row>
    <row r="668" spans="1:78" outlineLevel="1" x14ac:dyDescent="0.2">
      <c r="A668" s="2" t="str">
        <f>'Language Index'!A515</f>
        <v>Beg. Plan Assets</v>
      </c>
      <c r="B668" s="17"/>
      <c r="C668" s="17"/>
      <c r="D668" s="18">
        <f>_xll.ciqfunctions.udf.CIQ($C$2,"IQ_OPEB_ASSETS_BEG",D$6,$F$2,,,Ccy,Conv)</f>
        <v>0</v>
      </c>
      <c r="E668" s="18">
        <f>_xll.ciqfunctions.udf.CIQ($C$2,"IQ_OPEB_ASSETS_BEG",E$6,$F$2,,,Ccy,Conv)</f>
        <v>0</v>
      </c>
      <c r="F668" s="18">
        <f>_xll.ciqfunctions.udf.CIQ($C$2,"IQ_OPEB_ASSETS_BEG",F$6,$F$2,,,Ccy,Conv)</f>
        <v>39</v>
      </c>
      <c r="G668" s="18">
        <f>_xll.ciqfunctions.udf.CIQ($C$2,"IQ_OPEB_ASSETS_BEG",G$6,$F$2,,,Ccy,Conv)</f>
        <v>0</v>
      </c>
      <c r="H668" s="18">
        <f>_xll.ciqfunctions.udf.CIQ($C$2,"IQ_OPEB_ASSETS_BEG",H$6,$F$2,,,Ccy,Conv)</f>
        <v>0</v>
      </c>
      <c r="I668" s="18">
        <f>_xll.ciqfunctions.udf.CIQ($C$2,"IQ_OPEB_ASSETS_BEG",I$6,$F$2,,,Ccy,Conv)</f>
        <v>0</v>
      </c>
      <c r="J668" s="18">
        <f>_xll.ciqfunctions.udf.CIQ($C$2,"IQ_OPEB_ASSETS_BEG",J$6,$F$2,,,Ccy,Conv)</f>
        <v>33</v>
      </c>
      <c r="K668" s="18">
        <f>_xll.ciqfunctions.udf.CIQ($C$2,"IQ_OPEB_ASSETS_BEG",K$6,$F$2,,,Ccy,Conv)</f>
        <v>0</v>
      </c>
      <c r="L668" s="18">
        <f>_xll.ciqfunctions.udf.CIQ($C$2,"IQ_OPEB_ASSETS_BEG",L$6,$F$2,,,Ccy,Conv)</f>
        <v>0</v>
      </c>
      <c r="M668" s="18">
        <f>_xll.ciqfunctions.udf.CIQ($C$2,"IQ_OPEB_ASSETS_BEG",M$6,$F$2,,,Ccy,Conv)</f>
        <v>0</v>
      </c>
      <c r="N668" s="18">
        <f>_xll.ciqfunctions.udf.CIQ($C$2,"IQ_OPEB_ASSETS_BEG",N$6,$F$2,,,Ccy,Conv)</f>
        <v>20</v>
      </c>
      <c r="O668" s="30"/>
      <c r="P668" s="18">
        <f>_xll.ciqfunctions.udf.CIQ($C$2,"IQ_OPEB_ASSETS_BEG",P$6,$F$2,,,Ccy,Conv)</f>
        <v>20</v>
      </c>
      <c r="Q668" s="215"/>
      <c r="R668" s="215"/>
      <c r="S668" s="215"/>
      <c r="T668" s="215"/>
      <c r="U668" s="215"/>
      <c r="V668" s="222"/>
      <c r="W668" s="222"/>
      <c r="X668" s="222"/>
      <c r="Y668" s="215"/>
      <c r="Z668" s="215"/>
      <c r="AA668" s="215"/>
      <c r="AB668" s="215"/>
      <c r="AC668" s="215"/>
      <c r="AD668" s="215"/>
      <c r="AE668" s="215"/>
      <c r="AF668" s="215"/>
      <c r="AG668" s="215"/>
      <c r="AH668" s="215"/>
      <c r="AI668" s="215"/>
      <c r="AJ668" s="215"/>
      <c r="AK668" s="215"/>
      <c r="AL668" s="215"/>
      <c r="AM668" s="215"/>
      <c r="AN668" s="215"/>
      <c r="AO668" s="215"/>
      <c r="AP668" s="215"/>
      <c r="AQ668" s="215"/>
      <c r="AR668" s="215"/>
      <c r="AS668" s="215"/>
      <c r="AT668" s="215"/>
      <c r="AU668" s="215"/>
      <c r="AV668" s="215"/>
      <c r="AW668" s="215"/>
      <c r="AX668" s="215"/>
      <c r="AY668" s="215"/>
      <c r="AZ668" s="215"/>
      <c r="BA668" s="215"/>
      <c r="BB668" s="215"/>
      <c r="BC668" s="215"/>
      <c r="BD668" s="215"/>
      <c r="BE668" s="215"/>
      <c r="BF668" s="215"/>
      <c r="BG668" s="215"/>
      <c r="BH668" s="215"/>
      <c r="BI668" s="215"/>
      <c r="BJ668" s="215"/>
      <c r="BK668" s="215"/>
      <c r="BL668" s="215"/>
      <c r="BM668" s="215"/>
      <c r="BN668" s="215"/>
      <c r="BO668" s="215"/>
      <c r="BP668" s="215"/>
      <c r="BQ668" s="215"/>
      <c r="BR668" s="215"/>
      <c r="BS668" s="215"/>
      <c r="BT668" s="215"/>
      <c r="BU668" s="215"/>
      <c r="BV668" s="215"/>
      <c r="BW668" s="215"/>
      <c r="BX668" s="215"/>
      <c r="BY668" s="215"/>
      <c r="BZ668" s="215"/>
    </row>
    <row r="669" spans="1:78" outlineLevel="1" x14ac:dyDescent="0.2">
      <c r="A669" s="2" t="str">
        <f>'Language Index'!A516</f>
        <v>Actual Return on Plan Assets</v>
      </c>
      <c r="B669" s="17"/>
      <c r="C669" s="17"/>
      <c r="D669" s="18">
        <f>_xll.ciqfunctions.udf.CIQ($C$2,"IQ_OPEB_ASSETS_ACTUAL_RETURN",D$6,$F$2,,,Ccy,Conv)</f>
        <v>0</v>
      </c>
      <c r="E669" s="18">
        <f>_xll.ciqfunctions.udf.CIQ($C$2,"IQ_OPEB_ASSETS_ACTUAL_RETURN",E$6,$F$2,,,Ccy,Conv)</f>
        <v>0</v>
      </c>
      <c r="F669" s="18">
        <f>_xll.ciqfunctions.udf.CIQ($C$2,"IQ_OPEB_ASSETS_ACTUAL_RETURN",F$6,$F$2,,,Ccy,Conv)</f>
        <v>3</v>
      </c>
      <c r="G669" s="18">
        <f>_xll.ciqfunctions.udf.CIQ($C$2,"IQ_OPEB_ASSETS_ACTUAL_RETURN",G$6,$F$2,,,Ccy,Conv)</f>
        <v>0</v>
      </c>
      <c r="H669" s="18">
        <f>_xll.ciqfunctions.udf.CIQ($C$2,"IQ_OPEB_ASSETS_ACTUAL_RETURN",H$6,$F$2,,,Ccy,Conv)</f>
        <v>0</v>
      </c>
      <c r="I669" s="18">
        <f>_xll.ciqfunctions.udf.CIQ($C$2,"IQ_OPEB_ASSETS_ACTUAL_RETURN",I$6,$F$2,,,Ccy,Conv)</f>
        <v>0</v>
      </c>
      <c r="J669" s="18">
        <f>_xll.ciqfunctions.udf.CIQ($C$2,"IQ_OPEB_ASSETS_ACTUAL_RETURN",J$6,$F$2,,,Ccy,Conv)</f>
        <v>1</v>
      </c>
      <c r="K669" s="18">
        <f>_xll.ciqfunctions.udf.CIQ($C$2,"IQ_OPEB_ASSETS_ACTUAL_RETURN",K$6,$F$2,,,Ccy,Conv)</f>
        <v>0</v>
      </c>
      <c r="L669" s="18">
        <f>_xll.ciqfunctions.udf.CIQ($C$2,"IQ_OPEB_ASSETS_ACTUAL_RETURN",L$6,$F$2,,,Ccy,Conv)</f>
        <v>0</v>
      </c>
      <c r="M669" s="18">
        <f>_xll.ciqfunctions.udf.CIQ($C$2,"IQ_OPEB_ASSETS_ACTUAL_RETURN",M$6,$F$2,,,Ccy,Conv)</f>
        <v>0</v>
      </c>
      <c r="N669" s="18">
        <f>_xll.ciqfunctions.udf.CIQ($C$2,"IQ_OPEB_ASSETS_ACTUAL_RETURN",N$6,$F$2,,,Ccy,Conv)</f>
        <v>2</v>
      </c>
      <c r="O669" s="30"/>
      <c r="P669" s="18">
        <f>_xll.ciqfunctions.udf.CIQ($C$2,"IQ_OPEB_ASSETS_ACTUAL_RETURN",P$6,$F$2,,,Ccy,Conv)</f>
        <v>2</v>
      </c>
      <c r="Q669" s="215"/>
      <c r="R669" s="215"/>
      <c r="S669" s="215"/>
      <c r="T669" s="215"/>
      <c r="U669" s="215"/>
      <c r="V669" s="222"/>
      <c r="W669" s="222"/>
      <c r="X669" s="222"/>
      <c r="Y669" s="215"/>
      <c r="Z669" s="215"/>
      <c r="AA669" s="215"/>
      <c r="AB669" s="215"/>
      <c r="AC669" s="215"/>
      <c r="AD669" s="215"/>
      <c r="AE669" s="215"/>
      <c r="AF669" s="215"/>
      <c r="AG669" s="215"/>
      <c r="AH669" s="215"/>
      <c r="AI669" s="215"/>
      <c r="AJ669" s="215"/>
      <c r="AK669" s="215"/>
      <c r="AL669" s="215"/>
      <c r="AM669" s="215"/>
      <c r="AN669" s="215"/>
      <c r="AO669" s="215"/>
      <c r="AP669" s="215"/>
      <c r="AQ669" s="215"/>
      <c r="AR669" s="215"/>
      <c r="AS669" s="215"/>
      <c r="AT669" s="215"/>
      <c r="AU669" s="215"/>
      <c r="AV669" s="215"/>
      <c r="AW669" s="215"/>
      <c r="AX669" s="215"/>
      <c r="AY669" s="215"/>
      <c r="AZ669" s="215"/>
      <c r="BA669" s="215"/>
      <c r="BB669" s="215"/>
      <c r="BC669" s="215"/>
      <c r="BD669" s="215"/>
      <c r="BE669" s="215"/>
      <c r="BF669" s="215"/>
      <c r="BG669" s="215"/>
      <c r="BH669" s="215"/>
      <c r="BI669" s="215"/>
      <c r="BJ669" s="215"/>
      <c r="BK669" s="215"/>
      <c r="BL669" s="215"/>
      <c r="BM669" s="215"/>
      <c r="BN669" s="215"/>
      <c r="BO669" s="215"/>
      <c r="BP669" s="215"/>
      <c r="BQ669" s="215"/>
      <c r="BR669" s="215"/>
      <c r="BS669" s="215"/>
      <c r="BT669" s="215"/>
      <c r="BU669" s="215"/>
      <c r="BV669" s="215"/>
      <c r="BW669" s="215"/>
      <c r="BX669" s="215"/>
      <c r="BY669" s="215"/>
      <c r="BZ669" s="215"/>
    </row>
    <row r="670" spans="1:78" outlineLevel="1" x14ac:dyDescent="0.2">
      <c r="A670" s="2" t="str">
        <f>'Language Index'!A517</f>
        <v>Employer Contributions</v>
      </c>
      <c r="B670" s="17"/>
      <c r="C670" s="17"/>
      <c r="D670" s="18">
        <f>_xll.ciqfunctions.udf.CIQ($C$2,"IQ_OPEB_ASSETS_EMPLOYER_CONTRIBUTIONS",D$6,$F$2,,,Ccy,Conv)</f>
        <v>0</v>
      </c>
      <c r="E670" s="18">
        <f>_xll.ciqfunctions.udf.CIQ($C$2,"IQ_OPEB_ASSETS_EMPLOYER_CONTRIBUTIONS",E$6,$F$2,,,Ccy,Conv)</f>
        <v>0</v>
      </c>
      <c r="F670" s="18">
        <f>_xll.ciqfunctions.udf.CIQ($C$2,"IQ_OPEB_ASSETS_EMPLOYER_CONTRIBUTIONS",F$6,$F$2,,,Ccy,Conv)</f>
        <v>233</v>
      </c>
      <c r="G670" s="18">
        <f>_xll.ciqfunctions.udf.CIQ($C$2,"IQ_OPEB_ASSETS_EMPLOYER_CONTRIBUTIONS",G$6,$F$2,,,Ccy,Conv)</f>
        <v>0</v>
      </c>
      <c r="H670" s="18">
        <f>_xll.ciqfunctions.udf.CIQ($C$2,"IQ_OPEB_ASSETS_EMPLOYER_CONTRIBUTIONS",H$6,$F$2,,,Ccy,Conv)</f>
        <v>0</v>
      </c>
      <c r="I670" s="18">
        <f>_xll.ciqfunctions.udf.CIQ($C$2,"IQ_OPEB_ASSETS_EMPLOYER_CONTRIBUTIONS",I$6,$F$2,,,Ccy,Conv)</f>
        <v>0</v>
      </c>
      <c r="J670" s="18">
        <f>_xll.ciqfunctions.udf.CIQ($C$2,"IQ_OPEB_ASSETS_EMPLOYER_CONTRIBUTIONS",J$6,$F$2,,,Ccy,Conv)</f>
        <v>194</v>
      </c>
      <c r="K670" s="18">
        <f>_xll.ciqfunctions.udf.CIQ($C$2,"IQ_OPEB_ASSETS_EMPLOYER_CONTRIBUTIONS",K$6,$F$2,,,Ccy,Conv)</f>
        <v>0</v>
      </c>
      <c r="L670" s="18">
        <f>_xll.ciqfunctions.udf.CIQ($C$2,"IQ_OPEB_ASSETS_EMPLOYER_CONTRIBUTIONS",L$6,$F$2,,,Ccy,Conv)</f>
        <v>0</v>
      </c>
      <c r="M670" s="18">
        <f>_xll.ciqfunctions.udf.CIQ($C$2,"IQ_OPEB_ASSETS_EMPLOYER_CONTRIBUTIONS",M$6,$F$2,,,Ccy,Conv)</f>
        <v>0</v>
      </c>
      <c r="N670" s="18">
        <f>_xll.ciqfunctions.udf.CIQ($C$2,"IQ_OPEB_ASSETS_EMPLOYER_CONTRIBUTIONS",N$6,$F$2,,,Ccy,Conv)</f>
        <v>204</v>
      </c>
      <c r="O670" s="30"/>
      <c r="P670" s="18">
        <f>_xll.ciqfunctions.udf.CIQ($C$2,"IQ_OPEB_ASSETS_EMPLOYER_CONTRIBUTIONS",P$6,$F$2,,,Ccy,Conv)</f>
        <v>204</v>
      </c>
      <c r="Q670" s="215"/>
      <c r="R670" s="215"/>
      <c r="S670" s="215"/>
      <c r="T670" s="215"/>
      <c r="U670" s="215"/>
      <c r="V670" s="222"/>
      <c r="W670" s="222"/>
      <c r="X670" s="222"/>
      <c r="Y670" s="215"/>
      <c r="Z670" s="215"/>
      <c r="AA670" s="215"/>
      <c r="AB670" s="215"/>
      <c r="AC670" s="215"/>
      <c r="AD670" s="215"/>
      <c r="AE670" s="215"/>
      <c r="AF670" s="215"/>
      <c r="AG670" s="215"/>
      <c r="AH670" s="215"/>
      <c r="AI670" s="215"/>
      <c r="AJ670" s="215"/>
      <c r="AK670" s="215"/>
      <c r="AL670" s="215"/>
      <c r="AM670" s="215"/>
      <c r="AN670" s="215"/>
      <c r="AO670" s="215"/>
      <c r="AP670" s="215"/>
      <c r="AQ670" s="215"/>
      <c r="AR670" s="215"/>
      <c r="AS670" s="215"/>
      <c r="AT670" s="215"/>
      <c r="AU670" s="215"/>
      <c r="AV670" s="215"/>
      <c r="AW670" s="215"/>
      <c r="AX670" s="215"/>
      <c r="AY670" s="215"/>
      <c r="AZ670" s="215"/>
      <c r="BA670" s="215"/>
      <c r="BB670" s="215"/>
      <c r="BC670" s="215"/>
      <c r="BD670" s="215"/>
      <c r="BE670" s="215"/>
      <c r="BF670" s="215"/>
      <c r="BG670" s="215"/>
      <c r="BH670" s="215"/>
      <c r="BI670" s="215"/>
      <c r="BJ670" s="215"/>
      <c r="BK670" s="215"/>
      <c r="BL670" s="215"/>
      <c r="BM670" s="215"/>
      <c r="BN670" s="215"/>
      <c r="BO670" s="215"/>
      <c r="BP670" s="215"/>
      <c r="BQ670" s="215"/>
      <c r="BR670" s="215"/>
      <c r="BS670" s="215"/>
      <c r="BT670" s="215"/>
      <c r="BU670" s="215"/>
      <c r="BV670" s="215"/>
      <c r="BW670" s="215"/>
      <c r="BX670" s="215"/>
      <c r="BY670" s="215"/>
      <c r="BZ670" s="215"/>
    </row>
    <row r="671" spans="1:78" outlineLevel="1" x14ac:dyDescent="0.2">
      <c r="A671" s="2" t="str">
        <f>'Language Index'!A518</f>
        <v>Participant Contributions</v>
      </c>
      <c r="B671" s="17"/>
      <c r="C671" s="17"/>
      <c r="D671" s="18">
        <f>_xll.ciqfunctions.udf.CIQ($C$2,"IQ_OPEB_ASSETS_PARTICIP_CONTRIBUTIONS",D$6,$F$2,,,Ccy,Conv)</f>
        <v>0</v>
      </c>
      <c r="E671" s="18">
        <f>_xll.ciqfunctions.udf.CIQ($C$2,"IQ_OPEB_ASSETS_PARTICIP_CONTRIBUTIONS",E$6,$F$2,,,Ccy,Conv)</f>
        <v>0</v>
      </c>
      <c r="F671" s="18">
        <f>_xll.ciqfunctions.udf.CIQ($C$2,"IQ_OPEB_ASSETS_PARTICIP_CONTRIBUTIONS",F$6,$F$2,,,Ccy,Conv)</f>
        <v>38</v>
      </c>
      <c r="G671" s="18">
        <f>_xll.ciqfunctions.udf.CIQ($C$2,"IQ_OPEB_ASSETS_PARTICIP_CONTRIBUTIONS",G$6,$F$2,,,Ccy,Conv)</f>
        <v>0</v>
      </c>
      <c r="H671" s="18">
        <f>_xll.ciqfunctions.udf.CIQ($C$2,"IQ_OPEB_ASSETS_PARTICIP_CONTRIBUTIONS",H$6,$F$2,,,Ccy,Conv)</f>
        <v>0</v>
      </c>
      <c r="I671" s="18">
        <f>_xll.ciqfunctions.udf.CIQ($C$2,"IQ_OPEB_ASSETS_PARTICIP_CONTRIBUTIONS",I$6,$F$2,,,Ccy,Conv)</f>
        <v>0</v>
      </c>
      <c r="J671" s="18">
        <f>_xll.ciqfunctions.udf.CIQ($C$2,"IQ_OPEB_ASSETS_PARTICIP_CONTRIBUTIONS",J$6,$F$2,,,Ccy,Conv)</f>
        <v>33</v>
      </c>
      <c r="K671" s="18">
        <f>_xll.ciqfunctions.udf.CIQ($C$2,"IQ_OPEB_ASSETS_PARTICIP_CONTRIBUTIONS",K$6,$F$2,,,Ccy,Conv)</f>
        <v>0</v>
      </c>
      <c r="L671" s="18">
        <f>_xll.ciqfunctions.udf.CIQ($C$2,"IQ_OPEB_ASSETS_PARTICIP_CONTRIBUTIONS",L$6,$F$2,,,Ccy,Conv)</f>
        <v>0</v>
      </c>
      <c r="M671" s="18">
        <f>_xll.ciqfunctions.udf.CIQ($C$2,"IQ_OPEB_ASSETS_PARTICIP_CONTRIBUTIONS",M$6,$F$2,,,Ccy,Conv)</f>
        <v>0</v>
      </c>
      <c r="N671" s="18">
        <f>_xll.ciqfunctions.udf.CIQ($C$2,"IQ_OPEB_ASSETS_PARTICIP_CONTRIBUTIONS",N$6,$F$2,,,Ccy,Conv)</f>
        <v>33</v>
      </c>
      <c r="O671" s="30"/>
      <c r="P671" s="18">
        <f>_xll.ciqfunctions.udf.CIQ($C$2,"IQ_OPEB_ASSETS_PARTICIP_CONTRIBUTIONS",P$6,$F$2,,,Ccy,Conv)</f>
        <v>33</v>
      </c>
      <c r="Q671" s="215"/>
      <c r="R671" s="215"/>
      <c r="S671" s="215"/>
      <c r="T671" s="215"/>
      <c r="U671" s="215"/>
      <c r="V671" s="222"/>
      <c r="W671" s="222"/>
      <c r="X671" s="222"/>
      <c r="Y671" s="215"/>
      <c r="Z671" s="215"/>
      <c r="AA671" s="215"/>
      <c r="AB671" s="215"/>
      <c r="AC671" s="215"/>
      <c r="AD671" s="215"/>
      <c r="AE671" s="215"/>
      <c r="AF671" s="215"/>
      <c r="AG671" s="215"/>
      <c r="AH671" s="215"/>
      <c r="AI671" s="215"/>
      <c r="AJ671" s="215"/>
      <c r="AK671" s="215"/>
      <c r="AL671" s="215"/>
      <c r="AM671" s="215"/>
      <c r="AN671" s="215"/>
      <c r="AO671" s="215"/>
      <c r="AP671" s="215"/>
      <c r="AQ671" s="215"/>
      <c r="AR671" s="215"/>
      <c r="AS671" s="215"/>
      <c r="AT671" s="215"/>
      <c r="AU671" s="215"/>
      <c r="AV671" s="215"/>
      <c r="AW671" s="215"/>
      <c r="AX671" s="215"/>
      <c r="AY671" s="215"/>
      <c r="AZ671" s="215"/>
      <c r="BA671" s="215"/>
      <c r="BB671" s="215"/>
      <c r="BC671" s="215"/>
      <c r="BD671" s="215"/>
      <c r="BE671" s="215"/>
      <c r="BF671" s="215"/>
      <c r="BG671" s="215"/>
      <c r="BH671" s="215"/>
      <c r="BI671" s="215"/>
      <c r="BJ671" s="215"/>
      <c r="BK671" s="215"/>
      <c r="BL671" s="215"/>
      <c r="BM671" s="215"/>
      <c r="BN671" s="215"/>
      <c r="BO671" s="215"/>
      <c r="BP671" s="215"/>
      <c r="BQ671" s="215"/>
      <c r="BR671" s="215"/>
      <c r="BS671" s="215"/>
      <c r="BT671" s="215"/>
      <c r="BU671" s="215"/>
      <c r="BV671" s="215"/>
      <c r="BW671" s="215"/>
      <c r="BX671" s="215"/>
      <c r="BY671" s="215"/>
      <c r="BZ671" s="215"/>
    </row>
    <row r="672" spans="1:78" outlineLevel="1" x14ac:dyDescent="0.2">
      <c r="A672" s="2" t="str">
        <f>'Language Index'!A519</f>
        <v>Benefits Paid</v>
      </c>
      <c r="B672" s="17"/>
      <c r="C672" s="17"/>
      <c r="D672" s="18">
        <f>_xll.ciqfunctions.udf.CIQ($C$2,"IQ_OPEB_ASSETS_BENEFITS_PAID",D$6,$F$2,,,Ccy,Conv)</f>
        <v>0</v>
      </c>
      <c r="E672" s="18">
        <f>_xll.ciqfunctions.udf.CIQ($C$2,"IQ_OPEB_ASSETS_BENEFITS_PAID",E$6,$F$2,,,Ccy,Conv)</f>
        <v>0</v>
      </c>
      <c r="F672" s="18">
        <f>_xll.ciqfunctions.udf.CIQ($C$2,"IQ_OPEB_ASSETS_BENEFITS_PAID",F$6,$F$2,,,Ccy,Conv)</f>
        <v>-281</v>
      </c>
      <c r="G672" s="18">
        <f>_xll.ciqfunctions.udf.CIQ($C$2,"IQ_OPEB_ASSETS_BENEFITS_PAID",G$6,$F$2,,,Ccy,Conv)</f>
        <v>0</v>
      </c>
      <c r="H672" s="18">
        <f>_xll.ciqfunctions.udf.CIQ($C$2,"IQ_OPEB_ASSETS_BENEFITS_PAID",H$6,$F$2,,,Ccy,Conv)</f>
        <v>0</v>
      </c>
      <c r="I672" s="18">
        <f>_xll.ciqfunctions.udf.CIQ($C$2,"IQ_OPEB_ASSETS_BENEFITS_PAID",I$6,$F$2,,,Ccy,Conv)</f>
        <v>0</v>
      </c>
      <c r="J672" s="18">
        <f>_xll.ciqfunctions.udf.CIQ($C$2,"IQ_OPEB_ASSETS_BENEFITS_PAID",J$6,$F$2,,,Ccy,Conv)</f>
        <v>-237</v>
      </c>
      <c r="K672" s="18">
        <f>_xll.ciqfunctions.udf.CIQ($C$2,"IQ_OPEB_ASSETS_BENEFITS_PAID",K$6,$F$2,,,Ccy,Conv)</f>
        <v>0</v>
      </c>
      <c r="L672" s="18">
        <f>_xll.ciqfunctions.udf.CIQ($C$2,"IQ_OPEB_ASSETS_BENEFITS_PAID",L$6,$F$2,,,Ccy,Conv)</f>
        <v>0</v>
      </c>
      <c r="M672" s="18">
        <f>_xll.ciqfunctions.udf.CIQ($C$2,"IQ_OPEB_ASSETS_BENEFITS_PAID",M$6,$F$2,,,Ccy,Conv)</f>
        <v>0</v>
      </c>
      <c r="N672" s="18">
        <f>_xll.ciqfunctions.udf.CIQ($C$2,"IQ_OPEB_ASSETS_BENEFITS_PAID",N$6,$F$2,,,Ccy,Conv)</f>
        <v>-247</v>
      </c>
      <c r="O672" s="30"/>
      <c r="P672" s="18">
        <f>_xll.ciqfunctions.udf.CIQ($C$2,"IQ_OPEB_ASSETS_BENEFITS_PAID",P$6,$F$2,,,Ccy,Conv)</f>
        <v>-247</v>
      </c>
      <c r="Q672" s="215"/>
      <c r="R672" s="215"/>
      <c r="S672" s="215"/>
      <c r="T672" s="215"/>
      <c r="U672" s="215"/>
      <c r="V672" s="222"/>
      <c r="W672" s="222"/>
      <c r="X672" s="222"/>
      <c r="Y672" s="215"/>
      <c r="Z672" s="215"/>
      <c r="AA672" s="215"/>
      <c r="AB672" s="215"/>
      <c r="AC672" s="215"/>
      <c r="AD672" s="215"/>
      <c r="AE672" s="215"/>
      <c r="AF672" s="215"/>
      <c r="AG672" s="215"/>
      <c r="AH672" s="215"/>
      <c r="AI672" s="215"/>
      <c r="AJ672" s="215"/>
      <c r="AK672" s="215"/>
      <c r="AL672" s="215"/>
      <c r="AM672" s="215"/>
      <c r="AN672" s="215"/>
      <c r="AO672" s="215"/>
      <c r="AP672" s="215"/>
      <c r="AQ672" s="215"/>
      <c r="AR672" s="215"/>
      <c r="AS672" s="215"/>
      <c r="AT672" s="215"/>
      <c r="AU672" s="215"/>
      <c r="AV672" s="215"/>
      <c r="AW672" s="215"/>
      <c r="AX672" s="215"/>
      <c r="AY672" s="215"/>
      <c r="AZ672" s="215"/>
      <c r="BA672" s="215"/>
      <c r="BB672" s="215"/>
      <c r="BC672" s="215"/>
      <c r="BD672" s="215"/>
      <c r="BE672" s="215"/>
      <c r="BF672" s="215"/>
      <c r="BG672" s="215"/>
      <c r="BH672" s="215"/>
      <c r="BI672" s="215"/>
      <c r="BJ672" s="215"/>
      <c r="BK672" s="215"/>
      <c r="BL672" s="215"/>
      <c r="BM672" s="215"/>
      <c r="BN672" s="215"/>
      <c r="BO672" s="215"/>
      <c r="BP672" s="215"/>
      <c r="BQ672" s="215"/>
      <c r="BR672" s="215"/>
      <c r="BS672" s="215"/>
      <c r="BT672" s="215"/>
      <c r="BU672" s="215"/>
      <c r="BV672" s="215"/>
      <c r="BW672" s="215"/>
      <c r="BX672" s="215"/>
      <c r="BY672" s="215"/>
      <c r="BZ672" s="215"/>
    </row>
    <row r="673" spans="1:78" outlineLevel="1" x14ac:dyDescent="0.2">
      <c r="A673" s="2" t="str">
        <f>'Language Index'!A520</f>
        <v>Foreign Exchange Adjustments</v>
      </c>
      <c r="B673" s="17"/>
      <c r="C673" s="17"/>
      <c r="D673" s="18">
        <f>_xll.ciqfunctions.udf.CIQ($C$2,"IQ_OPEB_ASSETS_FX_ADJ",D$6,$F$2,,,Ccy,Conv)</f>
        <v>0</v>
      </c>
      <c r="E673" s="18">
        <f>_xll.ciqfunctions.udf.CIQ($C$2,"IQ_OPEB_ASSETS_FX_ADJ",E$6,$F$2,,,Ccy,Conv)</f>
        <v>0</v>
      </c>
      <c r="F673" s="18">
        <f>_xll.ciqfunctions.udf.CIQ($C$2,"IQ_OPEB_ASSETS_FX_ADJ",F$6,$F$2,,,Ccy,Conv)</f>
        <v>3</v>
      </c>
      <c r="G673" s="18">
        <f>_xll.ciqfunctions.udf.CIQ($C$2,"IQ_OPEB_ASSETS_FX_ADJ",G$6,$F$2,,,Ccy,Conv)</f>
        <v>0</v>
      </c>
      <c r="H673" s="18">
        <f>_xll.ciqfunctions.udf.CIQ($C$2,"IQ_OPEB_ASSETS_FX_ADJ",H$6,$F$2,,,Ccy,Conv)</f>
        <v>0</v>
      </c>
      <c r="I673" s="18">
        <f>_xll.ciqfunctions.udf.CIQ($C$2,"IQ_OPEB_ASSETS_FX_ADJ",I$6,$F$2,,,Ccy,Conv)</f>
        <v>0</v>
      </c>
      <c r="J673" s="18">
        <f>_xll.ciqfunctions.udf.CIQ($C$2,"IQ_OPEB_ASSETS_FX_ADJ",J$6,$F$2,,,Ccy,Conv)</f>
        <v>-5</v>
      </c>
      <c r="K673" s="18">
        <f>_xll.ciqfunctions.udf.CIQ($C$2,"IQ_OPEB_ASSETS_FX_ADJ",K$6,$F$2,,,Ccy,Conv)</f>
        <v>0</v>
      </c>
      <c r="L673" s="18">
        <f>_xll.ciqfunctions.udf.CIQ($C$2,"IQ_OPEB_ASSETS_FX_ADJ",L$6,$F$2,,,Ccy,Conv)</f>
        <v>0</v>
      </c>
      <c r="M673" s="18">
        <f>_xll.ciqfunctions.udf.CIQ($C$2,"IQ_OPEB_ASSETS_FX_ADJ",M$6,$F$2,,,Ccy,Conv)</f>
        <v>0</v>
      </c>
      <c r="N673" s="18">
        <f>_xll.ciqfunctions.udf.CIQ($C$2,"IQ_OPEB_ASSETS_FX_ADJ",N$6,$F$2,,,Ccy,Conv)</f>
        <v>2</v>
      </c>
      <c r="O673" s="30"/>
      <c r="P673" s="18">
        <f>_xll.ciqfunctions.udf.CIQ($C$2,"IQ_OPEB_ASSETS_FX_ADJ",P$6,$F$2,,,Ccy,Conv)</f>
        <v>2</v>
      </c>
      <c r="Q673" s="215"/>
      <c r="R673" s="215"/>
      <c r="S673" s="215"/>
      <c r="T673" s="215"/>
      <c r="U673" s="215"/>
      <c r="V673" s="222"/>
      <c r="W673" s="222"/>
      <c r="X673" s="222"/>
      <c r="Y673" s="215"/>
      <c r="Z673" s="215"/>
      <c r="AA673" s="215"/>
      <c r="AB673" s="215"/>
      <c r="AC673" s="215"/>
      <c r="AD673" s="215"/>
      <c r="AE673" s="215"/>
      <c r="AF673" s="215"/>
      <c r="AG673" s="215"/>
      <c r="AH673" s="215"/>
      <c r="AI673" s="215"/>
      <c r="AJ673" s="215"/>
      <c r="AK673" s="215"/>
      <c r="AL673" s="215"/>
      <c r="AM673" s="215"/>
      <c r="AN673" s="215"/>
      <c r="AO673" s="215"/>
      <c r="AP673" s="215"/>
      <c r="AQ673" s="215"/>
      <c r="AR673" s="215"/>
      <c r="AS673" s="215"/>
      <c r="AT673" s="215"/>
      <c r="AU673" s="215"/>
      <c r="AV673" s="215"/>
      <c r="AW673" s="215"/>
      <c r="AX673" s="215"/>
      <c r="AY673" s="215"/>
      <c r="AZ673" s="215"/>
      <c r="BA673" s="215"/>
      <c r="BB673" s="215"/>
      <c r="BC673" s="215"/>
      <c r="BD673" s="215"/>
      <c r="BE673" s="215"/>
      <c r="BF673" s="215"/>
      <c r="BG673" s="215"/>
      <c r="BH673" s="215"/>
      <c r="BI673" s="215"/>
      <c r="BJ673" s="215"/>
      <c r="BK673" s="215"/>
      <c r="BL673" s="215"/>
      <c r="BM673" s="215"/>
      <c r="BN673" s="215"/>
      <c r="BO673" s="215"/>
      <c r="BP673" s="215"/>
      <c r="BQ673" s="215"/>
      <c r="BR673" s="215"/>
      <c r="BS673" s="215"/>
      <c r="BT673" s="215"/>
      <c r="BU673" s="215"/>
      <c r="BV673" s="215"/>
      <c r="BW673" s="215"/>
      <c r="BX673" s="215"/>
      <c r="BY673" s="215"/>
      <c r="BZ673" s="215"/>
    </row>
    <row r="674" spans="1:78" outlineLevel="1" x14ac:dyDescent="0.2">
      <c r="A674" s="2" t="str">
        <f>'Language Index'!A521</f>
        <v>Acquired Plan Assets</v>
      </c>
      <c r="B674" s="17"/>
      <c r="C674" s="17"/>
      <c r="D674" s="18">
        <f>_xll.ciqfunctions.udf.CIQ($C$2,"IQ_OPEB_ASSETS_ACQ",D$6,$F$2,,,Ccy,Conv)</f>
        <v>0</v>
      </c>
      <c r="E674" s="18">
        <f>_xll.ciqfunctions.udf.CIQ($C$2,"IQ_OPEB_ASSETS_ACQ",E$6,$F$2,,,Ccy,Conv)</f>
        <v>0</v>
      </c>
      <c r="F674" s="18">
        <f>_xll.ciqfunctions.udf.CIQ($C$2,"IQ_OPEB_ASSETS_ACQ",F$6,$F$2,,,Ccy,Conv)</f>
        <v>0</v>
      </c>
      <c r="G674" s="18">
        <f>_xll.ciqfunctions.udf.CIQ($C$2,"IQ_OPEB_ASSETS_ACQ",G$6,$F$2,,,Ccy,Conv)</f>
        <v>0</v>
      </c>
      <c r="H674" s="18">
        <f>_xll.ciqfunctions.udf.CIQ($C$2,"IQ_OPEB_ASSETS_ACQ",H$6,$F$2,,,Ccy,Conv)</f>
        <v>0</v>
      </c>
      <c r="I674" s="18">
        <f>_xll.ciqfunctions.udf.CIQ($C$2,"IQ_OPEB_ASSETS_ACQ",I$6,$F$2,,,Ccy,Conv)</f>
        <v>0</v>
      </c>
      <c r="J674" s="18">
        <f>_xll.ciqfunctions.udf.CIQ($C$2,"IQ_OPEB_ASSETS_ACQ",J$6,$F$2,,,Ccy,Conv)</f>
        <v>0</v>
      </c>
      <c r="K674" s="18">
        <f>_xll.ciqfunctions.udf.CIQ($C$2,"IQ_OPEB_ASSETS_ACQ",K$6,$F$2,,,Ccy,Conv)</f>
        <v>0</v>
      </c>
      <c r="L674" s="18">
        <f>_xll.ciqfunctions.udf.CIQ($C$2,"IQ_OPEB_ASSETS_ACQ",L$6,$F$2,,,Ccy,Conv)</f>
        <v>0</v>
      </c>
      <c r="M674" s="18">
        <f>_xll.ciqfunctions.udf.CIQ($C$2,"IQ_OPEB_ASSETS_ACQ",M$6,$F$2,,,Ccy,Conv)</f>
        <v>0</v>
      </c>
      <c r="N674" s="18">
        <f>_xll.ciqfunctions.udf.CIQ($C$2,"IQ_OPEB_ASSETS_ACQ",N$6,$F$2,,,Ccy,Conv)</f>
        <v>0</v>
      </c>
      <c r="O674" s="30"/>
      <c r="P674" s="18">
        <f>_xll.ciqfunctions.udf.CIQ($C$2,"IQ_OPEB_ASSETS_ACQ",P$6,$F$2,,,Ccy,Conv)</f>
        <v>0</v>
      </c>
      <c r="Q674" s="215"/>
      <c r="R674" s="215"/>
      <c r="S674" s="215"/>
      <c r="T674" s="215"/>
      <c r="U674" s="215"/>
      <c r="V674" s="222"/>
      <c r="W674" s="222"/>
      <c r="X674" s="222"/>
      <c r="Y674" s="215"/>
      <c r="Z674" s="215"/>
      <c r="AA674" s="215"/>
      <c r="AB674" s="215"/>
      <c r="AC674" s="215"/>
      <c r="AD674" s="215"/>
      <c r="AE674" s="215"/>
      <c r="AF674" s="215"/>
      <c r="AG674" s="215"/>
      <c r="AH674" s="215"/>
      <c r="AI674" s="215"/>
      <c r="AJ674" s="215"/>
      <c r="AK674" s="215"/>
      <c r="AL674" s="215"/>
      <c r="AM674" s="215"/>
      <c r="AN674" s="215"/>
      <c r="AO674" s="215"/>
      <c r="AP674" s="215"/>
      <c r="AQ674" s="215"/>
      <c r="AR674" s="215"/>
      <c r="AS674" s="215"/>
      <c r="AT674" s="215"/>
      <c r="AU674" s="215"/>
      <c r="AV674" s="215"/>
      <c r="AW674" s="215"/>
      <c r="AX674" s="215"/>
      <c r="AY674" s="215"/>
      <c r="AZ674" s="215"/>
      <c r="BA674" s="215"/>
      <c r="BB674" s="215"/>
      <c r="BC674" s="215"/>
      <c r="BD674" s="215"/>
      <c r="BE674" s="215"/>
      <c r="BF674" s="215"/>
      <c r="BG674" s="215"/>
      <c r="BH674" s="215"/>
      <c r="BI674" s="215"/>
      <c r="BJ674" s="215"/>
      <c r="BK674" s="215"/>
      <c r="BL674" s="215"/>
      <c r="BM674" s="215"/>
      <c r="BN674" s="215"/>
      <c r="BO674" s="215"/>
      <c r="BP674" s="215"/>
      <c r="BQ674" s="215"/>
      <c r="BR674" s="215"/>
      <c r="BS674" s="215"/>
      <c r="BT674" s="215"/>
      <c r="BU674" s="215"/>
      <c r="BV674" s="215"/>
      <c r="BW674" s="215"/>
      <c r="BX674" s="215"/>
      <c r="BY674" s="215"/>
      <c r="BZ674" s="215"/>
    </row>
    <row r="675" spans="1:78" outlineLevel="1" x14ac:dyDescent="0.2">
      <c r="A675" s="2" t="str">
        <f>'Language Index'!A522</f>
        <v>Plan Settlement/Curtailment</v>
      </c>
      <c r="B675" s="17"/>
      <c r="C675" s="17"/>
      <c r="D675" s="18">
        <f>_xll.ciqfunctions.udf.CIQ($C$2,"IQ_OPEB_ASSETS_CURTAIL",D$6,$F$2,,,Ccy,Conv)</f>
        <v>0</v>
      </c>
      <c r="E675" s="18">
        <f>_xll.ciqfunctions.udf.CIQ($C$2,"IQ_OPEB_ASSETS_CURTAIL",E$6,$F$2,,,Ccy,Conv)</f>
        <v>0</v>
      </c>
      <c r="F675" s="18">
        <f>_xll.ciqfunctions.udf.CIQ($C$2,"IQ_OPEB_ASSETS_CURTAIL",F$6,$F$2,,,Ccy,Conv)</f>
        <v>0</v>
      </c>
      <c r="G675" s="18">
        <f>_xll.ciqfunctions.udf.CIQ($C$2,"IQ_OPEB_ASSETS_CURTAIL",G$6,$F$2,,,Ccy,Conv)</f>
        <v>0</v>
      </c>
      <c r="H675" s="18">
        <f>_xll.ciqfunctions.udf.CIQ($C$2,"IQ_OPEB_ASSETS_CURTAIL",H$6,$F$2,,,Ccy,Conv)</f>
        <v>0</v>
      </c>
      <c r="I675" s="18">
        <f>_xll.ciqfunctions.udf.CIQ($C$2,"IQ_OPEB_ASSETS_CURTAIL",I$6,$F$2,,,Ccy,Conv)</f>
        <v>0</v>
      </c>
      <c r="J675" s="18">
        <f>_xll.ciqfunctions.udf.CIQ($C$2,"IQ_OPEB_ASSETS_CURTAIL",J$6,$F$2,,,Ccy,Conv)</f>
        <v>0</v>
      </c>
      <c r="K675" s="18">
        <f>_xll.ciqfunctions.udf.CIQ($C$2,"IQ_OPEB_ASSETS_CURTAIL",K$6,$F$2,,,Ccy,Conv)</f>
        <v>0</v>
      </c>
      <c r="L675" s="18">
        <f>_xll.ciqfunctions.udf.CIQ($C$2,"IQ_OPEB_ASSETS_CURTAIL",L$6,$F$2,,,Ccy,Conv)</f>
        <v>0</v>
      </c>
      <c r="M675" s="18">
        <f>_xll.ciqfunctions.udf.CIQ($C$2,"IQ_OPEB_ASSETS_CURTAIL",M$6,$F$2,,,Ccy,Conv)</f>
        <v>0</v>
      </c>
      <c r="N675" s="18">
        <f>_xll.ciqfunctions.udf.CIQ($C$2,"IQ_OPEB_ASSETS_CURTAIL",N$6,$F$2,,,Ccy,Conv)</f>
        <v>0</v>
      </c>
      <c r="O675" s="30"/>
      <c r="P675" s="18">
        <f>_xll.ciqfunctions.udf.CIQ($C$2,"IQ_OPEB_ASSETS_CURTAIL",P$6,$F$2,,,Ccy,Conv)</f>
        <v>0</v>
      </c>
      <c r="Q675" s="215"/>
      <c r="R675" s="215"/>
      <c r="S675" s="215"/>
      <c r="T675" s="215"/>
      <c r="U675" s="215"/>
      <c r="V675" s="222"/>
      <c r="W675" s="222"/>
      <c r="X675" s="222"/>
      <c r="Y675" s="215"/>
      <c r="Z675" s="215"/>
      <c r="AA675" s="215"/>
      <c r="AB675" s="215"/>
      <c r="AC675" s="215"/>
      <c r="AD675" s="215"/>
      <c r="AE675" s="215"/>
      <c r="AF675" s="215"/>
      <c r="AG675" s="215"/>
      <c r="AH675" s="215"/>
      <c r="AI675" s="215"/>
      <c r="AJ675" s="215"/>
      <c r="AK675" s="215"/>
      <c r="AL675" s="215"/>
      <c r="AM675" s="215"/>
      <c r="AN675" s="215"/>
      <c r="AO675" s="215"/>
      <c r="AP675" s="215"/>
      <c r="AQ675" s="215"/>
      <c r="AR675" s="215"/>
      <c r="AS675" s="215"/>
      <c r="AT675" s="215"/>
      <c r="AU675" s="215"/>
      <c r="AV675" s="215"/>
      <c r="AW675" s="215"/>
      <c r="AX675" s="215"/>
      <c r="AY675" s="215"/>
      <c r="AZ675" s="215"/>
      <c r="BA675" s="215"/>
      <c r="BB675" s="215"/>
      <c r="BC675" s="215"/>
      <c r="BD675" s="215"/>
      <c r="BE675" s="215"/>
      <c r="BF675" s="215"/>
      <c r="BG675" s="215"/>
      <c r="BH675" s="215"/>
      <c r="BI675" s="215"/>
      <c r="BJ675" s="215"/>
      <c r="BK675" s="215"/>
      <c r="BL675" s="215"/>
      <c r="BM675" s="215"/>
      <c r="BN675" s="215"/>
      <c r="BO675" s="215"/>
      <c r="BP675" s="215"/>
      <c r="BQ675" s="215"/>
      <c r="BR675" s="215"/>
      <c r="BS675" s="215"/>
      <c r="BT675" s="215"/>
      <c r="BU675" s="215"/>
      <c r="BV675" s="215"/>
      <c r="BW675" s="215"/>
      <c r="BX675" s="215"/>
      <c r="BY675" s="215"/>
      <c r="BZ675" s="215"/>
    </row>
    <row r="676" spans="1:78" outlineLevel="1" x14ac:dyDescent="0.2">
      <c r="A676" s="2" t="str">
        <f>'Language Index'!A523</f>
        <v>Other Plan Adjustments</v>
      </c>
      <c r="B676" s="17"/>
      <c r="C676" s="17"/>
      <c r="D676" s="18">
        <f>_xll.ciqfunctions.udf.CIQ($C$2,"IQ_OPEB_ASSETS_OTHER_PLAN_ADJ",D$6,$F$2,,,Ccy,Conv)</f>
        <v>0</v>
      </c>
      <c r="E676" s="18">
        <f>_xll.ciqfunctions.udf.CIQ($C$2,"IQ_OPEB_ASSETS_OTHER_PLAN_ADJ",E$6,$F$2,,,Ccy,Conv)</f>
        <v>0</v>
      </c>
      <c r="F676" s="18">
        <f>_xll.ciqfunctions.udf.CIQ($C$2,"IQ_OPEB_ASSETS_OTHER_PLAN_ADJ",F$6,$F$2,,,Ccy,Conv)</f>
        <v>-4</v>
      </c>
      <c r="G676" s="18">
        <f>_xll.ciqfunctions.udf.CIQ($C$2,"IQ_OPEB_ASSETS_OTHER_PLAN_ADJ",G$6,$F$2,,,Ccy,Conv)</f>
        <v>0</v>
      </c>
      <c r="H676" s="18">
        <f>_xll.ciqfunctions.udf.CIQ($C$2,"IQ_OPEB_ASSETS_OTHER_PLAN_ADJ",H$6,$F$2,,,Ccy,Conv)</f>
        <v>0</v>
      </c>
      <c r="I676" s="18">
        <f>_xll.ciqfunctions.udf.CIQ($C$2,"IQ_OPEB_ASSETS_OTHER_PLAN_ADJ",I$6,$F$2,,,Ccy,Conv)</f>
        <v>0</v>
      </c>
      <c r="J676" s="18">
        <f>_xll.ciqfunctions.udf.CIQ($C$2,"IQ_OPEB_ASSETS_OTHER_PLAN_ADJ",J$6,$F$2,,,Ccy,Conv)</f>
        <v>2</v>
      </c>
      <c r="K676" s="18">
        <f>_xll.ciqfunctions.udf.CIQ($C$2,"IQ_OPEB_ASSETS_OTHER_PLAN_ADJ",K$6,$F$2,,,Ccy,Conv)</f>
        <v>0</v>
      </c>
      <c r="L676" s="18">
        <f>_xll.ciqfunctions.udf.CIQ($C$2,"IQ_OPEB_ASSETS_OTHER_PLAN_ADJ",L$6,$F$2,,,Ccy,Conv)</f>
        <v>0</v>
      </c>
      <c r="M676" s="18">
        <f>_xll.ciqfunctions.udf.CIQ($C$2,"IQ_OPEB_ASSETS_OTHER_PLAN_ADJ",M$6,$F$2,,,Ccy,Conv)</f>
        <v>0</v>
      </c>
      <c r="N676" s="18">
        <f>_xll.ciqfunctions.udf.CIQ($C$2,"IQ_OPEB_ASSETS_OTHER_PLAN_ADJ",N$6,$F$2,,,Ccy,Conv)</f>
        <v>0</v>
      </c>
      <c r="O676" s="30"/>
      <c r="P676" s="18">
        <f>_xll.ciqfunctions.udf.CIQ($C$2,"IQ_OPEB_ASSETS_OTHER_PLAN_ADJ",P$6,$F$2,,,Ccy,Conv)</f>
        <v>0</v>
      </c>
      <c r="Q676" s="215"/>
      <c r="R676" s="215"/>
      <c r="S676" s="215"/>
      <c r="T676" s="215"/>
      <c r="U676" s="215"/>
      <c r="V676" s="222"/>
      <c r="W676" s="222"/>
      <c r="X676" s="222"/>
      <c r="Y676" s="215"/>
      <c r="Z676" s="215"/>
      <c r="AA676" s="215"/>
      <c r="AB676" s="215"/>
      <c r="AC676" s="215"/>
      <c r="AD676" s="215"/>
      <c r="AE676" s="215"/>
      <c r="AF676" s="215"/>
      <c r="AG676" s="215"/>
      <c r="AH676" s="215"/>
      <c r="AI676" s="215"/>
      <c r="AJ676" s="215"/>
      <c r="AK676" s="215"/>
      <c r="AL676" s="215"/>
      <c r="AM676" s="215"/>
      <c r="AN676" s="215"/>
      <c r="AO676" s="215"/>
      <c r="AP676" s="215"/>
      <c r="AQ676" s="215"/>
      <c r="AR676" s="215"/>
      <c r="AS676" s="215"/>
      <c r="AT676" s="215"/>
      <c r="AU676" s="215"/>
      <c r="AV676" s="215"/>
      <c r="AW676" s="215"/>
      <c r="AX676" s="215"/>
      <c r="AY676" s="215"/>
      <c r="AZ676" s="215"/>
      <c r="BA676" s="215"/>
      <c r="BB676" s="215"/>
      <c r="BC676" s="215"/>
      <c r="BD676" s="215"/>
      <c r="BE676" s="215"/>
      <c r="BF676" s="215"/>
      <c r="BG676" s="215"/>
      <c r="BH676" s="215"/>
      <c r="BI676" s="215"/>
      <c r="BJ676" s="215"/>
      <c r="BK676" s="215"/>
      <c r="BL676" s="215"/>
      <c r="BM676" s="215"/>
      <c r="BN676" s="215"/>
      <c r="BO676" s="215"/>
      <c r="BP676" s="215"/>
      <c r="BQ676" s="215"/>
      <c r="BR676" s="215"/>
      <c r="BS676" s="215"/>
      <c r="BT676" s="215"/>
      <c r="BU676" s="215"/>
      <c r="BV676" s="215"/>
      <c r="BW676" s="215"/>
      <c r="BX676" s="215"/>
      <c r="BY676" s="215"/>
      <c r="BZ676" s="215"/>
    </row>
    <row r="677" spans="1:78" outlineLevel="1" x14ac:dyDescent="0.2">
      <c r="A677" s="2" t="str">
        <f>'Language Index'!A524</f>
        <v>Total Plan Assets</v>
      </c>
      <c r="B677" s="17"/>
      <c r="C677" s="17"/>
      <c r="D677" s="18">
        <f>_xll.ciqfunctions.udf.CIQ($C$2,"IQ_OPEB_ASSETS",D$6,$F$2,,,Ccy,Conv)</f>
        <v>0</v>
      </c>
      <c r="E677" s="18">
        <f>_xll.ciqfunctions.udf.CIQ($C$2,"IQ_OPEB_ASSETS",E$6,$F$2,,,Ccy,Conv)</f>
        <v>0</v>
      </c>
      <c r="F677" s="18">
        <f>_xll.ciqfunctions.udf.CIQ($C$2,"IQ_OPEB_ASSETS",F$6,$F$2,,,Ccy,Conv)</f>
        <v>33</v>
      </c>
      <c r="G677" s="18">
        <f>_xll.ciqfunctions.udf.CIQ($C$2,"IQ_OPEB_ASSETS",G$6,$F$2,,,Ccy,Conv)</f>
        <v>0</v>
      </c>
      <c r="H677" s="18">
        <f>_xll.ciqfunctions.udf.CIQ($C$2,"IQ_OPEB_ASSETS",H$6,$F$2,,,Ccy,Conv)</f>
        <v>0</v>
      </c>
      <c r="I677" s="18">
        <f>_xll.ciqfunctions.udf.CIQ($C$2,"IQ_OPEB_ASSETS",I$6,$F$2,,,Ccy,Conv)</f>
        <v>0</v>
      </c>
      <c r="J677" s="18">
        <f>_xll.ciqfunctions.udf.CIQ($C$2,"IQ_OPEB_ASSETS",J$6,$F$2,,,Ccy,Conv)</f>
        <v>20</v>
      </c>
      <c r="K677" s="18">
        <f>_xll.ciqfunctions.udf.CIQ($C$2,"IQ_OPEB_ASSETS",K$6,$F$2,,,Ccy,Conv)</f>
        <v>0</v>
      </c>
      <c r="L677" s="18">
        <f>_xll.ciqfunctions.udf.CIQ($C$2,"IQ_OPEB_ASSETS",L$6,$F$2,,,Ccy,Conv)</f>
        <v>0</v>
      </c>
      <c r="M677" s="18">
        <f>_xll.ciqfunctions.udf.CIQ($C$2,"IQ_OPEB_ASSETS",M$6,$F$2,,,Ccy,Conv)</f>
        <v>0</v>
      </c>
      <c r="N677" s="18">
        <f>_xll.ciqfunctions.udf.CIQ($C$2,"IQ_OPEB_ASSETS",N$6,$F$2,,,Ccy,Conv)</f>
        <v>14</v>
      </c>
      <c r="O677" s="30"/>
      <c r="P677" s="18">
        <f>_xll.ciqfunctions.udf.CIQ($C$2,"IQ_OPEB_ASSETS",P$6,$F$2,,,Ccy,Conv)</f>
        <v>14</v>
      </c>
      <c r="Q677" s="215"/>
      <c r="R677" s="215"/>
      <c r="S677" s="215"/>
      <c r="T677" s="215"/>
      <c r="U677" s="215"/>
      <c r="V677" s="222"/>
      <c r="W677" s="222"/>
      <c r="X677" s="222"/>
      <c r="Y677" s="215"/>
      <c r="Z677" s="215"/>
      <c r="AA677" s="215"/>
      <c r="AB677" s="215"/>
      <c r="AC677" s="215"/>
      <c r="AD677" s="215"/>
      <c r="AE677" s="215"/>
      <c r="AF677" s="215"/>
      <c r="AG677" s="215"/>
      <c r="AH677" s="215"/>
      <c r="AI677" s="215"/>
      <c r="AJ677" s="215"/>
      <c r="AK677" s="215"/>
      <c r="AL677" s="215"/>
      <c r="AM677" s="215"/>
      <c r="AN677" s="215"/>
      <c r="AO677" s="215"/>
      <c r="AP677" s="215"/>
      <c r="AQ677" s="215"/>
      <c r="AR677" s="215"/>
      <c r="AS677" s="215"/>
      <c r="AT677" s="215"/>
      <c r="AU677" s="215"/>
      <c r="AV677" s="215"/>
      <c r="AW677" s="215"/>
      <c r="AX677" s="215"/>
      <c r="AY677" s="215"/>
      <c r="AZ677" s="215"/>
      <c r="BA677" s="215"/>
      <c r="BB677" s="215"/>
      <c r="BC677" s="215"/>
      <c r="BD677" s="215"/>
      <c r="BE677" s="215"/>
      <c r="BF677" s="215"/>
      <c r="BG677" s="215"/>
      <c r="BH677" s="215"/>
      <c r="BI677" s="215"/>
      <c r="BJ677" s="215"/>
      <c r="BK677" s="215"/>
      <c r="BL677" s="215"/>
      <c r="BM677" s="215"/>
      <c r="BN677" s="215"/>
      <c r="BO677" s="215"/>
      <c r="BP677" s="215"/>
      <c r="BQ677" s="215"/>
      <c r="BR677" s="215"/>
      <c r="BS677" s="215"/>
      <c r="BT677" s="215"/>
      <c r="BU677" s="215"/>
      <c r="BV677" s="215"/>
      <c r="BW677" s="215"/>
      <c r="BX677" s="215"/>
      <c r="BY677" s="215"/>
      <c r="BZ677" s="215"/>
    </row>
    <row r="678" spans="1:78" outlineLevel="1" x14ac:dyDescent="0.2">
      <c r="A678" s="9" t="str">
        <f>'Language Index'!A525</f>
        <v>Weighted Avg. Assumptions on Net Periodic Cost</v>
      </c>
      <c r="B678" s="17"/>
      <c r="C678" s="17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30"/>
      <c r="P678" s="18"/>
      <c r="Q678" s="215"/>
      <c r="R678" s="215"/>
      <c r="S678" s="215"/>
      <c r="T678" s="215"/>
      <c r="U678" s="215"/>
      <c r="V678" s="222"/>
      <c r="W678" s="222"/>
      <c r="X678" s="222"/>
      <c r="Y678" s="215"/>
      <c r="Z678" s="215"/>
      <c r="AA678" s="215"/>
      <c r="AB678" s="215"/>
      <c r="AC678" s="215"/>
      <c r="AD678" s="215"/>
      <c r="AE678" s="215"/>
      <c r="AF678" s="215"/>
      <c r="AG678" s="215"/>
      <c r="AH678" s="215"/>
      <c r="AI678" s="215"/>
      <c r="AJ678" s="215"/>
      <c r="AK678" s="215"/>
      <c r="AL678" s="215"/>
      <c r="AM678" s="215"/>
      <c r="AN678" s="215"/>
      <c r="AO678" s="215"/>
      <c r="AP678" s="215"/>
      <c r="AQ678" s="215"/>
      <c r="AR678" s="215"/>
      <c r="AS678" s="215"/>
      <c r="AT678" s="215"/>
      <c r="AU678" s="215"/>
      <c r="AV678" s="215"/>
      <c r="AW678" s="215"/>
      <c r="AX678" s="215"/>
      <c r="AY678" s="215"/>
      <c r="AZ678" s="215"/>
      <c r="BA678" s="215"/>
      <c r="BB678" s="215"/>
      <c r="BC678" s="215"/>
      <c r="BD678" s="215"/>
      <c r="BE678" s="215"/>
      <c r="BF678" s="215"/>
      <c r="BG678" s="215"/>
      <c r="BH678" s="215"/>
      <c r="BI678" s="215"/>
      <c r="BJ678" s="215"/>
      <c r="BK678" s="215"/>
      <c r="BL678" s="215"/>
      <c r="BM678" s="215"/>
      <c r="BN678" s="215"/>
      <c r="BO678" s="215"/>
      <c r="BP678" s="215"/>
      <c r="BQ678" s="215"/>
      <c r="BR678" s="215"/>
      <c r="BS678" s="215"/>
      <c r="BT678" s="215"/>
      <c r="BU678" s="215"/>
      <c r="BV678" s="215"/>
      <c r="BW678" s="215"/>
      <c r="BX678" s="215"/>
      <c r="BY678" s="215"/>
      <c r="BZ678" s="215"/>
    </row>
    <row r="679" spans="1:78" outlineLevel="1" x14ac:dyDescent="0.2">
      <c r="A679" s="2" t="str">
        <f>'Language Index'!A526</f>
        <v>Net Periodic Cost Disc. Rate - Min</v>
      </c>
      <c r="B679" s="17"/>
      <c r="C679" s="17"/>
      <c r="D679" s="18">
        <f>_xll.ciqfunctions.udf.CIQ($C$2,"IQ_OPEB_DISC_RATE_MIN",D$6,$F$2)</f>
        <v>0</v>
      </c>
      <c r="E679" s="18">
        <f>_xll.ciqfunctions.udf.CIQ($C$2,"IQ_OPEB_DISC_RATE_MIN",E$6,$F$2)</f>
        <v>0</v>
      </c>
      <c r="F679" s="18">
        <f>_xll.ciqfunctions.udf.CIQ($C$2,"IQ_OPEB_DISC_RATE_MIN",F$6,$F$2)</f>
        <v>0</v>
      </c>
      <c r="G679" s="18">
        <f>_xll.ciqfunctions.udf.CIQ($C$2,"IQ_OPEB_DISC_RATE_MIN",G$6,$F$2)</f>
        <v>0</v>
      </c>
      <c r="H679" s="18">
        <f>_xll.ciqfunctions.udf.CIQ($C$2,"IQ_OPEB_DISC_RATE_MIN",H$6,$F$2)</f>
        <v>0</v>
      </c>
      <c r="I679" s="18">
        <f>_xll.ciqfunctions.udf.CIQ($C$2,"IQ_OPEB_DISC_RATE_MIN",I$6,$F$2)</f>
        <v>0</v>
      </c>
      <c r="J679" s="18">
        <f>_xll.ciqfunctions.udf.CIQ($C$2,"IQ_OPEB_DISC_RATE_MIN",J$6,$F$2)</f>
        <v>0</v>
      </c>
      <c r="K679" s="18">
        <f>_xll.ciqfunctions.udf.CIQ($C$2,"IQ_OPEB_DISC_RATE_MIN",K$6,$F$2)</f>
        <v>0</v>
      </c>
      <c r="L679" s="18">
        <f>_xll.ciqfunctions.udf.CIQ($C$2,"IQ_OPEB_DISC_RATE_MIN",L$6,$F$2)</f>
        <v>0</v>
      </c>
      <c r="M679" s="18">
        <f>_xll.ciqfunctions.udf.CIQ($C$2,"IQ_OPEB_DISC_RATE_MIN",M$6,$F$2)</f>
        <v>0</v>
      </c>
      <c r="N679" s="18">
        <f>_xll.ciqfunctions.udf.CIQ($C$2,"IQ_OPEB_DISC_RATE_MIN",N$6,$F$2)</f>
        <v>0</v>
      </c>
      <c r="O679" s="30"/>
      <c r="P679" s="18">
        <f>_xll.ciqfunctions.udf.CIQ($C$2,"IQ_OPEB_DISC_RATE_MIN",P$6,$F$2)</f>
        <v>0</v>
      </c>
      <c r="Q679" s="245"/>
      <c r="R679" s="215"/>
      <c r="S679" s="215"/>
      <c r="T679" s="215"/>
      <c r="U679" s="215"/>
      <c r="V679" s="222"/>
      <c r="W679" s="222"/>
      <c r="X679" s="222"/>
      <c r="Y679" s="215"/>
      <c r="Z679" s="215"/>
      <c r="AA679" s="215"/>
      <c r="AB679" s="215"/>
      <c r="AC679" s="215"/>
      <c r="AD679" s="215"/>
      <c r="AE679" s="215"/>
      <c r="AF679" s="215"/>
      <c r="AG679" s="215"/>
      <c r="AH679" s="215"/>
      <c r="AI679" s="215"/>
      <c r="AJ679" s="215"/>
      <c r="AK679" s="215"/>
      <c r="AL679" s="215"/>
      <c r="AM679" s="215"/>
      <c r="AN679" s="215"/>
      <c r="AO679" s="215"/>
      <c r="AP679" s="215"/>
      <c r="AQ679" s="215"/>
      <c r="AR679" s="215"/>
      <c r="AS679" s="215"/>
      <c r="AT679" s="215"/>
      <c r="AU679" s="215"/>
      <c r="AV679" s="215"/>
      <c r="AW679" s="215"/>
      <c r="AX679" s="215"/>
      <c r="AY679" s="215"/>
      <c r="AZ679" s="215"/>
      <c r="BA679" s="215"/>
      <c r="BB679" s="215"/>
      <c r="BC679" s="215"/>
      <c r="BD679" s="215"/>
      <c r="BE679" s="215"/>
      <c r="BF679" s="215"/>
      <c r="BG679" s="215"/>
      <c r="BH679" s="215"/>
      <c r="BI679" s="215"/>
      <c r="BJ679" s="215"/>
      <c r="BK679" s="215"/>
      <c r="BL679" s="215"/>
      <c r="BM679" s="215"/>
      <c r="BN679" s="215"/>
      <c r="BO679" s="215"/>
      <c r="BP679" s="215"/>
      <c r="BQ679" s="215"/>
      <c r="BR679" s="215"/>
      <c r="BS679" s="215"/>
      <c r="BT679" s="215"/>
      <c r="BU679" s="215"/>
      <c r="BV679" s="215"/>
      <c r="BW679" s="215"/>
      <c r="BX679" s="215"/>
      <c r="BY679" s="215"/>
      <c r="BZ679" s="215"/>
    </row>
    <row r="680" spans="1:78" outlineLevel="1" x14ac:dyDescent="0.2">
      <c r="A680" s="2" t="str">
        <f>'Language Index'!A527</f>
        <v>Net Periodic Cost Disc. Rate - Max</v>
      </c>
      <c r="B680" s="17"/>
      <c r="C680" s="17"/>
      <c r="D680" s="18">
        <f>_xll.ciqfunctions.udf.CIQ($C$2,"IQ_OPEB_DISC_RATE_MAX",D$6,$F$2)</f>
        <v>0</v>
      </c>
      <c r="E680" s="18">
        <f>_xll.ciqfunctions.udf.CIQ($C$2,"IQ_OPEB_DISC_RATE_MAX",E$6,$F$2)</f>
        <v>0</v>
      </c>
      <c r="F680" s="18">
        <f>_xll.ciqfunctions.udf.CIQ($C$2,"IQ_OPEB_DISC_RATE_MAX",F$6,$F$2)</f>
        <v>0</v>
      </c>
      <c r="G680" s="18">
        <f>_xll.ciqfunctions.udf.CIQ($C$2,"IQ_OPEB_DISC_RATE_MAX",G$6,$F$2)</f>
        <v>0</v>
      </c>
      <c r="H680" s="18">
        <f>_xll.ciqfunctions.udf.CIQ($C$2,"IQ_OPEB_DISC_RATE_MAX",H$6,$F$2)</f>
        <v>0</v>
      </c>
      <c r="I680" s="18">
        <f>_xll.ciqfunctions.udf.CIQ($C$2,"IQ_OPEB_DISC_RATE_MAX",I$6,$F$2)</f>
        <v>0</v>
      </c>
      <c r="J680" s="18">
        <f>_xll.ciqfunctions.udf.CIQ($C$2,"IQ_OPEB_DISC_RATE_MAX",J$6,$F$2)</f>
        <v>0</v>
      </c>
      <c r="K680" s="18">
        <f>_xll.ciqfunctions.udf.CIQ($C$2,"IQ_OPEB_DISC_RATE_MAX",K$6,$F$2)</f>
        <v>0</v>
      </c>
      <c r="L680" s="18">
        <f>_xll.ciqfunctions.udf.CIQ($C$2,"IQ_OPEB_DISC_RATE_MAX",L$6,$F$2)</f>
        <v>0</v>
      </c>
      <c r="M680" s="18">
        <f>_xll.ciqfunctions.udf.CIQ($C$2,"IQ_OPEB_DISC_RATE_MAX",M$6,$F$2)</f>
        <v>0</v>
      </c>
      <c r="N680" s="18">
        <f>_xll.ciqfunctions.udf.CIQ($C$2,"IQ_OPEB_DISC_RATE_MAX",N$6,$F$2)</f>
        <v>0</v>
      </c>
      <c r="O680" s="30"/>
      <c r="P680" s="18">
        <f>_xll.ciqfunctions.udf.CIQ($C$2,"IQ_OPEB_DISC_RATE_MAX",P$6,$F$2)</f>
        <v>0</v>
      </c>
      <c r="Q680" s="245"/>
      <c r="R680" s="215"/>
      <c r="S680" s="215"/>
      <c r="T680" s="215"/>
      <c r="U680" s="215"/>
      <c r="V680" s="222"/>
      <c r="W680" s="222"/>
      <c r="X680" s="222"/>
      <c r="Y680" s="215"/>
      <c r="Z680" s="215"/>
      <c r="AA680" s="215"/>
      <c r="AB680" s="215"/>
      <c r="AC680" s="215"/>
      <c r="AD680" s="215"/>
      <c r="AE680" s="215"/>
      <c r="AF680" s="215"/>
      <c r="AG680" s="215"/>
      <c r="AH680" s="215"/>
      <c r="AI680" s="215"/>
      <c r="AJ680" s="215"/>
      <c r="AK680" s="215"/>
      <c r="AL680" s="215"/>
      <c r="AM680" s="215"/>
      <c r="AN680" s="215"/>
      <c r="AO680" s="215"/>
      <c r="AP680" s="215"/>
      <c r="AQ680" s="215"/>
      <c r="AR680" s="215"/>
      <c r="AS680" s="215"/>
      <c r="AT680" s="215"/>
      <c r="AU680" s="215"/>
      <c r="AV680" s="215"/>
      <c r="AW680" s="215"/>
      <c r="AX680" s="215"/>
      <c r="AY680" s="215"/>
      <c r="AZ680" s="215"/>
      <c r="BA680" s="215"/>
      <c r="BB680" s="215"/>
      <c r="BC680" s="215"/>
      <c r="BD680" s="215"/>
      <c r="BE680" s="215"/>
      <c r="BF680" s="215"/>
      <c r="BG680" s="215"/>
      <c r="BH680" s="215"/>
      <c r="BI680" s="215"/>
      <c r="BJ680" s="215"/>
      <c r="BK680" s="215"/>
      <c r="BL680" s="215"/>
      <c r="BM680" s="215"/>
      <c r="BN680" s="215"/>
      <c r="BO680" s="215"/>
      <c r="BP680" s="215"/>
      <c r="BQ680" s="215"/>
      <c r="BR680" s="215"/>
      <c r="BS680" s="215"/>
      <c r="BT680" s="215"/>
      <c r="BU680" s="215"/>
      <c r="BV680" s="215"/>
      <c r="BW680" s="215"/>
      <c r="BX680" s="215"/>
      <c r="BY680" s="215"/>
      <c r="BZ680" s="215"/>
    </row>
    <row r="681" spans="1:78" outlineLevel="1" x14ac:dyDescent="0.2">
      <c r="A681" s="2" t="str">
        <f>'Language Index'!A528</f>
        <v>Rate of Comp. Increase - Min</v>
      </c>
      <c r="B681" s="17"/>
      <c r="C681" s="17"/>
      <c r="D681" s="18">
        <f>_xll.ciqfunctions.udf.CIQ($C$2,"IQ_OPEB_RATE_COMP_INCREASE_MIN",D$6,$F$2)</f>
        <v>0</v>
      </c>
      <c r="E681" s="18">
        <f>_xll.ciqfunctions.udf.CIQ($C$2,"IQ_OPEB_RATE_COMP_INCREASE_MIN",E$6,$F$2)</f>
        <v>0</v>
      </c>
      <c r="F681" s="18">
        <f>_xll.ciqfunctions.udf.CIQ($C$2,"IQ_OPEB_RATE_COMP_INCREASE_MIN",F$6,$F$2)</f>
        <v>0</v>
      </c>
      <c r="G681" s="18">
        <f>_xll.ciqfunctions.udf.CIQ($C$2,"IQ_OPEB_RATE_COMP_INCREASE_MIN",G$6,$F$2)</f>
        <v>0</v>
      </c>
      <c r="H681" s="18">
        <f>_xll.ciqfunctions.udf.CIQ($C$2,"IQ_OPEB_RATE_COMP_INCREASE_MIN",H$6,$F$2)</f>
        <v>0</v>
      </c>
      <c r="I681" s="18">
        <f>_xll.ciqfunctions.udf.CIQ($C$2,"IQ_OPEB_RATE_COMP_INCREASE_MIN",I$6,$F$2)</f>
        <v>0</v>
      </c>
      <c r="J681" s="18">
        <f>_xll.ciqfunctions.udf.CIQ($C$2,"IQ_OPEB_RATE_COMP_INCREASE_MIN",J$6,$F$2)</f>
        <v>0</v>
      </c>
      <c r="K681" s="18">
        <f>_xll.ciqfunctions.udf.CIQ($C$2,"IQ_OPEB_RATE_COMP_INCREASE_MIN",K$6,$F$2)</f>
        <v>0</v>
      </c>
      <c r="L681" s="18">
        <f>_xll.ciqfunctions.udf.CIQ($C$2,"IQ_OPEB_RATE_COMP_INCREASE_MIN",L$6,$F$2)</f>
        <v>0</v>
      </c>
      <c r="M681" s="18">
        <f>_xll.ciqfunctions.udf.CIQ($C$2,"IQ_OPEB_RATE_COMP_INCREASE_MIN",M$6,$F$2)</f>
        <v>0</v>
      </c>
      <c r="N681" s="18">
        <f>_xll.ciqfunctions.udf.CIQ($C$2,"IQ_OPEB_RATE_COMP_INCREASE_MIN",N$6,$F$2)</f>
        <v>0</v>
      </c>
      <c r="O681" s="30"/>
      <c r="P681" s="18">
        <f>_xll.ciqfunctions.udf.CIQ($C$2,"IQ_OPEB_RATE_COMP_INCREASE_MIN",P$6,$F$2)</f>
        <v>0</v>
      </c>
      <c r="Q681" s="245"/>
      <c r="R681" s="215"/>
      <c r="S681" s="215"/>
      <c r="T681" s="215"/>
      <c r="U681" s="215"/>
      <c r="V681" s="222"/>
      <c r="W681" s="222"/>
      <c r="X681" s="222"/>
      <c r="Y681" s="215"/>
      <c r="Z681" s="215"/>
      <c r="AA681" s="215"/>
      <c r="AB681" s="215"/>
      <c r="AC681" s="215"/>
      <c r="AD681" s="215"/>
      <c r="AE681" s="215"/>
      <c r="AF681" s="215"/>
      <c r="AG681" s="215"/>
      <c r="AH681" s="215"/>
      <c r="AI681" s="215"/>
      <c r="AJ681" s="215"/>
      <c r="AK681" s="215"/>
      <c r="AL681" s="215"/>
      <c r="AM681" s="215"/>
      <c r="AN681" s="215"/>
      <c r="AO681" s="215"/>
      <c r="AP681" s="215"/>
      <c r="AQ681" s="215"/>
      <c r="AR681" s="215"/>
      <c r="AS681" s="215"/>
      <c r="AT681" s="215"/>
      <c r="AU681" s="215"/>
      <c r="AV681" s="215"/>
      <c r="AW681" s="215"/>
      <c r="AX681" s="215"/>
      <c r="AY681" s="215"/>
      <c r="AZ681" s="215"/>
      <c r="BA681" s="215"/>
      <c r="BB681" s="215"/>
      <c r="BC681" s="215"/>
      <c r="BD681" s="215"/>
      <c r="BE681" s="215"/>
      <c r="BF681" s="215"/>
      <c r="BG681" s="215"/>
      <c r="BH681" s="215"/>
      <c r="BI681" s="215"/>
      <c r="BJ681" s="215"/>
      <c r="BK681" s="215"/>
      <c r="BL681" s="215"/>
      <c r="BM681" s="215"/>
      <c r="BN681" s="215"/>
      <c r="BO681" s="215"/>
      <c r="BP681" s="215"/>
      <c r="BQ681" s="215"/>
      <c r="BR681" s="215"/>
      <c r="BS681" s="215"/>
      <c r="BT681" s="215"/>
      <c r="BU681" s="215"/>
      <c r="BV681" s="215"/>
      <c r="BW681" s="215"/>
      <c r="BX681" s="215"/>
      <c r="BY681" s="215"/>
      <c r="BZ681" s="215"/>
    </row>
    <row r="682" spans="1:78" outlineLevel="1" x14ac:dyDescent="0.2">
      <c r="A682" s="2" t="str">
        <f>'Language Index'!A529</f>
        <v>Rate of Comp. Increase - Max</v>
      </c>
      <c r="B682" s="17"/>
      <c r="C682" s="17"/>
      <c r="D682" s="18">
        <f>_xll.ciqfunctions.udf.CIQ($C$2,"IQ_OPEB_RATE_COMP_INCREASE_MAX",D$6,$F$2)</f>
        <v>0</v>
      </c>
      <c r="E682" s="18">
        <f>_xll.ciqfunctions.udf.CIQ($C$2,"IQ_OPEB_RATE_COMP_INCREASE_MAX",E$6,$F$2)</f>
        <v>0</v>
      </c>
      <c r="F682" s="18">
        <f>_xll.ciqfunctions.udf.CIQ($C$2,"IQ_OPEB_RATE_COMP_INCREASE_MAX",F$6,$F$2)</f>
        <v>0</v>
      </c>
      <c r="G682" s="18">
        <f>_xll.ciqfunctions.udf.CIQ($C$2,"IQ_OPEB_RATE_COMP_INCREASE_MAX",G$6,$F$2)</f>
        <v>0</v>
      </c>
      <c r="H682" s="18">
        <f>_xll.ciqfunctions.udf.CIQ($C$2,"IQ_OPEB_RATE_COMP_INCREASE_MAX",H$6,$F$2)</f>
        <v>0</v>
      </c>
      <c r="I682" s="18">
        <f>_xll.ciqfunctions.udf.CIQ($C$2,"IQ_OPEB_RATE_COMP_INCREASE_MAX",I$6,$F$2)</f>
        <v>0</v>
      </c>
      <c r="J682" s="18">
        <f>_xll.ciqfunctions.udf.CIQ($C$2,"IQ_OPEB_RATE_COMP_INCREASE_MAX",J$6,$F$2)</f>
        <v>0</v>
      </c>
      <c r="K682" s="18">
        <f>_xll.ciqfunctions.udf.CIQ($C$2,"IQ_OPEB_RATE_COMP_INCREASE_MAX",K$6,$F$2)</f>
        <v>0</v>
      </c>
      <c r="L682" s="18">
        <f>_xll.ciqfunctions.udf.CIQ($C$2,"IQ_OPEB_RATE_COMP_INCREASE_MAX",L$6,$F$2)</f>
        <v>0</v>
      </c>
      <c r="M682" s="18">
        <f>_xll.ciqfunctions.udf.CIQ($C$2,"IQ_OPEB_RATE_COMP_INCREASE_MAX",M$6,$F$2)</f>
        <v>0</v>
      </c>
      <c r="N682" s="18">
        <f>_xll.ciqfunctions.udf.CIQ($C$2,"IQ_OPEB_RATE_COMP_INCREASE_MAX",N$6,$F$2)</f>
        <v>0</v>
      </c>
      <c r="O682" s="30"/>
      <c r="P682" s="18">
        <f>_xll.ciqfunctions.udf.CIQ($C$2,"IQ_OPEB_RATE_COMP_INCREASE_MAX",P$6,$F$2)</f>
        <v>0</v>
      </c>
      <c r="Q682" s="245"/>
      <c r="R682" s="215"/>
      <c r="S682" s="215"/>
      <c r="T682" s="215"/>
      <c r="U682" s="215"/>
      <c r="V682" s="222"/>
      <c r="W682" s="222"/>
      <c r="X682" s="222"/>
      <c r="Y682" s="215"/>
      <c r="Z682" s="215"/>
      <c r="AA682" s="215"/>
      <c r="AB682" s="215"/>
      <c r="AC682" s="215"/>
      <c r="AD682" s="215"/>
      <c r="AE682" s="215"/>
      <c r="AF682" s="215"/>
      <c r="AG682" s="215"/>
      <c r="AH682" s="215"/>
      <c r="AI682" s="215"/>
      <c r="AJ682" s="215"/>
      <c r="AK682" s="215"/>
      <c r="AL682" s="215"/>
      <c r="AM682" s="215"/>
      <c r="AN682" s="215"/>
      <c r="AO682" s="215"/>
      <c r="AP682" s="215"/>
      <c r="AQ682" s="215"/>
      <c r="AR682" s="215"/>
      <c r="AS682" s="215"/>
      <c r="AT682" s="215"/>
      <c r="AU682" s="215"/>
      <c r="AV682" s="215"/>
      <c r="AW682" s="215"/>
      <c r="AX682" s="215"/>
      <c r="AY682" s="215"/>
      <c r="AZ682" s="215"/>
      <c r="BA682" s="215"/>
      <c r="BB682" s="215"/>
      <c r="BC682" s="215"/>
      <c r="BD682" s="215"/>
      <c r="BE682" s="215"/>
      <c r="BF682" s="215"/>
      <c r="BG682" s="215"/>
      <c r="BH682" s="215"/>
      <c r="BI682" s="215"/>
      <c r="BJ682" s="215"/>
      <c r="BK682" s="215"/>
      <c r="BL682" s="215"/>
      <c r="BM682" s="215"/>
      <c r="BN682" s="215"/>
      <c r="BO682" s="215"/>
      <c r="BP682" s="215"/>
      <c r="BQ682" s="215"/>
      <c r="BR682" s="215"/>
      <c r="BS682" s="215"/>
      <c r="BT682" s="215"/>
      <c r="BU682" s="215"/>
      <c r="BV682" s="215"/>
      <c r="BW682" s="215"/>
      <c r="BX682" s="215"/>
      <c r="BY682" s="215"/>
      <c r="BZ682" s="215"/>
    </row>
    <row r="683" spans="1:78" outlineLevel="1" x14ac:dyDescent="0.2">
      <c r="A683" s="2" t="str">
        <f>'Language Index'!A530</f>
        <v>Exp. Long-Term Rate of Return on Assets - Min</v>
      </c>
      <c r="B683" s="17"/>
      <c r="C683" s="17"/>
      <c r="D683" s="18">
        <f>_xll.ciqfunctions.udf.CIQ($C$2,"IQ_OPEB_EXP_RATE_RETURN_MIN",D$6,$F$2)</f>
        <v>0</v>
      </c>
      <c r="E683" s="18">
        <f>_xll.ciqfunctions.udf.CIQ($C$2,"IQ_OPEB_EXP_RATE_RETURN_MIN",E$6,$F$2)</f>
        <v>0</v>
      </c>
      <c r="F683" s="18">
        <f>_xll.ciqfunctions.udf.CIQ($C$2,"IQ_OPEB_EXP_RATE_RETURN_MIN",F$6,$F$2)</f>
        <v>0</v>
      </c>
      <c r="G683" s="18">
        <f>_xll.ciqfunctions.udf.CIQ($C$2,"IQ_OPEB_EXP_RATE_RETURN_MIN",G$6,$F$2)</f>
        <v>0</v>
      </c>
      <c r="H683" s="18">
        <f>_xll.ciqfunctions.udf.CIQ($C$2,"IQ_OPEB_EXP_RATE_RETURN_MIN",H$6,$F$2)</f>
        <v>0</v>
      </c>
      <c r="I683" s="18">
        <f>_xll.ciqfunctions.udf.CIQ($C$2,"IQ_OPEB_EXP_RATE_RETURN_MIN",I$6,$F$2)</f>
        <v>0</v>
      </c>
      <c r="J683" s="18">
        <f>_xll.ciqfunctions.udf.CIQ($C$2,"IQ_OPEB_EXP_RATE_RETURN_MIN",J$6,$F$2)</f>
        <v>0</v>
      </c>
      <c r="K683" s="18">
        <f>_xll.ciqfunctions.udf.CIQ($C$2,"IQ_OPEB_EXP_RATE_RETURN_MIN",K$6,$F$2)</f>
        <v>0</v>
      </c>
      <c r="L683" s="18">
        <f>_xll.ciqfunctions.udf.CIQ($C$2,"IQ_OPEB_EXP_RATE_RETURN_MIN",L$6,$F$2)</f>
        <v>0</v>
      </c>
      <c r="M683" s="18">
        <f>_xll.ciqfunctions.udf.CIQ($C$2,"IQ_OPEB_EXP_RATE_RETURN_MIN",M$6,$F$2)</f>
        <v>0</v>
      </c>
      <c r="N683" s="18">
        <f>_xll.ciqfunctions.udf.CIQ($C$2,"IQ_OPEB_EXP_RATE_RETURN_MIN",N$6,$F$2)</f>
        <v>0</v>
      </c>
      <c r="O683" s="30"/>
      <c r="P683" s="18">
        <f>_xll.ciqfunctions.udf.CIQ($C$2,"IQ_OPEB_EXP_RATE_RETURN_MIN",P$6,$F$2)</f>
        <v>0</v>
      </c>
      <c r="Q683" s="245"/>
      <c r="R683" s="215"/>
      <c r="S683" s="215"/>
      <c r="T683" s="215"/>
      <c r="U683" s="215"/>
      <c r="V683" s="222"/>
      <c r="W683" s="222"/>
      <c r="X683" s="222"/>
      <c r="Y683" s="215"/>
      <c r="Z683" s="215"/>
      <c r="AA683" s="215"/>
      <c r="AB683" s="215"/>
      <c r="AC683" s="215"/>
      <c r="AD683" s="215"/>
      <c r="AE683" s="215"/>
      <c r="AF683" s="215"/>
      <c r="AG683" s="215"/>
      <c r="AH683" s="215"/>
      <c r="AI683" s="215"/>
      <c r="AJ683" s="215"/>
      <c r="AK683" s="215"/>
      <c r="AL683" s="215"/>
      <c r="AM683" s="215"/>
      <c r="AN683" s="215"/>
      <c r="AO683" s="215"/>
      <c r="AP683" s="215"/>
      <c r="AQ683" s="215"/>
      <c r="AR683" s="215"/>
      <c r="AS683" s="215"/>
      <c r="AT683" s="215"/>
      <c r="AU683" s="215"/>
      <c r="AV683" s="215"/>
      <c r="AW683" s="215"/>
      <c r="AX683" s="215"/>
      <c r="AY683" s="215"/>
      <c r="AZ683" s="215"/>
      <c r="BA683" s="215"/>
      <c r="BB683" s="215"/>
      <c r="BC683" s="215"/>
      <c r="BD683" s="215"/>
      <c r="BE683" s="215"/>
      <c r="BF683" s="215"/>
      <c r="BG683" s="215"/>
      <c r="BH683" s="215"/>
      <c r="BI683" s="215"/>
      <c r="BJ683" s="215"/>
      <c r="BK683" s="215"/>
      <c r="BL683" s="215"/>
      <c r="BM683" s="215"/>
      <c r="BN683" s="215"/>
      <c r="BO683" s="215"/>
      <c r="BP683" s="215"/>
      <c r="BQ683" s="215"/>
      <c r="BR683" s="215"/>
      <c r="BS683" s="215"/>
      <c r="BT683" s="215"/>
      <c r="BU683" s="215"/>
      <c r="BV683" s="215"/>
      <c r="BW683" s="215"/>
      <c r="BX683" s="215"/>
      <c r="BY683" s="215"/>
      <c r="BZ683" s="215"/>
    </row>
    <row r="684" spans="1:78" outlineLevel="1" x14ac:dyDescent="0.2">
      <c r="A684" s="2" t="str">
        <f>'Language Index'!A531</f>
        <v>Exp. Long-Term Rate of Return on Assets - Max</v>
      </c>
      <c r="B684" s="17"/>
      <c r="C684" s="17"/>
      <c r="D684" s="18">
        <f>_xll.ciqfunctions.udf.CIQ($C$2,"IQ_OPEB_EXP_RATE_RETURN_MAX",D$6,$F$2)</f>
        <v>0</v>
      </c>
      <c r="E684" s="18">
        <f>_xll.ciqfunctions.udf.CIQ($C$2,"IQ_OPEB_EXP_RATE_RETURN_MAX",E$6,$F$2)</f>
        <v>0</v>
      </c>
      <c r="F684" s="18">
        <f>_xll.ciqfunctions.udf.CIQ($C$2,"IQ_OPEB_EXP_RATE_RETURN_MAX",F$6,$F$2)</f>
        <v>0</v>
      </c>
      <c r="G684" s="18">
        <f>_xll.ciqfunctions.udf.CIQ($C$2,"IQ_OPEB_EXP_RATE_RETURN_MAX",G$6,$F$2)</f>
        <v>0</v>
      </c>
      <c r="H684" s="18">
        <f>_xll.ciqfunctions.udf.CIQ($C$2,"IQ_OPEB_EXP_RATE_RETURN_MAX",H$6,$F$2)</f>
        <v>0</v>
      </c>
      <c r="I684" s="18">
        <f>_xll.ciqfunctions.udf.CIQ($C$2,"IQ_OPEB_EXP_RATE_RETURN_MAX",I$6,$F$2)</f>
        <v>0</v>
      </c>
      <c r="J684" s="18">
        <f>_xll.ciqfunctions.udf.CIQ($C$2,"IQ_OPEB_EXP_RATE_RETURN_MAX",J$6,$F$2)</f>
        <v>0</v>
      </c>
      <c r="K684" s="18">
        <f>_xll.ciqfunctions.udf.CIQ($C$2,"IQ_OPEB_EXP_RATE_RETURN_MAX",K$6,$F$2)</f>
        <v>0</v>
      </c>
      <c r="L684" s="18">
        <f>_xll.ciqfunctions.udf.CIQ($C$2,"IQ_OPEB_EXP_RATE_RETURN_MAX",L$6,$F$2)</f>
        <v>0</v>
      </c>
      <c r="M684" s="18">
        <f>_xll.ciqfunctions.udf.CIQ($C$2,"IQ_OPEB_EXP_RATE_RETURN_MAX",M$6,$F$2)</f>
        <v>0</v>
      </c>
      <c r="N684" s="18">
        <f>_xll.ciqfunctions.udf.CIQ($C$2,"IQ_OPEB_EXP_RATE_RETURN_MAX",N$6,$F$2)</f>
        <v>0</v>
      </c>
      <c r="O684" s="30"/>
      <c r="P684" s="18">
        <f>_xll.ciqfunctions.udf.CIQ($C$2,"IQ_OPEB_EXP_RATE_RETURN_MAX",P$6,$F$2)</f>
        <v>0</v>
      </c>
      <c r="Q684" s="245"/>
      <c r="R684" s="215"/>
      <c r="S684" s="215"/>
      <c r="T684" s="215"/>
      <c r="U684" s="215"/>
      <c r="V684" s="222"/>
      <c r="W684" s="222"/>
      <c r="X684" s="222"/>
      <c r="Y684" s="215"/>
      <c r="Z684" s="215"/>
      <c r="AA684" s="215"/>
      <c r="AB684" s="215"/>
      <c r="AC684" s="215"/>
      <c r="AD684" s="215"/>
      <c r="AE684" s="215"/>
      <c r="AF684" s="215"/>
      <c r="AG684" s="215"/>
      <c r="AH684" s="215"/>
      <c r="AI684" s="215"/>
      <c r="AJ684" s="215"/>
      <c r="AK684" s="215"/>
      <c r="AL684" s="215"/>
      <c r="AM684" s="215"/>
      <c r="AN684" s="215"/>
      <c r="AO684" s="215"/>
      <c r="AP684" s="215"/>
      <c r="AQ684" s="215"/>
      <c r="AR684" s="215"/>
      <c r="AS684" s="215"/>
      <c r="AT684" s="215"/>
      <c r="AU684" s="215"/>
      <c r="AV684" s="215"/>
      <c r="AW684" s="215"/>
      <c r="AX684" s="215"/>
      <c r="AY684" s="215"/>
      <c r="AZ684" s="215"/>
      <c r="BA684" s="215"/>
      <c r="BB684" s="215"/>
      <c r="BC684" s="215"/>
      <c r="BD684" s="215"/>
      <c r="BE684" s="215"/>
      <c r="BF684" s="215"/>
      <c r="BG684" s="215"/>
      <c r="BH684" s="215"/>
      <c r="BI684" s="215"/>
      <c r="BJ684" s="215"/>
      <c r="BK684" s="215"/>
      <c r="BL684" s="215"/>
      <c r="BM684" s="215"/>
      <c r="BN684" s="215"/>
      <c r="BO684" s="215"/>
      <c r="BP684" s="215"/>
      <c r="BQ684" s="215"/>
      <c r="BR684" s="215"/>
      <c r="BS684" s="215"/>
      <c r="BT684" s="215"/>
      <c r="BU684" s="215"/>
      <c r="BV684" s="215"/>
      <c r="BW684" s="215"/>
      <c r="BX684" s="215"/>
      <c r="BY684" s="215"/>
      <c r="BZ684" s="215"/>
    </row>
    <row r="685" spans="1:78" outlineLevel="1" x14ac:dyDescent="0.2">
      <c r="A685" s="9" t="str">
        <f>'Language Index'!A532</f>
        <v>Breakdown of Plan Assets</v>
      </c>
      <c r="B685" s="17"/>
      <c r="C685" s="17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30"/>
      <c r="P685" s="18"/>
      <c r="Q685" s="245"/>
      <c r="R685" s="215"/>
      <c r="S685" s="215"/>
      <c r="T685" s="215"/>
      <c r="U685" s="215"/>
      <c r="V685" s="222"/>
      <c r="W685" s="222"/>
      <c r="X685" s="222"/>
      <c r="Y685" s="215"/>
      <c r="Z685" s="215"/>
      <c r="AA685" s="215"/>
      <c r="AB685" s="215"/>
      <c r="AC685" s="215"/>
      <c r="AD685" s="215"/>
      <c r="AE685" s="215"/>
      <c r="AF685" s="215"/>
      <c r="AG685" s="215"/>
      <c r="AH685" s="215"/>
      <c r="AI685" s="215"/>
      <c r="AJ685" s="215"/>
      <c r="AK685" s="215"/>
      <c r="AL685" s="215"/>
      <c r="AM685" s="215"/>
      <c r="AN685" s="215"/>
      <c r="AO685" s="215"/>
      <c r="AP685" s="215"/>
      <c r="AQ685" s="215"/>
      <c r="AR685" s="215"/>
      <c r="AS685" s="215"/>
      <c r="AT685" s="215"/>
      <c r="AU685" s="215"/>
      <c r="AV685" s="215"/>
      <c r="AW685" s="215"/>
      <c r="AX685" s="215"/>
      <c r="AY685" s="215"/>
      <c r="AZ685" s="215"/>
      <c r="BA685" s="215"/>
      <c r="BB685" s="215"/>
      <c r="BC685" s="215"/>
      <c r="BD685" s="215"/>
      <c r="BE685" s="215"/>
      <c r="BF685" s="215"/>
      <c r="BG685" s="215"/>
      <c r="BH685" s="215"/>
      <c r="BI685" s="215"/>
      <c r="BJ685" s="215"/>
      <c r="BK685" s="215"/>
      <c r="BL685" s="215"/>
      <c r="BM685" s="215"/>
      <c r="BN685" s="215"/>
      <c r="BO685" s="215"/>
      <c r="BP685" s="215"/>
      <c r="BQ685" s="215"/>
      <c r="BR685" s="215"/>
      <c r="BS685" s="215"/>
      <c r="BT685" s="215"/>
      <c r="BU685" s="215"/>
      <c r="BV685" s="215"/>
      <c r="BW685" s="215"/>
      <c r="BX685" s="215"/>
      <c r="BY685" s="215"/>
      <c r="BZ685" s="215"/>
    </row>
    <row r="686" spans="1:78" outlineLevel="1" x14ac:dyDescent="0.2">
      <c r="A686" s="2" t="str">
        <f>'Language Index'!A533</f>
        <v>Plan Assets - Equities (%)</v>
      </c>
      <c r="B686" s="17"/>
      <c r="C686" s="17"/>
      <c r="D686" s="18">
        <f>_xll.ciqfunctions.udf.CIQ($C$2,"IQ_OPEB_BREAKDOWN_PCT_EQ",D$6,$F$2)</f>
        <v>0</v>
      </c>
      <c r="E686" s="18">
        <f>_xll.ciqfunctions.udf.CIQ($C$2,"IQ_OPEB_BREAKDOWN_PCT_EQ",E$6,$F$2)</f>
        <v>0</v>
      </c>
      <c r="F686" s="18">
        <f>_xll.ciqfunctions.udf.CIQ($C$2,"IQ_OPEB_BREAKDOWN_PCT_EQ",F$6,$F$2)</f>
        <v>0</v>
      </c>
      <c r="G686" s="18">
        <f>_xll.ciqfunctions.udf.CIQ($C$2,"IQ_OPEB_BREAKDOWN_PCT_EQ",G$6,$F$2)</f>
        <v>0</v>
      </c>
      <c r="H686" s="18">
        <f>_xll.ciqfunctions.udf.CIQ($C$2,"IQ_OPEB_BREAKDOWN_PCT_EQ",H$6,$F$2)</f>
        <v>0</v>
      </c>
      <c r="I686" s="18">
        <f>_xll.ciqfunctions.udf.CIQ($C$2,"IQ_OPEB_BREAKDOWN_PCT_EQ",I$6,$F$2)</f>
        <v>0</v>
      </c>
      <c r="J686" s="18">
        <f>_xll.ciqfunctions.udf.CIQ($C$2,"IQ_OPEB_BREAKDOWN_PCT_EQ",J$6,$F$2)</f>
        <v>0</v>
      </c>
      <c r="K686" s="18">
        <f>_xll.ciqfunctions.udf.CIQ($C$2,"IQ_OPEB_BREAKDOWN_PCT_EQ",K$6,$F$2)</f>
        <v>0</v>
      </c>
      <c r="L686" s="18">
        <f>_xll.ciqfunctions.udf.CIQ($C$2,"IQ_OPEB_BREAKDOWN_PCT_EQ",L$6,$F$2)</f>
        <v>0</v>
      </c>
      <c r="M686" s="18">
        <f>_xll.ciqfunctions.udf.CIQ($C$2,"IQ_OPEB_BREAKDOWN_PCT_EQ",M$6,$F$2)</f>
        <v>0</v>
      </c>
      <c r="N686" s="18">
        <f>_xll.ciqfunctions.udf.CIQ($C$2,"IQ_OPEB_BREAKDOWN_PCT_EQ",N$6,$F$2)</f>
        <v>0</v>
      </c>
      <c r="O686" s="30"/>
      <c r="P686" s="18">
        <f>_xll.ciqfunctions.udf.CIQ($C$2,"IQ_OPEB_BREAKDOWN_PCT_EQ",P$6,$F$2)</f>
        <v>0</v>
      </c>
      <c r="Q686" s="245"/>
      <c r="R686" s="215"/>
      <c r="S686" s="215"/>
      <c r="T686" s="215"/>
      <c r="U686" s="215"/>
      <c r="V686" s="222"/>
      <c r="W686" s="222"/>
      <c r="X686" s="222"/>
      <c r="Y686" s="215"/>
      <c r="Z686" s="215"/>
      <c r="AA686" s="215"/>
      <c r="AB686" s="215"/>
      <c r="AC686" s="215"/>
      <c r="AD686" s="215"/>
      <c r="AE686" s="215"/>
      <c r="AF686" s="215"/>
      <c r="AG686" s="215"/>
      <c r="AH686" s="215"/>
      <c r="AI686" s="215"/>
      <c r="AJ686" s="215"/>
      <c r="AK686" s="215"/>
      <c r="AL686" s="215"/>
      <c r="AM686" s="215"/>
      <c r="AN686" s="215"/>
      <c r="AO686" s="215"/>
      <c r="AP686" s="215"/>
      <c r="AQ686" s="215"/>
      <c r="AR686" s="215"/>
      <c r="AS686" s="215"/>
      <c r="AT686" s="215"/>
      <c r="AU686" s="215"/>
      <c r="AV686" s="215"/>
      <c r="AW686" s="215"/>
      <c r="AX686" s="215"/>
      <c r="AY686" s="215"/>
      <c r="AZ686" s="215"/>
      <c r="BA686" s="215"/>
      <c r="BB686" s="215"/>
      <c r="BC686" s="215"/>
      <c r="BD686" s="215"/>
      <c r="BE686" s="215"/>
      <c r="BF686" s="215"/>
      <c r="BG686" s="215"/>
      <c r="BH686" s="215"/>
      <c r="BI686" s="215"/>
      <c r="BJ686" s="215"/>
      <c r="BK686" s="215"/>
      <c r="BL686" s="215"/>
      <c r="BM686" s="215"/>
      <c r="BN686" s="215"/>
      <c r="BO686" s="215"/>
      <c r="BP686" s="215"/>
      <c r="BQ686" s="215"/>
      <c r="BR686" s="215"/>
      <c r="BS686" s="215"/>
      <c r="BT686" s="215"/>
      <c r="BU686" s="215"/>
      <c r="BV686" s="215"/>
      <c r="BW686" s="215"/>
      <c r="BX686" s="215"/>
      <c r="BY686" s="215"/>
      <c r="BZ686" s="215"/>
    </row>
    <row r="687" spans="1:78" outlineLevel="1" x14ac:dyDescent="0.2">
      <c r="A687" s="2" t="str">
        <f>'Language Index'!A534</f>
        <v>Plan Assets - Fixed Income (%)</v>
      </c>
      <c r="B687" s="17"/>
      <c r="C687" s="17"/>
      <c r="D687" s="18">
        <f>_xll.ciqfunctions.udf.CIQ($C$2,"IQ_OPEB_BREAKDOWN_PCT_FI",D$6,$F$2)</f>
        <v>0</v>
      </c>
      <c r="E687" s="18">
        <f>_xll.ciqfunctions.udf.CIQ($C$2,"IQ_OPEB_BREAKDOWN_PCT_FI",E$6,$F$2)</f>
        <v>0</v>
      </c>
      <c r="F687" s="18">
        <f>_xll.ciqfunctions.udf.CIQ($C$2,"IQ_OPEB_BREAKDOWN_PCT_FI",F$6,$F$2)</f>
        <v>100</v>
      </c>
      <c r="G687" s="18">
        <f>_xll.ciqfunctions.udf.CIQ($C$2,"IQ_OPEB_BREAKDOWN_PCT_FI",G$6,$F$2)</f>
        <v>0</v>
      </c>
      <c r="H687" s="18">
        <f>_xll.ciqfunctions.udf.CIQ($C$2,"IQ_OPEB_BREAKDOWN_PCT_FI",H$6,$F$2)</f>
        <v>0</v>
      </c>
      <c r="I687" s="18">
        <f>_xll.ciqfunctions.udf.CIQ($C$2,"IQ_OPEB_BREAKDOWN_PCT_FI",I$6,$F$2)</f>
        <v>0</v>
      </c>
      <c r="J687" s="18">
        <f>_xll.ciqfunctions.udf.CIQ($C$2,"IQ_OPEB_BREAKDOWN_PCT_FI",J$6,$F$2)</f>
        <v>0</v>
      </c>
      <c r="K687" s="18">
        <f>_xll.ciqfunctions.udf.CIQ($C$2,"IQ_OPEB_BREAKDOWN_PCT_FI",K$6,$F$2)</f>
        <v>0</v>
      </c>
      <c r="L687" s="18">
        <f>_xll.ciqfunctions.udf.CIQ($C$2,"IQ_OPEB_BREAKDOWN_PCT_FI",L$6,$F$2)</f>
        <v>0</v>
      </c>
      <c r="M687" s="18">
        <f>_xll.ciqfunctions.udf.CIQ($C$2,"IQ_OPEB_BREAKDOWN_PCT_FI",M$6,$F$2)</f>
        <v>0</v>
      </c>
      <c r="N687" s="18">
        <f>_xll.ciqfunctions.udf.CIQ($C$2,"IQ_OPEB_BREAKDOWN_PCT_FI",N$6,$F$2)</f>
        <v>0</v>
      </c>
      <c r="O687" s="30"/>
      <c r="P687" s="18">
        <f>_xll.ciqfunctions.udf.CIQ($C$2,"IQ_OPEB_BREAKDOWN_PCT_FI",P$6,$F$2)</f>
        <v>0</v>
      </c>
      <c r="Q687" s="245"/>
      <c r="R687" s="215"/>
      <c r="S687" s="215"/>
      <c r="T687" s="215"/>
      <c r="U687" s="215"/>
      <c r="V687" s="222"/>
      <c r="W687" s="222"/>
      <c r="X687" s="222"/>
      <c r="Y687" s="215"/>
      <c r="Z687" s="215"/>
      <c r="AA687" s="215"/>
      <c r="AB687" s="215"/>
      <c r="AC687" s="215"/>
      <c r="AD687" s="215"/>
      <c r="AE687" s="215"/>
      <c r="AF687" s="215"/>
      <c r="AG687" s="215"/>
      <c r="AH687" s="215"/>
      <c r="AI687" s="215"/>
      <c r="AJ687" s="215"/>
      <c r="AK687" s="215"/>
      <c r="AL687" s="215"/>
      <c r="AM687" s="215"/>
      <c r="AN687" s="215"/>
      <c r="AO687" s="215"/>
      <c r="AP687" s="215"/>
      <c r="AQ687" s="215"/>
      <c r="AR687" s="215"/>
      <c r="AS687" s="215"/>
      <c r="AT687" s="215"/>
      <c r="AU687" s="215"/>
      <c r="AV687" s="215"/>
      <c r="AW687" s="215"/>
      <c r="AX687" s="215"/>
      <c r="AY687" s="215"/>
      <c r="AZ687" s="215"/>
      <c r="BA687" s="215"/>
      <c r="BB687" s="215"/>
      <c r="BC687" s="215"/>
      <c r="BD687" s="215"/>
      <c r="BE687" s="215"/>
      <c r="BF687" s="215"/>
      <c r="BG687" s="215"/>
      <c r="BH687" s="215"/>
      <c r="BI687" s="215"/>
      <c r="BJ687" s="215"/>
      <c r="BK687" s="215"/>
      <c r="BL687" s="215"/>
      <c r="BM687" s="215"/>
      <c r="BN687" s="215"/>
      <c r="BO687" s="215"/>
      <c r="BP687" s="215"/>
      <c r="BQ687" s="215"/>
      <c r="BR687" s="215"/>
      <c r="BS687" s="215"/>
      <c r="BT687" s="215"/>
      <c r="BU687" s="215"/>
      <c r="BV687" s="215"/>
      <c r="BW687" s="215"/>
      <c r="BX687" s="215"/>
      <c r="BY687" s="215"/>
      <c r="BZ687" s="215"/>
    </row>
    <row r="688" spans="1:78" outlineLevel="1" x14ac:dyDescent="0.2">
      <c r="A688" s="2" t="str">
        <f>'Language Index'!A535</f>
        <v>Plan Assets- Real Estate (%)</v>
      </c>
      <c r="B688" s="17"/>
      <c r="C688" s="17"/>
      <c r="D688" s="18">
        <f>_xll.ciqfunctions.udf.CIQ($C$2,"IQ_OPEB_BREAKDOWN_PCT_RE",D$6,$F$2)</f>
        <v>0</v>
      </c>
      <c r="E688" s="18">
        <f>_xll.ciqfunctions.udf.CIQ($C$2,"IQ_OPEB_BREAKDOWN_PCT_RE",E$6,$F$2)</f>
        <v>0</v>
      </c>
      <c r="F688" s="18">
        <f>_xll.ciqfunctions.udf.CIQ($C$2,"IQ_OPEB_BREAKDOWN_PCT_RE",F$6,$F$2)</f>
        <v>0</v>
      </c>
      <c r="G688" s="18">
        <f>_xll.ciqfunctions.udf.CIQ($C$2,"IQ_OPEB_BREAKDOWN_PCT_RE",G$6,$F$2)</f>
        <v>0</v>
      </c>
      <c r="H688" s="18">
        <f>_xll.ciqfunctions.udf.CIQ($C$2,"IQ_OPEB_BREAKDOWN_PCT_RE",H$6,$F$2)</f>
        <v>0</v>
      </c>
      <c r="I688" s="18">
        <f>_xll.ciqfunctions.udf.CIQ($C$2,"IQ_OPEB_BREAKDOWN_PCT_RE",I$6,$F$2)</f>
        <v>0</v>
      </c>
      <c r="J688" s="18">
        <f>_xll.ciqfunctions.udf.CIQ($C$2,"IQ_OPEB_BREAKDOWN_PCT_RE",J$6,$F$2)</f>
        <v>0</v>
      </c>
      <c r="K688" s="18">
        <f>_xll.ciqfunctions.udf.CIQ($C$2,"IQ_OPEB_BREAKDOWN_PCT_RE",K$6,$F$2)</f>
        <v>0</v>
      </c>
      <c r="L688" s="18">
        <f>_xll.ciqfunctions.udf.CIQ($C$2,"IQ_OPEB_BREAKDOWN_PCT_RE",L$6,$F$2)</f>
        <v>0</v>
      </c>
      <c r="M688" s="18">
        <f>_xll.ciqfunctions.udf.CIQ($C$2,"IQ_OPEB_BREAKDOWN_PCT_RE",M$6,$F$2)</f>
        <v>0</v>
      </c>
      <c r="N688" s="18">
        <f>_xll.ciqfunctions.udf.CIQ($C$2,"IQ_OPEB_BREAKDOWN_PCT_RE",N$6,$F$2)</f>
        <v>0</v>
      </c>
      <c r="O688" s="30"/>
      <c r="P688" s="18">
        <f>_xll.ciqfunctions.udf.CIQ($C$2,"IQ_OPEB_BREAKDOWN_PCT_RE",P$6,$F$2)</f>
        <v>0</v>
      </c>
      <c r="Q688" s="245"/>
      <c r="R688" s="215"/>
      <c r="S688" s="215"/>
      <c r="T688" s="215"/>
      <c r="U688" s="215"/>
      <c r="V688" s="222"/>
      <c r="W688" s="222"/>
      <c r="X688" s="222"/>
      <c r="Y688" s="215"/>
      <c r="Z688" s="215"/>
      <c r="AA688" s="215"/>
      <c r="AB688" s="215"/>
      <c r="AC688" s="215"/>
      <c r="AD688" s="215"/>
      <c r="AE688" s="215"/>
      <c r="AF688" s="215"/>
      <c r="AG688" s="215"/>
      <c r="AH688" s="215"/>
      <c r="AI688" s="215"/>
      <c r="AJ688" s="215"/>
      <c r="AK688" s="215"/>
      <c r="AL688" s="215"/>
      <c r="AM688" s="215"/>
      <c r="AN688" s="215"/>
      <c r="AO688" s="215"/>
      <c r="AP688" s="215"/>
      <c r="AQ688" s="215"/>
      <c r="AR688" s="215"/>
      <c r="AS688" s="215"/>
      <c r="AT688" s="215"/>
      <c r="AU688" s="215"/>
      <c r="AV688" s="215"/>
      <c r="AW688" s="215"/>
      <c r="AX688" s="215"/>
      <c r="AY688" s="215"/>
      <c r="AZ688" s="215"/>
      <c r="BA688" s="215"/>
      <c r="BB688" s="215"/>
      <c r="BC688" s="215"/>
      <c r="BD688" s="215"/>
      <c r="BE688" s="215"/>
      <c r="BF688" s="215"/>
      <c r="BG688" s="215"/>
      <c r="BH688" s="215"/>
      <c r="BI688" s="215"/>
      <c r="BJ688" s="215"/>
      <c r="BK688" s="215"/>
      <c r="BL688" s="215"/>
      <c r="BM688" s="215"/>
      <c r="BN688" s="215"/>
      <c r="BO688" s="215"/>
      <c r="BP688" s="215"/>
      <c r="BQ688" s="215"/>
      <c r="BR688" s="215"/>
      <c r="BS688" s="215"/>
      <c r="BT688" s="215"/>
      <c r="BU688" s="215"/>
      <c r="BV688" s="215"/>
      <c r="BW688" s="215"/>
      <c r="BX688" s="215"/>
      <c r="BY688" s="215"/>
      <c r="BZ688" s="215"/>
    </row>
    <row r="689" spans="1:78" outlineLevel="1" x14ac:dyDescent="0.2">
      <c r="A689" s="2" t="str">
        <f>'Language Index'!A536</f>
        <v>Other Plan Assets (%)</v>
      </c>
      <c r="B689" s="17"/>
      <c r="C689" s="17"/>
      <c r="D689" s="18">
        <f>_xll.ciqfunctions.udf.CIQ($C$2,"IQ_OPEB_BREAKDOWN_PCT_OTHER",D$6,$F$2)</f>
        <v>0</v>
      </c>
      <c r="E689" s="18">
        <f>_xll.ciqfunctions.udf.CIQ($C$2,"IQ_OPEB_BREAKDOWN_PCT_OTHER",E$6,$F$2)</f>
        <v>0</v>
      </c>
      <c r="F689" s="18">
        <f>_xll.ciqfunctions.udf.CIQ($C$2,"IQ_OPEB_BREAKDOWN_PCT_OTHER",F$6,$F$2)</f>
        <v>0</v>
      </c>
      <c r="G689" s="18">
        <f>_xll.ciqfunctions.udf.CIQ($C$2,"IQ_OPEB_BREAKDOWN_PCT_OTHER",G$6,$F$2)</f>
        <v>0</v>
      </c>
      <c r="H689" s="18">
        <f>_xll.ciqfunctions.udf.CIQ($C$2,"IQ_OPEB_BREAKDOWN_PCT_OTHER",H$6,$F$2)</f>
        <v>0</v>
      </c>
      <c r="I689" s="18">
        <f>_xll.ciqfunctions.udf.CIQ($C$2,"IQ_OPEB_BREAKDOWN_PCT_OTHER",I$6,$F$2)</f>
        <v>0</v>
      </c>
      <c r="J689" s="18">
        <f>_xll.ciqfunctions.udf.CIQ($C$2,"IQ_OPEB_BREAKDOWN_PCT_OTHER",J$6,$F$2)</f>
        <v>0</v>
      </c>
      <c r="K689" s="18">
        <f>_xll.ciqfunctions.udf.CIQ($C$2,"IQ_OPEB_BREAKDOWN_PCT_OTHER",K$6,$F$2)</f>
        <v>0</v>
      </c>
      <c r="L689" s="18">
        <f>_xll.ciqfunctions.udf.CIQ($C$2,"IQ_OPEB_BREAKDOWN_PCT_OTHER",L$6,$F$2)</f>
        <v>0</v>
      </c>
      <c r="M689" s="18">
        <f>_xll.ciqfunctions.udf.CIQ($C$2,"IQ_OPEB_BREAKDOWN_PCT_OTHER",M$6,$F$2)</f>
        <v>0</v>
      </c>
      <c r="N689" s="18">
        <f>_xll.ciqfunctions.udf.CIQ($C$2,"IQ_OPEB_BREAKDOWN_PCT_OTHER",N$6,$F$2)</f>
        <v>0</v>
      </c>
      <c r="O689" s="30"/>
      <c r="P689" s="18">
        <f>_xll.ciqfunctions.udf.CIQ($C$2,"IQ_OPEB_BREAKDOWN_PCT_OTHER",P$6,$F$2)</f>
        <v>0</v>
      </c>
      <c r="Q689" s="215"/>
      <c r="R689" s="215"/>
      <c r="S689" s="215"/>
      <c r="T689" s="215"/>
      <c r="U689" s="215"/>
      <c r="V689" s="222"/>
      <c r="W689" s="222"/>
      <c r="X689" s="222"/>
      <c r="Y689" s="215"/>
      <c r="Z689" s="215"/>
      <c r="AA689" s="215"/>
      <c r="AB689" s="215"/>
      <c r="AC689" s="215"/>
      <c r="AD689" s="215"/>
      <c r="AE689" s="215"/>
      <c r="AF689" s="215"/>
      <c r="AG689" s="215"/>
      <c r="AH689" s="215"/>
      <c r="AI689" s="215"/>
      <c r="AJ689" s="215"/>
      <c r="AK689" s="215"/>
      <c r="AL689" s="215"/>
      <c r="AM689" s="215"/>
      <c r="AN689" s="215"/>
      <c r="AO689" s="215"/>
      <c r="AP689" s="215"/>
      <c r="AQ689" s="215"/>
      <c r="AR689" s="215"/>
      <c r="AS689" s="215"/>
      <c r="AT689" s="215"/>
      <c r="AU689" s="215"/>
      <c r="AV689" s="215"/>
      <c r="AW689" s="215"/>
      <c r="AX689" s="215"/>
      <c r="AY689" s="215"/>
      <c r="AZ689" s="215"/>
      <c r="BA689" s="215"/>
      <c r="BB689" s="215"/>
      <c r="BC689" s="215"/>
      <c r="BD689" s="215"/>
      <c r="BE689" s="215"/>
      <c r="BF689" s="215"/>
      <c r="BG689" s="215"/>
      <c r="BH689" s="215"/>
      <c r="BI689" s="215"/>
      <c r="BJ689" s="215"/>
      <c r="BK689" s="215"/>
      <c r="BL689" s="215"/>
      <c r="BM689" s="215"/>
      <c r="BN689" s="215"/>
      <c r="BO689" s="215"/>
      <c r="BP689" s="215"/>
      <c r="BQ689" s="215"/>
      <c r="BR689" s="215"/>
      <c r="BS689" s="215"/>
      <c r="BT689" s="215"/>
      <c r="BU689" s="215"/>
      <c r="BV689" s="215"/>
      <c r="BW689" s="215"/>
      <c r="BX689" s="215"/>
      <c r="BY689" s="215"/>
      <c r="BZ689" s="215"/>
    </row>
    <row r="690" spans="1:78" outlineLevel="1" x14ac:dyDescent="0.2">
      <c r="A690" s="50" t="str">
        <f>'Language Index'!A532</f>
        <v>Breakdown of Plan Assets</v>
      </c>
      <c r="B690" s="17"/>
      <c r="C690" s="17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30"/>
      <c r="P690" s="18"/>
      <c r="Q690" s="215"/>
      <c r="R690" s="215"/>
      <c r="S690" s="215"/>
      <c r="T690" s="215"/>
      <c r="U690" s="215"/>
      <c r="V690" s="222"/>
      <c r="W690" s="222"/>
      <c r="X690" s="222"/>
      <c r="Y690" s="215"/>
      <c r="Z690" s="215"/>
      <c r="AA690" s="215"/>
      <c r="AB690" s="215"/>
      <c r="AC690" s="215"/>
      <c r="AD690" s="215"/>
      <c r="AE690" s="215"/>
      <c r="AF690" s="215"/>
      <c r="AG690" s="215"/>
      <c r="AH690" s="215"/>
      <c r="AI690" s="215"/>
      <c r="AJ690" s="215"/>
      <c r="AK690" s="215"/>
      <c r="AL690" s="215"/>
      <c r="AM690" s="215"/>
      <c r="AN690" s="215"/>
      <c r="AO690" s="215"/>
      <c r="AP690" s="215"/>
      <c r="AQ690" s="215"/>
      <c r="AR690" s="215"/>
      <c r="AS690" s="215"/>
      <c r="AT690" s="215"/>
      <c r="AU690" s="215"/>
      <c r="AV690" s="215"/>
      <c r="AW690" s="215"/>
      <c r="AX690" s="215"/>
      <c r="AY690" s="215"/>
      <c r="AZ690" s="215"/>
      <c r="BA690" s="215"/>
      <c r="BB690" s="215"/>
      <c r="BC690" s="215"/>
      <c r="BD690" s="215"/>
      <c r="BE690" s="215"/>
      <c r="BF690" s="215"/>
      <c r="BG690" s="215"/>
      <c r="BH690" s="215"/>
      <c r="BI690" s="215"/>
      <c r="BJ690" s="215"/>
      <c r="BK690" s="215"/>
      <c r="BL690" s="215"/>
      <c r="BM690" s="215"/>
      <c r="BN690" s="215"/>
      <c r="BO690" s="215"/>
      <c r="BP690" s="215"/>
      <c r="BQ690" s="215"/>
      <c r="BR690" s="215"/>
      <c r="BS690" s="215"/>
      <c r="BT690" s="215"/>
      <c r="BU690" s="215"/>
      <c r="BV690" s="215"/>
      <c r="BW690" s="215"/>
      <c r="BX690" s="215"/>
      <c r="BY690" s="215"/>
      <c r="BZ690" s="215"/>
    </row>
    <row r="691" spans="1:78" outlineLevel="1" x14ac:dyDescent="0.2">
      <c r="A691" s="2" t="str">
        <f>'Language Index'!A537</f>
        <v>Plan Assets - Equities</v>
      </c>
      <c r="B691" s="17"/>
      <c r="C691" s="17"/>
      <c r="D691" s="18">
        <f>_xll.ciqfunctions.udf.CIQ($C$2,"IQ_OPEB_BREAKDOWN_EQ",D$6,$F$2,,,Ccy,Conv)</f>
        <v>0</v>
      </c>
      <c r="E691" s="18">
        <f>_xll.ciqfunctions.udf.CIQ($C$2,"IQ_OPEB_BREAKDOWN_EQ",E$6,$F$2,,,Ccy,Conv)</f>
        <v>0</v>
      </c>
      <c r="F691" s="18">
        <f>_xll.ciqfunctions.udf.CIQ($C$2,"IQ_OPEB_BREAKDOWN_EQ",F$6,$F$2,,,Ccy,Conv)</f>
        <v>0</v>
      </c>
      <c r="G691" s="18">
        <f>_xll.ciqfunctions.udf.CIQ($C$2,"IQ_OPEB_BREAKDOWN_EQ",G$6,$F$2,,,Ccy,Conv)</f>
        <v>0</v>
      </c>
      <c r="H691" s="18">
        <f>_xll.ciqfunctions.udf.CIQ($C$2,"IQ_OPEB_BREAKDOWN_EQ",H$6,$F$2,,,Ccy,Conv)</f>
        <v>0</v>
      </c>
      <c r="I691" s="18">
        <f>_xll.ciqfunctions.udf.CIQ($C$2,"IQ_OPEB_BREAKDOWN_EQ",I$6,$F$2,,,Ccy,Conv)</f>
        <v>0</v>
      </c>
      <c r="J691" s="18">
        <f>_xll.ciqfunctions.udf.CIQ($C$2,"IQ_OPEB_BREAKDOWN_EQ",J$6,$F$2,,,Ccy,Conv)</f>
        <v>0</v>
      </c>
      <c r="K691" s="18">
        <f>_xll.ciqfunctions.udf.CIQ($C$2,"IQ_OPEB_BREAKDOWN_EQ",K$6,$F$2,,,Ccy,Conv)</f>
        <v>0</v>
      </c>
      <c r="L691" s="18">
        <f>_xll.ciqfunctions.udf.CIQ($C$2,"IQ_OPEB_BREAKDOWN_EQ",L$6,$F$2,,,Ccy,Conv)</f>
        <v>0</v>
      </c>
      <c r="M691" s="18">
        <f>_xll.ciqfunctions.udf.CIQ($C$2,"IQ_OPEB_BREAKDOWN_EQ",M$6,$F$2,,,Ccy,Conv)</f>
        <v>0</v>
      </c>
      <c r="N691" s="18">
        <f>_xll.ciqfunctions.udf.CIQ($C$2,"IQ_OPEB_BREAKDOWN_EQ",N$6,$F$2,,,Ccy,Conv)</f>
        <v>0</v>
      </c>
      <c r="O691" s="30"/>
      <c r="P691" s="18">
        <f>_xll.ciqfunctions.udf.CIQ($C$2,"IQ_OPEB_BREAKDOWN_EQ",P$6,$F$2,,,Ccy,Conv)</f>
        <v>0</v>
      </c>
      <c r="Q691" s="215"/>
      <c r="R691" s="215"/>
      <c r="S691" s="215"/>
      <c r="T691" s="215"/>
      <c r="U691" s="215"/>
      <c r="V691" s="222"/>
      <c r="W691" s="222"/>
      <c r="X691" s="222"/>
      <c r="Y691" s="215"/>
      <c r="Z691" s="215"/>
      <c r="AA691" s="215"/>
      <c r="AB691" s="215"/>
      <c r="AC691" s="215"/>
      <c r="AD691" s="215"/>
      <c r="AE691" s="215"/>
      <c r="AF691" s="215"/>
      <c r="AG691" s="215"/>
      <c r="AH691" s="215"/>
      <c r="AI691" s="215"/>
      <c r="AJ691" s="215"/>
      <c r="AK691" s="215"/>
      <c r="AL691" s="215"/>
      <c r="AM691" s="215"/>
      <c r="AN691" s="215"/>
      <c r="AO691" s="215"/>
      <c r="AP691" s="215"/>
      <c r="AQ691" s="215"/>
      <c r="AR691" s="215"/>
      <c r="AS691" s="215"/>
      <c r="AT691" s="215"/>
      <c r="AU691" s="215"/>
      <c r="AV691" s="215"/>
      <c r="AW691" s="215"/>
      <c r="AX691" s="215"/>
      <c r="AY691" s="215"/>
      <c r="AZ691" s="215"/>
      <c r="BA691" s="215"/>
      <c r="BB691" s="215"/>
      <c r="BC691" s="215"/>
      <c r="BD691" s="215"/>
      <c r="BE691" s="215"/>
      <c r="BF691" s="215"/>
      <c r="BG691" s="215"/>
      <c r="BH691" s="215"/>
      <c r="BI691" s="215"/>
      <c r="BJ691" s="215"/>
      <c r="BK691" s="215"/>
      <c r="BL691" s="215"/>
      <c r="BM691" s="215"/>
      <c r="BN691" s="215"/>
      <c r="BO691" s="215"/>
      <c r="BP691" s="215"/>
      <c r="BQ691" s="215"/>
      <c r="BR691" s="215"/>
      <c r="BS691" s="215"/>
      <c r="BT691" s="215"/>
      <c r="BU691" s="215"/>
      <c r="BV691" s="215"/>
      <c r="BW691" s="215"/>
      <c r="BX691" s="215"/>
      <c r="BY691" s="215"/>
      <c r="BZ691" s="215"/>
    </row>
    <row r="692" spans="1:78" outlineLevel="1" x14ac:dyDescent="0.2">
      <c r="A692" s="2" t="str">
        <f>'Language Index'!A538</f>
        <v>Plan Assets - Fixed Income</v>
      </c>
      <c r="B692" s="17"/>
      <c r="C692" s="17"/>
      <c r="D692" s="18">
        <f>_xll.ciqfunctions.udf.CIQ($C$2,"IQ_OPEB_BREAKDOWN_FI",D$6,$F$2,,,Ccy,Conv)</f>
        <v>0</v>
      </c>
      <c r="E692" s="18">
        <f>_xll.ciqfunctions.udf.CIQ($C$2,"IQ_OPEB_BREAKDOWN_FI",E$6,$F$2,,,Ccy,Conv)</f>
        <v>0</v>
      </c>
      <c r="F692" s="18">
        <f>_xll.ciqfunctions.udf.CIQ($C$2,"IQ_OPEB_BREAKDOWN_FI",F$6,$F$2,,,Ccy,Conv)</f>
        <v>33</v>
      </c>
      <c r="G692" s="18">
        <f>_xll.ciqfunctions.udf.CIQ($C$2,"IQ_OPEB_BREAKDOWN_FI",G$6,$F$2,,,Ccy,Conv)</f>
        <v>0</v>
      </c>
      <c r="H692" s="18">
        <f>_xll.ciqfunctions.udf.CIQ($C$2,"IQ_OPEB_BREAKDOWN_FI",H$6,$F$2,,,Ccy,Conv)</f>
        <v>0</v>
      </c>
      <c r="I692" s="18">
        <f>_xll.ciqfunctions.udf.CIQ($C$2,"IQ_OPEB_BREAKDOWN_FI",I$6,$F$2,,,Ccy,Conv)</f>
        <v>0</v>
      </c>
      <c r="J692" s="18">
        <f>_xll.ciqfunctions.udf.CIQ($C$2,"IQ_OPEB_BREAKDOWN_FI",J$6,$F$2,,,Ccy,Conv)</f>
        <v>0</v>
      </c>
      <c r="K692" s="18">
        <f>_xll.ciqfunctions.udf.CIQ($C$2,"IQ_OPEB_BREAKDOWN_FI",K$6,$F$2,,,Ccy,Conv)</f>
        <v>0</v>
      </c>
      <c r="L692" s="18">
        <f>_xll.ciqfunctions.udf.CIQ($C$2,"IQ_OPEB_BREAKDOWN_FI",L$6,$F$2,,,Ccy,Conv)</f>
        <v>0</v>
      </c>
      <c r="M692" s="18">
        <f>_xll.ciqfunctions.udf.CIQ($C$2,"IQ_OPEB_BREAKDOWN_FI",M$6,$F$2,,,Ccy,Conv)</f>
        <v>0</v>
      </c>
      <c r="N692" s="18">
        <f>_xll.ciqfunctions.udf.CIQ($C$2,"IQ_OPEB_BREAKDOWN_FI",N$6,$F$2,,,Ccy,Conv)</f>
        <v>0</v>
      </c>
      <c r="O692" s="30"/>
      <c r="P692" s="18">
        <f>_xll.ciqfunctions.udf.CIQ($C$2,"IQ_OPEB_BREAKDOWN_FI",P$6,$F$2,,,Ccy,Conv)</f>
        <v>0</v>
      </c>
      <c r="Q692" s="215"/>
      <c r="R692" s="215"/>
      <c r="S692" s="215"/>
      <c r="T692" s="215"/>
      <c r="U692" s="215"/>
      <c r="V692" s="222"/>
      <c r="W692" s="222"/>
      <c r="X692" s="222"/>
      <c r="Y692" s="215"/>
      <c r="Z692" s="215"/>
      <c r="AA692" s="215"/>
      <c r="AB692" s="215"/>
      <c r="AC692" s="215"/>
      <c r="AD692" s="215"/>
      <c r="AE692" s="215"/>
      <c r="AF692" s="215"/>
      <c r="AG692" s="215"/>
      <c r="AH692" s="215"/>
      <c r="AI692" s="215"/>
      <c r="AJ692" s="215"/>
      <c r="AK692" s="215"/>
      <c r="AL692" s="215"/>
      <c r="AM692" s="215"/>
      <c r="AN692" s="215"/>
      <c r="AO692" s="215"/>
      <c r="AP692" s="215"/>
      <c r="AQ692" s="215"/>
      <c r="AR692" s="215"/>
      <c r="AS692" s="215"/>
      <c r="AT692" s="215"/>
      <c r="AU692" s="215"/>
      <c r="AV692" s="215"/>
      <c r="AW692" s="215"/>
      <c r="AX692" s="215"/>
      <c r="AY692" s="215"/>
      <c r="AZ692" s="215"/>
      <c r="BA692" s="215"/>
      <c r="BB692" s="215"/>
      <c r="BC692" s="215"/>
      <c r="BD692" s="215"/>
      <c r="BE692" s="215"/>
      <c r="BF692" s="215"/>
      <c r="BG692" s="215"/>
      <c r="BH692" s="215"/>
      <c r="BI692" s="215"/>
      <c r="BJ692" s="215"/>
      <c r="BK692" s="215"/>
      <c r="BL692" s="215"/>
      <c r="BM692" s="215"/>
      <c r="BN692" s="215"/>
      <c r="BO692" s="215"/>
      <c r="BP692" s="215"/>
      <c r="BQ692" s="215"/>
      <c r="BR692" s="215"/>
      <c r="BS692" s="215"/>
      <c r="BT692" s="215"/>
      <c r="BU692" s="215"/>
      <c r="BV692" s="215"/>
      <c r="BW692" s="215"/>
      <c r="BX692" s="215"/>
      <c r="BY692" s="215"/>
      <c r="BZ692" s="215"/>
    </row>
    <row r="693" spans="1:78" outlineLevel="1" x14ac:dyDescent="0.2">
      <c r="A693" s="2" t="str">
        <f>'Language Index'!A539</f>
        <v>Plan Assets- Real Estate</v>
      </c>
      <c r="B693" s="17"/>
      <c r="C693" s="17"/>
      <c r="D693" s="18">
        <f>_xll.ciqfunctions.udf.CIQ($C$2,"IQ_OPEB_BREAKDOWN_RE",D$6,$F$2,,,Ccy,Conv)</f>
        <v>0</v>
      </c>
      <c r="E693" s="18">
        <f>_xll.ciqfunctions.udf.CIQ($C$2,"IQ_OPEB_BREAKDOWN_RE",E$6,$F$2,,,Ccy,Conv)</f>
        <v>0</v>
      </c>
      <c r="F693" s="18">
        <f>_xll.ciqfunctions.udf.CIQ($C$2,"IQ_OPEB_BREAKDOWN_RE",F$6,$F$2,,,Ccy,Conv)</f>
        <v>0</v>
      </c>
      <c r="G693" s="18">
        <f>_xll.ciqfunctions.udf.CIQ($C$2,"IQ_OPEB_BREAKDOWN_RE",G$6,$F$2,,,Ccy,Conv)</f>
        <v>0</v>
      </c>
      <c r="H693" s="18">
        <f>_xll.ciqfunctions.udf.CIQ($C$2,"IQ_OPEB_BREAKDOWN_RE",H$6,$F$2,,,Ccy,Conv)</f>
        <v>0</v>
      </c>
      <c r="I693" s="18">
        <f>_xll.ciqfunctions.udf.CIQ($C$2,"IQ_OPEB_BREAKDOWN_RE",I$6,$F$2,,,Ccy,Conv)</f>
        <v>0</v>
      </c>
      <c r="J693" s="18">
        <f>_xll.ciqfunctions.udf.CIQ($C$2,"IQ_OPEB_BREAKDOWN_RE",J$6,$F$2,,,Ccy,Conv)</f>
        <v>0</v>
      </c>
      <c r="K693" s="18">
        <f>_xll.ciqfunctions.udf.CIQ($C$2,"IQ_OPEB_BREAKDOWN_RE",K$6,$F$2,,,Ccy,Conv)</f>
        <v>0</v>
      </c>
      <c r="L693" s="18">
        <f>_xll.ciqfunctions.udf.CIQ($C$2,"IQ_OPEB_BREAKDOWN_RE",L$6,$F$2,,,Ccy,Conv)</f>
        <v>0</v>
      </c>
      <c r="M693" s="18">
        <f>_xll.ciqfunctions.udf.CIQ($C$2,"IQ_OPEB_BREAKDOWN_RE",M$6,$F$2,,,Ccy,Conv)</f>
        <v>0</v>
      </c>
      <c r="N693" s="18">
        <f>_xll.ciqfunctions.udf.CIQ($C$2,"IQ_OPEB_BREAKDOWN_RE",N$6,$F$2,,,Ccy,Conv)</f>
        <v>0</v>
      </c>
      <c r="O693" s="30"/>
      <c r="P693" s="18">
        <f>_xll.ciqfunctions.udf.CIQ($C$2,"IQ_OPEB_BREAKDOWN_RE",P$6,$F$2,,,Ccy,Conv)</f>
        <v>0</v>
      </c>
      <c r="Q693" s="215"/>
      <c r="R693" s="215"/>
      <c r="S693" s="215"/>
      <c r="T693" s="215"/>
      <c r="U693" s="215"/>
      <c r="V693" s="222"/>
      <c r="W693" s="222"/>
      <c r="X693" s="222"/>
      <c r="Y693" s="215"/>
      <c r="Z693" s="215"/>
      <c r="AA693" s="215"/>
      <c r="AB693" s="215"/>
      <c r="AC693" s="215"/>
      <c r="AD693" s="215"/>
      <c r="AE693" s="215"/>
      <c r="AF693" s="215"/>
      <c r="AG693" s="215"/>
      <c r="AH693" s="215"/>
      <c r="AI693" s="215"/>
      <c r="AJ693" s="215"/>
      <c r="AK693" s="215"/>
      <c r="AL693" s="215"/>
      <c r="AM693" s="215"/>
      <c r="AN693" s="215"/>
      <c r="AO693" s="215"/>
      <c r="AP693" s="215"/>
      <c r="AQ693" s="215"/>
      <c r="AR693" s="215"/>
      <c r="AS693" s="215"/>
      <c r="AT693" s="215"/>
      <c r="AU693" s="215"/>
      <c r="AV693" s="215"/>
      <c r="AW693" s="215"/>
      <c r="AX693" s="215"/>
      <c r="AY693" s="215"/>
      <c r="AZ693" s="215"/>
      <c r="BA693" s="215"/>
      <c r="BB693" s="215"/>
      <c r="BC693" s="215"/>
      <c r="BD693" s="215"/>
      <c r="BE693" s="215"/>
      <c r="BF693" s="215"/>
      <c r="BG693" s="215"/>
      <c r="BH693" s="215"/>
      <c r="BI693" s="215"/>
      <c r="BJ693" s="215"/>
      <c r="BK693" s="215"/>
      <c r="BL693" s="215"/>
      <c r="BM693" s="215"/>
      <c r="BN693" s="215"/>
      <c r="BO693" s="215"/>
      <c r="BP693" s="215"/>
      <c r="BQ693" s="215"/>
      <c r="BR693" s="215"/>
      <c r="BS693" s="215"/>
      <c r="BT693" s="215"/>
      <c r="BU693" s="215"/>
      <c r="BV693" s="215"/>
      <c r="BW693" s="215"/>
      <c r="BX693" s="215"/>
      <c r="BY693" s="215"/>
      <c r="BZ693" s="215"/>
    </row>
    <row r="694" spans="1:78" outlineLevel="1" x14ac:dyDescent="0.2">
      <c r="A694" s="2" t="str">
        <f>'Language Index'!A540</f>
        <v>Other Plan Assets</v>
      </c>
      <c r="B694" s="17"/>
      <c r="C694" s="17"/>
      <c r="D694" s="18">
        <f>_xll.ciqfunctions.udf.CIQ($C$2,"IQ_OPEB_BREAKDOWN_OTHER",D$6,$F$2,,,Ccy,Conv)</f>
        <v>0</v>
      </c>
      <c r="E694" s="18">
        <f>_xll.ciqfunctions.udf.CIQ($C$2,"IQ_OPEB_BREAKDOWN_OTHER",E$6,$F$2,,,Ccy,Conv)</f>
        <v>0</v>
      </c>
      <c r="F694" s="18">
        <f>_xll.ciqfunctions.udf.CIQ($C$2,"IQ_OPEB_BREAKDOWN_OTHER",F$6,$F$2,,,Ccy,Conv)</f>
        <v>0</v>
      </c>
      <c r="G694" s="18">
        <f>_xll.ciqfunctions.udf.CIQ($C$2,"IQ_OPEB_BREAKDOWN_OTHER",G$6,$F$2,,,Ccy,Conv)</f>
        <v>0</v>
      </c>
      <c r="H694" s="18">
        <f>_xll.ciqfunctions.udf.CIQ($C$2,"IQ_OPEB_BREAKDOWN_OTHER",H$6,$F$2,,,Ccy,Conv)</f>
        <v>0</v>
      </c>
      <c r="I694" s="18">
        <f>_xll.ciqfunctions.udf.CIQ($C$2,"IQ_OPEB_BREAKDOWN_OTHER",I$6,$F$2,,,Ccy,Conv)</f>
        <v>0</v>
      </c>
      <c r="J694" s="18">
        <f>_xll.ciqfunctions.udf.CIQ($C$2,"IQ_OPEB_BREAKDOWN_OTHER",J$6,$F$2,,,Ccy,Conv)</f>
        <v>0</v>
      </c>
      <c r="K694" s="18">
        <f>_xll.ciqfunctions.udf.CIQ($C$2,"IQ_OPEB_BREAKDOWN_OTHER",K$6,$F$2,,,Ccy,Conv)</f>
        <v>0</v>
      </c>
      <c r="L694" s="18">
        <f>_xll.ciqfunctions.udf.CIQ($C$2,"IQ_OPEB_BREAKDOWN_OTHER",L$6,$F$2,,,Ccy,Conv)</f>
        <v>0</v>
      </c>
      <c r="M694" s="18">
        <f>_xll.ciqfunctions.udf.CIQ($C$2,"IQ_OPEB_BREAKDOWN_OTHER",M$6,$F$2,,,Ccy,Conv)</f>
        <v>0</v>
      </c>
      <c r="N694" s="18">
        <f>_xll.ciqfunctions.udf.CIQ($C$2,"IQ_OPEB_BREAKDOWN_OTHER",N$6,$F$2,,,Ccy,Conv)</f>
        <v>0</v>
      </c>
      <c r="O694" s="30"/>
      <c r="P694" s="18">
        <f>_xll.ciqfunctions.udf.CIQ($C$2,"IQ_OPEB_BREAKDOWN_OTHER",P$6,$F$2,,,Ccy,Conv)</f>
        <v>0</v>
      </c>
      <c r="Q694" s="215"/>
      <c r="R694" s="215"/>
      <c r="S694" s="215"/>
      <c r="T694" s="215"/>
      <c r="U694" s="215"/>
      <c r="V694" s="222"/>
      <c r="W694" s="222"/>
      <c r="X694" s="222"/>
      <c r="Y694" s="215"/>
      <c r="Z694" s="215"/>
      <c r="AA694" s="215"/>
      <c r="AB694" s="215"/>
      <c r="AC694" s="215"/>
      <c r="AD694" s="215"/>
      <c r="AE694" s="215"/>
      <c r="AF694" s="215"/>
      <c r="AG694" s="215"/>
      <c r="AH694" s="215"/>
      <c r="AI694" s="215"/>
      <c r="AJ694" s="215"/>
      <c r="AK694" s="215"/>
      <c r="AL694" s="215"/>
      <c r="AM694" s="215"/>
      <c r="AN694" s="215"/>
      <c r="AO694" s="215"/>
      <c r="AP694" s="215"/>
      <c r="AQ694" s="215"/>
      <c r="AR694" s="215"/>
      <c r="AS694" s="215"/>
      <c r="AT694" s="215"/>
      <c r="AU694" s="215"/>
      <c r="AV694" s="215"/>
      <c r="AW694" s="215"/>
      <c r="AX694" s="215"/>
      <c r="AY694" s="215"/>
      <c r="AZ694" s="215"/>
      <c r="BA694" s="215"/>
      <c r="BB694" s="215"/>
      <c r="BC694" s="215"/>
      <c r="BD694" s="215"/>
      <c r="BE694" s="215"/>
      <c r="BF694" s="215"/>
      <c r="BG694" s="215"/>
      <c r="BH694" s="215"/>
      <c r="BI694" s="215"/>
      <c r="BJ694" s="215"/>
      <c r="BK694" s="215"/>
      <c r="BL694" s="215"/>
      <c r="BM694" s="215"/>
      <c r="BN694" s="215"/>
      <c r="BO694" s="215"/>
      <c r="BP694" s="215"/>
      <c r="BQ694" s="215"/>
      <c r="BR694" s="215"/>
      <c r="BS694" s="215"/>
      <c r="BT694" s="215"/>
      <c r="BU694" s="215"/>
      <c r="BV694" s="215"/>
      <c r="BW694" s="215"/>
      <c r="BX694" s="215"/>
      <c r="BY694" s="215"/>
      <c r="BZ694" s="215"/>
    </row>
    <row r="695" spans="1:78" outlineLevel="1" x14ac:dyDescent="0.2">
      <c r="A695" s="9" t="str">
        <f>'Language Index'!A541</f>
        <v>Breakdown of Amounts recognized in Other Comprehensive Income in BS</v>
      </c>
      <c r="B695" s="17"/>
      <c r="C695" s="17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30"/>
      <c r="P695" s="18"/>
      <c r="Q695" s="215"/>
      <c r="R695" s="215"/>
      <c r="S695" s="215"/>
      <c r="T695" s="215"/>
      <c r="U695" s="215"/>
      <c r="V695" s="222"/>
      <c r="W695" s="222"/>
      <c r="X695" s="222"/>
      <c r="Y695" s="215"/>
      <c r="Z695" s="215"/>
      <c r="AA695" s="215"/>
      <c r="AB695" s="215"/>
      <c r="AC695" s="215"/>
      <c r="AD695" s="215"/>
      <c r="AE695" s="215"/>
      <c r="AF695" s="215"/>
      <c r="AG695" s="215"/>
      <c r="AH695" s="215"/>
      <c r="AI695" s="215"/>
      <c r="AJ695" s="215"/>
      <c r="AK695" s="215"/>
      <c r="AL695" s="215"/>
      <c r="AM695" s="215"/>
      <c r="AN695" s="215"/>
      <c r="AO695" s="215"/>
      <c r="AP695" s="215"/>
      <c r="AQ695" s="215"/>
      <c r="AR695" s="215"/>
      <c r="AS695" s="215"/>
      <c r="AT695" s="215"/>
      <c r="AU695" s="215"/>
      <c r="AV695" s="215"/>
      <c r="AW695" s="215"/>
      <c r="AX695" s="215"/>
      <c r="AY695" s="215"/>
      <c r="AZ695" s="215"/>
      <c r="BA695" s="215"/>
      <c r="BB695" s="215"/>
      <c r="BC695" s="215"/>
      <c r="BD695" s="215"/>
      <c r="BE695" s="215"/>
      <c r="BF695" s="215"/>
      <c r="BG695" s="215"/>
      <c r="BH695" s="215"/>
      <c r="BI695" s="215"/>
      <c r="BJ695" s="215"/>
      <c r="BK695" s="215"/>
      <c r="BL695" s="215"/>
      <c r="BM695" s="215"/>
      <c r="BN695" s="215"/>
      <c r="BO695" s="215"/>
      <c r="BP695" s="215"/>
      <c r="BQ695" s="215"/>
      <c r="BR695" s="215"/>
      <c r="BS695" s="215"/>
      <c r="BT695" s="215"/>
      <c r="BU695" s="215"/>
      <c r="BV695" s="215"/>
      <c r="BW695" s="215"/>
      <c r="BX695" s="215"/>
      <c r="BY695" s="215"/>
      <c r="BZ695" s="215"/>
    </row>
    <row r="696" spans="1:78" outlineLevel="1" x14ac:dyDescent="0.2">
      <c r="A696" s="2" t="str">
        <f>'Language Index'!A542</f>
        <v>Net Actuarial Loss/Gain – Compr. Inc.</v>
      </c>
      <c r="B696" s="17"/>
      <c r="C696" s="17"/>
      <c r="D696" s="18">
        <f>_xll.ciqfunctions.udf.CIQ($C$2,"IQ_OPEB_CI_ACT",D$6,$F$2,,,Ccy,Conv)</f>
        <v>0</v>
      </c>
      <c r="E696" s="18">
        <f>_xll.ciqfunctions.udf.CIQ($C$2,"IQ_OPEB_CI_ACT",E$6,$F$2,,,Ccy,Conv)</f>
        <v>0</v>
      </c>
      <c r="F696" s="18">
        <f>_xll.ciqfunctions.udf.CIQ($C$2,"IQ_OPEB_CI_ACT",F$6,$F$2,,,Ccy,Conv)</f>
        <v>196</v>
      </c>
      <c r="G696" s="18">
        <f>_xll.ciqfunctions.udf.CIQ($C$2,"IQ_OPEB_CI_ACT",G$6,$F$2,,,Ccy,Conv)</f>
        <v>0</v>
      </c>
      <c r="H696" s="18">
        <f>_xll.ciqfunctions.udf.CIQ($C$2,"IQ_OPEB_CI_ACT",H$6,$F$2,,,Ccy,Conv)</f>
        <v>0</v>
      </c>
      <c r="I696" s="18">
        <f>_xll.ciqfunctions.udf.CIQ($C$2,"IQ_OPEB_CI_ACT",I$6,$F$2,,,Ccy,Conv)</f>
        <v>0</v>
      </c>
      <c r="J696" s="18">
        <f>_xll.ciqfunctions.udf.CIQ($C$2,"IQ_OPEB_CI_ACT",J$6,$F$2,,,Ccy,Conv)</f>
        <v>313</v>
      </c>
      <c r="K696" s="18">
        <f>_xll.ciqfunctions.udf.CIQ($C$2,"IQ_OPEB_CI_ACT",K$6,$F$2,,,Ccy,Conv)</f>
        <v>0</v>
      </c>
      <c r="L696" s="18">
        <f>_xll.ciqfunctions.udf.CIQ($C$2,"IQ_OPEB_CI_ACT",L$6,$F$2,,,Ccy,Conv)</f>
        <v>0</v>
      </c>
      <c r="M696" s="18">
        <f>_xll.ciqfunctions.udf.CIQ($C$2,"IQ_OPEB_CI_ACT",M$6,$F$2,,,Ccy,Conv)</f>
        <v>0</v>
      </c>
      <c r="N696" s="18">
        <f>_xll.ciqfunctions.udf.CIQ($C$2,"IQ_OPEB_CI_ACT",N$6,$F$2,,,Ccy,Conv)</f>
        <v>374</v>
      </c>
      <c r="O696" s="30"/>
      <c r="P696" s="18">
        <f>_xll.ciqfunctions.udf.CIQ($C$2,"IQ_OPEB_CI_ACT",P$6,$F$2,,,Ccy,Conv)</f>
        <v>374</v>
      </c>
      <c r="Q696" s="215"/>
      <c r="R696" s="215"/>
      <c r="S696" s="215"/>
      <c r="T696" s="215"/>
      <c r="U696" s="215"/>
      <c r="V696" s="222"/>
      <c r="W696" s="222"/>
      <c r="X696" s="222"/>
      <c r="Y696" s="215"/>
      <c r="Z696" s="215"/>
      <c r="AA696" s="215"/>
      <c r="AB696" s="215"/>
      <c r="AC696" s="215"/>
      <c r="AD696" s="215"/>
      <c r="AE696" s="215"/>
      <c r="AF696" s="215"/>
      <c r="AG696" s="215"/>
      <c r="AH696" s="215"/>
      <c r="AI696" s="215"/>
      <c r="AJ696" s="215"/>
      <c r="AK696" s="215"/>
      <c r="AL696" s="215"/>
      <c r="AM696" s="215"/>
      <c r="AN696" s="215"/>
      <c r="AO696" s="215"/>
      <c r="AP696" s="215"/>
      <c r="AQ696" s="215"/>
      <c r="AR696" s="215"/>
      <c r="AS696" s="215"/>
      <c r="AT696" s="215"/>
      <c r="AU696" s="215"/>
      <c r="AV696" s="215"/>
      <c r="AW696" s="215"/>
      <c r="AX696" s="215"/>
      <c r="AY696" s="215"/>
      <c r="AZ696" s="215"/>
      <c r="BA696" s="215"/>
      <c r="BB696" s="215"/>
      <c r="BC696" s="215"/>
      <c r="BD696" s="215"/>
      <c r="BE696" s="215"/>
      <c r="BF696" s="215"/>
      <c r="BG696" s="215"/>
      <c r="BH696" s="215"/>
      <c r="BI696" s="215"/>
      <c r="BJ696" s="215"/>
      <c r="BK696" s="215"/>
      <c r="BL696" s="215"/>
      <c r="BM696" s="215"/>
      <c r="BN696" s="215"/>
      <c r="BO696" s="215"/>
      <c r="BP696" s="215"/>
      <c r="BQ696" s="215"/>
      <c r="BR696" s="215"/>
      <c r="BS696" s="215"/>
      <c r="BT696" s="215"/>
      <c r="BU696" s="215"/>
      <c r="BV696" s="215"/>
      <c r="BW696" s="215"/>
      <c r="BX696" s="215"/>
      <c r="BY696" s="215"/>
      <c r="BZ696" s="215"/>
    </row>
    <row r="697" spans="1:78" outlineLevel="1" x14ac:dyDescent="0.2">
      <c r="A697" s="2" t="str">
        <f>'Language Index'!A543</f>
        <v>Prior Service Cost/Benefit – Compr. Inc.</v>
      </c>
      <c r="B697" s="17"/>
      <c r="C697" s="17"/>
      <c r="D697" s="18">
        <f>_xll.ciqfunctions.udf.CIQ($C$2,"IQ_OPEB_CI_PRIOR_SERVICE",D$6,$F$2,,,Ccy,Conv)</f>
        <v>0</v>
      </c>
      <c r="E697" s="18">
        <f>_xll.ciqfunctions.udf.CIQ($C$2,"IQ_OPEB_CI_PRIOR_SERVICE",E$6,$F$2,,,Ccy,Conv)</f>
        <v>0</v>
      </c>
      <c r="F697" s="18">
        <f>_xll.ciqfunctions.udf.CIQ($C$2,"IQ_OPEB_CI_PRIOR_SERVICE",F$6,$F$2,,,Ccy,Conv)</f>
        <v>-351</v>
      </c>
      <c r="G697" s="18">
        <f>_xll.ciqfunctions.udf.CIQ($C$2,"IQ_OPEB_CI_PRIOR_SERVICE",G$6,$F$2,,,Ccy,Conv)</f>
        <v>0</v>
      </c>
      <c r="H697" s="18">
        <f>_xll.ciqfunctions.udf.CIQ($C$2,"IQ_OPEB_CI_PRIOR_SERVICE",H$6,$F$2,,,Ccy,Conv)</f>
        <v>0</v>
      </c>
      <c r="I697" s="18">
        <f>_xll.ciqfunctions.udf.CIQ($C$2,"IQ_OPEB_CI_PRIOR_SERVICE",I$6,$F$2,,,Ccy,Conv)</f>
        <v>0</v>
      </c>
      <c r="J697" s="18">
        <f>_xll.ciqfunctions.udf.CIQ($C$2,"IQ_OPEB_CI_PRIOR_SERVICE",J$6,$F$2,,,Ccy,Conv)</f>
        <v>-322</v>
      </c>
      <c r="K697" s="18">
        <f>_xll.ciqfunctions.udf.CIQ($C$2,"IQ_OPEB_CI_PRIOR_SERVICE",K$6,$F$2,,,Ccy,Conv)</f>
        <v>0</v>
      </c>
      <c r="L697" s="18">
        <f>_xll.ciqfunctions.udf.CIQ($C$2,"IQ_OPEB_CI_PRIOR_SERVICE",L$6,$F$2,,,Ccy,Conv)</f>
        <v>0</v>
      </c>
      <c r="M697" s="18">
        <f>_xll.ciqfunctions.udf.CIQ($C$2,"IQ_OPEB_CI_PRIOR_SERVICE",M$6,$F$2,,,Ccy,Conv)</f>
        <v>0</v>
      </c>
      <c r="N697" s="18">
        <f>_xll.ciqfunctions.udf.CIQ($C$2,"IQ_OPEB_CI_PRIOR_SERVICE",N$6,$F$2,,,Ccy,Conv)</f>
        <v>-293</v>
      </c>
      <c r="O697" s="30"/>
      <c r="P697" s="18">
        <f>_xll.ciqfunctions.udf.CIQ($C$2,"IQ_OPEB_CI_PRIOR_SERVICE",P$6,$F$2,,,Ccy,Conv)</f>
        <v>-293</v>
      </c>
      <c r="Q697" s="215"/>
      <c r="R697" s="215"/>
      <c r="S697" s="215"/>
      <c r="T697" s="215"/>
      <c r="U697" s="215"/>
      <c r="V697" s="222"/>
      <c r="W697" s="222"/>
      <c r="X697" s="222"/>
      <c r="Y697" s="215"/>
      <c r="Z697" s="215"/>
      <c r="AA697" s="215"/>
      <c r="AB697" s="215"/>
      <c r="AC697" s="215"/>
      <c r="AD697" s="215"/>
      <c r="AE697" s="215"/>
      <c r="AF697" s="215"/>
      <c r="AG697" s="215"/>
      <c r="AH697" s="215"/>
      <c r="AI697" s="215"/>
      <c r="AJ697" s="215"/>
      <c r="AK697" s="215"/>
      <c r="AL697" s="215"/>
      <c r="AM697" s="215"/>
      <c r="AN697" s="215"/>
      <c r="AO697" s="215"/>
      <c r="AP697" s="215"/>
      <c r="AQ697" s="215"/>
      <c r="AR697" s="215"/>
      <c r="AS697" s="215"/>
      <c r="AT697" s="215"/>
      <c r="AU697" s="215"/>
      <c r="AV697" s="215"/>
      <c r="AW697" s="215"/>
      <c r="AX697" s="215"/>
      <c r="AY697" s="215"/>
      <c r="AZ697" s="215"/>
      <c r="BA697" s="215"/>
      <c r="BB697" s="215"/>
      <c r="BC697" s="215"/>
      <c r="BD697" s="215"/>
      <c r="BE697" s="215"/>
      <c r="BF697" s="215"/>
      <c r="BG697" s="215"/>
      <c r="BH697" s="215"/>
      <c r="BI697" s="215"/>
      <c r="BJ697" s="215"/>
      <c r="BK697" s="215"/>
      <c r="BL697" s="215"/>
      <c r="BM697" s="215"/>
      <c r="BN697" s="215"/>
      <c r="BO697" s="215"/>
      <c r="BP697" s="215"/>
      <c r="BQ697" s="215"/>
      <c r="BR697" s="215"/>
      <c r="BS697" s="215"/>
      <c r="BT697" s="215"/>
      <c r="BU697" s="215"/>
      <c r="BV697" s="215"/>
      <c r="BW697" s="215"/>
      <c r="BX697" s="215"/>
      <c r="BY697" s="215"/>
      <c r="BZ697" s="215"/>
    </row>
    <row r="698" spans="1:78" outlineLevel="1" x14ac:dyDescent="0.2">
      <c r="A698" s="2" t="str">
        <f>'Language Index'!A544</f>
        <v>Transition Asset/Obligation – Compr. Inc.</v>
      </c>
      <c r="B698" s="17"/>
      <c r="C698" s="17"/>
      <c r="D698" s="18">
        <f>_xll.ciqfunctions.udf.CIQ($C$2,"IQ_OPEB_CI_TRANSITION",D$6,$F$2,,,Ccy,Conv)</f>
        <v>0</v>
      </c>
      <c r="E698" s="18">
        <f>_xll.ciqfunctions.udf.CIQ($C$2,"IQ_OPEB_CI_TRANSITION",E$6,$F$2,,,Ccy,Conv)</f>
        <v>0</v>
      </c>
      <c r="F698" s="18">
        <f>_xll.ciqfunctions.udf.CIQ($C$2,"IQ_OPEB_CI_TRANSITION",F$6,$F$2,,,Ccy,Conv)</f>
        <v>0</v>
      </c>
      <c r="G698" s="18">
        <f>_xll.ciqfunctions.udf.CIQ($C$2,"IQ_OPEB_CI_TRANSITION",G$6,$F$2,,,Ccy,Conv)</f>
        <v>0</v>
      </c>
      <c r="H698" s="18">
        <f>_xll.ciqfunctions.udf.CIQ($C$2,"IQ_OPEB_CI_TRANSITION",H$6,$F$2,,,Ccy,Conv)</f>
        <v>0</v>
      </c>
      <c r="I698" s="18">
        <f>_xll.ciqfunctions.udf.CIQ($C$2,"IQ_OPEB_CI_TRANSITION",I$6,$F$2,,,Ccy,Conv)</f>
        <v>0</v>
      </c>
      <c r="J698" s="18">
        <f>_xll.ciqfunctions.udf.CIQ($C$2,"IQ_OPEB_CI_TRANSITION",J$6,$F$2,,,Ccy,Conv)</f>
        <v>0</v>
      </c>
      <c r="K698" s="18">
        <f>_xll.ciqfunctions.udf.CIQ($C$2,"IQ_OPEB_CI_TRANSITION",K$6,$F$2,,,Ccy,Conv)</f>
        <v>0</v>
      </c>
      <c r="L698" s="18">
        <f>_xll.ciqfunctions.udf.CIQ($C$2,"IQ_OPEB_CI_TRANSITION",L$6,$F$2,,,Ccy,Conv)</f>
        <v>0</v>
      </c>
      <c r="M698" s="18">
        <f>_xll.ciqfunctions.udf.CIQ($C$2,"IQ_OPEB_CI_TRANSITION",M$6,$F$2,,,Ccy,Conv)</f>
        <v>0</v>
      </c>
      <c r="N698" s="18">
        <f>_xll.ciqfunctions.udf.CIQ($C$2,"IQ_OPEB_CI_TRANSITION",N$6,$F$2,,,Ccy,Conv)</f>
        <v>0</v>
      </c>
      <c r="O698" s="30"/>
      <c r="P698" s="18">
        <f>_xll.ciqfunctions.udf.CIQ($C$2,"IQ_OPEB_CI_TRANSITION",P$6,$F$2,,,Ccy,Conv)</f>
        <v>0</v>
      </c>
      <c r="Q698" s="215"/>
      <c r="R698" s="215"/>
      <c r="S698" s="215"/>
      <c r="T698" s="215"/>
      <c r="U698" s="215"/>
      <c r="V698" s="222"/>
      <c r="W698" s="222"/>
      <c r="X698" s="222"/>
      <c r="Y698" s="215"/>
      <c r="Z698" s="215"/>
      <c r="AA698" s="215"/>
      <c r="AB698" s="215"/>
      <c r="AC698" s="215"/>
      <c r="AD698" s="215"/>
      <c r="AE698" s="215"/>
      <c r="AF698" s="215"/>
      <c r="AG698" s="215"/>
      <c r="AH698" s="215"/>
      <c r="AI698" s="215"/>
      <c r="AJ698" s="215"/>
      <c r="AK698" s="215"/>
      <c r="AL698" s="215"/>
      <c r="AM698" s="215"/>
      <c r="AN698" s="215"/>
      <c r="AO698" s="215"/>
      <c r="AP698" s="215"/>
      <c r="AQ698" s="215"/>
      <c r="AR698" s="215"/>
      <c r="AS698" s="215"/>
      <c r="AT698" s="215"/>
      <c r="AU698" s="215"/>
      <c r="AV698" s="215"/>
      <c r="AW698" s="215"/>
      <c r="AX698" s="215"/>
      <c r="AY698" s="215"/>
      <c r="AZ698" s="215"/>
      <c r="BA698" s="215"/>
      <c r="BB698" s="215"/>
      <c r="BC698" s="215"/>
      <c r="BD698" s="215"/>
      <c r="BE698" s="215"/>
      <c r="BF698" s="215"/>
      <c r="BG698" s="215"/>
      <c r="BH698" s="215"/>
      <c r="BI698" s="215"/>
      <c r="BJ698" s="215"/>
      <c r="BK698" s="215"/>
      <c r="BL698" s="215"/>
      <c r="BM698" s="215"/>
      <c r="BN698" s="215"/>
      <c r="BO698" s="215"/>
      <c r="BP698" s="215"/>
      <c r="BQ698" s="215"/>
      <c r="BR698" s="215"/>
      <c r="BS698" s="215"/>
      <c r="BT698" s="215"/>
      <c r="BU698" s="215"/>
      <c r="BV698" s="215"/>
      <c r="BW698" s="215"/>
      <c r="BX698" s="215"/>
      <c r="BY698" s="215"/>
      <c r="BZ698" s="215"/>
    </row>
    <row r="699" spans="1:78" outlineLevel="1" x14ac:dyDescent="0.2">
      <c r="A699" s="2" t="str">
        <f>'Language Index'!A545</f>
        <v>Other Misc. Adj. – Compr. Inc.</v>
      </c>
      <c r="B699" s="17"/>
      <c r="C699" s="17"/>
      <c r="D699" s="18">
        <f>_xll.ciqfunctions.udf.CIQ($C$2,"IQ_OPEB_CI_OTHER_MISC_ADJ",D$6,$F$2,,,Ccy,Conv)</f>
        <v>0</v>
      </c>
      <c r="E699" s="18">
        <f>_xll.ciqfunctions.udf.CIQ($C$2,"IQ_OPEB_CI_OTHER_MISC_ADJ",E$6,$F$2,,,Ccy,Conv)</f>
        <v>0</v>
      </c>
      <c r="F699" s="18">
        <f>_xll.ciqfunctions.udf.CIQ($C$2,"IQ_OPEB_CI_OTHER_MISC_ADJ",F$6,$F$2,,,Ccy,Conv)</f>
        <v>0</v>
      </c>
      <c r="G699" s="18">
        <f>_xll.ciqfunctions.udf.CIQ($C$2,"IQ_OPEB_CI_OTHER_MISC_ADJ",G$6,$F$2,,,Ccy,Conv)</f>
        <v>0</v>
      </c>
      <c r="H699" s="18">
        <f>_xll.ciqfunctions.udf.CIQ($C$2,"IQ_OPEB_CI_OTHER_MISC_ADJ",H$6,$F$2,,,Ccy,Conv)</f>
        <v>0</v>
      </c>
      <c r="I699" s="18">
        <f>_xll.ciqfunctions.udf.CIQ($C$2,"IQ_OPEB_CI_OTHER_MISC_ADJ",I$6,$F$2,,,Ccy,Conv)</f>
        <v>0</v>
      </c>
      <c r="J699" s="18">
        <f>_xll.ciqfunctions.udf.CIQ($C$2,"IQ_OPEB_CI_OTHER_MISC_ADJ",J$6,$F$2,,,Ccy,Conv)</f>
        <v>0</v>
      </c>
      <c r="K699" s="18">
        <f>_xll.ciqfunctions.udf.CIQ($C$2,"IQ_OPEB_CI_OTHER_MISC_ADJ",K$6,$F$2,,,Ccy,Conv)</f>
        <v>0</v>
      </c>
      <c r="L699" s="18">
        <f>_xll.ciqfunctions.udf.CIQ($C$2,"IQ_OPEB_CI_OTHER_MISC_ADJ",L$6,$F$2,,,Ccy,Conv)</f>
        <v>0</v>
      </c>
      <c r="M699" s="18">
        <f>_xll.ciqfunctions.udf.CIQ($C$2,"IQ_OPEB_CI_OTHER_MISC_ADJ",M$6,$F$2,,,Ccy,Conv)</f>
        <v>0</v>
      </c>
      <c r="N699" s="18">
        <f>_xll.ciqfunctions.udf.CIQ($C$2,"IQ_OPEB_CI_OTHER_MISC_ADJ",N$6,$F$2,,,Ccy,Conv)</f>
        <v>0</v>
      </c>
      <c r="O699" s="30"/>
      <c r="P699" s="18">
        <f>_xll.ciqfunctions.udf.CIQ($C$2,"IQ_OPEB_CI_OTHER_MISC_ADJ",P$6,$F$2,,,Ccy,Conv)</f>
        <v>0</v>
      </c>
      <c r="Q699" s="215"/>
      <c r="R699" s="215"/>
      <c r="S699" s="215"/>
      <c r="T699" s="215"/>
      <c r="U699" s="215"/>
      <c r="V699" s="222"/>
      <c r="W699" s="222"/>
      <c r="X699" s="222"/>
      <c r="Y699" s="215"/>
      <c r="Z699" s="215"/>
      <c r="AA699" s="215"/>
      <c r="AB699" s="215"/>
      <c r="AC699" s="215"/>
      <c r="AD699" s="215"/>
      <c r="AE699" s="215"/>
      <c r="AF699" s="215"/>
      <c r="AG699" s="215"/>
      <c r="AH699" s="215"/>
      <c r="AI699" s="215"/>
      <c r="AJ699" s="215"/>
      <c r="AK699" s="215"/>
      <c r="AL699" s="215"/>
      <c r="AM699" s="215"/>
      <c r="AN699" s="215"/>
      <c r="AO699" s="215"/>
      <c r="AP699" s="215"/>
      <c r="AQ699" s="215"/>
      <c r="AR699" s="215"/>
      <c r="AS699" s="215"/>
      <c r="AT699" s="215"/>
      <c r="AU699" s="215"/>
      <c r="AV699" s="215"/>
      <c r="AW699" s="215"/>
      <c r="AX699" s="215"/>
      <c r="AY699" s="215"/>
      <c r="AZ699" s="215"/>
      <c r="BA699" s="215"/>
      <c r="BB699" s="215"/>
      <c r="BC699" s="215"/>
      <c r="BD699" s="215"/>
      <c r="BE699" s="215"/>
      <c r="BF699" s="215"/>
      <c r="BG699" s="215"/>
      <c r="BH699" s="215"/>
      <c r="BI699" s="215"/>
      <c r="BJ699" s="215"/>
      <c r="BK699" s="215"/>
      <c r="BL699" s="215"/>
      <c r="BM699" s="215"/>
      <c r="BN699" s="215"/>
      <c r="BO699" s="215"/>
      <c r="BP699" s="215"/>
      <c r="BQ699" s="215"/>
      <c r="BR699" s="215"/>
      <c r="BS699" s="215"/>
      <c r="BT699" s="215"/>
      <c r="BU699" s="215"/>
      <c r="BV699" s="215"/>
      <c r="BW699" s="215"/>
      <c r="BX699" s="215"/>
      <c r="BY699" s="215"/>
      <c r="BZ699" s="215"/>
    </row>
    <row r="700" spans="1:78" outlineLevel="1" x14ac:dyDescent="0.2">
      <c r="A700" s="2" t="str">
        <f>'Language Index'!A546</f>
        <v>Net Amount Recognized – Compr. Inc.</v>
      </c>
      <c r="B700" s="17"/>
      <c r="C700" s="17"/>
      <c r="D700" s="18">
        <f>_xll.ciqfunctions.udf.CIQ($C$2,"IQ_OPEB_CI_NET_AMT_RECOG",D$6,$F$2,,,Ccy,Conv)</f>
        <v>0</v>
      </c>
      <c r="E700" s="18">
        <f>_xll.ciqfunctions.udf.CIQ($C$2,"IQ_OPEB_CI_NET_AMT_RECOG",E$6,$F$2,,,Ccy,Conv)</f>
        <v>0</v>
      </c>
      <c r="F700" s="18">
        <f>_xll.ciqfunctions.udf.CIQ($C$2,"IQ_OPEB_CI_NET_AMT_RECOG",F$6,$F$2,,,Ccy,Conv)</f>
        <v>-154</v>
      </c>
      <c r="G700" s="18">
        <f>_xll.ciqfunctions.udf.CIQ($C$2,"IQ_OPEB_CI_NET_AMT_RECOG",G$6,$F$2,,,Ccy,Conv)</f>
        <v>0</v>
      </c>
      <c r="H700" s="18">
        <f>_xll.ciqfunctions.udf.CIQ($C$2,"IQ_OPEB_CI_NET_AMT_RECOG",H$6,$F$2,,,Ccy,Conv)</f>
        <v>0</v>
      </c>
      <c r="I700" s="18">
        <f>_xll.ciqfunctions.udf.CIQ($C$2,"IQ_OPEB_CI_NET_AMT_RECOG",I$6,$F$2,,,Ccy,Conv)</f>
        <v>0</v>
      </c>
      <c r="J700" s="18">
        <f>_xll.ciqfunctions.udf.CIQ($C$2,"IQ_OPEB_CI_NET_AMT_RECOG",J$6,$F$2,,,Ccy,Conv)</f>
        <v>-9</v>
      </c>
      <c r="K700" s="18">
        <f>_xll.ciqfunctions.udf.CIQ($C$2,"IQ_OPEB_CI_NET_AMT_RECOG",K$6,$F$2,,,Ccy,Conv)</f>
        <v>0</v>
      </c>
      <c r="L700" s="18">
        <f>_xll.ciqfunctions.udf.CIQ($C$2,"IQ_OPEB_CI_NET_AMT_RECOG",L$6,$F$2,,,Ccy,Conv)</f>
        <v>0</v>
      </c>
      <c r="M700" s="18">
        <f>_xll.ciqfunctions.udf.CIQ($C$2,"IQ_OPEB_CI_NET_AMT_RECOG",M$6,$F$2,,,Ccy,Conv)</f>
        <v>0</v>
      </c>
      <c r="N700" s="18">
        <f>_xll.ciqfunctions.udf.CIQ($C$2,"IQ_OPEB_CI_NET_AMT_RECOG",N$6,$F$2,,,Ccy,Conv)</f>
        <v>81</v>
      </c>
      <c r="O700" s="30"/>
      <c r="P700" s="18">
        <f>_xll.ciqfunctions.udf.CIQ($C$2,"IQ_OPEB_CI_NET_AMT_RECOG",P$6,$F$2,,,Ccy,Conv)</f>
        <v>81</v>
      </c>
      <c r="Q700" s="215"/>
      <c r="R700" s="215"/>
      <c r="S700" s="215"/>
      <c r="T700" s="215"/>
      <c r="U700" s="215"/>
      <c r="V700" s="222"/>
      <c r="W700" s="222"/>
      <c r="X700" s="222"/>
      <c r="Y700" s="215"/>
      <c r="Z700" s="215"/>
      <c r="AA700" s="215"/>
      <c r="AB700" s="215"/>
      <c r="AC700" s="215"/>
      <c r="AD700" s="215"/>
      <c r="AE700" s="215"/>
      <c r="AF700" s="215"/>
      <c r="AG700" s="215"/>
      <c r="AH700" s="215"/>
      <c r="AI700" s="215"/>
      <c r="AJ700" s="215"/>
      <c r="AK700" s="215"/>
      <c r="AL700" s="215"/>
      <c r="AM700" s="215"/>
      <c r="AN700" s="215"/>
      <c r="AO700" s="215"/>
      <c r="AP700" s="215"/>
      <c r="AQ700" s="215"/>
      <c r="AR700" s="215"/>
      <c r="AS700" s="215"/>
      <c r="AT700" s="215"/>
      <c r="AU700" s="215"/>
      <c r="AV700" s="215"/>
      <c r="AW700" s="215"/>
      <c r="AX700" s="215"/>
      <c r="AY700" s="215"/>
      <c r="AZ700" s="215"/>
      <c r="BA700" s="215"/>
      <c r="BB700" s="215"/>
      <c r="BC700" s="215"/>
      <c r="BD700" s="215"/>
      <c r="BE700" s="215"/>
      <c r="BF700" s="215"/>
      <c r="BG700" s="215"/>
      <c r="BH700" s="215"/>
      <c r="BI700" s="215"/>
      <c r="BJ700" s="215"/>
      <c r="BK700" s="215"/>
      <c r="BL700" s="215"/>
      <c r="BM700" s="215"/>
      <c r="BN700" s="215"/>
      <c r="BO700" s="215"/>
      <c r="BP700" s="215"/>
      <c r="BQ700" s="215"/>
      <c r="BR700" s="215"/>
      <c r="BS700" s="215"/>
      <c r="BT700" s="215"/>
      <c r="BU700" s="215"/>
      <c r="BV700" s="215"/>
      <c r="BW700" s="215"/>
      <c r="BX700" s="215"/>
      <c r="BY700" s="215"/>
      <c r="BZ700" s="215"/>
    </row>
    <row r="701" spans="1:78" outlineLevel="1" x14ac:dyDescent="0.2">
      <c r="A701" s="9" t="str">
        <f>'Language Index'!A547</f>
        <v>Expected to be recognized as components of net periodic benefit cost in the next year</v>
      </c>
      <c r="B701" s="17"/>
      <c r="C701" s="17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30"/>
      <c r="P701" s="18"/>
      <c r="Q701" s="215"/>
      <c r="R701" s="215"/>
      <c r="S701" s="215"/>
      <c r="T701" s="215"/>
      <c r="U701" s="215"/>
      <c r="V701" s="222"/>
      <c r="W701" s="222"/>
      <c r="X701" s="222"/>
      <c r="Y701" s="215"/>
      <c r="Z701" s="215"/>
      <c r="AA701" s="215"/>
      <c r="AB701" s="215"/>
      <c r="AC701" s="215"/>
      <c r="AD701" s="215"/>
      <c r="AE701" s="215"/>
      <c r="AF701" s="215"/>
      <c r="AG701" s="215"/>
      <c r="AH701" s="215"/>
      <c r="AI701" s="215"/>
      <c r="AJ701" s="215"/>
      <c r="AK701" s="215"/>
      <c r="AL701" s="215"/>
      <c r="AM701" s="215"/>
      <c r="AN701" s="215"/>
      <c r="AO701" s="215"/>
      <c r="AP701" s="215"/>
      <c r="AQ701" s="215"/>
      <c r="AR701" s="215"/>
      <c r="AS701" s="215"/>
      <c r="AT701" s="215"/>
      <c r="AU701" s="215"/>
      <c r="AV701" s="215"/>
      <c r="AW701" s="215"/>
      <c r="AX701" s="215"/>
      <c r="AY701" s="215"/>
      <c r="AZ701" s="215"/>
      <c r="BA701" s="215"/>
      <c r="BB701" s="215"/>
      <c r="BC701" s="215"/>
      <c r="BD701" s="215"/>
      <c r="BE701" s="215"/>
      <c r="BF701" s="215"/>
      <c r="BG701" s="215"/>
      <c r="BH701" s="215"/>
      <c r="BI701" s="215"/>
      <c r="BJ701" s="215"/>
      <c r="BK701" s="215"/>
      <c r="BL701" s="215"/>
      <c r="BM701" s="215"/>
      <c r="BN701" s="215"/>
      <c r="BO701" s="215"/>
      <c r="BP701" s="215"/>
      <c r="BQ701" s="215"/>
      <c r="BR701" s="215"/>
      <c r="BS701" s="215"/>
      <c r="BT701" s="215"/>
      <c r="BU701" s="215"/>
      <c r="BV701" s="215"/>
      <c r="BW701" s="215"/>
      <c r="BX701" s="215"/>
      <c r="BY701" s="215"/>
      <c r="BZ701" s="215"/>
    </row>
    <row r="702" spans="1:78" outlineLevel="1" x14ac:dyDescent="0.2">
      <c r="A702" s="2" t="str">
        <f>'Language Index'!A548</f>
        <v>Prior Service Cost/Benefit Recog. Next Period</v>
      </c>
      <c r="B702" s="17"/>
      <c r="C702" s="17"/>
      <c r="D702" s="18">
        <f>_xll.ciqfunctions.udf.CIQ($C$2,"IQ_OPEB_PRIOR_SERVICE_NEXT",D$6,$F$2,,,Ccy,Conv)</f>
        <v>0</v>
      </c>
      <c r="E702" s="18">
        <f>_xll.ciqfunctions.udf.CIQ($C$2,"IQ_OPEB_PRIOR_SERVICE_NEXT",E$6,$F$2,,,Ccy,Conv)</f>
        <v>0</v>
      </c>
      <c r="F702" s="18">
        <f>_xll.ciqfunctions.udf.CIQ($C$2,"IQ_OPEB_PRIOR_SERVICE_NEXT",F$6,$F$2,,,Ccy,Conv)</f>
        <v>0</v>
      </c>
      <c r="G702" s="18">
        <f>_xll.ciqfunctions.udf.CIQ($C$2,"IQ_OPEB_PRIOR_SERVICE_NEXT",G$6,$F$2,,,Ccy,Conv)</f>
        <v>0</v>
      </c>
      <c r="H702" s="18">
        <f>_xll.ciqfunctions.udf.CIQ($C$2,"IQ_OPEB_PRIOR_SERVICE_NEXT",H$6,$F$2,,,Ccy,Conv)</f>
        <v>0</v>
      </c>
      <c r="I702" s="18">
        <f>_xll.ciqfunctions.udf.CIQ($C$2,"IQ_OPEB_PRIOR_SERVICE_NEXT",I$6,$F$2,,,Ccy,Conv)</f>
        <v>0</v>
      </c>
      <c r="J702" s="18">
        <f>_xll.ciqfunctions.udf.CIQ($C$2,"IQ_OPEB_PRIOR_SERVICE_NEXT",J$6,$F$2,,,Ccy,Conv)</f>
        <v>0</v>
      </c>
      <c r="K702" s="18">
        <f>_xll.ciqfunctions.udf.CIQ($C$2,"IQ_OPEB_PRIOR_SERVICE_NEXT",K$6,$F$2,,,Ccy,Conv)</f>
        <v>0</v>
      </c>
      <c r="L702" s="18">
        <f>_xll.ciqfunctions.udf.CIQ($C$2,"IQ_OPEB_PRIOR_SERVICE_NEXT",L$6,$F$2,,,Ccy,Conv)</f>
        <v>0</v>
      </c>
      <c r="M702" s="18">
        <f>_xll.ciqfunctions.udf.CIQ($C$2,"IQ_OPEB_PRIOR_SERVICE_NEXT",M$6,$F$2,,,Ccy,Conv)</f>
        <v>0</v>
      </c>
      <c r="N702" s="18">
        <f>_xll.ciqfunctions.udf.CIQ($C$2,"IQ_OPEB_PRIOR_SERVICE_NEXT",N$6,$F$2,,,Ccy,Conv)</f>
        <v>0</v>
      </c>
      <c r="O702" s="30"/>
      <c r="P702" s="18">
        <f>_xll.ciqfunctions.udf.CIQ($C$2,"IQ_OPEB_PRIOR_SERVICE_NEXT",P$6,$F$2,,,Ccy,Conv)</f>
        <v>0</v>
      </c>
      <c r="Q702" s="215"/>
      <c r="R702" s="215"/>
      <c r="S702" s="215"/>
      <c r="T702" s="215"/>
      <c r="U702" s="215"/>
      <c r="V702" s="222"/>
      <c r="W702" s="222"/>
      <c r="X702" s="222"/>
      <c r="Y702" s="215"/>
      <c r="Z702" s="215"/>
      <c r="AA702" s="215"/>
      <c r="AB702" s="215"/>
      <c r="AC702" s="215"/>
      <c r="AD702" s="215"/>
      <c r="AE702" s="215"/>
      <c r="AF702" s="215"/>
      <c r="AG702" s="215"/>
      <c r="AH702" s="215"/>
      <c r="AI702" s="215"/>
      <c r="AJ702" s="215"/>
      <c r="AK702" s="215"/>
      <c r="AL702" s="215"/>
      <c r="AM702" s="215"/>
      <c r="AN702" s="215"/>
      <c r="AO702" s="215"/>
      <c r="AP702" s="215"/>
      <c r="AQ702" s="215"/>
      <c r="AR702" s="215"/>
      <c r="AS702" s="215"/>
      <c r="AT702" s="215"/>
      <c r="AU702" s="215"/>
      <c r="AV702" s="215"/>
      <c r="AW702" s="215"/>
      <c r="AX702" s="215"/>
      <c r="AY702" s="215"/>
      <c r="AZ702" s="215"/>
      <c r="BA702" s="215"/>
      <c r="BB702" s="215"/>
      <c r="BC702" s="215"/>
      <c r="BD702" s="215"/>
      <c r="BE702" s="215"/>
      <c r="BF702" s="215"/>
      <c r="BG702" s="215"/>
      <c r="BH702" s="215"/>
      <c r="BI702" s="215"/>
      <c r="BJ702" s="215"/>
      <c r="BK702" s="215"/>
      <c r="BL702" s="215"/>
      <c r="BM702" s="215"/>
      <c r="BN702" s="215"/>
      <c r="BO702" s="215"/>
      <c r="BP702" s="215"/>
      <c r="BQ702" s="215"/>
      <c r="BR702" s="215"/>
      <c r="BS702" s="215"/>
      <c r="BT702" s="215"/>
      <c r="BU702" s="215"/>
      <c r="BV702" s="215"/>
      <c r="BW702" s="215"/>
      <c r="BX702" s="215"/>
      <c r="BY702" s="215"/>
      <c r="BZ702" s="215"/>
    </row>
    <row r="703" spans="1:78" outlineLevel="1" x14ac:dyDescent="0.2">
      <c r="A703" s="2" t="str">
        <f>'Language Index'!A549</f>
        <v>Net Actuarial Loss/Gain Recog. Next Period</v>
      </c>
      <c r="B703" s="17"/>
      <c r="C703" s="17"/>
      <c r="D703" s="18">
        <f>_xll.ciqfunctions.udf.CIQ($C$2,"IQ_OPEB_ACT_NEXT",D$6,$F$2,,,Ccy,Conv)</f>
        <v>0</v>
      </c>
      <c r="E703" s="18">
        <f>_xll.ciqfunctions.udf.CIQ($C$2,"IQ_OPEB_ACT_NEXT",E$6,$F$2,,,Ccy,Conv)</f>
        <v>0</v>
      </c>
      <c r="F703" s="18">
        <f>_xll.ciqfunctions.udf.CIQ($C$2,"IQ_OPEB_ACT_NEXT",F$6,$F$2,,,Ccy,Conv)</f>
        <v>0</v>
      </c>
      <c r="G703" s="18">
        <f>_xll.ciqfunctions.udf.CIQ($C$2,"IQ_OPEB_ACT_NEXT",G$6,$F$2,,,Ccy,Conv)</f>
        <v>0</v>
      </c>
      <c r="H703" s="18">
        <f>_xll.ciqfunctions.udf.CIQ($C$2,"IQ_OPEB_ACT_NEXT",H$6,$F$2,,,Ccy,Conv)</f>
        <v>0</v>
      </c>
      <c r="I703" s="18">
        <f>_xll.ciqfunctions.udf.CIQ($C$2,"IQ_OPEB_ACT_NEXT",I$6,$F$2,,,Ccy,Conv)</f>
        <v>0</v>
      </c>
      <c r="J703" s="18">
        <f>_xll.ciqfunctions.udf.CIQ($C$2,"IQ_OPEB_ACT_NEXT",J$6,$F$2,,,Ccy,Conv)</f>
        <v>0</v>
      </c>
      <c r="K703" s="18">
        <f>_xll.ciqfunctions.udf.CIQ($C$2,"IQ_OPEB_ACT_NEXT",K$6,$F$2,,,Ccy,Conv)</f>
        <v>0</v>
      </c>
      <c r="L703" s="18">
        <f>_xll.ciqfunctions.udf.CIQ($C$2,"IQ_OPEB_ACT_NEXT",L$6,$F$2,,,Ccy,Conv)</f>
        <v>0</v>
      </c>
      <c r="M703" s="18">
        <f>_xll.ciqfunctions.udf.CIQ($C$2,"IQ_OPEB_ACT_NEXT",M$6,$F$2,,,Ccy,Conv)</f>
        <v>0</v>
      </c>
      <c r="N703" s="18">
        <f>_xll.ciqfunctions.udf.CIQ($C$2,"IQ_OPEB_ACT_NEXT",N$6,$F$2,,,Ccy,Conv)</f>
        <v>0</v>
      </c>
      <c r="O703" s="30"/>
      <c r="P703" s="18">
        <f>_xll.ciqfunctions.udf.CIQ($C$2,"IQ_OPEB_ACT_NEXT",P$6,$F$2,,,Ccy,Conv)</f>
        <v>0</v>
      </c>
      <c r="Q703" s="215"/>
      <c r="R703" s="215"/>
      <c r="S703" s="215"/>
      <c r="T703" s="215"/>
      <c r="U703" s="215"/>
      <c r="V703" s="222"/>
      <c r="W703" s="222"/>
      <c r="X703" s="222"/>
      <c r="Y703" s="215"/>
      <c r="Z703" s="215"/>
      <c r="AA703" s="215"/>
      <c r="AB703" s="215"/>
      <c r="AC703" s="215"/>
      <c r="AD703" s="215"/>
      <c r="AE703" s="215"/>
      <c r="AF703" s="215"/>
      <c r="AG703" s="215"/>
      <c r="AH703" s="215"/>
      <c r="AI703" s="215"/>
      <c r="AJ703" s="215"/>
      <c r="AK703" s="215"/>
      <c r="AL703" s="215"/>
      <c r="AM703" s="215"/>
      <c r="AN703" s="215"/>
      <c r="AO703" s="215"/>
      <c r="AP703" s="215"/>
      <c r="AQ703" s="215"/>
      <c r="AR703" s="215"/>
      <c r="AS703" s="215"/>
      <c r="AT703" s="215"/>
      <c r="AU703" s="215"/>
      <c r="AV703" s="215"/>
      <c r="AW703" s="215"/>
      <c r="AX703" s="215"/>
      <c r="AY703" s="215"/>
      <c r="AZ703" s="215"/>
      <c r="BA703" s="215"/>
      <c r="BB703" s="215"/>
      <c r="BC703" s="215"/>
      <c r="BD703" s="215"/>
      <c r="BE703" s="215"/>
      <c r="BF703" s="215"/>
      <c r="BG703" s="215"/>
      <c r="BH703" s="215"/>
      <c r="BI703" s="215"/>
      <c r="BJ703" s="215"/>
      <c r="BK703" s="215"/>
      <c r="BL703" s="215"/>
      <c r="BM703" s="215"/>
      <c r="BN703" s="215"/>
      <c r="BO703" s="215"/>
      <c r="BP703" s="215"/>
      <c r="BQ703" s="215"/>
      <c r="BR703" s="215"/>
      <c r="BS703" s="215"/>
      <c r="BT703" s="215"/>
      <c r="BU703" s="215"/>
      <c r="BV703" s="215"/>
      <c r="BW703" s="215"/>
      <c r="BX703" s="215"/>
      <c r="BY703" s="215"/>
      <c r="BZ703" s="215"/>
    </row>
    <row r="704" spans="1:78" outlineLevel="1" x14ac:dyDescent="0.2">
      <c r="A704" s="2" t="str">
        <f>'Language Index'!A550</f>
        <v>Transition Asset/Obligation Recog. Next Period</v>
      </c>
      <c r="B704" s="17"/>
      <c r="C704" s="17"/>
      <c r="D704" s="18">
        <f>_xll.ciqfunctions.udf.CIQ($C$2,"IQ_OPEB_TRANSITION_NEXT",D$6,$F$2,,,Ccy,Conv)</f>
        <v>0</v>
      </c>
      <c r="E704" s="18">
        <f>_xll.ciqfunctions.udf.CIQ($C$2,"IQ_OPEB_TRANSITION_NEXT",E$6,$F$2,,,Ccy,Conv)</f>
        <v>0</v>
      </c>
      <c r="F704" s="18">
        <f>_xll.ciqfunctions.udf.CIQ($C$2,"IQ_OPEB_TRANSITION_NEXT",F$6,$F$2,,,Ccy,Conv)</f>
        <v>0</v>
      </c>
      <c r="G704" s="18">
        <f>_xll.ciqfunctions.udf.CIQ($C$2,"IQ_OPEB_TRANSITION_NEXT",G$6,$F$2,,,Ccy,Conv)</f>
        <v>0</v>
      </c>
      <c r="H704" s="18">
        <f>_xll.ciqfunctions.udf.CIQ($C$2,"IQ_OPEB_TRANSITION_NEXT",H$6,$F$2,,,Ccy,Conv)</f>
        <v>0</v>
      </c>
      <c r="I704" s="18">
        <f>_xll.ciqfunctions.udf.CIQ($C$2,"IQ_OPEB_TRANSITION_NEXT",I$6,$F$2,,,Ccy,Conv)</f>
        <v>0</v>
      </c>
      <c r="J704" s="18">
        <f>_xll.ciqfunctions.udf.CIQ($C$2,"IQ_OPEB_TRANSITION_NEXT",J$6,$F$2,,,Ccy,Conv)</f>
        <v>0</v>
      </c>
      <c r="K704" s="18">
        <f>_xll.ciqfunctions.udf.CIQ($C$2,"IQ_OPEB_TRANSITION_NEXT",K$6,$F$2,,,Ccy,Conv)</f>
        <v>0</v>
      </c>
      <c r="L704" s="18">
        <f>_xll.ciqfunctions.udf.CIQ($C$2,"IQ_OPEB_TRANSITION_NEXT",L$6,$F$2,,,Ccy,Conv)</f>
        <v>0</v>
      </c>
      <c r="M704" s="18">
        <f>_xll.ciqfunctions.udf.CIQ($C$2,"IQ_OPEB_TRANSITION_NEXT",M$6,$F$2,,,Ccy,Conv)</f>
        <v>0</v>
      </c>
      <c r="N704" s="18">
        <f>_xll.ciqfunctions.udf.CIQ($C$2,"IQ_OPEB_TRANSITION_NEXT",N$6,$F$2,,,Ccy,Conv)</f>
        <v>0</v>
      </c>
      <c r="O704" s="30"/>
      <c r="P704" s="18">
        <f>_xll.ciqfunctions.udf.CIQ($C$2,"IQ_OPEB_TRANSITION_NEXT",P$6,$F$2,,,Ccy,Conv)</f>
        <v>0</v>
      </c>
      <c r="Q704" s="215"/>
      <c r="R704" s="215"/>
      <c r="S704" s="215"/>
      <c r="T704" s="215"/>
      <c r="U704" s="215"/>
      <c r="V704" s="222"/>
      <c r="W704" s="222"/>
      <c r="X704" s="222"/>
      <c r="Y704" s="215"/>
      <c r="Z704" s="215"/>
      <c r="AA704" s="215"/>
      <c r="AB704" s="215"/>
      <c r="AC704" s="215"/>
      <c r="AD704" s="215"/>
      <c r="AE704" s="215"/>
      <c r="AF704" s="215"/>
      <c r="AG704" s="215"/>
      <c r="AH704" s="215"/>
      <c r="AI704" s="215"/>
      <c r="AJ704" s="215"/>
      <c r="AK704" s="215"/>
      <c r="AL704" s="215"/>
      <c r="AM704" s="215"/>
      <c r="AN704" s="215"/>
      <c r="AO704" s="215"/>
      <c r="AP704" s="215"/>
      <c r="AQ704" s="215"/>
      <c r="AR704" s="215"/>
      <c r="AS704" s="215"/>
      <c r="AT704" s="215"/>
      <c r="AU704" s="215"/>
      <c r="AV704" s="215"/>
      <c r="AW704" s="215"/>
      <c r="AX704" s="215"/>
      <c r="AY704" s="215"/>
      <c r="AZ704" s="215"/>
      <c r="BA704" s="215"/>
      <c r="BB704" s="215"/>
      <c r="BC704" s="215"/>
      <c r="BD704" s="215"/>
      <c r="BE704" s="215"/>
      <c r="BF704" s="215"/>
      <c r="BG704" s="215"/>
      <c r="BH704" s="215"/>
      <c r="BI704" s="215"/>
      <c r="BJ704" s="215"/>
      <c r="BK704" s="215"/>
      <c r="BL704" s="215"/>
      <c r="BM704" s="215"/>
      <c r="BN704" s="215"/>
      <c r="BO704" s="215"/>
      <c r="BP704" s="215"/>
      <c r="BQ704" s="215"/>
      <c r="BR704" s="215"/>
      <c r="BS704" s="215"/>
      <c r="BT704" s="215"/>
      <c r="BU704" s="215"/>
      <c r="BV704" s="215"/>
      <c r="BW704" s="215"/>
      <c r="BX704" s="215"/>
      <c r="BY704" s="215"/>
      <c r="BZ704" s="215"/>
    </row>
    <row r="705" spans="1:78" outlineLevel="1" x14ac:dyDescent="0.2">
      <c r="A705" s="2" t="str">
        <f>'Language Index'!A551</f>
        <v>Total Amount to be Recognized Next Period</v>
      </c>
      <c r="B705" s="17"/>
      <c r="C705" s="17"/>
      <c r="D705" s="18">
        <f>_xll.ciqfunctions.udf.CIQ($C$2,"IQ_OPEB_AMT_RECOG_NEXT",D$6,$F$2,,,Ccy,Conv)</f>
        <v>0</v>
      </c>
      <c r="E705" s="18">
        <f>_xll.ciqfunctions.udf.CIQ($C$2,"IQ_OPEB_AMT_RECOG_NEXT",E$6,$F$2,,,Ccy,Conv)</f>
        <v>0</v>
      </c>
      <c r="F705" s="18">
        <f>_xll.ciqfunctions.udf.CIQ($C$2,"IQ_OPEB_AMT_RECOG_NEXT",F$6,$F$2,,,Ccy,Conv)</f>
        <v>0</v>
      </c>
      <c r="G705" s="18">
        <f>_xll.ciqfunctions.udf.CIQ($C$2,"IQ_OPEB_AMT_RECOG_NEXT",G$6,$F$2,,,Ccy,Conv)</f>
        <v>0</v>
      </c>
      <c r="H705" s="18">
        <f>_xll.ciqfunctions.udf.CIQ($C$2,"IQ_OPEB_AMT_RECOG_NEXT",H$6,$F$2,,,Ccy,Conv)</f>
        <v>0</v>
      </c>
      <c r="I705" s="18">
        <f>_xll.ciqfunctions.udf.CIQ($C$2,"IQ_OPEB_AMT_RECOG_NEXT",I$6,$F$2,,,Ccy,Conv)</f>
        <v>0</v>
      </c>
      <c r="J705" s="18">
        <f>_xll.ciqfunctions.udf.CIQ($C$2,"IQ_OPEB_AMT_RECOG_NEXT",J$6,$F$2,,,Ccy,Conv)</f>
        <v>0</v>
      </c>
      <c r="K705" s="18">
        <f>_xll.ciqfunctions.udf.CIQ($C$2,"IQ_OPEB_AMT_RECOG_NEXT",K$6,$F$2,,,Ccy,Conv)</f>
        <v>0</v>
      </c>
      <c r="L705" s="18">
        <f>_xll.ciqfunctions.udf.CIQ($C$2,"IQ_OPEB_AMT_RECOG_NEXT",L$6,$F$2,,,Ccy,Conv)</f>
        <v>0</v>
      </c>
      <c r="M705" s="18">
        <f>_xll.ciqfunctions.udf.CIQ($C$2,"IQ_OPEB_AMT_RECOG_NEXT",M$6,$F$2,,,Ccy,Conv)</f>
        <v>0</v>
      </c>
      <c r="N705" s="18">
        <f>_xll.ciqfunctions.udf.CIQ($C$2,"IQ_OPEB_AMT_RECOG_NEXT",N$6,$F$2,,,Ccy,Conv)</f>
        <v>0</v>
      </c>
      <c r="O705" s="30"/>
      <c r="P705" s="18">
        <f>_xll.ciqfunctions.udf.CIQ($C$2,"IQ_OPEB_AMT_RECOG_NEXT",P$6,$F$2,,,Ccy,Conv)</f>
        <v>0</v>
      </c>
      <c r="Q705" s="215"/>
      <c r="R705" s="215"/>
      <c r="S705" s="215"/>
      <c r="T705" s="215"/>
      <c r="U705" s="215"/>
      <c r="V705" s="222"/>
      <c r="W705" s="222"/>
      <c r="X705" s="222"/>
      <c r="Y705" s="215"/>
      <c r="Z705" s="215"/>
      <c r="AA705" s="215"/>
      <c r="AB705" s="215"/>
      <c r="AC705" s="215"/>
      <c r="AD705" s="215"/>
      <c r="AE705" s="215"/>
      <c r="AF705" s="215"/>
      <c r="AG705" s="215"/>
      <c r="AH705" s="215"/>
      <c r="AI705" s="215"/>
      <c r="AJ705" s="215"/>
      <c r="AK705" s="215"/>
      <c r="AL705" s="215"/>
      <c r="AM705" s="215"/>
      <c r="AN705" s="215"/>
      <c r="AO705" s="215"/>
      <c r="AP705" s="215"/>
      <c r="AQ705" s="215"/>
      <c r="AR705" s="215"/>
      <c r="AS705" s="215"/>
      <c r="AT705" s="215"/>
      <c r="AU705" s="215"/>
      <c r="AV705" s="215"/>
      <c r="AW705" s="215"/>
      <c r="AX705" s="215"/>
      <c r="AY705" s="215"/>
      <c r="AZ705" s="215"/>
      <c r="BA705" s="215"/>
      <c r="BB705" s="215"/>
      <c r="BC705" s="215"/>
      <c r="BD705" s="215"/>
      <c r="BE705" s="215"/>
      <c r="BF705" s="215"/>
      <c r="BG705" s="215"/>
      <c r="BH705" s="215"/>
      <c r="BI705" s="215"/>
      <c r="BJ705" s="215"/>
      <c r="BK705" s="215"/>
      <c r="BL705" s="215"/>
      <c r="BM705" s="215"/>
      <c r="BN705" s="215"/>
      <c r="BO705" s="215"/>
      <c r="BP705" s="215"/>
      <c r="BQ705" s="215"/>
      <c r="BR705" s="215"/>
      <c r="BS705" s="215"/>
      <c r="BT705" s="215"/>
      <c r="BU705" s="215"/>
      <c r="BV705" s="215"/>
      <c r="BW705" s="215"/>
      <c r="BX705" s="215"/>
      <c r="BY705" s="215"/>
      <c r="BZ705" s="215"/>
    </row>
    <row r="706" spans="1:78" outlineLevel="1" x14ac:dyDescent="0.2">
      <c r="A706" s="9" t="str">
        <f>'Language Index'!A552</f>
        <v>Weighted Avg. Assumptions on Def. Benefit Obligation</v>
      </c>
      <c r="B706" s="17"/>
      <c r="C706" s="17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30"/>
      <c r="P706" s="18"/>
      <c r="Q706" s="245"/>
      <c r="R706" s="215"/>
      <c r="S706" s="215"/>
      <c r="T706" s="215"/>
      <c r="U706" s="215"/>
      <c r="V706" s="222"/>
      <c r="W706" s="222"/>
      <c r="X706" s="222"/>
      <c r="Y706" s="215"/>
      <c r="Z706" s="215"/>
      <c r="AA706" s="215"/>
      <c r="AB706" s="215"/>
      <c r="AC706" s="215"/>
      <c r="AD706" s="215"/>
      <c r="AE706" s="215"/>
      <c r="AF706" s="215"/>
      <c r="AG706" s="215"/>
      <c r="AH706" s="215"/>
      <c r="AI706" s="215"/>
      <c r="AJ706" s="215"/>
      <c r="AK706" s="215"/>
      <c r="AL706" s="215"/>
      <c r="AM706" s="215"/>
      <c r="AN706" s="215"/>
      <c r="AO706" s="215"/>
      <c r="AP706" s="215"/>
      <c r="AQ706" s="215"/>
      <c r="AR706" s="215"/>
      <c r="AS706" s="215"/>
      <c r="AT706" s="215"/>
      <c r="AU706" s="215"/>
      <c r="AV706" s="215"/>
      <c r="AW706" s="215"/>
      <c r="AX706" s="215"/>
      <c r="AY706" s="215"/>
      <c r="AZ706" s="215"/>
      <c r="BA706" s="215"/>
      <c r="BB706" s="215"/>
      <c r="BC706" s="215"/>
      <c r="BD706" s="215"/>
      <c r="BE706" s="215"/>
      <c r="BF706" s="215"/>
      <c r="BG706" s="215"/>
      <c r="BH706" s="215"/>
      <c r="BI706" s="215"/>
      <c r="BJ706" s="215"/>
      <c r="BK706" s="215"/>
      <c r="BL706" s="215"/>
      <c r="BM706" s="215"/>
      <c r="BN706" s="215"/>
      <c r="BO706" s="215"/>
      <c r="BP706" s="215"/>
      <c r="BQ706" s="215"/>
      <c r="BR706" s="215"/>
      <c r="BS706" s="215"/>
      <c r="BT706" s="215"/>
      <c r="BU706" s="215"/>
      <c r="BV706" s="215"/>
      <c r="BW706" s="215"/>
      <c r="BX706" s="215"/>
      <c r="BY706" s="215"/>
      <c r="BZ706" s="215"/>
    </row>
    <row r="707" spans="1:78" outlineLevel="1" x14ac:dyDescent="0.2">
      <c r="A707" s="2" t="str">
        <f>'Language Index'!A553</f>
        <v>PBO Assumed Rate of Return - Min</v>
      </c>
      <c r="B707" s="17"/>
      <c r="C707" s="17"/>
      <c r="D707" s="18">
        <f>_xll.ciqfunctions.udf.CIQ($C$2,"IQ_OPEB_PBO_ASSUMED_RATE_RET_MIN",D$6,$F$2)</f>
        <v>0</v>
      </c>
      <c r="E707" s="18">
        <f>_xll.ciqfunctions.udf.CIQ($C$2,"IQ_OPEB_PBO_ASSUMED_RATE_RET_MIN",E$6,$F$2)</f>
        <v>0</v>
      </c>
      <c r="F707" s="18">
        <f>_xll.ciqfunctions.udf.CIQ($C$2,"IQ_OPEB_PBO_ASSUMED_RATE_RET_MIN",F$6,$F$2)</f>
        <v>0</v>
      </c>
      <c r="G707" s="18">
        <f>_xll.ciqfunctions.udf.CIQ($C$2,"IQ_OPEB_PBO_ASSUMED_RATE_RET_MIN",G$6,$F$2)</f>
        <v>0</v>
      </c>
      <c r="H707" s="18">
        <f>_xll.ciqfunctions.udf.CIQ($C$2,"IQ_OPEB_PBO_ASSUMED_RATE_RET_MIN",H$6,$F$2)</f>
        <v>0</v>
      </c>
      <c r="I707" s="18">
        <f>_xll.ciqfunctions.udf.CIQ($C$2,"IQ_OPEB_PBO_ASSUMED_RATE_RET_MIN",I$6,$F$2)</f>
        <v>0</v>
      </c>
      <c r="J707" s="18">
        <f>_xll.ciqfunctions.udf.CIQ($C$2,"IQ_OPEB_PBO_ASSUMED_RATE_RET_MIN",J$6,$F$2)</f>
        <v>0</v>
      </c>
      <c r="K707" s="18">
        <f>_xll.ciqfunctions.udf.CIQ($C$2,"IQ_OPEB_PBO_ASSUMED_RATE_RET_MIN",K$6,$F$2)</f>
        <v>0</v>
      </c>
      <c r="L707" s="18">
        <f>_xll.ciqfunctions.udf.CIQ($C$2,"IQ_OPEB_PBO_ASSUMED_RATE_RET_MIN",L$6,$F$2)</f>
        <v>0</v>
      </c>
      <c r="M707" s="18">
        <f>_xll.ciqfunctions.udf.CIQ($C$2,"IQ_OPEB_PBO_ASSUMED_RATE_RET_MIN",M$6,$F$2)</f>
        <v>0</v>
      </c>
      <c r="N707" s="18">
        <f>_xll.ciqfunctions.udf.CIQ($C$2,"IQ_OPEB_PBO_ASSUMED_RATE_RET_MIN",N$6,$F$2)</f>
        <v>0</v>
      </c>
      <c r="O707" s="30"/>
      <c r="P707" s="18">
        <f>_xll.ciqfunctions.udf.CIQ($C$2,"IQ_OPEB_PBO_ASSUMED_RATE_RET_MIN",P$6,$F$2)</f>
        <v>0</v>
      </c>
      <c r="Q707" s="245"/>
      <c r="R707" s="215"/>
      <c r="S707" s="215"/>
      <c r="T707" s="215"/>
      <c r="U707" s="215"/>
      <c r="V707" s="222"/>
      <c r="W707" s="222"/>
      <c r="X707" s="222"/>
      <c r="Y707" s="215"/>
      <c r="Z707" s="215"/>
      <c r="AA707" s="215"/>
      <c r="AB707" s="215"/>
      <c r="AC707" s="215"/>
      <c r="AD707" s="215"/>
      <c r="AE707" s="215"/>
      <c r="AF707" s="215"/>
      <c r="AG707" s="215"/>
      <c r="AH707" s="215"/>
      <c r="AI707" s="215"/>
      <c r="AJ707" s="215"/>
      <c r="AK707" s="215"/>
      <c r="AL707" s="215"/>
      <c r="AM707" s="215"/>
      <c r="AN707" s="215"/>
      <c r="AO707" s="215"/>
      <c r="AP707" s="215"/>
      <c r="AQ707" s="215"/>
      <c r="AR707" s="215"/>
      <c r="AS707" s="215"/>
      <c r="AT707" s="215"/>
      <c r="AU707" s="215"/>
      <c r="AV707" s="215"/>
      <c r="AW707" s="215"/>
      <c r="AX707" s="215"/>
      <c r="AY707" s="215"/>
      <c r="AZ707" s="215"/>
      <c r="BA707" s="215"/>
      <c r="BB707" s="215"/>
      <c r="BC707" s="215"/>
      <c r="BD707" s="215"/>
      <c r="BE707" s="215"/>
      <c r="BF707" s="215"/>
      <c r="BG707" s="215"/>
      <c r="BH707" s="215"/>
      <c r="BI707" s="215"/>
      <c r="BJ707" s="215"/>
      <c r="BK707" s="215"/>
      <c r="BL707" s="215"/>
      <c r="BM707" s="215"/>
      <c r="BN707" s="215"/>
      <c r="BO707" s="215"/>
      <c r="BP707" s="215"/>
      <c r="BQ707" s="215"/>
      <c r="BR707" s="215"/>
      <c r="BS707" s="215"/>
      <c r="BT707" s="215"/>
      <c r="BU707" s="215"/>
      <c r="BV707" s="215"/>
      <c r="BW707" s="215"/>
      <c r="BX707" s="215"/>
      <c r="BY707" s="215"/>
      <c r="BZ707" s="215"/>
    </row>
    <row r="708" spans="1:78" outlineLevel="1" x14ac:dyDescent="0.2">
      <c r="A708" s="2" t="str">
        <f>'Language Index'!A554</f>
        <v>PBO Assumed Rate of Return - Max</v>
      </c>
      <c r="B708" s="17"/>
      <c r="C708" s="17"/>
      <c r="D708" s="18">
        <f>_xll.ciqfunctions.udf.CIQ($C$2,"IQ_OPEB_PBO_ASSUMED_RATE_RET_MAX",D$6,$F$2)</f>
        <v>0</v>
      </c>
      <c r="E708" s="18">
        <f>_xll.ciqfunctions.udf.CIQ($C$2,"IQ_OPEB_PBO_ASSUMED_RATE_RET_MAX",E$6,$F$2)</f>
        <v>0</v>
      </c>
      <c r="F708" s="18">
        <f>_xll.ciqfunctions.udf.CIQ($C$2,"IQ_OPEB_PBO_ASSUMED_RATE_RET_MAX",F$6,$F$2)</f>
        <v>0</v>
      </c>
      <c r="G708" s="18">
        <f>_xll.ciqfunctions.udf.CIQ($C$2,"IQ_OPEB_PBO_ASSUMED_RATE_RET_MAX",G$6,$F$2)</f>
        <v>0</v>
      </c>
      <c r="H708" s="18">
        <f>_xll.ciqfunctions.udf.CIQ($C$2,"IQ_OPEB_PBO_ASSUMED_RATE_RET_MAX",H$6,$F$2)</f>
        <v>0</v>
      </c>
      <c r="I708" s="18">
        <f>_xll.ciqfunctions.udf.CIQ($C$2,"IQ_OPEB_PBO_ASSUMED_RATE_RET_MAX",I$6,$F$2)</f>
        <v>0</v>
      </c>
      <c r="J708" s="18">
        <f>_xll.ciqfunctions.udf.CIQ($C$2,"IQ_OPEB_PBO_ASSUMED_RATE_RET_MAX",J$6,$F$2)</f>
        <v>0</v>
      </c>
      <c r="K708" s="18">
        <f>_xll.ciqfunctions.udf.CIQ($C$2,"IQ_OPEB_PBO_ASSUMED_RATE_RET_MAX",K$6,$F$2)</f>
        <v>0</v>
      </c>
      <c r="L708" s="18">
        <f>_xll.ciqfunctions.udf.CIQ($C$2,"IQ_OPEB_PBO_ASSUMED_RATE_RET_MAX",L$6,$F$2)</f>
        <v>0</v>
      </c>
      <c r="M708" s="18">
        <f>_xll.ciqfunctions.udf.CIQ($C$2,"IQ_OPEB_PBO_ASSUMED_RATE_RET_MAX",M$6,$F$2)</f>
        <v>0</v>
      </c>
      <c r="N708" s="18">
        <f>_xll.ciqfunctions.udf.CIQ($C$2,"IQ_OPEB_PBO_ASSUMED_RATE_RET_MAX",N$6,$F$2)</f>
        <v>0</v>
      </c>
      <c r="O708" s="30"/>
      <c r="P708" s="18">
        <f>_xll.ciqfunctions.udf.CIQ($C$2,"IQ_OPEB_PBO_ASSUMED_RATE_RET_MAX",P$6,$F$2)</f>
        <v>0</v>
      </c>
      <c r="Q708" s="245"/>
      <c r="R708" s="215"/>
      <c r="S708" s="215"/>
      <c r="T708" s="215"/>
      <c r="U708" s="215"/>
      <c r="V708" s="222"/>
      <c r="W708" s="222"/>
      <c r="X708" s="222"/>
      <c r="Y708" s="215"/>
      <c r="Z708" s="215"/>
      <c r="AA708" s="215"/>
      <c r="AB708" s="215"/>
      <c r="AC708" s="215"/>
      <c r="AD708" s="215"/>
      <c r="AE708" s="215"/>
      <c r="AF708" s="215"/>
      <c r="AG708" s="215"/>
      <c r="AH708" s="215"/>
      <c r="AI708" s="215"/>
      <c r="AJ708" s="215"/>
      <c r="AK708" s="215"/>
      <c r="AL708" s="215"/>
      <c r="AM708" s="215"/>
      <c r="AN708" s="215"/>
      <c r="AO708" s="215"/>
      <c r="AP708" s="215"/>
      <c r="AQ708" s="215"/>
      <c r="AR708" s="215"/>
      <c r="AS708" s="215"/>
      <c r="AT708" s="215"/>
      <c r="AU708" s="215"/>
      <c r="AV708" s="215"/>
      <c r="AW708" s="215"/>
      <c r="AX708" s="215"/>
      <c r="AY708" s="215"/>
      <c r="AZ708" s="215"/>
      <c r="BA708" s="215"/>
      <c r="BB708" s="215"/>
      <c r="BC708" s="215"/>
      <c r="BD708" s="215"/>
      <c r="BE708" s="215"/>
      <c r="BF708" s="215"/>
      <c r="BG708" s="215"/>
      <c r="BH708" s="215"/>
      <c r="BI708" s="215"/>
      <c r="BJ708" s="215"/>
      <c r="BK708" s="215"/>
      <c r="BL708" s="215"/>
      <c r="BM708" s="215"/>
      <c r="BN708" s="215"/>
      <c r="BO708" s="215"/>
      <c r="BP708" s="215"/>
      <c r="BQ708" s="215"/>
      <c r="BR708" s="215"/>
      <c r="BS708" s="215"/>
      <c r="BT708" s="215"/>
      <c r="BU708" s="215"/>
      <c r="BV708" s="215"/>
      <c r="BW708" s="215"/>
      <c r="BX708" s="215"/>
      <c r="BY708" s="215"/>
      <c r="BZ708" s="215"/>
    </row>
    <row r="709" spans="1:78" outlineLevel="1" x14ac:dyDescent="0.2">
      <c r="A709" s="2" t="str">
        <f>'Language Index'!A555</f>
        <v>Rate of PBO Compensation Increase - Min</v>
      </c>
      <c r="B709" s="17"/>
      <c r="C709" s="17"/>
      <c r="D709" s="18">
        <f>_xll.ciqfunctions.udf.CIQ($C$2,"IQ_OPEB_PBO_RATE_COMP_INCREASE_MIN",D$6,$F$2)</f>
        <v>0</v>
      </c>
      <c r="E709" s="18">
        <f>_xll.ciqfunctions.udf.CIQ($C$2,"IQ_OPEB_PBO_RATE_COMP_INCREASE_MIN",E$6,$F$2)</f>
        <v>0</v>
      </c>
      <c r="F709" s="18">
        <f>_xll.ciqfunctions.udf.CIQ($C$2,"IQ_OPEB_PBO_RATE_COMP_INCREASE_MIN",F$6,$F$2)</f>
        <v>0</v>
      </c>
      <c r="G709" s="18">
        <f>_xll.ciqfunctions.udf.CIQ($C$2,"IQ_OPEB_PBO_RATE_COMP_INCREASE_MIN",G$6,$F$2)</f>
        <v>0</v>
      </c>
      <c r="H709" s="18">
        <f>_xll.ciqfunctions.udf.CIQ($C$2,"IQ_OPEB_PBO_RATE_COMP_INCREASE_MIN",H$6,$F$2)</f>
        <v>0</v>
      </c>
      <c r="I709" s="18">
        <f>_xll.ciqfunctions.udf.CIQ($C$2,"IQ_OPEB_PBO_RATE_COMP_INCREASE_MIN",I$6,$F$2)</f>
        <v>0</v>
      </c>
      <c r="J709" s="18">
        <f>_xll.ciqfunctions.udf.CIQ($C$2,"IQ_OPEB_PBO_RATE_COMP_INCREASE_MIN",J$6,$F$2)</f>
        <v>0</v>
      </c>
      <c r="K709" s="18">
        <f>_xll.ciqfunctions.udf.CIQ($C$2,"IQ_OPEB_PBO_RATE_COMP_INCREASE_MIN",K$6,$F$2)</f>
        <v>0</v>
      </c>
      <c r="L709" s="18">
        <f>_xll.ciqfunctions.udf.CIQ($C$2,"IQ_OPEB_PBO_RATE_COMP_INCREASE_MIN",L$6,$F$2)</f>
        <v>0</v>
      </c>
      <c r="M709" s="18">
        <f>_xll.ciqfunctions.udf.CIQ($C$2,"IQ_OPEB_PBO_RATE_COMP_INCREASE_MIN",M$6,$F$2)</f>
        <v>0</v>
      </c>
      <c r="N709" s="18">
        <f>_xll.ciqfunctions.udf.CIQ($C$2,"IQ_OPEB_PBO_RATE_COMP_INCREASE_MIN",N$6,$F$2)</f>
        <v>0</v>
      </c>
      <c r="O709" s="30"/>
      <c r="P709" s="18">
        <f>_xll.ciqfunctions.udf.CIQ($C$2,"IQ_OPEB_PBO_RATE_COMP_INCREASE_MIN",P$6,$F$2)</f>
        <v>0</v>
      </c>
      <c r="Q709" s="215"/>
      <c r="R709" s="215"/>
      <c r="S709" s="215"/>
      <c r="T709" s="215"/>
      <c r="U709" s="215"/>
      <c r="V709" s="222"/>
      <c r="W709" s="222"/>
      <c r="X709" s="222"/>
      <c r="Y709" s="215"/>
      <c r="Z709" s="215"/>
      <c r="AA709" s="215"/>
      <c r="AB709" s="215"/>
      <c r="AC709" s="215"/>
      <c r="AD709" s="215"/>
      <c r="AE709" s="215"/>
      <c r="AF709" s="215"/>
      <c r="AG709" s="215"/>
      <c r="AH709" s="215"/>
      <c r="AI709" s="215"/>
      <c r="AJ709" s="215"/>
      <c r="AK709" s="215"/>
      <c r="AL709" s="215"/>
      <c r="AM709" s="215"/>
      <c r="AN709" s="215"/>
      <c r="AO709" s="215"/>
      <c r="AP709" s="215"/>
      <c r="AQ709" s="215"/>
      <c r="AR709" s="215"/>
      <c r="AS709" s="215"/>
      <c r="AT709" s="215"/>
      <c r="AU709" s="215"/>
      <c r="AV709" s="215"/>
      <c r="AW709" s="215"/>
      <c r="AX709" s="215"/>
      <c r="AY709" s="215"/>
      <c r="AZ709" s="215"/>
      <c r="BA709" s="215"/>
      <c r="BB709" s="215"/>
      <c r="BC709" s="215"/>
      <c r="BD709" s="215"/>
      <c r="BE709" s="215"/>
      <c r="BF709" s="215"/>
      <c r="BG709" s="215"/>
      <c r="BH709" s="215"/>
      <c r="BI709" s="215"/>
      <c r="BJ709" s="215"/>
      <c r="BK709" s="215"/>
      <c r="BL709" s="215"/>
      <c r="BM709" s="215"/>
      <c r="BN709" s="215"/>
      <c r="BO709" s="215"/>
      <c r="BP709" s="215"/>
      <c r="BQ709" s="215"/>
      <c r="BR709" s="215"/>
      <c r="BS709" s="215"/>
      <c r="BT709" s="215"/>
      <c r="BU709" s="215"/>
      <c r="BV709" s="215"/>
      <c r="BW709" s="215"/>
      <c r="BX709" s="215"/>
      <c r="BY709" s="215"/>
      <c r="BZ709" s="215"/>
    </row>
    <row r="710" spans="1:78" outlineLevel="1" x14ac:dyDescent="0.2">
      <c r="A710" s="2" t="str">
        <f>'Language Index'!A556</f>
        <v>Rate of PBO Compensation Increase - Max</v>
      </c>
      <c r="B710" s="17"/>
      <c r="C710" s="17"/>
      <c r="D710" s="18">
        <f>_xll.ciqfunctions.udf.CIQ($C$2,"IQ_OPEB_PBO_RATE_COMP_INCREASE_MAX",D$6,$F$2)</f>
        <v>0</v>
      </c>
      <c r="E710" s="18">
        <f>_xll.ciqfunctions.udf.CIQ($C$2,"IQ_OPEB_PBO_RATE_COMP_INCREASE_MAX",E$6,$F$2)</f>
        <v>0</v>
      </c>
      <c r="F710" s="18">
        <f>_xll.ciqfunctions.udf.CIQ($C$2,"IQ_OPEB_PBO_RATE_COMP_INCREASE_MAX",F$6,$F$2)</f>
        <v>0</v>
      </c>
      <c r="G710" s="18">
        <f>_xll.ciqfunctions.udf.CIQ($C$2,"IQ_OPEB_PBO_RATE_COMP_INCREASE_MAX",G$6,$F$2)</f>
        <v>0</v>
      </c>
      <c r="H710" s="18">
        <f>_xll.ciqfunctions.udf.CIQ($C$2,"IQ_OPEB_PBO_RATE_COMP_INCREASE_MAX",H$6,$F$2)</f>
        <v>0</v>
      </c>
      <c r="I710" s="18">
        <f>_xll.ciqfunctions.udf.CIQ($C$2,"IQ_OPEB_PBO_RATE_COMP_INCREASE_MAX",I$6,$F$2)</f>
        <v>0</v>
      </c>
      <c r="J710" s="18">
        <f>_xll.ciqfunctions.udf.CIQ($C$2,"IQ_OPEB_PBO_RATE_COMP_INCREASE_MAX",J$6,$F$2)</f>
        <v>0</v>
      </c>
      <c r="K710" s="18">
        <f>_xll.ciqfunctions.udf.CIQ($C$2,"IQ_OPEB_PBO_RATE_COMP_INCREASE_MAX",K$6,$F$2)</f>
        <v>0</v>
      </c>
      <c r="L710" s="18">
        <f>_xll.ciqfunctions.udf.CIQ($C$2,"IQ_OPEB_PBO_RATE_COMP_INCREASE_MAX",L$6,$F$2)</f>
        <v>0</v>
      </c>
      <c r="M710" s="18">
        <f>_xll.ciqfunctions.udf.CIQ($C$2,"IQ_OPEB_PBO_RATE_COMP_INCREASE_MAX",M$6,$F$2)</f>
        <v>0</v>
      </c>
      <c r="N710" s="18">
        <f>_xll.ciqfunctions.udf.CIQ($C$2,"IQ_OPEB_PBO_RATE_COMP_INCREASE_MAX",N$6,$F$2)</f>
        <v>0</v>
      </c>
      <c r="O710" s="30"/>
      <c r="P710" s="18">
        <f>_xll.ciqfunctions.udf.CIQ($C$2,"IQ_OPEB_PBO_RATE_COMP_INCREASE_MAX",P$6,$F$2)</f>
        <v>0</v>
      </c>
      <c r="Q710" s="215"/>
      <c r="R710" s="215"/>
      <c r="S710" s="215"/>
      <c r="T710" s="215"/>
      <c r="U710" s="215"/>
      <c r="V710" s="222"/>
      <c r="W710" s="222"/>
      <c r="X710" s="222"/>
      <c r="Y710" s="215"/>
      <c r="Z710" s="215"/>
      <c r="AA710" s="215"/>
      <c r="AB710" s="215"/>
      <c r="AC710" s="215"/>
      <c r="AD710" s="215"/>
      <c r="AE710" s="215"/>
      <c r="AF710" s="215"/>
      <c r="AG710" s="215"/>
      <c r="AH710" s="215"/>
      <c r="AI710" s="215"/>
      <c r="AJ710" s="215"/>
      <c r="AK710" s="215"/>
      <c r="AL710" s="215"/>
      <c r="AM710" s="215"/>
      <c r="AN710" s="215"/>
      <c r="AO710" s="215"/>
      <c r="AP710" s="215"/>
      <c r="AQ710" s="215"/>
      <c r="AR710" s="215"/>
      <c r="AS710" s="215"/>
      <c r="AT710" s="215"/>
      <c r="AU710" s="215"/>
      <c r="AV710" s="215"/>
      <c r="AW710" s="215"/>
      <c r="AX710" s="215"/>
      <c r="AY710" s="215"/>
      <c r="AZ710" s="215"/>
      <c r="BA710" s="215"/>
      <c r="BB710" s="215"/>
      <c r="BC710" s="215"/>
      <c r="BD710" s="215"/>
      <c r="BE710" s="215"/>
      <c r="BF710" s="215"/>
      <c r="BG710" s="215"/>
      <c r="BH710" s="215"/>
      <c r="BI710" s="215"/>
      <c r="BJ710" s="215"/>
      <c r="BK710" s="215"/>
      <c r="BL710" s="215"/>
      <c r="BM710" s="215"/>
      <c r="BN710" s="215"/>
      <c r="BO710" s="215"/>
      <c r="BP710" s="215"/>
      <c r="BQ710" s="215"/>
      <c r="BR710" s="215"/>
      <c r="BS710" s="215"/>
      <c r="BT710" s="215"/>
      <c r="BU710" s="215"/>
      <c r="BV710" s="215"/>
      <c r="BW710" s="215"/>
      <c r="BX710" s="215"/>
      <c r="BY710" s="215"/>
      <c r="BZ710" s="215"/>
    </row>
    <row r="711" spans="1:78" outlineLevel="1" x14ac:dyDescent="0.2">
      <c r="A711" s="9" t="str">
        <f>'Language Index'!A557</f>
        <v>Estimated Future Benefits Paid</v>
      </c>
      <c r="B711" s="17"/>
      <c r="C711" s="17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30"/>
      <c r="P711" s="18"/>
      <c r="Q711" s="215"/>
      <c r="R711" s="215"/>
      <c r="S711" s="215"/>
      <c r="T711" s="215"/>
      <c r="U711" s="215"/>
      <c r="V711" s="222"/>
      <c r="W711" s="222"/>
      <c r="X711" s="222"/>
      <c r="Y711" s="215"/>
      <c r="Z711" s="215"/>
      <c r="AA711" s="215"/>
      <c r="AB711" s="215"/>
      <c r="AC711" s="215"/>
      <c r="AD711" s="215"/>
      <c r="AE711" s="215"/>
      <c r="AF711" s="215"/>
      <c r="AG711" s="215"/>
      <c r="AH711" s="215"/>
      <c r="AI711" s="215"/>
      <c r="AJ711" s="215"/>
      <c r="AK711" s="215"/>
      <c r="AL711" s="215"/>
      <c r="AM711" s="215"/>
      <c r="AN711" s="215"/>
      <c r="AO711" s="215"/>
      <c r="AP711" s="215"/>
      <c r="AQ711" s="215"/>
      <c r="AR711" s="215"/>
      <c r="AS711" s="215"/>
      <c r="AT711" s="215"/>
      <c r="AU711" s="215"/>
      <c r="AV711" s="215"/>
      <c r="AW711" s="215"/>
      <c r="AX711" s="215"/>
      <c r="AY711" s="215"/>
      <c r="AZ711" s="215"/>
      <c r="BA711" s="215"/>
      <c r="BB711" s="215"/>
      <c r="BC711" s="215"/>
      <c r="BD711" s="215"/>
      <c r="BE711" s="215"/>
      <c r="BF711" s="215"/>
      <c r="BG711" s="215"/>
      <c r="BH711" s="215"/>
      <c r="BI711" s="215"/>
      <c r="BJ711" s="215"/>
      <c r="BK711" s="215"/>
      <c r="BL711" s="215"/>
      <c r="BM711" s="215"/>
      <c r="BN711" s="215"/>
      <c r="BO711" s="215"/>
      <c r="BP711" s="215"/>
      <c r="BQ711" s="215"/>
      <c r="BR711" s="215"/>
      <c r="BS711" s="215"/>
      <c r="BT711" s="215"/>
      <c r="BU711" s="215"/>
      <c r="BV711" s="215"/>
      <c r="BW711" s="215"/>
      <c r="BX711" s="215"/>
      <c r="BY711" s="215"/>
      <c r="BZ711" s="215"/>
    </row>
    <row r="712" spans="1:78" outlineLevel="1" x14ac:dyDescent="0.2">
      <c r="A712" s="2" t="str">
        <f>'Language Index'!A558</f>
        <v>Est. Future Benefits Paid - 1st Yr</v>
      </c>
      <c r="B712" s="17"/>
      <c r="C712" s="17"/>
      <c r="D712" s="18">
        <f>_xll.ciqfunctions.udf.CIQ($C$2,"IQ_OPEB_EST_BENEFIT_1YR",D$6,$F$2,,,Ccy,Conv)</f>
        <v>0</v>
      </c>
      <c r="E712" s="18">
        <f>_xll.ciqfunctions.udf.CIQ($C$2,"IQ_OPEB_EST_BENEFIT_1YR",E$6,$F$2,,,Ccy,Conv)</f>
        <v>0</v>
      </c>
      <c r="F712" s="18">
        <f>_xll.ciqfunctions.udf.CIQ($C$2,"IQ_OPEB_EST_BENEFIT_1YR",F$6,$F$2,,,Ccy,Conv)</f>
        <v>261</v>
      </c>
      <c r="G712" s="18">
        <f>_xll.ciqfunctions.udf.CIQ($C$2,"IQ_OPEB_EST_BENEFIT_1YR",G$6,$F$2,,,Ccy,Conv)</f>
        <v>0</v>
      </c>
      <c r="H712" s="18">
        <f>_xll.ciqfunctions.udf.CIQ($C$2,"IQ_OPEB_EST_BENEFIT_1YR",H$6,$F$2,,,Ccy,Conv)</f>
        <v>0</v>
      </c>
      <c r="I712" s="18">
        <f>_xll.ciqfunctions.udf.CIQ($C$2,"IQ_OPEB_EST_BENEFIT_1YR",I$6,$F$2,,,Ccy,Conv)</f>
        <v>0</v>
      </c>
      <c r="J712" s="18">
        <f>_xll.ciqfunctions.udf.CIQ($C$2,"IQ_OPEB_EST_BENEFIT_1YR",J$6,$F$2,,,Ccy,Conv)</f>
        <v>272</v>
      </c>
      <c r="K712" s="18">
        <f>_xll.ciqfunctions.udf.CIQ($C$2,"IQ_OPEB_EST_BENEFIT_1YR",K$6,$F$2,,,Ccy,Conv)</f>
        <v>0</v>
      </c>
      <c r="L712" s="18">
        <f>_xll.ciqfunctions.udf.CIQ($C$2,"IQ_OPEB_EST_BENEFIT_1YR",L$6,$F$2,,,Ccy,Conv)</f>
        <v>0</v>
      </c>
      <c r="M712" s="18">
        <f>_xll.ciqfunctions.udf.CIQ($C$2,"IQ_OPEB_EST_BENEFIT_1YR",M$6,$F$2,,,Ccy,Conv)</f>
        <v>0</v>
      </c>
      <c r="N712" s="18">
        <f>_xll.ciqfunctions.udf.CIQ($C$2,"IQ_OPEB_EST_BENEFIT_1YR",N$6,$F$2,,,Ccy,Conv)</f>
        <v>312</v>
      </c>
      <c r="O712" s="30"/>
      <c r="P712" s="18">
        <f>_xll.ciqfunctions.udf.CIQ($C$2,"IQ_OPEB_EST_BENEFIT_1YR",P$6,$F$2,,,Ccy,Conv)</f>
        <v>312</v>
      </c>
      <c r="Q712" s="215"/>
      <c r="R712" s="215"/>
      <c r="S712" s="215"/>
      <c r="T712" s="215"/>
      <c r="U712" s="215"/>
      <c r="V712" s="222"/>
      <c r="W712" s="222"/>
      <c r="X712" s="222"/>
      <c r="Y712" s="215"/>
      <c r="Z712" s="215"/>
      <c r="AA712" s="215"/>
      <c r="AB712" s="215"/>
      <c r="AC712" s="215"/>
      <c r="AD712" s="215"/>
      <c r="AE712" s="215"/>
      <c r="AF712" s="215"/>
      <c r="AG712" s="215"/>
      <c r="AH712" s="215"/>
      <c r="AI712" s="215"/>
      <c r="AJ712" s="215"/>
      <c r="AK712" s="215"/>
      <c r="AL712" s="215"/>
      <c r="AM712" s="215"/>
      <c r="AN712" s="215"/>
      <c r="AO712" s="215"/>
      <c r="AP712" s="215"/>
      <c r="AQ712" s="215"/>
      <c r="AR712" s="215"/>
      <c r="AS712" s="215"/>
      <c r="AT712" s="215"/>
      <c r="AU712" s="215"/>
      <c r="AV712" s="215"/>
      <c r="AW712" s="215"/>
      <c r="AX712" s="215"/>
      <c r="AY712" s="215"/>
      <c r="AZ712" s="215"/>
      <c r="BA712" s="215"/>
      <c r="BB712" s="215"/>
      <c r="BC712" s="215"/>
      <c r="BD712" s="215"/>
      <c r="BE712" s="215"/>
      <c r="BF712" s="215"/>
      <c r="BG712" s="215"/>
      <c r="BH712" s="215"/>
      <c r="BI712" s="215"/>
      <c r="BJ712" s="215"/>
      <c r="BK712" s="215"/>
      <c r="BL712" s="215"/>
      <c r="BM712" s="215"/>
      <c r="BN712" s="215"/>
      <c r="BO712" s="215"/>
      <c r="BP712" s="215"/>
      <c r="BQ712" s="215"/>
      <c r="BR712" s="215"/>
      <c r="BS712" s="215"/>
      <c r="BT712" s="215"/>
      <c r="BU712" s="215"/>
      <c r="BV712" s="215"/>
      <c r="BW712" s="215"/>
      <c r="BX712" s="215"/>
      <c r="BY712" s="215"/>
      <c r="BZ712" s="215"/>
    </row>
    <row r="713" spans="1:78" outlineLevel="1" x14ac:dyDescent="0.2">
      <c r="A713" s="2" t="str">
        <f>'Language Index'!A559</f>
        <v>Est. Future Benefits Paid - 2nd Yr</v>
      </c>
      <c r="B713" s="17"/>
      <c r="C713" s="17"/>
      <c r="D713" s="18">
        <f>_xll.ciqfunctions.udf.CIQ($C$2,"IQ_OPEB_EST_BENEFIT_2YR",D$6,$F$2,,,Ccy,Conv)</f>
        <v>0</v>
      </c>
      <c r="E713" s="18">
        <f>_xll.ciqfunctions.udf.CIQ($C$2,"IQ_OPEB_EST_BENEFIT_2YR",E$6,$F$2,,,Ccy,Conv)</f>
        <v>0</v>
      </c>
      <c r="F713" s="18">
        <f>_xll.ciqfunctions.udf.CIQ($C$2,"IQ_OPEB_EST_BENEFIT_2YR",F$6,$F$2,,,Ccy,Conv)</f>
        <v>260</v>
      </c>
      <c r="G713" s="18">
        <f>_xll.ciqfunctions.udf.CIQ($C$2,"IQ_OPEB_EST_BENEFIT_2YR",G$6,$F$2,,,Ccy,Conv)</f>
        <v>0</v>
      </c>
      <c r="H713" s="18">
        <f>_xll.ciqfunctions.udf.CIQ($C$2,"IQ_OPEB_EST_BENEFIT_2YR",H$6,$F$2,,,Ccy,Conv)</f>
        <v>0</v>
      </c>
      <c r="I713" s="18">
        <f>_xll.ciqfunctions.udf.CIQ($C$2,"IQ_OPEB_EST_BENEFIT_2YR",I$6,$F$2,,,Ccy,Conv)</f>
        <v>0</v>
      </c>
      <c r="J713" s="18">
        <f>_xll.ciqfunctions.udf.CIQ($C$2,"IQ_OPEB_EST_BENEFIT_2YR",J$6,$F$2,,,Ccy,Conv)</f>
        <v>281</v>
      </c>
      <c r="K713" s="18">
        <f>_xll.ciqfunctions.udf.CIQ($C$2,"IQ_OPEB_EST_BENEFIT_2YR",K$6,$F$2,,,Ccy,Conv)</f>
        <v>0</v>
      </c>
      <c r="L713" s="18">
        <f>_xll.ciqfunctions.udf.CIQ($C$2,"IQ_OPEB_EST_BENEFIT_2YR",L$6,$F$2,,,Ccy,Conv)</f>
        <v>0</v>
      </c>
      <c r="M713" s="18">
        <f>_xll.ciqfunctions.udf.CIQ($C$2,"IQ_OPEB_EST_BENEFIT_2YR",M$6,$F$2,,,Ccy,Conv)</f>
        <v>0</v>
      </c>
      <c r="N713" s="18">
        <f>_xll.ciqfunctions.udf.CIQ($C$2,"IQ_OPEB_EST_BENEFIT_2YR",N$6,$F$2,,,Ccy,Conv)</f>
        <v>310</v>
      </c>
      <c r="O713" s="30"/>
      <c r="P713" s="18">
        <f>_xll.ciqfunctions.udf.CIQ($C$2,"IQ_OPEB_EST_BENEFIT_2YR",P$6,$F$2,,,Ccy,Conv)</f>
        <v>310</v>
      </c>
      <c r="Q713" s="215"/>
      <c r="R713" s="215"/>
      <c r="S713" s="215"/>
      <c r="T713" s="215"/>
      <c r="U713" s="215"/>
      <c r="V713" s="222"/>
      <c r="W713" s="222"/>
      <c r="X713" s="222"/>
      <c r="Y713" s="215"/>
      <c r="Z713" s="215"/>
      <c r="AA713" s="215"/>
      <c r="AB713" s="215"/>
      <c r="AC713" s="215"/>
      <c r="AD713" s="215"/>
      <c r="AE713" s="215"/>
      <c r="AF713" s="215"/>
      <c r="AG713" s="215"/>
      <c r="AH713" s="215"/>
      <c r="AI713" s="215"/>
      <c r="AJ713" s="215"/>
      <c r="AK713" s="215"/>
      <c r="AL713" s="215"/>
      <c r="AM713" s="215"/>
      <c r="AN713" s="215"/>
      <c r="AO713" s="215"/>
      <c r="AP713" s="215"/>
      <c r="AQ713" s="215"/>
      <c r="AR713" s="215"/>
      <c r="AS713" s="215"/>
      <c r="AT713" s="215"/>
      <c r="AU713" s="215"/>
      <c r="AV713" s="215"/>
      <c r="AW713" s="215"/>
      <c r="AX713" s="215"/>
      <c r="AY713" s="215"/>
      <c r="AZ713" s="215"/>
      <c r="BA713" s="215"/>
      <c r="BB713" s="215"/>
      <c r="BC713" s="215"/>
      <c r="BD713" s="215"/>
      <c r="BE713" s="215"/>
      <c r="BF713" s="215"/>
      <c r="BG713" s="215"/>
      <c r="BH713" s="215"/>
      <c r="BI713" s="215"/>
      <c r="BJ713" s="215"/>
      <c r="BK713" s="215"/>
      <c r="BL713" s="215"/>
      <c r="BM713" s="215"/>
      <c r="BN713" s="215"/>
      <c r="BO713" s="215"/>
      <c r="BP713" s="215"/>
      <c r="BQ713" s="215"/>
      <c r="BR713" s="215"/>
      <c r="BS713" s="215"/>
      <c r="BT713" s="215"/>
      <c r="BU713" s="215"/>
      <c r="BV713" s="215"/>
      <c r="BW713" s="215"/>
      <c r="BX713" s="215"/>
      <c r="BY713" s="215"/>
      <c r="BZ713" s="215"/>
    </row>
    <row r="714" spans="1:78" outlineLevel="1" x14ac:dyDescent="0.2">
      <c r="A714" s="2" t="str">
        <f>'Language Index'!A560</f>
        <v>Est. Future Benefits Paid - 3rd Yr</v>
      </c>
      <c r="B714" s="17"/>
      <c r="C714" s="17"/>
      <c r="D714" s="18">
        <f>_xll.ciqfunctions.udf.CIQ($C$2,"IQ_OPEB_EST_BENEFIT_3YR",D$6,$F$2,,,Ccy,Conv)</f>
        <v>0</v>
      </c>
      <c r="E714" s="18">
        <f>_xll.ciqfunctions.udf.CIQ($C$2,"IQ_OPEB_EST_BENEFIT_3YR",E$6,$F$2,,,Ccy,Conv)</f>
        <v>0</v>
      </c>
      <c r="F714" s="18">
        <f>_xll.ciqfunctions.udf.CIQ($C$2,"IQ_OPEB_EST_BENEFIT_3YR",F$6,$F$2,,,Ccy,Conv)</f>
        <v>259</v>
      </c>
      <c r="G714" s="18">
        <f>_xll.ciqfunctions.udf.CIQ($C$2,"IQ_OPEB_EST_BENEFIT_3YR",G$6,$F$2,,,Ccy,Conv)</f>
        <v>0</v>
      </c>
      <c r="H714" s="18">
        <f>_xll.ciqfunctions.udf.CIQ($C$2,"IQ_OPEB_EST_BENEFIT_3YR",H$6,$F$2,,,Ccy,Conv)</f>
        <v>0</v>
      </c>
      <c r="I714" s="18">
        <f>_xll.ciqfunctions.udf.CIQ($C$2,"IQ_OPEB_EST_BENEFIT_3YR",I$6,$F$2,,,Ccy,Conv)</f>
        <v>0</v>
      </c>
      <c r="J714" s="18">
        <f>_xll.ciqfunctions.udf.CIQ($C$2,"IQ_OPEB_EST_BENEFIT_3YR",J$6,$F$2,,,Ccy,Conv)</f>
        <v>294</v>
      </c>
      <c r="K714" s="18">
        <f>_xll.ciqfunctions.udf.CIQ($C$2,"IQ_OPEB_EST_BENEFIT_3YR",K$6,$F$2,,,Ccy,Conv)</f>
        <v>0</v>
      </c>
      <c r="L714" s="18">
        <f>_xll.ciqfunctions.udf.CIQ($C$2,"IQ_OPEB_EST_BENEFIT_3YR",L$6,$F$2,,,Ccy,Conv)</f>
        <v>0</v>
      </c>
      <c r="M714" s="18">
        <f>_xll.ciqfunctions.udf.CIQ($C$2,"IQ_OPEB_EST_BENEFIT_3YR",M$6,$F$2,,,Ccy,Conv)</f>
        <v>0</v>
      </c>
      <c r="N714" s="18">
        <f>_xll.ciqfunctions.udf.CIQ($C$2,"IQ_OPEB_EST_BENEFIT_3YR",N$6,$F$2,,,Ccy,Conv)</f>
        <v>305</v>
      </c>
      <c r="O714" s="30"/>
      <c r="P714" s="18">
        <f>_xll.ciqfunctions.udf.CIQ($C$2,"IQ_OPEB_EST_BENEFIT_3YR",P$6,$F$2,,,Ccy,Conv)</f>
        <v>305</v>
      </c>
      <c r="Q714" s="215"/>
      <c r="R714" s="215"/>
      <c r="S714" s="215"/>
      <c r="T714" s="215"/>
      <c r="U714" s="215"/>
      <c r="V714" s="222"/>
      <c r="W714" s="222"/>
      <c r="X714" s="222"/>
      <c r="Y714" s="215"/>
      <c r="Z714" s="215"/>
      <c r="AA714" s="215"/>
      <c r="AB714" s="215"/>
      <c r="AC714" s="215"/>
      <c r="AD714" s="215"/>
      <c r="AE714" s="215"/>
      <c r="AF714" s="215"/>
      <c r="AG714" s="215"/>
      <c r="AH714" s="215"/>
      <c r="AI714" s="215"/>
      <c r="AJ714" s="215"/>
      <c r="AK714" s="215"/>
      <c r="AL714" s="215"/>
      <c r="AM714" s="215"/>
      <c r="AN714" s="215"/>
      <c r="AO714" s="215"/>
      <c r="AP714" s="215"/>
      <c r="AQ714" s="215"/>
      <c r="AR714" s="215"/>
      <c r="AS714" s="215"/>
      <c r="AT714" s="215"/>
      <c r="AU714" s="215"/>
      <c r="AV714" s="215"/>
      <c r="AW714" s="215"/>
      <c r="AX714" s="215"/>
      <c r="AY714" s="215"/>
      <c r="AZ714" s="215"/>
      <c r="BA714" s="215"/>
      <c r="BB714" s="215"/>
      <c r="BC714" s="215"/>
      <c r="BD714" s="215"/>
      <c r="BE714" s="215"/>
      <c r="BF714" s="215"/>
      <c r="BG714" s="215"/>
      <c r="BH714" s="215"/>
      <c r="BI714" s="215"/>
      <c r="BJ714" s="215"/>
      <c r="BK714" s="215"/>
      <c r="BL714" s="215"/>
      <c r="BM714" s="215"/>
      <c r="BN714" s="215"/>
      <c r="BO714" s="215"/>
      <c r="BP714" s="215"/>
      <c r="BQ714" s="215"/>
      <c r="BR714" s="215"/>
      <c r="BS714" s="215"/>
      <c r="BT714" s="215"/>
      <c r="BU714" s="215"/>
      <c r="BV714" s="215"/>
      <c r="BW714" s="215"/>
      <c r="BX714" s="215"/>
      <c r="BY714" s="215"/>
      <c r="BZ714" s="215"/>
    </row>
    <row r="715" spans="1:78" outlineLevel="1" x14ac:dyDescent="0.2">
      <c r="A715" s="2" t="str">
        <f>'Language Index'!A561</f>
        <v>Est. Future Benefits Paid - 4th Yr</v>
      </c>
      <c r="B715" s="17"/>
      <c r="C715" s="17"/>
      <c r="D715" s="18">
        <f>_xll.ciqfunctions.udf.CIQ($C$2,"IQ_OPEB_EST_BENEFIT_4YR",D$6,$F$2,,,Ccy,Conv)</f>
        <v>0</v>
      </c>
      <c r="E715" s="18">
        <f>_xll.ciqfunctions.udf.CIQ($C$2,"IQ_OPEB_EST_BENEFIT_4YR",E$6,$F$2,,,Ccy,Conv)</f>
        <v>0</v>
      </c>
      <c r="F715" s="18">
        <f>_xll.ciqfunctions.udf.CIQ($C$2,"IQ_OPEB_EST_BENEFIT_4YR",F$6,$F$2,,,Ccy,Conv)</f>
        <v>255</v>
      </c>
      <c r="G715" s="18">
        <f>_xll.ciqfunctions.udf.CIQ($C$2,"IQ_OPEB_EST_BENEFIT_4YR",G$6,$F$2,,,Ccy,Conv)</f>
        <v>0</v>
      </c>
      <c r="H715" s="18">
        <f>_xll.ciqfunctions.udf.CIQ($C$2,"IQ_OPEB_EST_BENEFIT_4YR",H$6,$F$2,,,Ccy,Conv)</f>
        <v>0</v>
      </c>
      <c r="I715" s="18">
        <f>_xll.ciqfunctions.udf.CIQ($C$2,"IQ_OPEB_EST_BENEFIT_4YR",I$6,$F$2,,,Ccy,Conv)</f>
        <v>0</v>
      </c>
      <c r="J715" s="18">
        <f>_xll.ciqfunctions.udf.CIQ($C$2,"IQ_OPEB_EST_BENEFIT_4YR",J$6,$F$2,,,Ccy,Conv)</f>
        <v>298</v>
      </c>
      <c r="K715" s="18">
        <f>_xll.ciqfunctions.udf.CIQ($C$2,"IQ_OPEB_EST_BENEFIT_4YR",K$6,$F$2,,,Ccy,Conv)</f>
        <v>0</v>
      </c>
      <c r="L715" s="18">
        <f>_xll.ciqfunctions.udf.CIQ($C$2,"IQ_OPEB_EST_BENEFIT_4YR",L$6,$F$2,,,Ccy,Conv)</f>
        <v>0</v>
      </c>
      <c r="M715" s="18">
        <f>_xll.ciqfunctions.udf.CIQ($C$2,"IQ_OPEB_EST_BENEFIT_4YR",M$6,$F$2,,,Ccy,Conv)</f>
        <v>0</v>
      </c>
      <c r="N715" s="18">
        <f>_xll.ciqfunctions.udf.CIQ($C$2,"IQ_OPEB_EST_BENEFIT_4YR",N$6,$F$2,,,Ccy,Conv)</f>
        <v>298</v>
      </c>
      <c r="O715" s="30"/>
      <c r="P715" s="18">
        <f>_xll.ciqfunctions.udf.CIQ($C$2,"IQ_OPEB_EST_BENEFIT_4YR",P$6,$F$2,,,Ccy,Conv)</f>
        <v>298</v>
      </c>
      <c r="Q715" s="215"/>
      <c r="R715" s="215"/>
      <c r="S715" s="215"/>
      <c r="T715" s="215"/>
      <c r="U715" s="215"/>
      <c r="V715" s="222"/>
      <c r="W715" s="222"/>
      <c r="X715" s="222"/>
      <c r="Y715" s="215"/>
      <c r="Z715" s="215"/>
      <c r="AA715" s="215"/>
      <c r="AB715" s="215"/>
      <c r="AC715" s="215"/>
      <c r="AD715" s="215"/>
      <c r="AE715" s="215"/>
      <c r="AF715" s="215"/>
      <c r="AG715" s="215"/>
      <c r="AH715" s="215"/>
      <c r="AI715" s="215"/>
      <c r="AJ715" s="215"/>
      <c r="AK715" s="215"/>
      <c r="AL715" s="215"/>
      <c r="AM715" s="215"/>
      <c r="AN715" s="215"/>
      <c r="AO715" s="215"/>
      <c r="AP715" s="215"/>
      <c r="AQ715" s="215"/>
      <c r="AR715" s="215"/>
      <c r="AS715" s="215"/>
      <c r="AT715" s="215"/>
      <c r="AU715" s="215"/>
      <c r="AV715" s="215"/>
      <c r="AW715" s="215"/>
      <c r="AX715" s="215"/>
      <c r="AY715" s="215"/>
      <c r="AZ715" s="215"/>
      <c r="BA715" s="215"/>
      <c r="BB715" s="215"/>
      <c r="BC715" s="215"/>
      <c r="BD715" s="215"/>
      <c r="BE715" s="215"/>
      <c r="BF715" s="215"/>
      <c r="BG715" s="215"/>
      <c r="BH715" s="215"/>
      <c r="BI715" s="215"/>
      <c r="BJ715" s="215"/>
      <c r="BK715" s="215"/>
      <c r="BL715" s="215"/>
      <c r="BM715" s="215"/>
      <c r="BN715" s="215"/>
      <c r="BO715" s="215"/>
      <c r="BP715" s="215"/>
      <c r="BQ715" s="215"/>
      <c r="BR715" s="215"/>
      <c r="BS715" s="215"/>
      <c r="BT715" s="215"/>
      <c r="BU715" s="215"/>
      <c r="BV715" s="215"/>
      <c r="BW715" s="215"/>
      <c r="BX715" s="215"/>
      <c r="BY715" s="215"/>
      <c r="BZ715" s="215"/>
    </row>
    <row r="716" spans="1:78" outlineLevel="1" x14ac:dyDescent="0.2">
      <c r="A716" s="2" t="str">
        <f>'Language Index'!A562</f>
        <v>Est. Future Benefits Paid - 5th Yr</v>
      </c>
      <c r="B716" s="17"/>
      <c r="C716" s="17"/>
      <c r="D716" s="18">
        <f>_xll.ciqfunctions.udf.CIQ($C$2,"IQ_OPEB_EST_BENEFIT_5YR",D$6,$F$2,,,Ccy,Conv)</f>
        <v>0</v>
      </c>
      <c r="E716" s="18">
        <f>_xll.ciqfunctions.udf.CIQ($C$2,"IQ_OPEB_EST_BENEFIT_5YR",E$6,$F$2,,,Ccy,Conv)</f>
        <v>0</v>
      </c>
      <c r="F716" s="18">
        <f>_xll.ciqfunctions.udf.CIQ($C$2,"IQ_OPEB_EST_BENEFIT_5YR",F$6,$F$2,,,Ccy,Conv)</f>
        <v>281</v>
      </c>
      <c r="G716" s="18">
        <f>_xll.ciqfunctions.udf.CIQ($C$2,"IQ_OPEB_EST_BENEFIT_5YR",G$6,$F$2,,,Ccy,Conv)</f>
        <v>0</v>
      </c>
      <c r="H716" s="18">
        <f>_xll.ciqfunctions.udf.CIQ($C$2,"IQ_OPEB_EST_BENEFIT_5YR",H$6,$F$2,,,Ccy,Conv)</f>
        <v>0</v>
      </c>
      <c r="I716" s="18">
        <f>_xll.ciqfunctions.udf.CIQ($C$2,"IQ_OPEB_EST_BENEFIT_5YR",I$6,$F$2,,,Ccy,Conv)</f>
        <v>0</v>
      </c>
      <c r="J716" s="18">
        <f>_xll.ciqfunctions.udf.CIQ($C$2,"IQ_OPEB_EST_BENEFIT_5YR",J$6,$F$2,,,Ccy,Conv)</f>
        <v>293</v>
      </c>
      <c r="K716" s="18">
        <f>_xll.ciqfunctions.udf.CIQ($C$2,"IQ_OPEB_EST_BENEFIT_5YR",K$6,$F$2,,,Ccy,Conv)</f>
        <v>0</v>
      </c>
      <c r="L716" s="18">
        <f>_xll.ciqfunctions.udf.CIQ($C$2,"IQ_OPEB_EST_BENEFIT_5YR",L$6,$F$2,,,Ccy,Conv)</f>
        <v>0</v>
      </c>
      <c r="M716" s="18">
        <f>_xll.ciqfunctions.udf.CIQ($C$2,"IQ_OPEB_EST_BENEFIT_5YR",M$6,$F$2,,,Ccy,Conv)</f>
        <v>0</v>
      </c>
      <c r="N716" s="18">
        <f>_xll.ciqfunctions.udf.CIQ($C$2,"IQ_OPEB_EST_BENEFIT_5YR",N$6,$F$2,,,Ccy,Conv)</f>
        <v>291</v>
      </c>
      <c r="O716" s="30"/>
      <c r="P716" s="18">
        <f>_xll.ciqfunctions.udf.CIQ($C$2,"IQ_OPEB_EST_BENEFIT_5YR",P$6,$F$2,,,Ccy,Conv)</f>
        <v>291</v>
      </c>
      <c r="Q716" s="215"/>
      <c r="R716" s="215"/>
      <c r="S716" s="215"/>
      <c r="T716" s="215"/>
      <c r="U716" s="215"/>
      <c r="V716" s="222"/>
      <c r="W716" s="222"/>
      <c r="X716" s="222"/>
      <c r="Y716" s="215"/>
      <c r="Z716" s="215"/>
      <c r="AA716" s="215"/>
      <c r="AB716" s="215"/>
      <c r="AC716" s="215"/>
      <c r="AD716" s="215"/>
      <c r="AE716" s="215"/>
      <c r="AF716" s="215"/>
      <c r="AG716" s="215"/>
      <c r="AH716" s="215"/>
      <c r="AI716" s="215"/>
      <c r="AJ716" s="215"/>
      <c r="AK716" s="215"/>
      <c r="AL716" s="215"/>
      <c r="AM716" s="215"/>
      <c r="AN716" s="215"/>
      <c r="AO716" s="215"/>
      <c r="AP716" s="215"/>
      <c r="AQ716" s="215"/>
      <c r="AR716" s="215"/>
      <c r="AS716" s="215"/>
      <c r="AT716" s="215"/>
      <c r="AU716" s="215"/>
      <c r="AV716" s="215"/>
      <c r="AW716" s="215"/>
      <c r="AX716" s="215"/>
      <c r="AY716" s="215"/>
      <c r="AZ716" s="215"/>
      <c r="BA716" s="215"/>
      <c r="BB716" s="215"/>
      <c r="BC716" s="215"/>
      <c r="BD716" s="215"/>
      <c r="BE716" s="215"/>
      <c r="BF716" s="215"/>
      <c r="BG716" s="215"/>
      <c r="BH716" s="215"/>
      <c r="BI716" s="215"/>
      <c r="BJ716" s="215"/>
      <c r="BK716" s="215"/>
      <c r="BL716" s="215"/>
      <c r="BM716" s="215"/>
      <c r="BN716" s="215"/>
      <c r="BO716" s="215"/>
      <c r="BP716" s="215"/>
      <c r="BQ716" s="215"/>
      <c r="BR716" s="215"/>
      <c r="BS716" s="215"/>
      <c r="BT716" s="215"/>
      <c r="BU716" s="215"/>
      <c r="BV716" s="215"/>
      <c r="BW716" s="215"/>
      <c r="BX716" s="215"/>
      <c r="BY716" s="215"/>
      <c r="BZ716" s="215"/>
    </row>
    <row r="717" spans="1:78" outlineLevel="1" x14ac:dyDescent="0.2">
      <c r="A717" s="2" t="str">
        <f>'Language Index'!A563</f>
        <v>Est. Future Benefits Paid - Thereafter</v>
      </c>
      <c r="B717" s="17"/>
      <c r="C717" s="17"/>
      <c r="D717" s="18">
        <f>_xll.ciqfunctions.udf.CIQ($C$2,"IQ_OPEB_EST_BENEFIT_AFTER5",D$6,$F$2,,,Ccy,Conv)</f>
        <v>0</v>
      </c>
      <c r="E717" s="18">
        <f>_xll.ciqfunctions.udf.CIQ($C$2,"IQ_OPEB_EST_BENEFIT_AFTER5",E$6,$F$2,,,Ccy,Conv)</f>
        <v>0</v>
      </c>
      <c r="F717" s="18">
        <f>_xll.ciqfunctions.udf.CIQ($C$2,"IQ_OPEB_EST_BENEFIT_AFTER5",F$6,$F$2,,,Ccy,Conv)</f>
        <v>1348</v>
      </c>
      <c r="G717" s="18">
        <f>_xll.ciqfunctions.udf.CIQ($C$2,"IQ_OPEB_EST_BENEFIT_AFTER5",G$6,$F$2,,,Ccy,Conv)</f>
        <v>0</v>
      </c>
      <c r="H717" s="18">
        <f>_xll.ciqfunctions.udf.CIQ($C$2,"IQ_OPEB_EST_BENEFIT_AFTER5",H$6,$F$2,,,Ccy,Conv)</f>
        <v>0</v>
      </c>
      <c r="I717" s="18">
        <f>_xll.ciqfunctions.udf.CIQ($C$2,"IQ_OPEB_EST_BENEFIT_AFTER5",I$6,$F$2,,,Ccy,Conv)</f>
        <v>0</v>
      </c>
      <c r="J717" s="18">
        <f>_xll.ciqfunctions.udf.CIQ($C$2,"IQ_OPEB_EST_BENEFIT_AFTER5",J$6,$F$2,,,Ccy,Conv)</f>
        <v>1350</v>
      </c>
      <c r="K717" s="18">
        <f>_xll.ciqfunctions.udf.CIQ($C$2,"IQ_OPEB_EST_BENEFIT_AFTER5",K$6,$F$2,,,Ccy,Conv)</f>
        <v>0</v>
      </c>
      <c r="L717" s="18">
        <f>_xll.ciqfunctions.udf.CIQ($C$2,"IQ_OPEB_EST_BENEFIT_AFTER5",L$6,$F$2,,,Ccy,Conv)</f>
        <v>0</v>
      </c>
      <c r="M717" s="18">
        <f>_xll.ciqfunctions.udf.CIQ($C$2,"IQ_OPEB_EST_BENEFIT_AFTER5",M$6,$F$2,,,Ccy,Conv)</f>
        <v>0</v>
      </c>
      <c r="N717" s="18">
        <f>_xll.ciqfunctions.udf.CIQ($C$2,"IQ_OPEB_EST_BENEFIT_AFTER5",N$6,$F$2,,,Ccy,Conv)</f>
        <v>1291</v>
      </c>
      <c r="O717" s="30"/>
      <c r="P717" s="18">
        <f>_xll.ciqfunctions.udf.CIQ($C$2,"IQ_OPEB_EST_BENEFIT_AFTER5",P$6,$F$2,,,Ccy,Conv)</f>
        <v>1291</v>
      </c>
      <c r="Q717" s="215"/>
      <c r="R717" s="215"/>
      <c r="S717" s="215"/>
      <c r="T717" s="215"/>
      <c r="U717" s="215"/>
      <c r="V717" s="222"/>
      <c r="W717" s="222"/>
      <c r="X717" s="222"/>
      <c r="Y717" s="215"/>
      <c r="Z717" s="215"/>
      <c r="AA717" s="215"/>
      <c r="AB717" s="215"/>
      <c r="AC717" s="215"/>
      <c r="AD717" s="215"/>
      <c r="AE717" s="215"/>
      <c r="AF717" s="215"/>
      <c r="AG717" s="215"/>
      <c r="AH717" s="215"/>
      <c r="AI717" s="215"/>
      <c r="AJ717" s="215"/>
      <c r="AK717" s="215"/>
      <c r="AL717" s="215"/>
      <c r="AM717" s="215"/>
      <c r="AN717" s="215"/>
      <c r="AO717" s="215"/>
      <c r="AP717" s="215"/>
      <c r="AQ717" s="215"/>
      <c r="AR717" s="215"/>
      <c r="AS717" s="215"/>
      <c r="AT717" s="215"/>
      <c r="AU717" s="215"/>
      <c r="AV717" s="215"/>
      <c r="AW717" s="215"/>
      <c r="AX717" s="215"/>
      <c r="AY717" s="215"/>
      <c r="AZ717" s="215"/>
      <c r="BA717" s="215"/>
      <c r="BB717" s="215"/>
      <c r="BC717" s="215"/>
      <c r="BD717" s="215"/>
      <c r="BE717" s="215"/>
      <c r="BF717" s="215"/>
      <c r="BG717" s="215"/>
      <c r="BH717" s="215"/>
      <c r="BI717" s="215"/>
      <c r="BJ717" s="215"/>
      <c r="BK717" s="215"/>
      <c r="BL717" s="215"/>
      <c r="BM717" s="215"/>
      <c r="BN717" s="215"/>
      <c r="BO717" s="215"/>
      <c r="BP717" s="215"/>
      <c r="BQ717" s="215"/>
      <c r="BR717" s="215"/>
      <c r="BS717" s="215"/>
      <c r="BT717" s="215"/>
      <c r="BU717" s="215"/>
      <c r="BV717" s="215"/>
      <c r="BW717" s="215"/>
      <c r="BX717" s="215"/>
      <c r="BY717" s="215"/>
      <c r="BZ717" s="215"/>
    </row>
    <row r="718" spans="1:78" outlineLevel="1" x14ac:dyDescent="0.2">
      <c r="A718" s="9" t="str">
        <f>'Language Index'!A564</f>
        <v>Balance Sheet Reconciliation Items</v>
      </c>
      <c r="B718" s="17"/>
      <c r="C718" s="17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30"/>
      <c r="P718" s="18"/>
      <c r="Q718" s="215"/>
      <c r="R718" s="215"/>
      <c r="S718" s="215"/>
      <c r="T718" s="215"/>
      <c r="U718" s="215"/>
      <c r="V718" s="222"/>
      <c r="W718" s="222"/>
      <c r="X718" s="222"/>
      <c r="Y718" s="215"/>
      <c r="Z718" s="215"/>
      <c r="AA718" s="215"/>
      <c r="AB718" s="215"/>
      <c r="AC718" s="215"/>
      <c r="AD718" s="215"/>
      <c r="AE718" s="215"/>
      <c r="AF718" s="215"/>
      <c r="AG718" s="215"/>
      <c r="AH718" s="215"/>
      <c r="AI718" s="215"/>
      <c r="AJ718" s="215"/>
      <c r="AK718" s="215"/>
      <c r="AL718" s="215"/>
      <c r="AM718" s="215"/>
      <c r="AN718" s="215"/>
      <c r="AO718" s="215"/>
      <c r="AP718" s="215"/>
      <c r="AQ718" s="215"/>
      <c r="AR718" s="215"/>
      <c r="AS718" s="215"/>
      <c r="AT718" s="215"/>
      <c r="AU718" s="215"/>
      <c r="AV718" s="215"/>
      <c r="AW718" s="215"/>
      <c r="AX718" s="215"/>
      <c r="AY718" s="215"/>
      <c r="AZ718" s="215"/>
      <c r="BA718" s="215"/>
      <c r="BB718" s="215"/>
      <c r="BC718" s="215"/>
      <c r="BD718" s="215"/>
      <c r="BE718" s="215"/>
      <c r="BF718" s="215"/>
      <c r="BG718" s="215"/>
      <c r="BH718" s="215"/>
      <c r="BI718" s="215"/>
      <c r="BJ718" s="215"/>
      <c r="BK718" s="215"/>
      <c r="BL718" s="215"/>
      <c r="BM718" s="215"/>
      <c r="BN718" s="215"/>
      <c r="BO718" s="215"/>
      <c r="BP718" s="215"/>
      <c r="BQ718" s="215"/>
      <c r="BR718" s="215"/>
      <c r="BS718" s="215"/>
      <c r="BT718" s="215"/>
      <c r="BU718" s="215"/>
      <c r="BV718" s="215"/>
      <c r="BW718" s="215"/>
      <c r="BX718" s="215"/>
      <c r="BY718" s="215"/>
      <c r="BZ718" s="215"/>
    </row>
    <row r="719" spans="1:78" outlineLevel="1" x14ac:dyDescent="0.2">
      <c r="A719" s="2" t="str">
        <f>'Language Index'!A565</f>
        <v>Prepaid Benefit Cost</v>
      </c>
      <c r="B719" s="17"/>
      <c r="C719" s="17"/>
      <c r="D719" s="18">
        <f>_xll.ciqfunctions.udf.CIQ($C$2,"IQ_OPEB_PREPAID_COST",D$6,$F$2,,,Ccy,Conv)</f>
        <v>0</v>
      </c>
      <c r="E719" s="18">
        <f>_xll.ciqfunctions.udf.CIQ($C$2,"IQ_OPEB_PREPAID_COST",E$6,$F$2,,,Ccy,Conv)</f>
        <v>0</v>
      </c>
      <c r="F719" s="18">
        <f>_xll.ciqfunctions.udf.CIQ($C$2,"IQ_OPEB_PREPAID_COST",F$6,$F$2,,,Ccy,Conv)</f>
        <v>0</v>
      </c>
      <c r="G719" s="18">
        <f>_xll.ciqfunctions.udf.CIQ($C$2,"IQ_OPEB_PREPAID_COST",G$6,$F$2,,,Ccy,Conv)</f>
        <v>0</v>
      </c>
      <c r="H719" s="18">
        <f>_xll.ciqfunctions.udf.CIQ($C$2,"IQ_OPEB_PREPAID_COST",H$6,$F$2,,,Ccy,Conv)</f>
        <v>0</v>
      </c>
      <c r="I719" s="18">
        <f>_xll.ciqfunctions.udf.CIQ($C$2,"IQ_OPEB_PREPAID_COST",I$6,$F$2,,,Ccy,Conv)</f>
        <v>0</v>
      </c>
      <c r="J719" s="18">
        <f>_xll.ciqfunctions.udf.CIQ($C$2,"IQ_OPEB_PREPAID_COST",J$6,$F$2,,,Ccy,Conv)</f>
        <v>0</v>
      </c>
      <c r="K719" s="18">
        <f>_xll.ciqfunctions.udf.CIQ($C$2,"IQ_OPEB_PREPAID_COST",K$6,$F$2,,,Ccy,Conv)</f>
        <v>0</v>
      </c>
      <c r="L719" s="18">
        <f>_xll.ciqfunctions.udf.CIQ($C$2,"IQ_OPEB_PREPAID_COST",L$6,$F$2,,,Ccy,Conv)</f>
        <v>0</v>
      </c>
      <c r="M719" s="18">
        <f>_xll.ciqfunctions.udf.CIQ($C$2,"IQ_OPEB_PREPAID_COST",M$6,$F$2,,,Ccy,Conv)</f>
        <v>0</v>
      </c>
      <c r="N719" s="18">
        <f>_xll.ciqfunctions.udf.CIQ($C$2,"IQ_OPEB_PREPAID_COST",N$6,$F$2,,,Ccy,Conv)</f>
        <v>0</v>
      </c>
      <c r="O719" s="30"/>
      <c r="P719" s="18">
        <f>_xll.ciqfunctions.udf.CIQ($C$2,"IQ_OPEB_PREPAID_COST",P$6,$F$2,,,Ccy,Conv)</f>
        <v>0</v>
      </c>
      <c r="Q719" s="215"/>
      <c r="R719" s="215"/>
      <c r="S719" s="215"/>
      <c r="T719" s="215"/>
      <c r="U719" s="215"/>
      <c r="V719" s="222"/>
      <c r="W719" s="222"/>
      <c r="X719" s="222"/>
      <c r="Y719" s="215"/>
      <c r="Z719" s="215"/>
      <c r="AA719" s="215"/>
      <c r="AB719" s="215"/>
      <c r="AC719" s="215"/>
      <c r="AD719" s="215"/>
      <c r="AE719" s="215"/>
      <c r="AF719" s="215"/>
      <c r="AG719" s="215"/>
      <c r="AH719" s="215"/>
      <c r="AI719" s="215"/>
      <c r="AJ719" s="215"/>
      <c r="AK719" s="215"/>
      <c r="AL719" s="215"/>
      <c r="AM719" s="215"/>
      <c r="AN719" s="215"/>
      <c r="AO719" s="215"/>
      <c r="AP719" s="215"/>
      <c r="AQ719" s="215"/>
      <c r="AR719" s="215"/>
      <c r="AS719" s="215"/>
      <c r="AT719" s="215"/>
      <c r="AU719" s="215"/>
      <c r="AV719" s="215"/>
      <c r="AW719" s="215"/>
      <c r="AX719" s="215"/>
      <c r="AY719" s="215"/>
      <c r="AZ719" s="215"/>
      <c r="BA719" s="215"/>
      <c r="BB719" s="215"/>
      <c r="BC719" s="215"/>
      <c r="BD719" s="215"/>
      <c r="BE719" s="215"/>
      <c r="BF719" s="215"/>
      <c r="BG719" s="215"/>
      <c r="BH719" s="215"/>
      <c r="BI719" s="215"/>
      <c r="BJ719" s="215"/>
      <c r="BK719" s="215"/>
      <c r="BL719" s="215"/>
      <c r="BM719" s="215"/>
      <c r="BN719" s="215"/>
      <c r="BO719" s="215"/>
      <c r="BP719" s="215"/>
      <c r="BQ719" s="215"/>
      <c r="BR719" s="215"/>
      <c r="BS719" s="215"/>
      <c r="BT719" s="215"/>
      <c r="BU719" s="215"/>
      <c r="BV719" s="215"/>
      <c r="BW719" s="215"/>
      <c r="BX719" s="215"/>
      <c r="BY719" s="215"/>
      <c r="BZ719" s="215"/>
    </row>
    <row r="720" spans="1:78" outlineLevel="1" x14ac:dyDescent="0.2">
      <c r="A720" s="2" t="str">
        <f>'Language Index'!A566</f>
        <v>Accrued Benefit Liability</v>
      </c>
      <c r="B720" s="17"/>
      <c r="C720" s="17"/>
      <c r="D720" s="18">
        <f>_xll.ciqfunctions.udf.CIQ($C$2,"IQ_OPEB_ACCRUED_LIAB",D$6,$F$2,,,Ccy,Conv)</f>
        <v>0</v>
      </c>
      <c r="E720" s="18">
        <f>_xll.ciqfunctions.udf.CIQ($C$2,"IQ_OPEB_ACCRUED_LIAB",E$6,$F$2,,,Ccy,Conv)</f>
        <v>0</v>
      </c>
      <c r="F720" s="18">
        <f>_xll.ciqfunctions.udf.CIQ($C$2,"IQ_OPEB_ACCRUED_LIAB",F$6,$F$2,,,Ccy,Conv)</f>
        <v>0</v>
      </c>
      <c r="G720" s="18">
        <f>_xll.ciqfunctions.udf.CIQ($C$2,"IQ_OPEB_ACCRUED_LIAB",G$6,$F$2,,,Ccy,Conv)</f>
        <v>0</v>
      </c>
      <c r="H720" s="18">
        <f>_xll.ciqfunctions.udf.CIQ($C$2,"IQ_OPEB_ACCRUED_LIAB",H$6,$F$2,,,Ccy,Conv)</f>
        <v>0</v>
      </c>
      <c r="I720" s="18">
        <f>_xll.ciqfunctions.udf.CIQ($C$2,"IQ_OPEB_ACCRUED_LIAB",I$6,$F$2,,,Ccy,Conv)</f>
        <v>0</v>
      </c>
      <c r="J720" s="18">
        <f>_xll.ciqfunctions.udf.CIQ($C$2,"IQ_OPEB_ACCRUED_LIAB",J$6,$F$2,,,Ccy,Conv)</f>
        <v>0</v>
      </c>
      <c r="K720" s="18">
        <f>_xll.ciqfunctions.udf.CIQ($C$2,"IQ_OPEB_ACCRUED_LIAB",K$6,$F$2,,,Ccy,Conv)</f>
        <v>0</v>
      </c>
      <c r="L720" s="18">
        <f>_xll.ciqfunctions.udf.CIQ($C$2,"IQ_OPEB_ACCRUED_LIAB",L$6,$F$2,,,Ccy,Conv)</f>
        <v>0</v>
      </c>
      <c r="M720" s="18">
        <f>_xll.ciqfunctions.udf.CIQ($C$2,"IQ_OPEB_ACCRUED_LIAB",M$6,$F$2,,,Ccy,Conv)</f>
        <v>0</v>
      </c>
      <c r="N720" s="18">
        <f>_xll.ciqfunctions.udf.CIQ($C$2,"IQ_OPEB_ACCRUED_LIAB",N$6,$F$2,,,Ccy,Conv)</f>
        <v>0</v>
      </c>
      <c r="O720" s="30"/>
      <c r="P720" s="18">
        <f>_xll.ciqfunctions.udf.CIQ($C$2,"IQ_OPEB_ACCRUED_LIAB",P$6,$F$2,,,Ccy,Conv)</f>
        <v>0</v>
      </c>
      <c r="Q720" s="215"/>
      <c r="R720" s="215"/>
      <c r="S720" s="215"/>
      <c r="T720" s="215"/>
      <c r="U720" s="215"/>
      <c r="V720" s="222"/>
      <c r="W720" s="222"/>
      <c r="X720" s="222"/>
      <c r="Y720" s="215"/>
      <c r="Z720" s="215"/>
      <c r="AA720" s="215"/>
      <c r="AB720" s="215"/>
      <c r="AC720" s="215"/>
      <c r="AD720" s="215"/>
      <c r="AE720" s="215"/>
      <c r="AF720" s="215"/>
      <c r="AG720" s="215"/>
      <c r="AH720" s="215"/>
      <c r="AI720" s="215"/>
      <c r="AJ720" s="215"/>
      <c r="AK720" s="215"/>
      <c r="AL720" s="215"/>
      <c r="AM720" s="215"/>
      <c r="AN720" s="215"/>
      <c r="AO720" s="215"/>
      <c r="AP720" s="215"/>
      <c r="AQ720" s="215"/>
      <c r="AR720" s="215"/>
      <c r="AS720" s="215"/>
      <c r="AT720" s="215"/>
      <c r="AU720" s="215"/>
      <c r="AV720" s="215"/>
      <c r="AW720" s="215"/>
      <c r="AX720" s="215"/>
      <c r="AY720" s="215"/>
      <c r="AZ720" s="215"/>
      <c r="BA720" s="215"/>
      <c r="BB720" s="215"/>
      <c r="BC720" s="215"/>
      <c r="BD720" s="215"/>
      <c r="BE720" s="215"/>
      <c r="BF720" s="215"/>
      <c r="BG720" s="215"/>
      <c r="BH720" s="215"/>
      <c r="BI720" s="215"/>
      <c r="BJ720" s="215"/>
      <c r="BK720" s="215"/>
      <c r="BL720" s="215"/>
      <c r="BM720" s="215"/>
      <c r="BN720" s="215"/>
      <c r="BO720" s="215"/>
      <c r="BP720" s="215"/>
      <c r="BQ720" s="215"/>
      <c r="BR720" s="215"/>
      <c r="BS720" s="215"/>
      <c r="BT720" s="215"/>
      <c r="BU720" s="215"/>
      <c r="BV720" s="215"/>
      <c r="BW720" s="215"/>
      <c r="BX720" s="215"/>
      <c r="BY720" s="215"/>
      <c r="BZ720" s="215"/>
    </row>
    <row r="721" spans="1:78" outlineLevel="1" x14ac:dyDescent="0.2">
      <c r="A721" s="2" t="str">
        <f>'Language Index'!A567</f>
        <v>Intangible Assets</v>
      </c>
      <c r="B721" s="17"/>
      <c r="C721" s="17"/>
      <c r="D721" s="18">
        <f>_xll.ciqfunctions.udf.CIQ($C$2,"IQ_OPEB_INTAN_ASSETS",D$6,$F$2,,,Ccy,Conv)</f>
        <v>0</v>
      </c>
      <c r="E721" s="18">
        <f>_xll.ciqfunctions.udf.CIQ($C$2,"IQ_OPEB_INTAN_ASSETS",E$6,$F$2,,,Ccy,Conv)</f>
        <v>0</v>
      </c>
      <c r="F721" s="18">
        <f>_xll.ciqfunctions.udf.CIQ($C$2,"IQ_OPEB_INTAN_ASSETS",F$6,$F$2,,,Ccy,Conv)</f>
        <v>0</v>
      </c>
      <c r="G721" s="18">
        <f>_xll.ciqfunctions.udf.CIQ($C$2,"IQ_OPEB_INTAN_ASSETS",G$6,$F$2,,,Ccy,Conv)</f>
        <v>0</v>
      </c>
      <c r="H721" s="18">
        <f>_xll.ciqfunctions.udf.CIQ($C$2,"IQ_OPEB_INTAN_ASSETS",H$6,$F$2,,,Ccy,Conv)</f>
        <v>0</v>
      </c>
      <c r="I721" s="18">
        <f>_xll.ciqfunctions.udf.CIQ($C$2,"IQ_OPEB_INTAN_ASSETS",I$6,$F$2,,,Ccy,Conv)</f>
        <v>0</v>
      </c>
      <c r="J721" s="18">
        <f>_xll.ciqfunctions.udf.CIQ($C$2,"IQ_OPEB_INTAN_ASSETS",J$6,$F$2,,,Ccy,Conv)</f>
        <v>0</v>
      </c>
      <c r="K721" s="18">
        <f>_xll.ciqfunctions.udf.CIQ($C$2,"IQ_OPEB_INTAN_ASSETS",K$6,$F$2,,,Ccy,Conv)</f>
        <v>0</v>
      </c>
      <c r="L721" s="18">
        <f>_xll.ciqfunctions.udf.CIQ($C$2,"IQ_OPEB_INTAN_ASSETS",L$6,$F$2,,,Ccy,Conv)</f>
        <v>0</v>
      </c>
      <c r="M721" s="18">
        <f>_xll.ciqfunctions.udf.CIQ($C$2,"IQ_OPEB_INTAN_ASSETS",M$6,$F$2,,,Ccy,Conv)</f>
        <v>0</v>
      </c>
      <c r="N721" s="18">
        <f>_xll.ciqfunctions.udf.CIQ($C$2,"IQ_OPEB_INTAN_ASSETS",N$6,$F$2,,,Ccy,Conv)</f>
        <v>0</v>
      </c>
      <c r="O721" s="30"/>
      <c r="P721" s="18">
        <f>_xll.ciqfunctions.udf.CIQ($C$2,"IQ_OPEB_INTAN_ASSETS",P$6,$F$2,,,Ccy,Conv)</f>
        <v>0</v>
      </c>
      <c r="Q721" s="215"/>
      <c r="R721" s="215"/>
      <c r="S721" s="215"/>
      <c r="T721" s="215"/>
      <c r="U721" s="215"/>
      <c r="V721" s="222"/>
      <c r="W721" s="222"/>
      <c r="X721" s="222"/>
      <c r="Y721" s="215"/>
      <c r="Z721" s="215"/>
      <c r="AA721" s="215"/>
      <c r="AB721" s="215"/>
      <c r="AC721" s="215"/>
      <c r="AD721" s="215"/>
      <c r="AE721" s="215"/>
      <c r="AF721" s="215"/>
      <c r="AG721" s="215"/>
      <c r="AH721" s="215"/>
      <c r="AI721" s="215"/>
      <c r="AJ721" s="215"/>
      <c r="AK721" s="215"/>
      <c r="AL721" s="215"/>
      <c r="AM721" s="215"/>
      <c r="AN721" s="215"/>
      <c r="AO721" s="215"/>
      <c r="AP721" s="215"/>
      <c r="AQ721" s="215"/>
      <c r="AR721" s="215"/>
      <c r="AS721" s="215"/>
      <c r="AT721" s="215"/>
      <c r="AU721" s="215"/>
      <c r="AV721" s="215"/>
      <c r="AW721" s="215"/>
      <c r="AX721" s="215"/>
      <c r="AY721" s="215"/>
      <c r="AZ721" s="215"/>
      <c r="BA721" s="215"/>
      <c r="BB721" s="215"/>
      <c r="BC721" s="215"/>
      <c r="BD721" s="215"/>
      <c r="BE721" s="215"/>
      <c r="BF721" s="215"/>
      <c r="BG721" s="215"/>
      <c r="BH721" s="215"/>
      <c r="BI721" s="215"/>
      <c r="BJ721" s="215"/>
      <c r="BK721" s="215"/>
      <c r="BL721" s="215"/>
      <c r="BM721" s="215"/>
      <c r="BN721" s="215"/>
      <c r="BO721" s="215"/>
      <c r="BP721" s="215"/>
      <c r="BQ721" s="215"/>
      <c r="BR721" s="215"/>
      <c r="BS721" s="215"/>
      <c r="BT721" s="215"/>
      <c r="BU721" s="215"/>
      <c r="BV721" s="215"/>
      <c r="BW721" s="215"/>
      <c r="BX721" s="215"/>
      <c r="BY721" s="215"/>
      <c r="BZ721" s="215"/>
    </row>
    <row r="722" spans="1:78" outlineLevel="1" x14ac:dyDescent="0.2">
      <c r="A722" s="2" t="str">
        <f>'Language Index'!A568</f>
        <v>Accum. Other Comp. Income</v>
      </c>
      <c r="B722" s="17"/>
      <c r="C722" s="17"/>
      <c r="D722" s="18">
        <f>_xll.ciqfunctions.udf.CIQ($C$2,"IQ_OPEB_ACCUM_OTHER_CI",D$6,$F$2,,,Ccy,Conv)</f>
        <v>0</v>
      </c>
      <c r="E722" s="18">
        <f>_xll.ciqfunctions.udf.CIQ($C$2,"IQ_OPEB_ACCUM_OTHER_CI",E$6,$F$2,,,Ccy,Conv)</f>
        <v>0</v>
      </c>
      <c r="F722" s="18">
        <f>_xll.ciqfunctions.udf.CIQ($C$2,"IQ_OPEB_ACCUM_OTHER_CI",F$6,$F$2,,,Ccy,Conv)</f>
        <v>0</v>
      </c>
      <c r="G722" s="18">
        <f>_xll.ciqfunctions.udf.CIQ($C$2,"IQ_OPEB_ACCUM_OTHER_CI",G$6,$F$2,,,Ccy,Conv)</f>
        <v>0</v>
      </c>
      <c r="H722" s="18">
        <f>_xll.ciqfunctions.udf.CIQ($C$2,"IQ_OPEB_ACCUM_OTHER_CI",H$6,$F$2,,,Ccy,Conv)</f>
        <v>0</v>
      </c>
      <c r="I722" s="18">
        <f>_xll.ciqfunctions.udf.CIQ($C$2,"IQ_OPEB_ACCUM_OTHER_CI",I$6,$F$2,,,Ccy,Conv)</f>
        <v>0</v>
      </c>
      <c r="J722" s="18">
        <f>_xll.ciqfunctions.udf.CIQ($C$2,"IQ_OPEB_ACCUM_OTHER_CI",J$6,$F$2,,,Ccy,Conv)</f>
        <v>0</v>
      </c>
      <c r="K722" s="18">
        <f>_xll.ciqfunctions.udf.CIQ($C$2,"IQ_OPEB_ACCUM_OTHER_CI",K$6,$F$2,,,Ccy,Conv)</f>
        <v>0</v>
      </c>
      <c r="L722" s="18">
        <f>_xll.ciqfunctions.udf.CIQ($C$2,"IQ_OPEB_ACCUM_OTHER_CI",L$6,$F$2,,,Ccy,Conv)</f>
        <v>0</v>
      </c>
      <c r="M722" s="18">
        <f>_xll.ciqfunctions.udf.CIQ($C$2,"IQ_OPEB_ACCUM_OTHER_CI",M$6,$F$2,,,Ccy,Conv)</f>
        <v>0</v>
      </c>
      <c r="N722" s="18">
        <f>_xll.ciqfunctions.udf.CIQ($C$2,"IQ_OPEB_ACCUM_OTHER_CI",N$6,$F$2,,,Ccy,Conv)</f>
        <v>0</v>
      </c>
      <c r="O722" s="30"/>
      <c r="P722" s="18">
        <f>_xll.ciqfunctions.udf.CIQ($C$2,"IQ_OPEB_ACCUM_OTHER_CI",P$6,$F$2,,,Ccy,Conv)</f>
        <v>0</v>
      </c>
      <c r="Q722" s="245"/>
      <c r="R722" s="215"/>
      <c r="S722" s="215"/>
      <c r="T722" s="215"/>
      <c r="U722" s="215"/>
      <c r="V722" s="222"/>
      <c r="W722" s="222"/>
      <c r="X722" s="222"/>
      <c r="Y722" s="215"/>
      <c r="Z722" s="215"/>
      <c r="AA722" s="215"/>
      <c r="AB722" s="215"/>
      <c r="AC722" s="215"/>
      <c r="AD722" s="215"/>
      <c r="AE722" s="215"/>
      <c r="AF722" s="215"/>
      <c r="AG722" s="215"/>
      <c r="AH722" s="215"/>
      <c r="AI722" s="215"/>
      <c r="AJ722" s="215"/>
      <c r="AK722" s="215"/>
      <c r="AL722" s="215"/>
      <c r="AM722" s="215"/>
      <c r="AN722" s="215"/>
      <c r="AO722" s="215"/>
      <c r="AP722" s="215"/>
      <c r="AQ722" s="215"/>
      <c r="AR722" s="215"/>
      <c r="AS722" s="215"/>
      <c r="AT722" s="215"/>
      <c r="AU722" s="215"/>
      <c r="AV722" s="215"/>
      <c r="AW722" s="215"/>
      <c r="AX722" s="215"/>
      <c r="AY722" s="215"/>
      <c r="AZ722" s="215"/>
      <c r="BA722" s="215"/>
      <c r="BB722" s="215"/>
      <c r="BC722" s="215"/>
      <c r="BD722" s="215"/>
      <c r="BE722" s="215"/>
      <c r="BF722" s="215"/>
      <c r="BG722" s="215"/>
      <c r="BH722" s="215"/>
      <c r="BI722" s="215"/>
      <c r="BJ722" s="215"/>
      <c r="BK722" s="215"/>
      <c r="BL722" s="215"/>
      <c r="BM722" s="215"/>
      <c r="BN722" s="215"/>
      <c r="BO722" s="215"/>
      <c r="BP722" s="215"/>
      <c r="BQ722" s="215"/>
      <c r="BR722" s="215"/>
      <c r="BS722" s="215"/>
      <c r="BT722" s="215"/>
      <c r="BU722" s="215"/>
      <c r="BV722" s="215"/>
      <c r="BW722" s="215"/>
      <c r="BX722" s="215"/>
      <c r="BY722" s="215"/>
      <c r="BZ722" s="215"/>
    </row>
    <row r="723" spans="1:78" outlineLevel="1" x14ac:dyDescent="0.2">
      <c r="A723" s="2" t="str">
        <f>'Language Index'!A569</f>
        <v>Long Term Assets</v>
      </c>
      <c r="B723" s="17"/>
      <c r="C723" s="17"/>
      <c r="D723" s="18">
        <f>_xll.ciqfunctions.udf.CIQ($C$2,"IQ_OPEB_LT_ASSETS",D$6,$F$2,,,Ccy,Conv)</f>
        <v>0</v>
      </c>
      <c r="E723" s="18">
        <f>_xll.ciqfunctions.udf.CIQ($C$2,"IQ_OPEB_LT_ASSETS",E$6,$F$2,,,Ccy,Conv)</f>
        <v>0</v>
      </c>
      <c r="F723" s="18">
        <f>_xll.ciqfunctions.udf.CIQ($C$2,"IQ_OPEB_LT_ASSETS",F$6,$F$2,,,Ccy,Conv)</f>
        <v>0</v>
      </c>
      <c r="G723" s="18">
        <f>_xll.ciqfunctions.udf.CIQ($C$2,"IQ_OPEB_LT_ASSETS",G$6,$F$2,,,Ccy,Conv)</f>
        <v>0</v>
      </c>
      <c r="H723" s="18">
        <f>_xll.ciqfunctions.udf.CIQ($C$2,"IQ_OPEB_LT_ASSETS",H$6,$F$2,,,Ccy,Conv)</f>
        <v>0</v>
      </c>
      <c r="I723" s="18">
        <f>_xll.ciqfunctions.udf.CIQ($C$2,"IQ_OPEB_LT_ASSETS",I$6,$F$2,,,Ccy,Conv)</f>
        <v>0</v>
      </c>
      <c r="J723" s="18">
        <f>_xll.ciqfunctions.udf.CIQ($C$2,"IQ_OPEB_LT_ASSETS",J$6,$F$2,,,Ccy,Conv)</f>
        <v>0</v>
      </c>
      <c r="K723" s="18">
        <f>_xll.ciqfunctions.udf.CIQ($C$2,"IQ_OPEB_LT_ASSETS",K$6,$F$2,,,Ccy,Conv)</f>
        <v>0</v>
      </c>
      <c r="L723" s="18">
        <f>_xll.ciqfunctions.udf.CIQ($C$2,"IQ_OPEB_LT_ASSETS",L$6,$F$2,,,Ccy,Conv)</f>
        <v>0</v>
      </c>
      <c r="M723" s="18">
        <f>_xll.ciqfunctions.udf.CIQ($C$2,"IQ_OPEB_LT_ASSETS",M$6,$F$2,,,Ccy,Conv)</f>
        <v>0</v>
      </c>
      <c r="N723" s="18">
        <f>_xll.ciqfunctions.udf.CIQ($C$2,"IQ_OPEB_LT_ASSETS",N$6,$F$2,,,Ccy,Conv)</f>
        <v>0</v>
      </c>
      <c r="O723" s="30"/>
      <c r="P723" s="18">
        <f>_xll.ciqfunctions.udf.CIQ($C$2,"IQ_OPEB_LT_ASSETS",P$6,$F$2,,,Ccy,Conv)</f>
        <v>0</v>
      </c>
      <c r="Q723" s="215"/>
      <c r="R723" s="215"/>
      <c r="S723" s="215"/>
      <c r="T723" s="215"/>
      <c r="U723" s="215"/>
      <c r="V723" s="222"/>
      <c r="W723" s="222"/>
      <c r="X723" s="222"/>
      <c r="Y723" s="215"/>
      <c r="Z723" s="215"/>
      <c r="AA723" s="215"/>
      <c r="AB723" s="215"/>
      <c r="AC723" s="215"/>
      <c r="AD723" s="215"/>
      <c r="AE723" s="215"/>
      <c r="AF723" s="215"/>
      <c r="AG723" s="215"/>
      <c r="AH723" s="215"/>
      <c r="AI723" s="215"/>
      <c r="AJ723" s="215"/>
      <c r="AK723" s="215"/>
      <c r="AL723" s="215"/>
      <c r="AM723" s="215"/>
      <c r="AN723" s="215"/>
      <c r="AO723" s="215"/>
      <c r="AP723" s="215"/>
      <c r="AQ723" s="215"/>
      <c r="AR723" s="215"/>
      <c r="AS723" s="215"/>
      <c r="AT723" s="215"/>
      <c r="AU723" s="215"/>
      <c r="AV723" s="215"/>
      <c r="AW723" s="215"/>
      <c r="AX723" s="215"/>
      <c r="AY723" s="215"/>
      <c r="AZ723" s="215"/>
      <c r="BA723" s="215"/>
      <c r="BB723" s="215"/>
      <c r="BC723" s="215"/>
      <c r="BD723" s="215"/>
      <c r="BE723" s="215"/>
      <c r="BF723" s="215"/>
      <c r="BG723" s="215"/>
      <c r="BH723" s="215"/>
      <c r="BI723" s="215"/>
      <c r="BJ723" s="215"/>
      <c r="BK723" s="215"/>
      <c r="BL723" s="215"/>
      <c r="BM723" s="215"/>
      <c r="BN723" s="215"/>
      <c r="BO723" s="215"/>
      <c r="BP723" s="215"/>
      <c r="BQ723" s="215"/>
      <c r="BR723" s="215"/>
      <c r="BS723" s="215"/>
      <c r="BT723" s="215"/>
      <c r="BU723" s="215"/>
      <c r="BV723" s="215"/>
      <c r="BW723" s="215"/>
      <c r="BX723" s="215"/>
      <c r="BY723" s="215"/>
      <c r="BZ723" s="215"/>
    </row>
    <row r="724" spans="1:78" outlineLevel="1" x14ac:dyDescent="0.2">
      <c r="A724" s="2" t="str">
        <f>'Language Index'!A570</f>
        <v>Current Liabilities</v>
      </c>
      <c r="B724" s="17"/>
      <c r="C724" s="17"/>
      <c r="D724" s="18">
        <f>_xll.ciqfunctions.udf.CIQ($C$2,"IQ_OPEB_CL",D$6,$F$2,,,Ccy,Conv)</f>
        <v>0</v>
      </c>
      <c r="E724" s="18">
        <f>_xll.ciqfunctions.udf.CIQ($C$2,"IQ_OPEB_CL",E$6,$F$2,,,Ccy,Conv)</f>
        <v>0</v>
      </c>
      <c r="F724" s="18">
        <f>_xll.ciqfunctions.udf.CIQ($C$2,"IQ_OPEB_CL",F$6,$F$2,,,Ccy,Conv)</f>
        <v>-219</v>
      </c>
      <c r="G724" s="18">
        <f>_xll.ciqfunctions.udf.CIQ($C$2,"IQ_OPEB_CL",G$6,$F$2,,,Ccy,Conv)</f>
        <v>0</v>
      </c>
      <c r="H724" s="18">
        <f>_xll.ciqfunctions.udf.CIQ($C$2,"IQ_OPEB_CL",H$6,$F$2,,,Ccy,Conv)</f>
        <v>0</v>
      </c>
      <c r="I724" s="18">
        <f>_xll.ciqfunctions.udf.CIQ($C$2,"IQ_OPEB_CL",I$6,$F$2,,,Ccy,Conv)</f>
        <v>0</v>
      </c>
      <c r="J724" s="18">
        <f>_xll.ciqfunctions.udf.CIQ($C$2,"IQ_OPEB_CL",J$6,$F$2,,,Ccy,Conv)</f>
        <v>-238</v>
      </c>
      <c r="K724" s="18">
        <f>_xll.ciqfunctions.udf.CIQ($C$2,"IQ_OPEB_CL",K$6,$F$2,,,Ccy,Conv)</f>
        <v>0</v>
      </c>
      <c r="L724" s="18">
        <f>_xll.ciqfunctions.udf.CIQ($C$2,"IQ_OPEB_CL",L$6,$F$2,,,Ccy,Conv)</f>
        <v>0</v>
      </c>
      <c r="M724" s="18">
        <f>_xll.ciqfunctions.udf.CIQ($C$2,"IQ_OPEB_CL",M$6,$F$2,,,Ccy,Conv)</f>
        <v>0</v>
      </c>
      <c r="N724" s="18">
        <f>_xll.ciqfunctions.udf.CIQ($C$2,"IQ_OPEB_CL",N$6,$F$2,,,Ccy,Conv)</f>
        <v>-286</v>
      </c>
      <c r="O724" s="30"/>
      <c r="P724" s="18">
        <f>_xll.ciqfunctions.udf.CIQ($C$2,"IQ_OPEB_CL",P$6,$F$2,,,Ccy,Conv)</f>
        <v>-286</v>
      </c>
      <c r="Q724" s="215"/>
      <c r="R724" s="215"/>
      <c r="S724" s="215"/>
      <c r="T724" s="215"/>
      <c r="U724" s="215"/>
      <c r="V724" s="222"/>
      <c r="W724" s="222"/>
      <c r="X724" s="222"/>
      <c r="Y724" s="215"/>
      <c r="Z724" s="215"/>
      <c r="AA724" s="215"/>
      <c r="AB724" s="215"/>
      <c r="AC724" s="215"/>
      <c r="AD724" s="215"/>
      <c r="AE724" s="215"/>
      <c r="AF724" s="215"/>
      <c r="AG724" s="215"/>
      <c r="AH724" s="215"/>
      <c r="AI724" s="215"/>
      <c r="AJ724" s="215"/>
      <c r="AK724" s="215"/>
      <c r="AL724" s="215"/>
      <c r="AM724" s="215"/>
      <c r="AN724" s="215"/>
      <c r="AO724" s="215"/>
      <c r="AP724" s="215"/>
      <c r="AQ724" s="215"/>
      <c r="AR724" s="215"/>
      <c r="AS724" s="215"/>
      <c r="AT724" s="215"/>
      <c r="AU724" s="215"/>
      <c r="AV724" s="215"/>
      <c r="AW724" s="215"/>
      <c r="AX724" s="215"/>
      <c r="AY724" s="215"/>
      <c r="AZ724" s="215"/>
      <c r="BA724" s="215"/>
      <c r="BB724" s="215"/>
      <c r="BC724" s="215"/>
      <c r="BD724" s="215"/>
      <c r="BE724" s="215"/>
      <c r="BF724" s="215"/>
      <c r="BG724" s="215"/>
      <c r="BH724" s="215"/>
      <c r="BI724" s="215"/>
      <c r="BJ724" s="215"/>
      <c r="BK724" s="215"/>
      <c r="BL724" s="215"/>
      <c r="BM724" s="215"/>
      <c r="BN724" s="215"/>
      <c r="BO724" s="215"/>
      <c r="BP724" s="215"/>
      <c r="BQ724" s="215"/>
      <c r="BR724" s="215"/>
      <c r="BS724" s="215"/>
      <c r="BT724" s="215"/>
      <c r="BU724" s="215"/>
      <c r="BV724" s="215"/>
      <c r="BW724" s="215"/>
      <c r="BX724" s="215"/>
      <c r="BY724" s="215"/>
      <c r="BZ724" s="215"/>
    </row>
    <row r="725" spans="1:78" outlineLevel="1" x14ac:dyDescent="0.2">
      <c r="A725" s="2" t="str">
        <f>'Language Index'!A571</f>
        <v>Long Term Liabilities</v>
      </c>
      <c r="B725" s="17"/>
      <c r="C725" s="17"/>
      <c r="D725" s="18">
        <f>_xll.ciqfunctions.udf.CIQ($C$2,"IQ_OPEB_LT_LIAB",D$6,$F$2,,,Ccy,Conv)</f>
        <v>0</v>
      </c>
      <c r="E725" s="18">
        <f>_xll.ciqfunctions.udf.CIQ($C$2,"IQ_OPEB_LT_LIAB",E$6,$F$2,,,Ccy,Conv)</f>
        <v>0</v>
      </c>
      <c r="F725" s="18">
        <f>_xll.ciqfunctions.udf.CIQ($C$2,"IQ_OPEB_LT_LIAB",F$6,$F$2,,,Ccy,Conv)</f>
        <v>-2569</v>
      </c>
      <c r="G725" s="18">
        <f>_xll.ciqfunctions.udf.CIQ($C$2,"IQ_OPEB_LT_LIAB",G$6,$F$2,,,Ccy,Conv)</f>
        <v>0</v>
      </c>
      <c r="H725" s="18">
        <f>_xll.ciqfunctions.udf.CIQ($C$2,"IQ_OPEB_LT_LIAB",H$6,$F$2,,,Ccy,Conv)</f>
        <v>0</v>
      </c>
      <c r="I725" s="18">
        <f>_xll.ciqfunctions.udf.CIQ($C$2,"IQ_OPEB_LT_LIAB",I$6,$F$2,,,Ccy,Conv)</f>
        <v>0</v>
      </c>
      <c r="J725" s="18">
        <f>_xll.ciqfunctions.udf.CIQ($C$2,"IQ_OPEB_LT_LIAB",J$6,$F$2,,,Ccy,Conv)</f>
        <v>-2506</v>
      </c>
      <c r="K725" s="18">
        <f>_xll.ciqfunctions.udf.CIQ($C$2,"IQ_OPEB_LT_LIAB",K$6,$F$2,,,Ccy,Conv)</f>
        <v>0</v>
      </c>
      <c r="L725" s="18">
        <f>_xll.ciqfunctions.udf.CIQ($C$2,"IQ_OPEB_LT_LIAB",L$6,$F$2,,,Ccy,Conv)</f>
        <v>0</v>
      </c>
      <c r="M725" s="18">
        <f>_xll.ciqfunctions.udf.CIQ($C$2,"IQ_OPEB_LT_LIAB",M$6,$F$2,,,Ccy,Conv)</f>
        <v>0</v>
      </c>
      <c r="N725" s="18">
        <f>_xll.ciqfunctions.udf.CIQ($C$2,"IQ_OPEB_LT_LIAB",N$6,$F$2,,,Ccy,Conv)</f>
        <v>-2470</v>
      </c>
      <c r="O725" s="30"/>
      <c r="P725" s="18">
        <f>_xll.ciqfunctions.udf.CIQ($C$2,"IQ_OPEB_LT_LIAB",P$6,$F$2,,,Ccy,Conv)</f>
        <v>-2470</v>
      </c>
      <c r="Q725" s="215"/>
      <c r="R725" s="215"/>
      <c r="S725" s="215"/>
      <c r="T725" s="215"/>
      <c r="U725" s="215"/>
      <c r="V725" s="222"/>
      <c r="W725" s="222"/>
      <c r="X725" s="222"/>
      <c r="Y725" s="215"/>
      <c r="Z725" s="215"/>
      <c r="AA725" s="215"/>
      <c r="AB725" s="215"/>
      <c r="AC725" s="215"/>
      <c r="AD725" s="215"/>
      <c r="AE725" s="215"/>
      <c r="AF725" s="215"/>
      <c r="AG725" s="215"/>
      <c r="AH725" s="215"/>
      <c r="AI725" s="215"/>
      <c r="AJ725" s="215"/>
      <c r="AK725" s="215"/>
      <c r="AL725" s="215"/>
      <c r="AM725" s="215"/>
      <c r="AN725" s="215"/>
      <c r="AO725" s="215"/>
      <c r="AP725" s="215"/>
      <c r="AQ725" s="215"/>
      <c r="AR725" s="215"/>
      <c r="AS725" s="215"/>
      <c r="AT725" s="215"/>
      <c r="AU725" s="215"/>
      <c r="AV725" s="215"/>
      <c r="AW725" s="215"/>
      <c r="AX725" s="215"/>
      <c r="AY725" s="215"/>
      <c r="AZ725" s="215"/>
      <c r="BA725" s="215"/>
      <c r="BB725" s="215"/>
      <c r="BC725" s="215"/>
      <c r="BD725" s="215"/>
      <c r="BE725" s="215"/>
      <c r="BF725" s="215"/>
      <c r="BG725" s="215"/>
      <c r="BH725" s="215"/>
      <c r="BI725" s="215"/>
      <c r="BJ725" s="215"/>
      <c r="BK725" s="215"/>
      <c r="BL725" s="215"/>
      <c r="BM725" s="215"/>
      <c r="BN725" s="215"/>
      <c r="BO725" s="215"/>
      <c r="BP725" s="215"/>
      <c r="BQ725" s="215"/>
      <c r="BR725" s="215"/>
      <c r="BS725" s="215"/>
      <c r="BT725" s="215"/>
      <c r="BU725" s="215"/>
      <c r="BV725" s="215"/>
      <c r="BW725" s="215"/>
      <c r="BX725" s="215"/>
      <c r="BY725" s="215"/>
      <c r="BZ725" s="215"/>
    </row>
    <row r="726" spans="1:78" outlineLevel="1" x14ac:dyDescent="0.2">
      <c r="A726" s="2" t="str">
        <f>'Language Index'!A572</f>
        <v>Other Assets/Liabilities</v>
      </c>
      <c r="B726" s="17"/>
      <c r="C726" s="17"/>
      <c r="D726" s="18">
        <f>_xll.ciqfunctions.udf.CIQ($C$2,"IQ_OPEB_OTHER",D$6,$F$2,,,Ccy,Conv)</f>
        <v>0</v>
      </c>
      <c r="E726" s="18">
        <f>_xll.ciqfunctions.udf.CIQ($C$2,"IQ_OPEB_OTHER",E$6,$F$2,,,Ccy,Conv)</f>
        <v>0</v>
      </c>
      <c r="F726" s="18">
        <f>_xll.ciqfunctions.udf.CIQ($C$2,"IQ_OPEB_OTHER",F$6,$F$2,,,Ccy,Conv)</f>
        <v>0</v>
      </c>
      <c r="G726" s="18">
        <f>_xll.ciqfunctions.udf.CIQ($C$2,"IQ_OPEB_OTHER",G$6,$F$2,,,Ccy,Conv)</f>
        <v>0</v>
      </c>
      <c r="H726" s="18">
        <f>_xll.ciqfunctions.udf.CIQ($C$2,"IQ_OPEB_OTHER",H$6,$F$2,,,Ccy,Conv)</f>
        <v>0</v>
      </c>
      <c r="I726" s="18">
        <f>_xll.ciqfunctions.udf.CIQ($C$2,"IQ_OPEB_OTHER",I$6,$F$2,,,Ccy,Conv)</f>
        <v>0</v>
      </c>
      <c r="J726" s="18">
        <f>_xll.ciqfunctions.udf.CIQ($C$2,"IQ_OPEB_OTHER",J$6,$F$2,,,Ccy,Conv)</f>
        <v>0</v>
      </c>
      <c r="K726" s="18">
        <f>_xll.ciqfunctions.udf.CIQ($C$2,"IQ_OPEB_OTHER",K$6,$F$2,,,Ccy,Conv)</f>
        <v>0</v>
      </c>
      <c r="L726" s="18">
        <f>_xll.ciqfunctions.udf.CIQ($C$2,"IQ_OPEB_OTHER",L$6,$F$2,,,Ccy,Conv)</f>
        <v>0</v>
      </c>
      <c r="M726" s="18">
        <f>_xll.ciqfunctions.udf.CIQ($C$2,"IQ_OPEB_OTHER",M$6,$F$2,,,Ccy,Conv)</f>
        <v>0</v>
      </c>
      <c r="N726" s="18">
        <f>_xll.ciqfunctions.udf.CIQ($C$2,"IQ_OPEB_OTHER",N$6,$F$2,,,Ccy,Conv)</f>
        <v>0</v>
      </c>
      <c r="O726" s="30"/>
      <c r="P726" s="18">
        <f>_xll.ciqfunctions.udf.CIQ($C$2,"IQ_OPEB_OTHER",P$6,$F$2,,,Ccy,Conv)</f>
        <v>0</v>
      </c>
      <c r="Q726" s="215"/>
      <c r="R726" s="215"/>
      <c r="S726" s="215"/>
      <c r="T726" s="215"/>
      <c r="U726" s="215"/>
      <c r="V726" s="222"/>
      <c r="W726" s="222"/>
      <c r="X726" s="222"/>
      <c r="Y726" s="215"/>
      <c r="Z726" s="215"/>
      <c r="AA726" s="215"/>
      <c r="AB726" s="215"/>
      <c r="AC726" s="215"/>
      <c r="AD726" s="215"/>
      <c r="AE726" s="215"/>
      <c r="AF726" s="215"/>
      <c r="AG726" s="215"/>
      <c r="AH726" s="215"/>
      <c r="AI726" s="215"/>
      <c r="AJ726" s="215"/>
      <c r="AK726" s="215"/>
      <c r="AL726" s="215"/>
      <c r="AM726" s="215"/>
      <c r="AN726" s="215"/>
      <c r="AO726" s="215"/>
      <c r="AP726" s="215"/>
      <c r="AQ726" s="215"/>
      <c r="AR726" s="215"/>
      <c r="AS726" s="215"/>
      <c r="AT726" s="215"/>
      <c r="AU726" s="215"/>
      <c r="AV726" s="215"/>
      <c r="AW726" s="215"/>
      <c r="AX726" s="215"/>
      <c r="AY726" s="215"/>
      <c r="AZ726" s="215"/>
      <c r="BA726" s="215"/>
      <c r="BB726" s="215"/>
      <c r="BC726" s="215"/>
      <c r="BD726" s="215"/>
      <c r="BE726" s="215"/>
      <c r="BF726" s="215"/>
      <c r="BG726" s="215"/>
      <c r="BH726" s="215"/>
      <c r="BI726" s="215"/>
      <c r="BJ726" s="215"/>
      <c r="BK726" s="215"/>
      <c r="BL726" s="215"/>
      <c r="BM726" s="215"/>
      <c r="BN726" s="215"/>
      <c r="BO726" s="215"/>
      <c r="BP726" s="215"/>
      <c r="BQ726" s="215"/>
      <c r="BR726" s="215"/>
      <c r="BS726" s="215"/>
      <c r="BT726" s="215"/>
      <c r="BU726" s="215"/>
      <c r="BV726" s="215"/>
      <c r="BW726" s="215"/>
      <c r="BX726" s="215"/>
      <c r="BY726" s="215"/>
      <c r="BZ726" s="215"/>
    </row>
    <row r="727" spans="1:78" outlineLevel="1" x14ac:dyDescent="0.2">
      <c r="A727" s="9" t="str">
        <f>'Language Index'!A573</f>
        <v>Adj. for Liability Recognized on Balance Sheet</v>
      </c>
      <c r="B727" s="17"/>
      <c r="C727" s="17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30"/>
      <c r="P727" s="18"/>
      <c r="Q727" s="215"/>
      <c r="R727" s="215"/>
      <c r="S727" s="215"/>
      <c r="T727" s="215"/>
      <c r="U727" s="215"/>
      <c r="V727" s="222"/>
      <c r="W727" s="222"/>
      <c r="X727" s="222"/>
      <c r="Y727" s="215"/>
      <c r="Z727" s="215"/>
      <c r="AA727" s="215"/>
      <c r="AB727" s="215"/>
      <c r="AC727" s="215"/>
      <c r="AD727" s="215"/>
      <c r="AE727" s="215"/>
      <c r="AF727" s="215"/>
      <c r="AG727" s="215"/>
      <c r="AH727" s="215"/>
      <c r="AI727" s="215"/>
      <c r="AJ727" s="215"/>
      <c r="AK727" s="215"/>
      <c r="AL727" s="215"/>
      <c r="AM727" s="215"/>
      <c r="AN727" s="215"/>
      <c r="AO727" s="215"/>
      <c r="AP727" s="215"/>
      <c r="AQ727" s="215"/>
      <c r="AR727" s="215"/>
      <c r="AS727" s="215"/>
      <c r="AT727" s="215"/>
      <c r="AU727" s="215"/>
      <c r="AV727" s="215"/>
      <c r="AW727" s="215"/>
      <c r="AX727" s="215"/>
      <c r="AY727" s="215"/>
      <c r="AZ727" s="215"/>
      <c r="BA727" s="215"/>
      <c r="BB727" s="215"/>
      <c r="BC727" s="215"/>
      <c r="BD727" s="215"/>
      <c r="BE727" s="215"/>
      <c r="BF727" s="215"/>
      <c r="BG727" s="215"/>
      <c r="BH727" s="215"/>
      <c r="BI727" s="215"/>
      <c r="BJ727" s="215"/>
      <c r="BK727" s="215"/>
      <c r="BL727" s="215"/>
      <c r="BM727" s="215"/>
      <c r="BN727" s="215"/>
      <c r="BO727" s="215"/>
      <c r="BP727" s="215"/>
      <c r="BQ727" s="215"/>
      <c r="BR727" s="215"/>
      <c r="BS727" s="215"/>
      <c r="BT727" s="215"/>
      <c r="BU727" s="215"/>
      <c r="BV727" s="215"/>
      <c r="BW727" s="215"/>
      <c r="BX727" s="215"/>
      <c r="BY727" s="215"/>
      <c r="BZ727" s="215"/>
    </row>
    <row r="728" spans="1:78" outlineLevel="1" x14ac:dyDescent="0.2">
      <c r="A728" s="2" t="str">
        <f>'Language Index'!A574</f>
        <v>Unrecog. Prior Plan Service Cost</v>
      </c>
      <c r="B728" s="17"/>
      <c r="C728" s="17"/>
      <c r="D728" s="18">
        <f>_xll.ciqfunctions.udf.CIQ($C$2,"IQ_OPEB_UNRECOG_PRIOR",D$6,$F$2,,,Ccy,Conv)</f>
        <v>0</v>
      </c>
      <c r="E728" s="18">
        <f>_xll.ciqfunctions.udf.CIQ($C$2,"IQ_OPEB_UNRECOG_PRIOR",E$6,$F$2,,,Ccy,Conv)</f>
        <v>0</v>
      </c>
      <c r="F728" s="18">
        <f>_xll.ciqfunctions.udf.CIQ($C$2,"IQ_OPEB_UNRECOG_PRIOR",F$6,$F$2,,,Ccy,Conv)</f>
        <v>0</v>
      </c>
      <c r="G728" s="18">
        <f>_xll.ciqfunctions.udf.CIQ($C$2,"IQ_OPEB_UNRECOG_PRIOR",G$6,$F$2,,,Ccy,Conv)</f>
        <v>0</v>
      </c>
      <c r="H728" s="18">
        <f>_xll.ciqfunctions.udf.CIQ($C$2,"IQ_OPEB_UNRECOG_PRIOR",H$6,$F$2,,,Ccy,Conv)</f>
        <v>0</v>
      </c>
      <c r="I728" s="18">
        <f>_xll.ciqfunctions.udf.CIQ($C$2,"IQ_OPEB_UNRECOG_PRIOR",I$6,$F$2,,,Ccy,Conv)</f>
        <v>0</v>
      </c>
      <c r="J728" s="18">
        <f>_xll.ciqfunctions.udf.CIQ($C$2,"IQ_OPEB_UNRECOG_PRIOR",J$6,$F$2,,,Ccy,Conv)</f>
        <v>0</v>
      </c>
      <c r="K728" s="18">
        <f>_xll.ciqfunctions.udf.CIQ($C$2,"IQ_OPEB_UNRECOG_PRIOR",K$6,$F$2,,,Ccy,Conv)</f>
        <v>0</v>
      </c>
      <c r="L728" s="18">
        <f>_xll.ciqfunctions.udf.CIQ($C$2,"IQ_OPEB_UNRECOG_PRIOR",L$6,$F$2,,,Ccy,Conv)</f>
        <v>0</v>
      </c>
      <c r="M728" s="18">
        <f>_xll.ciqfunctions.udf.CIQ($C$2,"IQ_OPEB_UNRECOG_PRIOR",M$6,$F$2,,,Ccy,Conv)</f>
        <v>0</v>
      </c>
      <c r="N728" s="18">
        <f>_xll.ciqfunctions.udf.CIQ($C$2,"IQ_OPEB_UNRECOG_PRIOR",N$6,$F$2,,,Ccy,Conv)</f>
        <v>0</v>
      </c>
      <c r="O728" s="30"/>
      <c r="P728" s="18">
        <f>_xll.ciqfunctions.udf.CIQ($C$2,"IQ_OPEB_UNRECOG_PRIOR",P$6,$F$2,,,Ccy,Conv)</f>
        <v>0</v>
      </c>
      <c r="Q728" s="215"/>
      <c r="R728" s="215"/>
      <c r="S728" s="215"/>
      <c r="T728" s="215"/>
      <c r="U728" s="215"/>
      <c r="V728" s="222"/>
      <c r="W728" s="222"/>
      <c r="X728" s="222"/>
      <c r="Y728" s="215"/>
      <c r="Z728" s="215"/>
      <c r="AA728" s="215"/>
      <c r="AB728" s="215"/>
      <c r="AC728" s="215"/>
      <c r="AD728" s="215"/>
      <c r="AE728" s="215"/>
      <c r="AF728" s="215"/>
      <c r="AG728" s="215"/>
      <c r="AH728" s="215"/>
      <c r="AI728" s="215"/>
      <c r="AJ728" s="215"/>
      <c r="AK728" s="215"/>
      <c r="AL728" s="215"/>
      <c r="AM728" s="215"/>
      <c r="AN728" s="215"/>
      <c r="AO728" s="215"/>
      <c r="AP728" s="215"/>
      <c r="AQ728" s="215"/>
      <c r="AR728" s="215"/>
      <c r="AS728" s="215"/>
      <c r="AT728" s="215"/>
      <c r="AU728" s="215"/>
      <c r="AV728" s="215"/>
      <c r="AW728" s="215"/>
      <c r="AX728" s="215"/>
      <c r="AY728" s="215"/>
      <c r="AZ728" s="215"/>
      <c r="BA728" s="215"/>
      <c r="BB728" s="215"/>
      <c r="BC728" s="215"/>
      <c r="BD728" s="215"/>
      <c r="BE728" s="215"/>
      <c r="BF728" s="215"/>
      <c r="BG728" s="215"/>
      <c r="BH728" s="215"/>
      <c r="BI728" s="215"/>
      <c r="BJ728" s="215"/>
      <c r="BK728" s="215"/>
      <c r="BL728" s="215"/>
      <c r="BM728" s="215"/>
      <c r="BN728" s="215"/>
      <c r="BO728" s="215"/>
      <c r="BP728" s="215"/>
      <c r="BQ728" s="215"/>
      <c r="BR728" s="215"/>
      <c r="BS728" s="215"/>
      <c r="BT728" s="215"/>
      <c r="BU728" s="215"/>
      <c r="BV728" s="215"/>
      <c r="BW728" s="215"/>
      <c r="BX728" s="215"/>
      <c r="BY728" s="215"/>
      <c r="BZ728" s="215"/>
    </row>
    <row r="729" spans="1:78" outlineLevel="1" x14ac:dyDescent="0.2">
      <c r="A729" s="2" t="str">
        <f>'Language Index'!A575</f>
        <v>Other Adj. (Net Benefit Asset/Liab.)</v>
      </c>
      <c r="B729" s="17"/>
      <c r="C729" s="17"/>
      <c r="D729" s="18">
        <f>_xll.ciqfunctions.udf.CIQ($C$2,"IQ_OPEB_OTHER_ADJ",D$6,$F$2,,,Ccy,Conv)</f>
        <v>0</v>
      </c>
      <c r="E729" s="18">
        <f>_xll.ciqfunctions.udf.CIQ($C$2,"IQ_OPEB_OTHER_ADJ",E$6,$F$2,,,Ccy,Conv)</f>
        <v>0</v>
      </c>
      <c r="F729" s="18">
        <f>_xll.ciqfunctions.udf.CIQ($C$2,"IQ_OPEB_OTHER_ADJ",F$6,$F$2,,,Ccy,Conv)</f>
        <v>0</v>
      </c>
      <c r="G729" s="18">
        <f>_xll.ciqfunctions.udf.CIQ($C$2,"IQ_OPEB_OTHER_ADJ",G$6,$F$2,,,Ccy,Conv)</f>
        <v>0</v>
      </c>
      <c r="H729" s="18">
        <f>_xll.ciqfunctions.udf.CIQ($C$2,"IQ_OPEB_OTHER_ADJ",H$6,$F$2,,,Ccy,Conv)</f>
        <v>0</v>
      </c>
      <c r="I729" s="18">
        <f>_xll.ciqfunctions.udf.CIQ($C$2,"IQ_OPEB_OTHER_ADJ",I$6,$F$2,,,Ccy,Conv)</f>
        <v>0</v>
      </c>
      <c r="J729" s="18">
        <f>_xll.ciqfunctions.udf.CIQ($C$2,"IQ_OPEB_OTHER_ADJ",J$6,$F$2,,,Ccy,Conv)</f>
        <v>0</v>
      </c>
      <c r="K729" s="18">
        <f>_xll.ciqfunctions.udf.CIQ($C$2,"IQ_OPEB_OTHER_ADJ",K$6,$F$2,,,Ccy,Conv)</f>
        <v>0</v>
      </c>
      <c r="L729" s="18">
        <f>_xll.ciqfunctions.udf.CIQ($C$2,"IQ_OPEB_OTHER_ADJ",L$6,$F$2,,,Ccy,Conv)</f>
        <v>0</v>
      </c>
      <c r="M729" s="18">
        <f>_xll.ciqfunctions.udf.CIQ($C$2,"IQ_OPEB_OTHER_ADJ",M$6,$F$2,,,Ccy,Conv)</f>
        <v>0</v>
      </c>
      <c r="N729" s="18">
        <f>_xll.ciqfunctions.udf.CIQ($C$2,"IQ_OPEB_OTHER_ADJ",N$6,$F$2,,,Ccy,Conv)</f>
        <v>0</v>
      </c>
      <c r="O729" s="30"/>
      <c r="P729" s="18">
        <f>_xll.ciqfunctions.udf.CIQ($C$2,"IQ_OPEB_OTHER_ADJ",P$6,$F$2,,,Ccy,Conv)</f>
        <v>0</v>
      </c>
      <c r="Q729" s="215"/>
      <c r="R729" s="215"/>
      <c r="S729" s="215"/>
      <c r="T729" s="215"/>
      <c r="U729" s="215"/>
      <c r="V729" s="222"/>
      <c r="W729" s="222"/>
      <c r="X729" s="222"/>
      <c r="Y729" s="215"/>
      <c r="Z729" s="215"/>
      <c r="AA729" s="215"/>
      <c r="AB729" s="215"/>
      <c r="AC729" s="215"/>
      <c r="AD729" s="215"/>
      <c r="AE729" s="215"/>
      <c r="AF729" s="215"/>
      <c r="AG729" s="215"/>
      <c r="AH729" s="215"/>
      <c r="AI729" s="215"/>
      <c r="AJ729" s="215"/>
      <c r="AK729" s="215"/>
      <c r="AL729" s="215"/>
      <c r="AM729" s="215"/>
      <c r="AN729" s="215"/>
      <c r="AO729" s="215"/>
      <c r="AP729" s="215"/>
      <c r="AQ729" s="215"/>
      <c r="AR729" s="215"/>
      <c r="AS729" s="215"/>
      <c r="AT729" s="215"/>
      <c r="AU729" s="215"/>
      <c r="AV729" s="215"/>
      <c r="AW729" s="215"/>
      <c r="AX729" s="215"/>
      <c r="AY729" s="215"/>
      <c r="AZ729" s="215"/>
      <c r="BA729" s="215"/>
      <c r="BB729" s="215"/>
      <c r="BC729" s="215"/>
      <c r="BD729" s="215"/>
      <c r="BE729" s="215"/>
      <c r="BF729" s="215"/>
      <c r="BG729" s="215"/>
      <c r="BH729" s="215"/>
      <c r="BI729" s="215"/>
      <c r="BJ729" s="215"/>
      <c r="BK729" s="215"/>
      <c r="BL729" s="215"/>
      <c r="BM729" s="215"/>
      <c r="BN729" s="215"/>
      <c r="BO729" s="215"/>
      <c r="BP729" s="215"/>
      <c r="BQ729" s="215"/>
      <c r="BR729" s="215"/>
      <c r="BS729" s="215"/>
      <c r="BT729" s="215"/>
      <c r="BU729" s="215"/>
      <c r="BV729" s="215"/>
      <c r="BW729" s="215"/>
      <c r="BX729" s="215"/>
      <c r="BY729" s="215"/>
      <c r="BZ729" s="215"/>
    </row>
    <row r="730" spans="1:78" outlineLevel="1" x14ac:dyDescent="0.2">
      <c r="A730" s="2" t="str">
        <f>'Language Index'!A576</f>
        <v>Net Asset/Liability Recognized on Balance Sheet</v>
      </c>
      <c r="B730" s="17"/>
      <c r="C730" s="17"/>
      <c r="D730" s="18">
        <f>_xll.ciqfunctions.udf.CIQ($C$2,"IQ_OPEB_NET_ASSET_RECOG",D$6,$F$2,,,Ccy,Conv)</f>
        <v>0</v>
      </c>
      <c r="E730" s="18">
        <f>_xll.ciqfunctions.udf.CIQ($C$2,"IQ_OPEB_NET_ASSET_RECOG",E$6,$F$2,,,Ccy,Conv)</f>
        <v>0</v>
      </c>
      <c r="F730" s="18">
        <f>_xll.ciqfunctions.udf.CIQ($C$2,"IQ_OPEB_NET_ASSET_RECOG",F$6,$F$2,,,Ccy,Conv)</f>
        <v>-2788</v>
      </c>
      <c r="G730" s="18">
        <f>_xll.ciqfunctions.udf.CIQ($C$2,"IQ_OPEB_NET_ASSET_RECOG",G$6,$F$2,,,Ccy,Conv)</f>
        <v>0</v>
      </c>
      <c r="H730" s="18">
        <f>_xll.ciqfunctions.udf.CIQ($C$2,"IQ_OPEB_NET_ASSET_RECOG",H$6,$F$2,,,Ccy,Conv)</f>
        <v>0</v>
      </c>
      <c r="I730" s="18">
        <f>_xll.ciqfunctions.udf.CIQ($C$2,"IQ_OPEB_NET_ASSET_RECOG",I$6,$F$2,,,Ccy,Conv)</f>
        <v>0</v>
      </c>
      <c r="J730" s="18">
        <f>_xll.ciqfunctions.udf.CIQ($C$2,"IQ_OPEB_NET_ASSET_RECOG",J$6,$F$2,,,Ccy,Conv)</f>
        <v>-2744</v>
      </c>
      <c r="K730" s="18">
        <f>_xll.ciqfunctions.udf.CIQ($C$2,"IQ_OPEB_NET_ASSET_RECOG",K$6,$F$2,,,Ccy,Conv)</f>
        <v>0</v>
      </c>
      <c r="L730" s="18">
        <f>_xll.ciqfunctions.udf.CIQ($C$2,"IQ_OPEB_NET_ASSET_RECOG",L$6,$F$2,,,Ccy,Conv)</f>
        <v>0</v>
      </c>
      <c r="M730" s="18">
        <f>_xll.ciqfunctions.udf.CIQ($C$2,"IQ_OPEB_NET_ASSET_RECOG",M$6,$F$2,,,Ccy,Conv)</f>
        <v>0</v>
      </c>
      <c r="N730" s="18">
        <f>_xll.ciqfunctions.udf.CIQ($C$2,"IQ_OPEB_NET_ASSET_RECOG",N$6,$F$2,,,Ccy,Conv)</f>
        <v>-2757</v>
      </c>
      <c r="O730" s="30"/>
      <c r="P730" s="18">
        <f>_xll.ciqfunctions.udf.CIQ($C$2,"IQ_OPEB_NET_ASSET_RECOG",P$6,$F$2,,,Ccy,Conv)</f>
        <v>-2757</v>
      </c>
      <c r="Q730" s="215"/>
      <c r="R730" s="215"/>
      <c r="S730" s="215"/>
      <c r="T730" s="215"/>
      <c r="U730" s="215"/>
      <c r="V730" s="222"/>
      <c r="W730" s="222"/>
      <c r="X730" s="222"/>
      <c r="Y730" s="215"/>
      <c r="Z730" s="215"/>
      <c r="AA730" s="215"/>
      <c r="AB730" s="215"/>
      <c r="AC730" s="215"/>
      <c r="AD730" s="215"/>
      <c r="AE730" s="215"/>
      <c r="AF730" s="215"/>
      <c r="AG730" s="215"/>
      <c r="AH730" s="215"/>
      <c r="AI730" s="215"/>
      <c r="AJ730" s="215"/>
      <c r="AK730" s="215"/>
      <c r="AL730" s="215"/>
      <c r="AM730" s="215"/>
      <c r="AN730" s="215"/>
      <c r="AO730" s="215"/>
      <c r="AP730" s="215"/>
      <c r="AQ730" s="215"/>
      <c r="AR730" s="215"/>
      <c r="AS730" s="215"/>
      <c r="AT730" s="215"/>
      <c r="AU730" s="215"/>
      <c r="AV730" s="215"/>
      <c r="AW730" s="215"/>
      <c r="AX730" s="215"/>
      <c r="AY730" s="215"/>
      <c r="AZ730" s="215"/>
      <c r="BA730" s="215"/>
      <c r="BB730" s="215"/>
      <c r="BC730" s="215"/>
      <c r="BD730" s="215"/>
      <c r="BE730" s="215"/>
      <c r="BF730" s="215"/>
      <c r="BG730" s="215"/>
      <c r="BH730" s="215"/>
      <c r="BI730" s="215"/>
      <c r="BJ730" s="215"/>
      <c r="BK730" s="215"/>
      <c r="BL730" s="215"/>
      <c r="BM730" s="215"/>
      <c r="BN730" s="215"/>
      <c r="BO730" s="215"/>
      <c r="BP730" s="215"/>
      <c r="BQ730" s="215"/>
      <c r="BR730" s="215"/>
      <c r="BS730" s="215"/>
      <c r="BT730" s="215"/>
      <c r="BU730" s="215"/>
      <c r="BV730" s="215"/>
      <c r="BW730" s="215"/>
      <c r="BX730" s="215"/>
      <c r="BY730" s="215"/>
      <c r="BZ730" s="215"/>
    </row>
    <row r="731" spans="1:78" outlineLevel="1" x14ac:dyDescent="0.2">
      <c r="A731" s="9" t="str">
        <f>'Language Index'!A590</f>
        <v>Benefits Sensitivity Analysis</v>
      </c>
      <c r="B731" s="17"/>
      <c r="C731" s="17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30"/>
      <c r="P731" s="18"/>
      <c r="Q731" s="215"/>
      <c r="R731" s="215"/>
      <c r="S731" s="215"/>
      <c r="T731" s="215"/>
      <c r="U731" s="215"/>
      <c r="V731" s="222"/>
      <c r="W731" s="222"/>
      <c r="X731" s="222"/>
      <c r="Y731" s="215"/>
      <c r="Z731" s="215"/>
      <c r="AA731" s="215"/>
      <c r="AB731" s="215"/>
      <c r="AC731" s="215"/>
      <c r="AD731" s="215"/>
      <c r="AE731" s="215"/>
      <c r="AF731" s="215"/>
      <c r="AG731" s="215"/>
      <c r="AH731" s="215"/>
      <c r="AI731" s="215"/>
      <c r="AJ731" s="215"/>
      <c r="AK731" s="215"/>
      <c r="AL731" s="215"/>
      <c r="AM731" s="215"/>
      <c r="AN731" s="215"/>
      <c r="AO731" s="215"/>
      <c r="AP731" s="215"/>
      <c r="AQ731" s="215"/>
      <c r="AR731" s="215"/>
      <c r="AS731" s="215"/>
      <c r="AT731" s="215"/>
      <c r="AU731" s="215"/>
      <c r="AV731" s="215"/>
      <c r="AW731" s="215"/>
      <c r="AX731" s="215"/>
      <c r="AY731" s="215"/>
      <c r="AZ731" s="215"/>
      <c r="BA731" s="215"/>
      <c r="BB731" s="215"/>
      <c r="BC731" s="215"/>
      <c r="BD731" s="215"/>
      <c r="BE731" s="215"/>
      <c r="BF731" s="215"/>
      <c r="BG731" s="215"/>
      <c r="BH731" s="215"/>
      <c r="BI731" s="215"/>
      <c r="BJ731" s="215"/>
      <c r="BK731" s="215"/>
      <c r="BL731" s="215"/>
      <c r="BM731" s="215"/>
      <c r="BN731" s="215"/>
      <c r="BO731" s="215"/>
      <c r="BP731" s="215"/>
      <c r="BQ731" s="215"/>
      <c r="BR731" s="215"/>
      <c r="BS731" s="215"/>
      <c r="BT731" s="215"/>
      <c r="BU731" s="215"/>
      <c r="BV731" s="215"/>
      <c r="BW731" s="215"/>
      <c r="BX731" s="215"/>
      <c r="BY731" s="215"/>
      <c r="BZ731" s="215"/>
    </row>
    <row r="732" spans="1:78" outlineLevel="1" x14ac:dyDescent="0.2">
      <c r="A732" s="2" t="str">
        <f>'Language Index'!A591</f>
        <v>1% Increase - Effect on Service and Interest Cost</v>
      </c>
      <c r="B732" s="17"/>
      <c r="C732" s="17"/>
      <c r="D732" s="18">
        <f>_xll.ciqfunctions.udf.CIQ($C$2,"IQ_OPEB_INCREASE_EFFECT_SERVICE_INT_COST",D$6,$F$2,,,Ccy,Conv)</f>
        <v>0</v>
      </c>
      <c r="E732" s="18">
        <f>_xll.ciqfunctions.udf.CIQ($C$2,"IQ_OPEB_INCREASE_EFFECT_SERVICE_INT_COST",E$6,$F$2,,,Ccy,Conv)</f>
        <v>0</v>
      </c>
      <c r="F732" s="18">
        <f>_xll.ciqfunctions.udf.CIQ($C$2,"IQ_OPEB_INCREASE_EFFECT_SERVICE_INT_COST",F$6,$F$2,,,Ccy,Conv)</f>
        <v>0</v>
      </c>
      <c r="G732" s="18">
        <f>_xll.ciqfunctions.udf.CIQ($C$2,"IQ_OPEB_INCREASE_EFFECT_SERVICE_INT_COST",G$6,$F$2,,,Ccy,Conv)</f>
        <v>0</v>
      </c>
      <c r="H732" s="18">
        <f>_xll.ciqfunctions.udf.CIQ($C$2,"IQ_OPEB_INCREASE_EFFECT_SERVICE_INT_COST",H$6,$F$2,,,Ccy,Conv)</f>
        <v>0</v>
      </c>
      <c r="I732" s="18">
        <f>_xll.ciqfunctions.udf.CIQ($C$2,"IQ_OPEB_INCREASE_EFFECT_SERVICE_INT_COST",I$6,$F$2,,,Ccy,Conv)</f>
        <v>0</v>
      </c>
      <c r="J732" s="18">
        <f>_xll.ciqfunctions.udf.CIQ($C$2,"IQ_OPEB_INCREASE_EFFECT_SERVICE_INT_COST",J$6,$F$2,,,Ccy,Conv)</f>
        <v>0</v>
      </c>
      <c r="K732" s="18">
        <f>_xll.ciqfunctions.udf.CIQ($C$2,"IQ_OPEB_INCREASE_EFFECT_SERVICE_INT_COST",K$6,$F$2,,,Ccy,Conv)</f>
        <v>0</v>
      </c>
      <c r="L732" s="18">
        <f>_xll.ciqfunctions.udf.CIQ($C$2,"IQ_OPEB_INCREASE_EFFECT_SERVICE_INT_COST",L$6,$F$2,,,Ccy,Conv)</f>
        <v>0</v>
      </c>
      <c r="M732" s="18">
        <f>_xll.ciqfunctions.udf.CIQ($C$2,"IQ_OPEB_INCREASE_EFFECT_SERVICE_INT_COST",M$6,$F$2,,,Ccy,Conv)</f>
        <v>0</v>
      </c>
      <c r="N732" s="18">
        <f>_xll.ciqfunctions.udf.CIQ($C$2,"IQ_OPEB_INCREASE_EFFECT_SERVICE_INT_COST",N$6,$F$2,,,Ccy,Conv)</f>
        <v>0</v>
      </c>
      <c r="O732" s="30"/>
      <c r="P732" s="18">
        <f>_xll.ciqfunctions.udf.CIQ($C$2,"IQ_OPEB_INCREASE_EFFECT_SERVICE_INT_COST",P$6,$F$2,,,Ccy,Conv)</f>
        <v>0</v>
      </c>
      <c r="Q732" s="215"/>
      <c r="R732" s="215"/>
      <c r="S732" s="215"/>
      <c r="T732" s="215"/>
      <c r="U732" s="215"/>
      <c r="V732" s="222"/>
      <c r="W732" s="222"/>
      <c r="X732" s="222"/>
      <c r="Y732" s="215"/>
      <c r="Z732" s="215"/>
      <c r="AA732" s="215"/>
      <c r="AB732" s="215"/>
      <c r="AC732" s="215"/>
      <c r="AD732" s="215"/>
      <c r="AE732" s="215"/>
      <c r="AF732" s="215"/>
      <c r="AG732" s="215"/>
      <c r="AH732" s="215"/>
      <c r="AI732" s="215"/>
      <c r="AJ732" s="215"/>
      <c r="AK732" s="215"/>
      <c r="AL732" s="215"/>
      <c r="AM732" s="215"/>
      <c r="AN732" s="215"/>
      <c r="AO732" s="215"/>
      <c r="AP732" s="215"/>
      <c r="AQ732" s="215"/>
      <c r="AR732" s="215"/>
      <c r="AS732" s="215"/>
      <c r="AT732" s="215"/>
      <c r="AU732" s="215"/>
      <c r="AV732" s="215"/>
      <c r="AW732" s="215"/>
      <c r="AX732" s="215"/>
      <c r="AY732" s="215"/>
      <c r="AZ732" s="215"/>
      <c r="BA732" s="215"/>
      <c r="BB732" s="215"/>
      <c r="BC732" s="215"/>
      <c r="BD732" s="215"/>
      <c r="BE732" s="215"/>
      <c r="BF732" s="215"/>
      <c r="BG732" s="215"/>
      <c r="BH732" s="215"/>
      <c r="BI732" s="215"/>
      <c r="BJ732" s="215"/>
      <c r="BK732" s="215"/>
      <c r="BL732" s="215"/>
      <c r="BM732" s="215"/>
      <c r="BN732" s="215"/>
      <c r="BO732" s="215"/>
      <c r="BP732" s="215"/>
      <c r="BQ732" s="215"/>
      <c r="BR732" s="215"/>
      <c r="BS732" s="215"/>
      <c r="BT732" s="215"/>
      <c r="BU732" s="215"/>
      <c r="BV732" s="215"/>
      <c r="BW732" s="215"/>
      <c r="BX732" s="215"/>
      <c r="BY732" s="215"/>
      <c r="BZ732" s="215"/>
    </row>
    <row r="733" spans="1:78" outlineLevel="1" x14ac:dyDescent="0.2">
      <c r="A733" s="2" t="str">
        <f>'Language Index'!A592</f>
        <v>1% Increase - Effect on PBO</v>
      </c>
      <c r="B733" s="17"/>
      <c r="C733" s="17"/>
      <c r="D733" s="18">
        <f>_xll.ciqfunctions.udf.CIQ($C$2,"IQ_OPEB_INCREASE_EFFECT_PBO",D$6,$F$2,,,Ccy,Conv)</f>
        <v>0</v>
      </c>
      <c r="E733" s="18">
        <f>_xll.ciqfunctions.udf.CIQ($C$2,"IQ_OPEB_INCREASE_EFFECT_PBO",E$6,$F$2,,,Ccy,Conv)</f>
        <v>0</v>
      </c>
      <c r="F733" s="18">
        <f>_xll.ciqfunctions.udf.CIQ($C$2,"IQ_OPEB_INCREASE_EFFECT_PBO",F$6,$F$2,,,Ccy,Conv)</f>
        <v>0</v>
      </c>
      <c r="G733" s="18">
        <f>_xll.ciqfunctions.udf.CIQ($C$2,"IQ_OPEB_INCREASE_EFFECT_PBO",G$6,$F$2,,,Ccy,Conv)</f>
        <v>0</v>
      </c>
      <c r="H733" s="18">
        <f>_xll.ciqfunctions.udf.CIQ($C$2,"IQ_OPEB_INCREASE_EFFECT_PBO",H$6,$F$2,,,Ccy,Conv)</f>
        <v>0</v>
      </c>
      <c r="I733" s="18">
        <f>_xll.ciqfunctions.udf.CIQ($C$2,"IQ_OPEB_INCREASE_EFFECT_PBO",I$6,$F$2,,,Ccy,Conv)</f>
        <v>0</v>
      </c>
      <c r="J733" s="18">
        <f>_xll.ciqfunctions.udf.CIQ($C$2,"IQ_OPEB_INCREASE_EFFECT_PBO",J$6,$F$2,,,Ccy,Conv)</f>
        <v>0</v>
      </c>
      <c r="K733" s="18">
        <f>_xll.ciqfunctions.udf.CIQ($C$2,"IQ_OPEB_INCREASE_EFFECT_PBO",K$6,$F$2,,,Ccy,Conv)</f>
        <v>0</v>
      </c>
      <c r="L733" s="18">
        <f>_xll.ciqfunctions.udf.CIQ($C$2,"IQ_OPEB_INCREASE_EFFECT_PBO",L$6,$F$2,,,Ccy,Conv)</f>
        <v>0</v>
      </c>
      <c r="M733" s="18">
        <f>_xll.ciqfunctions.udf.CIQ($C$2,"IQ_OPEB_INCREASE_EFFECT_PBO",M$6,$F$2,,,Ccy,Conv)</f>
        <v>0</v>
      </c>
      <c r="N733" s="18">
        <f>_xll.ciqfunctions.udf.CIQ($C$2,"IQ_OPEB_INCREASE_EFFECT_PBO",N$6,$F$2,,,Ccy,Conv)</f>
        <v>0</v>
      </c>
      <c r="O733" s="30"/>
      <c r="P733" s="18">
        <f>_xll.ciqfunctions.udf.CIQ($C$2,"IQ_OPEB_INCREASE_EFFECT_PBO",P$6,$F$2,,,Ccy,Conv)</f>
        <v>0</v>
      </c>
      <c r="Q733" s="215"/>
      <c r="R733" s="215"/>
      <c r="S733" s="215"/>
      <c r="T733" s="215"/>
      <c r="U733" s="215"/>
      <c r="V733" s="222"/>
      <c r="W733" s="222"/>
      <c r="X733" s="222"/>
      <c r="Y733" s="215"/>
      <c r="Z733" s="215"/>
      <c r="AA733" s="215"/>
      <c r="AB733" s="215"/>
      <c r="AC733" s="215"/>
      <c r="AD733" s="215"/>
      <c r="AE733" s="215"/>
      <c r="AF733" s="215"/>
      <c r="AG733" s="215"/>
      <c r="AH733" s="215"/>
      <c r="AI733" s="215"/>
      <c r="AJ733" s="215"/>
      <c r="AK733" s="215"/>
      <c r="AL733" s="215"/>
      <c r="AM733" s="215"/>
      <c r="AN733" s="215"/>
      <c r="AO733" s="215"/>
      <c r="AP733" s="215"/>
      <c r="AQ733" s="215"/>
      <c r="AR733" s="215"/>
      <c r="AS733" s="215"/>
      <c r="AT733" s="215"/>
      <c r="AU733" s="215"/>
      <c r="AV733" s="215"/>
      <c r="AW733" s="215"/>
      <c r="AX733" s="215"/>
      <c r="AY733" s="215"/>
      <c r="AZ733" s="215"/>
      <c r="BA733" s="215"/>
      <c r="BB733" s="215"/>
      <c r="BC733" s="215"/>
      <c r="BD733" s="215"/>
      <c r="BE733" s="215"/>
      <c r="BF733" s="215"/>
      <c r="BG733" s="215"/>
      <c r="BH733" s="215"/>
      <c r="BI733" s="215"/>
      <c r="BJ733" s="215"/>
      <c r="BK733" s="215"/>
      <c r="BL733" s="215"/>
      <c r="BM733" s="215"/>
      <c r="BN733" s="215"/>
      <c r="BO733" s="215"/>
      <c r="BP733" s="215"/>
      <c r="BQ733" s="215"/>
      <c r="BR733" s="215"/>
      <c r="BS733" s="215"/>
      <c r="BT733" s="215"/>
      <c r="BU733" s="215"/>
      <c r="BV733" s="215"/>
      <c r="BW733" s="215"/>
      <c r="BX733" s="215"/>
      <c r="BY733" s="215"/>
      <c r="BZ733" s="215"/>
    </row>
    <row r="734" spans="1:78" outlineLevel="1" x14ac:dyDescent="0.2">
      <c r="A734" s="2" t="str">
        <f>'Language Index'!A593</f>
        <v>1% Decrease - Effect on Service and Interest Cost</v>
      </c>
      <c r="B734" s="17"/>
      <c r="C734" s="17"/>
      <c r="D734" s="18">
        <f>_xll.ciqfunctions.udf.CIQ($C$2,"IQ_OPEB_DECREASE_EFFECT_SERVICE_INT_COST",D$6,$F$2,,,Ccy,Conv)</f>
        <v>0</v>
      </c>
      <c r="E734" s="18">
        <f>_xll.ciqfunctions.udf.CIQ($C$2,"IQ_OPEB_DECREASE_EFFECT_SERVICE_INT_COST",E$6,$F$2,,,Ccy,Conv)</f>
        <v>0</v>
      </c>
      <c r="F734" s="18">
        <f>_xll.ciqfunctions.udf.CIQ($C$2,"IQ_OPEB_DECREASE_EFFECT_SERVICE_INT_COST",F$6,$F$2,,,Ccy,Conv)</f>
        <v>0</v>
      </c>
      <c r="G734" s="18">
        <f>_xll.ciqfunctions.udf.CIQ($C$2,"IQ_OPEB_DECREASE_EFFECT_SERVICE_INT_COST",G$6,$F$2,,,Ccy,Conv)</f>
        <v>0</v>
      </c>
      <c r="H734" s="18">
        <f>_xll.ciqfunctions.udf.CIQ($C$2,"IQ_OPEB_DECREASE_EFFECT_SERVICE_INT_COST",H$6,$F$2,,,Ccy,Conv)</f>
        <v>0</v>
      </c>
      <c r="I734" s="18">
        <f>_xll.ciqfunctions.udf.CIQ($C$2,"IQ_OPEB_DECREASE_EFFECT_SERVICE_INT_COST",I$6,$F$2,,,Ccy,Conv)</f>
        <v>0</v>
      </c>
      <c r="J734" s="18">
        <f>_xll.ciqfunctions.udf.CIQ($C$2,"IQ_OPEB_DECREASE_EFFECT_SERVICE_INT_COST",J$6,$F$2,,,Ccy,Conv)</f>
        <v>0</v>
      </c>
      <c r="K734" s="18">
        <f>_xll.ciqfunctions.udf.CIQ($C$2,"IQ_OPEB_DECREASE_EFFECT_SERVICE_INT_COST",K$6,$F$2,,,Ccy,Conv)</f>
        <v>0</v>
      </c>
      <c r="L734" s="18">
        <f>_xll.ciqfunctions.udf.CIQ($C$2,"IQ_OPEB_DECREASE_EFFECT_SERVICE_INT_COST",L$6,$F$2,,,Ccy,Conv)</f>
        <v>0</v>
      </c>
      <c r="M734" s="18">
        <f>_xll.ciqfunctions.udf.CIQ($C$2,"IQ_OPEB_DECREASE_EFFECT_SERVICE_INT_COST",M$6,$F$2,,,Ccy,Conv)</f>
        <v>0</v>
      </c>
      <c r="N734" s="18">
        <f>_xll.ciqfunctions.udf.CIQ($C$2,"IQ_OPEB_DECREASE_EFFECT_SERVICE_INT_COST",N$6,$F$2,,,Ccy,Conv)</f>
        <v>0</v>
      </c>
      <c r="O734" s="30"/>
      <c r="P734" s="18">
        <f>_xll.ciqfunctions.udf.CIQ($C$2,"IQ_OPEB_DECREASE_EFFECT_SERVICE_INT_COST",P$6,$F$2,,,Ccy,Conv)</f>
        <v>0</v>
      </c>
      <c r="Q734" s="215"/>
      <c r="R734" s="215"/>
      <c r="S734" s="215"/>
      <c r="T734" s="215"/>
      <c r="U734" s="215"/>
      <c r="V734" s="222"/>
      <c r="W734" s="222"/>
      <c r="X734" s="222"/>
      <c r="Y734" s="215"/>
      <c r="Z734" s="215"/>
      <c r="AA734" s="215"/>
      <c r="AB734" s="215"/>
      <c r="AC734" s="215"/>
      <c r="AD734" s="215"/>
      <c r="AE734" s="215"/>
      <c r="AF734" s="215"/>
      <c r="AG734" s="215"/>
      <c r="AH734" s="215"/>
      <c r="AI734" s="215"/>
      <c r="AJ734" s="215"/>
      <c r="AK734" s="215"/>
      <c r="AL734" s="215"/>
      <c r="AM734" s="215"/>
      <c r="AN734" s="215"/>
      <c r="AO734" s="215"/>
      <c r="AP734" s="215"/>
      <c r="AQ734" s="215"/>
      <c r="AR734" s="215"/>
      <c r="AS734" s="215"/>
      <c r="AT734" s="215"/>
      <c r="AU734" s="215"/>
      <c r="AV734" s="215"/>
      <c r="AW734" s="215"/>
      <c r="AX734" s="215"/>
      <c r="AY734" s="215"/>
      <c r="AZ734" s="215"/>
      <c r="BA734" s="215"/>
      <c r="BB734" s="215"/>
      <c r="BC734" s="215"/>
      <c r="BD734" s="215"/>
      <c r="BE734" s="215"/>
      <c r="BF734" s="215"/>
      <c r="BG734" s="215"/>
      <c r="BH734" s="215"/>
      <c r="BI734" s="215"/>
      <c r="BJ734" s="215"/>
      <c r="BK734" s="215"/>
      <c r="BL734" s="215"/>
      <c r="BM734" s="215"/>
      <c r="BN734" s="215"/>
      <c r="BO734" s="215"/>
      <c r="BP734" s="215"/>
      <c r="BQ734" s="215"/>
      <c r="BR734" s="215"/>
      <c r="BS734" s="215"/>
      <c r="BT734" s="215"/>
      <c r="BU734" s="215"/>
      <c r="BV734" s="215"/>
      <c r="BW734" s="215"/>
      <c r="BX734" s="215"/>
      <c r="BY734" s="215"/>
      <c r="BZ734" s="215"/>
    </row>
    <row r="735" spans="1:78" outlineLevel="1" x14ac:dyDescent="0.2">
      <c r="A735" s="2" t="str">
        <f>'Language Index'!A594</f>
        <v>1% Decrease - Effect on PBO</v>
      </c>
      <c r="B735" s="17"/>
      <c r="C735" s="17"/>
      <c r="D735" s="18">
        <f>_xll.ciqfunctions.udf.CIQ($C$2,"IQ_OPEB_DECREASE_EFFECT_PBO",D$6,$F$2,,,Ccy,Conv)</f>
        <v>0</v>
      </c>
      <c r="E735" s="18">
        <f>_xll.ciqfunctions.udf.CIQ($C$2,"IQ_OPEB_DECREASE_EFFECT_PBO",E$6,$F$2,,,Ccy,Conv)</f>
        <v>0</v>
      </c>
      <c r="F735" s="18">
        <f>_xll.ciqfunctions.udf.CIQ($C$2,"IQ_OPEB_DECREASE_EFFECT_PBO",F$6,$F$2,,,Ccy,Conv)</f>
        <v>0</v>
      </c>
      <c r="G735" s="18">
        <f>_xll.ciqfunctions.udf.CIQ($C$2,"IQ_OPEB_DECREASE_EFFECT_PBO",G$6,$F$2,,,Ccy,Conv)</f>
        <v>0</v>
      </c>
      <c r="H735" s="18">
        <f>_xll.ciqfunctions.udf.CIQ($C$2,"IQ_OPEB_DECREASE_EFFECT_PBO",H$6,$F$2,,,Ccy,Conv)</f>
        <v>0</v>
      </c>
      <c r="I735" s="18">
        <f>_xll.ciqfunctions.udf.CIQ($C$2,"IQ_OPEB_DECREASE_EFFECT_PBO",I$6,$F$2,,,Ccy,Conv)</f>
        <v>0</v>
      </c>
      <c r="J735" s="18">
        <f>_xll.ciqfunctions.udf.CIQ($C$2,"IQ_OPEB_DECREASE_EFFECT_PBO",J$6,$F$2,,,Ccy,Conv)</f>
        <v>0</v>
      </c>
      <c r="K735" s="18">
        <f>_xll.ciqfunctions.udf.CIQ($C$2,"IQ_OPEB_DECREASE_EFFECT_PBO",K$6,$F$2,,,Ccy,Conv)</f>
        <v>0</v>
      </c>
      <c r="L735" s="18">
        <f>_xll.ciqfunctions.udf.CIQ($C$2,"IQ_OPEB_DECREASE_EFFECT_PBO",L$6,$F$2,,,Ccy,Conv)</f>
        <v>0</v>
      </c>
      <c r="M735" s="18">
        <f>_xll.ciqfunctions.udf.CIQ($C$2,"IQ_OPEB_DECREASE_EFFECT_PBO",M$6,$F$2,,,Ccy,Conv)</f>
        <v>0</v>
      </c>
      <c r="N735" s="18">
        <f>_xll.ciqfunctions.udf.CIQ($C$2,"IQ_OPEB_DECREASE_EFFECT_PBO",N$6,$F$2,,,Ccy,Conv)</f>
        <v>0</v>
      </c>
      <c r="O735" s="30"/>
      <c r="P735" s="18">
        <f>_xll.ciqfunctions.udf.CIQ($C$2,"IQ_OPEB_DECREASE_EFFECT_PBO",P$6,$F$2,,,Ccy,Conv)</f>
        <v>0</v>
      </c>
      <c r="Q735" s="215"/>
      <c r="R735" s="215"/>
      <c r="S735" s="215"/>
      <c r="T735" s="215"/>
      <c r="U735" s="215"/>
      <c r="V735" s="222"/>
      <c r="W735" s="222"/>
      <c r="X735" s="222"/>
      <c r="Y735" s="215"/>
      <c r="Z735" s="215"/>
      <c r="AA735" s="215"/>
      <c r="AB735" s="215"/>
      <c r="AC735" s="215"/>
      <c r="AD735" s="215"/>
      <c r="AE735" s="215"/>
      <c r="AF735" s="215"/>
      <c r="AG735" s="215"/>
      <c r="AH735" s="215"/>
      <c r="AI735" s="215"/>
      <c r="AJ735" s="215"/>
      <c r="AK735" s="215"/>
      <c r="AL735" s="215"/>
      <c r="AM735" s="215"/>
      <c r="AN735" s="215"/>
      <c r="AO735" s="215"/>
      <c r="AP735" s="215"/>
      <c r="AQ735" s="215"/>
      <c r="AR735" s="215"/>
      <c r="AS735" s="215"/>
      <c r="AT735" s="215"/>
      <c r="AU735" s="215"/>
      <c r="AV735" s="215"/>
      <c r="AW735" s="215"/>
      <c r="AX735" s="215"/>
      <c r="AY735" s="215"/>
      <c r="AZ735" s="215"/>
      <c r="BA735" s="215"/>
      <c r="BB735" s="215"/>
      <c r="BC735" s="215"/>
      <c r="BD735" s="215"/>
      <c r="BE735" s="215"/>
      <c r="BF735" s="215"/>
      <c r="BG735" s="215"/>
      <c r="BH735" s="215"/>
      <c r="BI735" s="215"/>
      <c r="BJ735" s="215"/>
      <c r="BK735" s="215"/>
      <c r="BL735" s="215"/>
      <c r="BM735" s="215"/>
      <c r="BN735" s="215"/>
      <c r="BO735" s="215"/>
      <c r="BP735" s="215"/>
      <c r="BQ735" s="215"/>
      <c r="BR735" s="215"/>
      <c r="BS735" s="215"/>
      <c r="BT735" s="215"/>
      <c r="BU735" s="215"/>
      <c r="BV735" s="215"/>
      <c r="BW735" s="215"/>
      <c r="BX735" s="215"/>
      <c r="BY735" s="215"/>
      <c r="BZ735" s="215"/>
    </row>
    <row r="736" spans="1:78" outlineLevel="1" x14ac:dyDescent="0.2">
      <c r="A736" s="9" t="str">
        <f>'Language Index'!A595</f>
        <v>Other Post-Retirement Benefit Related Items</v>
      </c>
      <c r="B736" s="17"/>
      <c r="C736" s="17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30"/>
      <c r="P736" s="18"/>
      <c r="Q736" s="215"/>
      <c r="R736" s="215"/>
      <c r="S736" s="215"/>
      <c r="T736" s="215"/>
      <c r="U736" s="215"/>
      <c r="V736" s="222"/>
      <c r="W736" s="222"/>
      <c r="X736" s="222"/>
      <c r="Y736" s="215"/>
      <c r="Z736" s="215"/>
      <c r="AA736" s="215"/>
      <c r="AB736" s="215"/>
      <c r="AC736" s="215"/>
      <c r="AD736" s="215"/>
      <c r="AE736" s="215"/>
      <c r="AF736" s="215"/>
      <c r="AG736" s="215"/>
      <c r="AH736" s="215"/>
      <c r="AI736" s="215"/>
      <c r="AJ736" s="215"/>
      <c r="AK736" s="215"/>
      <c r="AL736" s="215"/>
      <c r="AM736" s="215"/>
      <c r="AN736" s="215"/>
      <c r="AO736" s="215"/>
      <c r="AP736" s="215"/>
      <c r="AQ736" s="215"/>
      <c r="AR736" s="215"/>
      <c r="AS736" s="215"/>
      <c r="AT736" s="215"/>
      <c r="AU736" s="215"/>
      <c r="AV736" s="215"/>
      <c r="AW736" s="215"/>
      <c r="AX736" s="215"/>
      <c r="AY736" s="215"/>
      <c r="AZ736" s="215"/>
      <c r="BA736" s="215"/>
      <c r="BB736" s="215"/>
      <c r="BC736" s="215"/>
      <c r="BD736" s="215"/>
      <c r="BE736" s="215"/>
      <c r="BF736" s="215"/>
      <c r="BG736" s="215"/>
      <c r="BH736" s="215"/>
      <c r="BI736" s="215"/>
      <c r="BJ736" s="215"/>
      <c r="BK736" s="215"/>
      <c r="BL736" s="215"/>
      <c r="BM736" s="215"/>
      <c r="BN736" s="215"/>
      <c r="BO736" s="215"/>
      <c r="BP736" s="215"/>
      <c r="BQ736" s="215"/>
      <c r="BR736" s="215"/>
      <c r="BS736" s="215"/>
      <c r="BT736" s="215"/>
      <c r="BU736" s="215"/>
      <c r="BV736" s="215"/>
      <c r="BW736" s="215"/>
      <c r="BX736" s="215"/>
      <c r="BY736" s="215"/>
      <c r="BZ736" s="215"/>
    </row>
    <row r="737" spans="1:78" outlineLevel="1" x14ac:dyDescent="0.2">
      <c r="A737" s="2" t="str">
        <f>'Language Index'!A596</f>
        <v>Health Care Cost Trend Rate, Initial</v>
      </c>
      <c r="B737" s="17"/>
      <c r="C737" s="17"/>
      <c r="D737" s="18">
        <f>_xll.ciqfunctions.udf.CIQ($C$2,"IQ_OPEB_HEALTH_COST_TREND_INITIAL",D$6,$F$2)</f>
        <v>0</v>
      </c>
      <c r="E737" s="18">
        <f>_xll.ciqfunctions.udf.CIQ($C$2,"IQ_OPEB_HEALTH_COST_TREND_INITIAL",E$6,$F$2)</f>
        <v>0</v>
      </c>
      <c r="F737" s="18">
        <f>_xll.ciqfunctions.udf.CIQ($C$2,"IQ_OPEB_HEALTH_COST_TREND_INITIAL",F$6,$F$2)</f>
        <v>0</v>
      </c>
      <c r="G737" s="18">
        <f>_xll.ciqfunctions.udf.CIQ($C$2,"IQ_OPEB_HEALTH_COST_TREND_INITIAL",G$6,$F$2)</f>
        <v>0</v>
      </c>
      <c r="H737" s="18">
        <f>_xll.ciqfunctions.udf.CIQ($C$2,"IQ_OPEB_HEALTH_COST_TREND_INITIAL",H$6,$F$2)</f>
        <v>0</v>
      </c>
      <c r="I737" s="18">
        <f>_xll.ciqfunctions.udf.CIQ($C$2,"IQ_OPEB_HEALTH_COST_TREND_INITIAL",I$6,$F$2)</f>
        <v>0</v>
      </c>
      <c r="J737" s="18">
        <f>_xll.ciqfunctions.udf.CIQ($C$2,"IQ_OPEB_HEALTH_COST_TREND_INITIAL",J$6,$F$2)</f>
        <v>0</v>
      </c>
      <c r="K737" s="18">
        <f>_xll.ciqfunctions.udf.CIQ($C$2,"IQ_OPEB_HEALTH_COST_TREND_INITIAL",K$6,$F$2)</f>
        <v>0</v>
      </c>
      <c r="L737" s="18">
        <f>_xll.ciqfunctions.udf.CIQ($C$2,"IQ_OPEB_HEALTH_COST_TREND_INITIAL",L$6,$F$2)</f>
        <v>0</v>
      </c>
      <c r="M737" s="18">
        <f>_xll.ciqfunctions.udf.CIQ($C$2,"IQ_OPEB_HEALTH_COST_TREND_INITIAL",M$6,$F$2)</f>
        <v>0</v>
      </c>
      <c r="N737" s="18">
        <f>_xll.ciqfunctions.udf.CIQ($C$2,"IQ_OPEB_HEALTH_COST_TREND_INITIAL",N$6,$F$2)</f>
        <v>0</v>
      </c>
      <c r="O737" s="30"/>
      <c r="P737" s="18">
        <f>_xll.ciqfunctions.udf.CIQ($C$2,"IQ_OPEB_HEALTH_COST_TREND_INITIAL",P$6,$F$2)</f>
        <v>0</v>
      </c>
      <c r="Q737" s="215"/>
      <c r="R737" s="215"/>
      <c r="S737" s="215"/>
      <c r="T737" s="215"/>
      <c r="U737" s="215"/>
      <c r="V737" s="222"/>
      <c r="W737" s="222"/>
      <c r="X737" s="222"/>
      <c r="Y737" s="215"/>
      <c r="Z737" s="215"/>
      <c r="AA737" s="215"/>
      <c r="AB737" s="215"/>
      <c r="AC737" s="215"/>
      <c r="AD737" s="215"/>
      <c r="AE737" s="215"/>
      <c r="AF737" s="215"/>
      <c r="AG737" s="215"/>
      <c r="AH737" s="215"/>
      <c r="AI737" s="215"/>
      <c r="AJ737" s="215"/>
      <c r="AK737" s="215"/>
      <c r="AL737" s="215"/>
      <c r="AM737" s="215"/>
      <c r="AN737" s="215"/>
      <c r="AO737" s="215"/>
      <c r="AP737" s="215"/>
      <c r="AQ737" s="215"/>
      <c r="AR737" s="215"/>
      <c r="AS737" s="215"/>
      <c r="AT737" s="215"/>
      <c r="AU737" s="215"/>
      <c r="AV737" s="215"/>
      <c r="AW737" s="215"/>
      <c r="AX737" s="215"/>
      <c r="AY737" s="215"/>
      <c r="AZ737" s="215"/>
      <c r="BA737" s="215"/>
      <c r="BB737" s="215"/>
      <c r="BC737" s="215"/>
      <c r="BD737" s="215"/>
      <c r="BE737" s="215"/>
      <c r="BF737" s="215"/>
      <c r="BG737" s="215"/>
      <c r="BH737" s="215"/>
      <c r="BI737" s="215"/>
      <c r="BJ737" s="215"/>
      <c r="BK737" s="215"/>
      <c r="BL737" s="215"/>
      <c r="BM737" s="215"/>
      <c r="BN737" s="215"/>
      <c r="BO737" s="215"/>
      <c r="BP737" s="215"/>
      <c r="BQ737" s="215"/>
      <c r="BR737" s="215"/>
      <c r="BS737" s="215"/>
      <c r="BT737" s="215"/>
      <c r="BU737" s="215"/>
      <c r="BV737" s="215"/>
      <c r="BW737" s="215"/>
      <c r="BX737" s="215"/>
      <c r="BY737" s="215"/>
      <c r="BZ737" s="215"/>
    </row>
    <row r="738" spans="1:78" outlineLevel="1" x14ac:dyDescent="0.2">
      <c r="A738" s="2" t="str">
        <f>'Language Index'!A597</f>
        <v>Health Care Cost Trend Rate, Ultimate</v>
      </c>
      <c r="B738" s="17"/>
      <c r="C738" s="17"/>
      <c r="D738" s="18">
        <f>_xll.ciqfunctions.udf.CIQ($C$2,"IQ_OPEB_HEALTH_COST_TREND_ULTIMATE",D$6,$F$2)</f>
        <v>0</v>
      </c>
      <c r="E738" s="18">
        <f>_xll.ciqfunctions.udf.CIQ($C$2,"IQ_OPEB_HEALTH_COST_TREND_ULTIMATE",E$6,$F$2)</f>
        <v>0</v>
      </c>
      <c r="F738" s="18">
        <f>_xll.ciqfunctions.udf.CIQ($C$2,"IQ_OPEB_HEALTH_COST_TREND_ULTIMATE",F$6,$F$2)</f>
        <v>0</v>
      </c>
      <c r="G738" s="18">
        <f>_xll.ciqfunctions.udf.CIQ($C$2,"IQ_OPEB_HEALTH_COST_TREND_ULTIMATE",G$6,$F$2)</f>
        <v>0</v>
      </c>
      <c r="H738" s="18">
        <f>_xll.ciqfunctions.udf.CIQ($C$2,"IQ_OPEB_HEALTH_COST_TREND_ULTIMATE",H$6,$F$2)</f>
        <v>0</v>
      </c>
      <c r="I738" s="18">
        <f>_xll.ciqfunctions.udf.CIQ($C$2,"IQ_OPEB_HEALTH_COST_TREND_ULTIMATE",I$6,$F$2)</f>
        <v>0</v>
      </c>
      <c r="J738" s="18">
        <f>_xll.ciqfunctions.udf.CIQ($C$2,"IQ_OPEB_HEALTH_COST_TREND_ULTIMATE",J$6,$F$2)</f>
        <v>0</v>
      </c>
      <c r="K738" s="18">
        <f>_xll.ciqfunctions.udf.CIQ($C$2,"IQ_OPEB_HEALTH_COST_TREND_ULTIMATE",K$6,$F$2)</f>
        <v>0</v>
      </c>
      <c r="L738" s="18">
        <f>_xll.ciqfunctions.udf.CIQ($C$2,"IQ_OPEB_HEALTH_COST_TREND_ULTIMATE",L$6,$F$2)</f>
        <v>0</v>
      </c>
      <c r="M738" s="18">
        <f>_xll.ciqfunctions.udf.CIQ($C$2,"IQ_OPEB_HEALTH_COST_TREND_ULTIMATE",M$6,$F$2)</f>
        <v>0</v>
      </c>
      <c r="N738" s="18">
        <f>_xll.ciqfunctions.udf.CIQ($C$2,"IQ_OPEB_HEALTH_COST_TREND_ULTIMATE",N$6,$F$2)</f>
        <v>0</v>
      </c>
      <c r="O738" s="30"/>
      <c r="P738" s="18">
        <f>_xll.ciqfunctions.udf.CIQ($C$2,"IQ_OPEB_HEALTH_COST_TREND_ULTIMATE",P$6,$F$2)</f>
        <v>0</v>
      </c>
      <c r="Q738" s="215"/>
      <c r="R738" s="215"/>
      <c r="S738" s="215"/>
      <c r="T738" s="215"/>
      <c r="U738" s="215"/>
      <c r="V738" s="222"/>
      <c r="W738" s="222"/>
      <c r="X738" s="222"/>
      <c r="Y738" s="215"/>
      <c r="Z738" s="215"/>
      <c r="AA738" s="215"/>
      <c r="AB738" s="215"/>
      <c r="AC738" s="215"/>
      <c r="AD738" s="215"/>
      <c r="AE738" s="215"/>
      <c r="AF738" s="215"/>
      <c r="AG738" s="215"/>
      <c r="AH738" s="215"/>
      <c r="AI738" s="215"/>
      <c r="AJ738" s="215"/>
      <c r="AK738" s="215"/>
      <c r="AL738" s="215"/>
      <c r="AM738" s="215"/>
      <c r="AN738" s="215"/>
      <c r="AO738" s="215"/>
      <c r="AP738" s="215"/>
      <c r="AQ738" s="215"/>
      <c r="AR738" s="215"/>
      <c r="AS738" s="215"/>
      <c r="AT738" s="215"/>
      <c r="AU738" s="215"/>
      <c r="AV738" s="215"/>
      <c r="AW738" s="215"/>
      <c r="AX738" s="215"/>
      <c r="AY738" s="215"/>
      <c r="AZ738" s="215"/>
      <c r="BA738" s="215"/>
      <c r="BB738" s="215"/>
      <c r="BC738" s="215"/>
      <c r="BD738" s="215"/>
      <c r="BE738" s="215"/>
      <c r="BF738" s="215"/>
      <c r="BG738" s="215"/>
      <c r="BH738" s="215"/>
      <c r="BI738" s="215"/>
      <c r="BJ738" s="215"/>
      <c r="BK738" s="215"/>
      <c r="BL738" s="215"/>
      <c r="BM738" s="215"/>
      <c r="BN738" s="215"/>
      <c r="BO738" s="215"/>
      <c r="BP738" s="215"/>
      <c r="BQ738" s="215"/>
      <c r="BR738" s="215"/>
      <c r="BS738" s="215"/>
      <c r="BT738" s="215"/>
      <c r="BU738" s="215"/>
      <c r="BV738" s="215"/>
      <c r="BW738" s="215"/>
      <c r="BX738" s="215"/>
      <c r="BY738" s="215"/>
      <c r="BZ738" s="215"/>
    </row>
    <row r="739" spans="1:78" outlineLevel="1" x14ac:dyDescent="0.2">
      <c r="A739" s="2" t="str">
        <f>'Language Index'!A583</f>
        <v>Benefit Info Date</v>
      </c>
      <c r="B739" s="17"/>
      <c r="C739" s="17"/>
      <c r="D739" s="35" t="str">
        <f>IF(_xll.ciqfunctions.udf.CIQ($C$2,"IQ_OPEB_BENEFIT_INFO_DATE",D$6,$F$2)=0,"NA ",_xll.ciqfunctions.udf.CIQ($C$2,"IQ_OPEB_BENEFIT_INFO_DATE",D$6,$F$2))</f>
        <v xml:space="preserve">NA </v>
      </c>
      <c r="E739" s="35" t="str">
        <f>IF(_xll.ciqfunctions.udf.CIQ($C$2,"IQ_OPEB_BENEFIT_INFO_DATE",E$6,$F$2)=0,"NA ",_xll.ciqfunctions.udf.CIQ($C$2,"IQ_OPEB_BENEFIT_INFO_DATE",E$6,$F$2))</f>
        <v xml:space="preserve">NA </v>
      </c>
      <c r="F739" s="35">
        <f>IF(_xll.ciqfunctions.udf.CIQ($C$2,"IQ_OPEB_BENEFIT_INFO_DATE",F$6,$F$2)=0,"NA ",_xll.ciqfunctions.udf.CIQ($C$2,"IQ_OPEB_BENEFIT_INFO_DATE",F$6,$F$2))</f>
        <v>45291</v>
      </c>
      <c r="G739" s="35" t="str">
        <f>IF(_xll.ciqfunctions.udf.CIQ($C$2,"IQ_OPEB_BENEFIT_INFO_DATE",G$6,$F$2)=0,"NA ",_xll.ciqfunctions.udf.CIQ($C$2,"IQ_OPEB_BENEFIT_INFO_DATE",G$6,$F$2))</f>
        <v xml:space="preserve">NA </v>
      </c>
      <c r="H739" s="35" t="str">
        <f>IF(_xll.ciqfunctions.udf.CIQ($C$2,"IQ_OPEB_BENEFIT_INFO_DATE",H$6,$F$2)=0,"NA ",_xll.ciqfunctions.udf.CIQ($C$2,"IQ_OPEB_BENEFIT_INFO_DATE",H$6,$F$2))</f>
        <v xml:space="preserve">NA </v>
      </c>
      <c r="I739" s="35" t="str">
        <f>IF(_xll.ciqfunctions.udf.CIQ($C$2,"IQ_OPEB_BENEFIT_INFO_DATE",I$6,$F$2)=0,"NA ",_xll.ciqfunctions.udf.CIQ($C$2,"IQ_OPEB_BENEFIT_INFO_DATE",I$6,$F$2))</f>
        <v xml:space="preserve">NA </v>
      </c>
      <c r="J739" s="35">
        <f>IF(_xll.ciqfunctions.udf.CIQ($C$2,"IQ_OPEB_BENEFIT_INFO_DATE",J$6,$F$2)=0,"NA ",_xll.ciqfunctions.udf.CIQ($C$2,"IQ_OPEB_BENEFIT_INFO_DATE",J$6,$F$2))</f>
        <v>45657</v>
      </c>
      <c r="K739" s="35" t="str">
        <f>IF(_xll.ciqfunctions.udf.CIQ($C$2,"IQ_OPEB_BENEFIT_INFO_DATE",K$6,$F$2)=0,"NA ",_xll.ciqfunctions.udf.CIQ($C$2,"IQ_OPEB_BENEFIT_INFO_DATE",K$6,$F$2))</f>
        <v xml:space="preserve">NA </v>
      </c>
      <c r="L739" s="35" t="str">
        <f>IF(_xll.ciqfunctions.udf.CIQ($C$2,"IQ_OPEB_BENEFIT_INFO_DATE",L$6,$F$2)=0,"NA ",_xll.ciqfunctions.udf.CIQ($C$2,"IQ_OPEB_BENEFIT_INFO_DATE",L$6,$F$2))</f>
        <v xml:space="preserve">NA </v>
      </c>
      <c r="M739" s="35" t="str">
        <f>IF(_xll.ciqfunctions.udf.CIQ($C$2,"IQ_OPEB_BENEFIT_INFO_DATE",M$6,$F$2)=0,"NA ",_xll.ciqfunctions.udf.CIQ($C$2,"IQ_OPEB_BENEFIT_INFO_DATE",M$6,$F$2))</f>
        <v xml:space="preserve">NA </v>
      </c>
      <c r="N739" s="35">
        <f>IF(_xll.ciqfunctions.udf.CIQ($C$2,"IQ_OPEB_BENEFIT_INFO_DATE",N$6,$F$2)=0,"NA ",_xll.ciqfunctions.udf.CIQ($C$2,"IQ_OPEB_BENEFIT_INFO_DATE",N$6,$F$2))</f>
        <v>46022</v>
      </c>
      <c r="O739" s="35"/>
      <c r="P739" s="35">
        <f>IF(_xll.ciqfunctions.udf.CIQ($C$2,"IQ_OPEB_BENEFIT_INFO_DATE",P$6,$F$2)=0,"NA ",_xll.ciqfunctions.udf.CIQ($C$2,"IQ_OPEB_BENEFIT_INFO_DATE",P$6,$F$2))</f>
        <v>46022</v>
      </c>
      <c r="Q739" s="215"/>
      <c r="R739" s="215"/>
      <c r="S739" s="215"/>
      <c r="T739" s="215"/>
      <c r="U739" s="215"/>
      <c r="V739" s="222"/>
      <c r="W739" s="222"/>
      <c r="X739" s="222"/>
      <c r="Y739" s="215"/>
      <c r="Z739" s="215"/>
      <c r="AA739" s="215"/>
      <c r="AB739" s="215"/>
      <c r="AC739" s="215"/>
      <c r="AD739" s="215"/>
      <c r="AE739" s="215"/>
      <c r="AF739" s="215"/>
      <c r="AG739" s="215"/>
      <c r="AH739" s="215"/>
      <c r="AI739" s="215"/>
      <c r="AJ739" s="215"/>
      <c r="AK739" s="215"/>
      <c r="AL739" s="215"/>
      <c r="AM739" s="215"/>
      <c r="AN739" s="215"/>
      <c r="AO739" s="215"/>
      <c r="AP739" s="215"/>
      <c r="AQ739" s="215"/>
      <c r="AR739" s="215"/>
      <c r="AS739" s="215"/>
      <c r="AT739" s="215"/>
      <c r="AU739" s="215"/>
      <c r="AV739" s="215"/>
      <c r="AW739" s="215"/>
      <c r="AX739" s="215"/>
      <c r="AY739" s="215"/>
      <c r="AZ739" s="215"/>
      <c r="BA739" s="215"/>
      <c r="BB739" s="215"/>
      <c r="BC739" s="215"/>
      <c r="BD739" s="215"/>
      <c r="BE739" s="215"/>
      <c r="BF739" s="215"/>
      <c r="BG739" s="215"/>
      <c r="BH739" s="215"/>
      <c r="BI739" s="215"/>
      <c r="BJ739" s="215"/>
      <c r="BK739" s="215"/>
      <c r="BL739" s="215"/>
      <c r="BM739" s="215"/>
      <c r="BN739" s="215"/>
      <c r="BO739" s="215"/>
      <c r="BP739" s="215"/>
      <c r="BQ739" s="215"/>
      <c r="BR739" s="215"/>
      <c r="BS739" s="215"/>
      <c r="BT739" s="215"/>
      <c r="BU739" s="215"/>
      <c r="BV739" s="215"/>
      <c r="BW739" s="215"/>
      <c r="BX739" s="215"/>
      <c r="BY739" s="215"/>
      <c r="BZ739" s="215"/>
    </row>
    <row r="740" spans="1:78" outlineLevel="1" x14ac:dyDescent="0.2">
      <c r="A740" s="2"/>
      <c r="B740" s="17"/>
      <c r="C740" s="17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30"/>
      <c r="P740" s="18"/>
      <c r="Q740" s="215"/>
      <c r="R740" s="215"/>
      <c r="S740" s="215"/>
      <c r="T740" s="215"/>
      <c r="U740" s="215"/>
      <c r="V740" s="222"/>
      <c r="W740" s="222"/>
      <c r="X740" s="222"/>
      <c r="Y740" s="215"/>
      <c r="Z740" s="215"/>
      <c r="AA740" s="215"/>
      <c r="AB740" s="215"/>
      <c r="AC740" s="215"/>
      <c r="AD740" s="215"/>
      <c r="AE740" s="215"/>
      <c r="AF740" s="215"/>
      <c r="AG740" s="215"/>
      <c r="AH740" s="215"/>
      <c r="AI740" s="215"/>
      <c r="AJ740" s="215"/>
      <c r="AK740" s="215"/>
      <c r="AL740" s="215"/>
      <c r="AM740" s="215"/>
      <c r="AN740" s="215"/>
      <c r="AO740" s="215"/>
      <c r="AP740" s="215"/>
      <c r="AQ740" s="215"/>
      <c r="AR740" s="215"/>
      <c r="AS740" s="215"/>
      <c r="AT740" s="215"/>
      <c r="AU740" s="215"/>
      <c r="AV740" s="215"/>
      <c r="AW740" s="215"/>
      <c r="AX740" s="215"/>
      <c r="AY740" s="215"/>
      <c r="AZ740" s="215"/>
      <c r="BA740" s="215"/>
      <c r="BB740" s="215"/>
      <c r="BC740" s="215"/>
      <c r="BD740" s="215"/>
      <c r="BE740" s="215"/>
      <c r="BF740" s="215"/>
      <c r="BG740" s="215"/>
      <c r="BH740" s="215"/>
      <c r="BI740" s="215"/>
      <c r="BJ740" s="215"/>
      <c r="BK740" s="215"/>
      <c r="BL740" s="215"/>
      <c r="BM740" s="215"/>
      <c r="BN740" s="215"/>
      <c r="BO740" s="215"/>
      <c r="BP740" s="215"/>
      <c r="BQ740" s="215"/>
      <c r="BR740" s="215"/>
      <c r="BS740" s="215"/>
      <c r="BT740" s="215"/>
      <c r="BU740" s="215"/>
      <c r="BV740" s="215"/>
      <c r="BW740" s="215"/>
      <c r="BX740" s="215"/>
      <c r="BY740" s="215"/>
      <c r="BZ740" s="215"/>
    </row>
    <row r="741" spans="1:78" outlineLevel="1" x14ac:dyDescent="0.2">
      <c r="A741" s="9" t="str">
        <f>'Language Index'!A598</f>
        <v>Pension - Domestic</v>
      </c>
      <c r="B741" s="17"/>
      <c r="C741" s="17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30"/>
      <c r="P741" s="18"/>
      <c r="Q741" s="215"/>
      <c r="R741" s="215"/>
      <c r="S741" s="215"/>
      <c r="T741" s="215"/>
      <c r="U741" s="215"/>
      <c r="V741" s="222"/>
      <c r="W741" s="222"/>
      <c r="X741" s="222"/>
      <c r="Y741" s="215"/>
      <c r="Z741" s="215"/>
      <c r="AA741" s="215"/>
      <c r="AB741" s="215"/>
      <c r="AC741" s="215"/>
      <c r="AD741" s="215"/>
      <c r="AE741" s="215"/>
      <c r="AF741" s="215"/>
      <c r="AG741" s="215"/>
      <c r="AH741" s="215"/>
      <c r="AI741" s="215"/>
      <c r="AJ741" s="215"/>
      <c r="AK741" s="215"/>
      <c r="AL741" s="215"/>
      <c r="AM741" s="215"/>
      <c r="AN741" s="215"/>
      <c r="AO741" s="215"/>
      <c r="AP741" s="215"/>
      <c r="AQ741" s="215"/>
      <c r="AR741" s="215"/>
      <c r="AS741" s="215"/>
      <c r="AT741" s="215"/>
      <c r="AU741" s="215"/>
      <c r="AV741" s="215"/>
      <c r="AW741" s="215"/>
      <c r="AX741" s="215"/>
      <c r="AY741" s="215"/>
      <c r="AZ741" s="215"/>
      <c r="BA741" s="215"/>
      <c r="BB741" s="215"/>
      <c r="BC741" s="215"/>
      <c r="BD741" s="215"/>
      <c r="BE741" s="215"/>
      <c r="BF741" s="215"/>
      <c r="BG741" s="215"/>
      <c r="BH741" s="215"/>
      <c r="BI741" s="215"/>
      <c r="BJ741" s="215"/>
      <c r="BK741" s="215"/>
      <c r="BL741" s="215"/>
      <c r="BM741" s="215"/>
      <c r="BN741" s="215"/>
      <c r="BO741" s="215"/>
      <c r="BP741" s="215"/>
      <c r="BQ741" s="215"/>
      <c r="BR741" s="215"/>
      <c r="BS741" s="215"/>
      <c r="BT741" s="215"/>
      <c r="BU741" s="215"/>
      <c r="BV741" s="215"/>
      <c r="BW741" s="215"/>
      <c r="BX741" s="215"/>
      <c r="BY741" s="215"/>
      <c r="BZ741" s="215"/>
    </row>
    <row r="742" spans="1:78" outlineLevel="1" x14ac:dyDescent="0.2">
      <c r="A742" s="9" t="str">
        <f>'Language Index'!A494</f>
        <v>Defined Benefit Net Periodic Cost</v>
      </c>
      <c r="B742" s="17"/>
      <c r="C742" s="17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30"/>
      <c r="P742" s="18"/>
      <c r="Q742" s="215"/>
      <c r="R742" s="215"/>
      <c r="S742" s="215"/>
      <c r="T742" s="215"/>
      <c r="U742" s="215"/>
      <c r="V742" s="222"/>
      <c r="W742" s="222"/>
      <c r="X742" s="222"/>
      <c r="Y742" s="215"/>
      <c r="Z742" s="215"/>
      <c r="AA742" s="215"/>
      <c r="AB742" s="215"/>
      <c r="AC742" s="215"/>
      <c r="AD742" s="215"/>
      <c r="AE742" s="215"/>
      <c r="AF742" s="215"/>
      <c r="AG742" s="215"/>
      <c r="AH742" s="215"/>
      <c r="AI742" s="215"/>
      <c r="AJ742" s="215"/>
      <c r="AK742" s="215"/>
      <c r="AL742" s="215"/>
      <c r="AM742" s="215"/>
      <c r="AN742" s="215"/>
      <c r="AO742" s="215"/>
      <c r="AP742" s="215"/>
      <c r="AQ742" s="215"/>
      <c r="AR742" s="215"/>
      <c r="AS742" s="215"/>
      <c r="AT742" s="215"/>
      <c r="AU742" s="215"/>
      <c r="AV742" s="215"/>
      <c r="AW742" s="215"/>
      <c r="AX742" s="215"/>
      <c r="AY742" s="215"/>
      <c r="AZ742" s="215"/>
      <c r="BA742" s="215"/>
      <c r="BB742" s="215"/>
      <c r="BC742" s="215"/>
      <c r="BD742" s="215"/>
      <c r="BE742" s="215"/>
      <c r="BF742" s="215"/>
      <c r="BG742" s="215"/>
      <c r="BH742" s="215"/>
      <c r="BI742" s="215"/>
      <c r="BJ742" s="215"/>
      <c r="BK742" s="215"/>
      <c r="BL742" s="215"/>
      <c r="BM742" s="215"/>
      <c r="BN742" s="215"/>
      <c r="BO742" s="215"/>
      <c r="BP742" s="215"/>
      <c r="BQ742" s="215"/>
      <c r="BR742" s="215"/>
      <c r="BS742" s="215"/>
      <c r="BT742" s="215"/>
      <c r="BU742" s="215"/>
      <c r="BV742" s="215"/>
      <c r="BW742" s="215"/>
      <c r="BX742" s="215"/>
      <c r="BY742" s="215"/>
      <c r="BZ742" s="215"/>
    </row>
    <row r="743" spans="1:78" outlineLevel="1" x14ac:dyDescent="0.2">
      <c r="A743" s="2" t="str">
        <f>'Language Index'!A495</f>
        <v>Def. Benefit Service Cost</v>
      </c>
      <c r="B743" s="17"/>
      <c r="C743" s="17"/>
      <c r="D743" s="18">
        <f>_xll.ciqfunctions.udf.CIQ($C$2,"IQ_PENSION_SERVICE_COST_DOM",D$6,$F$2,,,Ccy,Conv)</f>
        <v>0</v>
      </c>
      <c r="E743" s="18">
        <f>_xll.ciqfunctions.udf.CIQ($C$2,"IQ_PENSION_SERVICE_COST_DOM",E$6,$F$2,,,Ccy,Conv)</f>
        <v>0</v>
      </c>
      <c r="F743" s="18">
        <f>_xll.ciqfunctions.udf.CIQ($C$2,"IQ_PENSION_SERVICE_COST_DOM",F$6,$F$2,,,Ccy,Conv)</f>
        <v>0</v>
      </c>
      <c r="G743" s="18">
        <f>_xll.ciqfunctions.udf.CIQ($C$2,"IQ_PENSION_SERVICE_COST_DOM",G$6,$F$2,,,Ccy,Conv)</f>
        <v>0</v>
      </c>
      <c r="H743" s="18">
        <f>_xll.ciqfunctions.udf.CIQ($C$2,"IQ_PENSION_SERVICE_COST_DOM",H$6,$F$2,,,Ccy,Conv)</f>
        <v>0</v>
      </c>
      <c r="I743" s="18">
        <f>_xll.ciqfunctions.udf.CIQ($C$2,"IQ_PENSION_SERVICE_COST_DOM",I$6,$F$2,,,Ccy,Conv)</f>
        <v>0</v>
      </c>
      <c r="J743" s="18">
        <f>_xll.ciqfunctions.udf.CIQ($C$2,"IQ_PENSION_SERVICE_COST_DOM",J$6,$F$2,,,Ccy,Conv)</f>
        <v>394</v>
      </c>
      <c r="K743" s="18">
        <f>_xll.ciqfunctions.udf.CIQ($C$2,"IQ_PENSION_SERVICE_COST_DOM",K$6,$F$2,,,Ccy,Conv)</f>
        <v>0</v>
      </c>
      <c r="L743" s="18">
        <f>_xll.ciqfunctions.udf.CIQ($C$2,"IQ_PENSION_SERVICE_COST_DOM",L$6,$F$2,,,Ccy,Conv)</f>
        <v>0</v>
      </c>
      <c r="M743" s="18">
        <f>_xll.ciqfunctions.udf.CIQ($C$2,"IQ_PENSION_SERVICE_COST_DOM",M$6,$F$2,,,Ccy,Conv)</f>
        <v>0</v>
      </c>
      <c r="N743" s="18">
        <f>_xll.ciqfunctions.udf.CIQ($C$2,"IQ_PENSION_SERVICE_COST_DOM",N$6,$F$2,,,Ccy,Conv)</f>
        <v>352</v>
      </c>
      <c r="O743" s="30"/>
      <c r="P743" s="18">
        <f>_xll.ciqfunctions.udf.CIQ($C$2,"IQ_PENSION_SERVICE_COST_DOM",P$6,$F$2,,,Ccy,Conv)</f>
        <v>352</v>
      </c>
      <c r="Q743" s="215"/>
      <c r="R743" s="215"/>
      <c r="S743" s="215"/>
      <c r="T743" s="215"/>
      <c r="U743" s="215"/>
      <c r="V743" s="222"/>
      <c r="W743" s="222"/>
      <c r="X743" s="222"/>
      <c r="Y743" s="215"/>
      <c r="Z743" s="215"/>
      <c r="AA743" s="215"/>
      <c r="AB743" s="215"/>
      <c r="AC743" s="215"/>
      <c r="AD743" s="215"/>
      <c r="AE743" s="215"/>
      <c r="AF743" s="215"/>
      <c r="AG743" s="215"/>
      <c r="AH743" s="215"/>
      <c r="AI743" s="215"/>
      <c r="AJ743" s="215"/>
      <c r="AK743" s="215"/>
      <c r="AL743" s="215"/>
      <c r="AM743" s="215"/>
      <c r="AN743" s="215"/>
      <c r="AO743" s="215"/>
      <c r="AP743" s="215"/>
      <c r="AQ743" s="215"/>
      <c r="AR743" s="215"/>
      <c r="AS743" s="215"/>
      <c r="AT743" s="215"/>
      <c r="AU743" s="215"/>
      <c r="AV743" s="215"/>
      <c r="AW743" s="215"/>
      <c r="AX743" s="215"/>
      <c r="AY743" s="215"/>
      <c r="AZ743" s="215"/>
      <c r="BA743" s="215"/>
      <c r="BB743" s="215"/>
      <c r="BC743" s="215"/>
      <c r="BD743" s="215"/>
      <c r="BE743" s="215"/>
      <c r="BF743" s="215"/>
      <c r="BG743" s="215"/>
      <c r="BH743" s="215"/>
      <c r="BI743" s="215"/>
      <c r="BJ743" s="215"/>
      <c r="BK743" s="215"/>
      <c r="BL743" s="215"/>
      <c r="BM743" s="215"/>
      <c r="BN743" s="215"/>
      <c r="BO743" s="215"/>
      <c r="BP743" s="215"/>
      <c r="BQ743" s="215"/>
      <c r="BR743" s="215"/>
      <c r="BS743" s="215"/>
      <c r="BT743" s="215"/>
      <c r="BU743" s="215"/>
      <c r="BV743" s="215"/>
      <c r="BW743" s="215"/>
      <c r="BX743" s="215"/>
      <c r="BY743" s="215"/>
      <c r="BZ743" s="215"/>
    </row>
    <row r="744" spans="1:78" outlineLevel="1" x14ac:dyDescent="0.2">
      <c r="A744" s="2" t="str">
        <f>'Language Index'!A496</f>
        <v>Def. Benefit Interest Cost</v>
      </c>
      <c r="B744" s="17"/>
      <c r="C744" s="17"/>
      <c r="D744" s="18">
        <f>_xll.ciqfunctions.udf.CIQ($C$2,"IQ_PENSION_INTEREST_COST_DOM",D$6,$F$2,,,Ccy,Conv)</f>
        <v>0</v>
      </c>
      <c r="E744" s="18">
        <f>_xll.ciqfunctions.udf.CIQ($C$2,"IQ_PENSION_INTEREST_COST_DOM",E$6,$F$2,,,Ccy,Conv)</f>
        <v>0</v>
      </c>
      <c r="F744" s="18">
        <f>_xll.ciqfunctions.udf.CIQ($C$2,"IQ_PENSION_INTEREST_COST_DOM",F$6,$F$2,,,Ccy,Conv)</f>
        <v>1090</v>
      </c>
      <c r="G744" s="18">
        <f>_xll.ciqfunctions.udf.CIQ($C$2,"IQ_PENSION_INTEREST_COST_DOM",G$6,$F$2,,,Ccy,Conv)</f>
        <v>0</v>
      </c>
      <c r="H744" s="18">
        <f>_xll.ciqfunctions.udf.CIQ($C$2,"IQ_PENSION_INTEREST_COST_DOM",H$6,$F$2,,,Ccy,Conv)</f>
        <v>0</v>
      </c>
      <c r="I744" s="18">
        <f>_xll.ciqfunctions.udf.CIQ($C$2,"IQ_PENSION_INTEREST_COST_DOM",I$6,$F$2,,,Ccy,Conv)</f>
        <v>0</v>
      </c>
      <c r="J744" s="18">
        <f>_xll.ciqfunctions.udf.CIQ($C$2,"IQ_PENSION_INTEREST_COST_DOM",J$6,$F$2,,,Ccy,Conv)</f>
        <v>911</v>
      </c>
      <c r="K744" s="18">
        <f>_xll.ciqfunctions.udf.CIQ($C$2,"IQ_PENSION_INTEREST_COST_DOM",K$6,$F$2,,,Ccy,Conv)</f>
        <v>0</v>
      </c>
      <c r="L744" s="18">
        <f>_xll.ciqfunctions.udf.CIQ($C$2,"IQ_PENSION_INTEREST_COST_DOM",L$6,$F$2,,,Ccy,Conv)</f>
        <v>0</v>
      </c>
      <c r="M744" s="18">
        <f>_xll.ciqfunctions.udf.CIQ($C$2,"IQ_PENSION_INTEREST_COST_DOM",M$6,$F$2,,,Ccy,Conv)</f>
        <v>0</v>
      </c>
      <c r="N744" s="18">
        <f>_xll.ciqfunctions.udf.CIQ($C$2,"IQ_PENSION_INTEREST_COST_DOM",N$6,$F$2,,,Ccy,Conv)</f>
        <v>748</v>
      </c>
      <c r="O744" s="30"/>
      <c r="P744" s="18">
        <f>_xll.ciqfunctions.udf.CIQ($C$2,"IQ_PENSION_INTEREST_COST_DOM",P$6,$F$2,,,Ccy,Conv)</f>
        <v>748</v>
      </c>
      <c r="Q744" s="215"/>
      <c r="R744" s="215"/>
      <c r="S744" s="215"/>
      <c r="T744" s="215"/>
      <c r="U744" s="215"/>
      <c r="V744" s="222"/>
      <c r="W744" s="222"/>
      <c r="X744" s="222"/>
      <c r="Y744" s="215"/>
      <c r="Z744" s="215"/>
      <c r="AA744" s="215"/>
      <c r="AB744" s="215"/>
      <c r="AC744" s="215"/>
      <c r="AD744" s="215"/>
      <c r="AE744" s="215"/>
      <c r="AF744" s="215"/>
      <c r="AG744" s="215"/>
      <c r="AH744" s="215"/>
      <c r="AI744" s="215"/>
      <c r="AJ744" s="215"/>
      <c r="AK744" s="215"/>
      <c r="AL744" s="215"/>
      <c r="AM744" s="215"/>
      <c r="AN744" s="215"/>
      <c r="AO744" s="215"/>
      <c r="AP744" s="215"/>
      <c r="AQ744" s="215"/>
      <c r="AR744" s="215"/>
      <c r="AS744" s="215"/>
      <c r="AT744" s="215"/>
      <c r="AU744" s="215"/>
      <c r="AV744" s="215"/>
      <c r="AW744" s="215"/>
      <c r="AX744" s="215"/>
      <c r="AY744" s="215"/>
      <c r="AZ744" s="215"/>
      <c r="BA744" s="215"/>
      <c r="BB744" s="215"/>
      <c r="BC744" s="215"/>
      <c r="BD744" s="215"/>
      <c r="BE744" s="215"/>
      <c r="BF744" s="215"/>
      <c r="BG744" s="215"/>
      <c r="BH744" s="215"/>
      <c r="BI744" s="215"/>
      <c r="BJ744" s="215"/>
      <c r="BK744" s="215"/>
      <c r="BL744" s="215"/>
      <c r="BM744" s="215"/>
      <c r="BN744" s="215"/>
      <c r="BO744" s="215"/>
      <c r="BP744" s="215"/>
      <c r="BQ744" s="215"/>
      <c r="BR744" s="215"/>
      <c r="BS744" s="215"/>
      <c r="BT744" s="215"/>
      <c r="BU744" s="215"/>
      <c r="BV744" s="215"/>
      <c r="BW744" s="215"/>
      <c r="BX744" s="215"/>
      <c r="BY744" s="215"/>
      <c r="BZ744" s="215"/>
    </row>
    <row r="745" spans="1:78" outlineLevel="1" x14ac:dyDescent="0.2">
      <c r="A745" s="2" t="str">
        <f>'Language Index'!A497</f>
        <v>Def. Benefit Return on Assets</v>
      </c>
      <c r="B745" s="17"/>
      <c r="C745" s="17"/>
      <c r="D745" s="18">
        <f>_xll.ciqfunctions.udf.CIQ($C$2,"IQ_PENSION_OBLIGATION_ROA_DOM",D$6,$F$2,,,Ccy,Conv)</f>
        <v>0</v>
      </c>
      <c r="E745" s="18">
        <f>_xll.ciqfunctions.udf.CIQ($C$2,"IQ_PENSION_OBLIGATION_ROA_DOM",E$6,$F$2,,,Ccy,Conv)</f>
        <v>0</v>
      </c>
      <c r="F745" s="18">
        <f>_xll.ciqfunctions.udf.CIQ($C$2,"IQ_PENSION_OBLIGATION_ROA_DOM",F$6,$F$2,,,Ccy,Conv)</f>
        <v>-1529</v>
      </c>
      <c r="G745" s="18">
        <f>_xll.ciqfunctions.udf.CIQ($C$2,"IQ_PENSION_OBLIGATION_ROA_DOM",G$6,$F$2,,,Ccy,Conv)</f>
        <v>0</v>
      </c>
      <c r="H745" s="18">
        <f>_xll.ciqfunctions.udf.CIQ($C$2,"IQ_PENSION_OBLIGATION_ROA_DOM",H$6,$F$2,,,Ccy,Conv)</f>
        <v>0</v>
      </c>
      <c r="I745" s="18">
        <f>_xll.ciqfunctions.udf.CIQ($C$2,"IQ_PENSION_OBLIGATION_ROA_DOM",I$6,$F$2,,,Ccy,Conv)</f>
        <v>0</v>
      </c>
      <c r="J745" s="18">
        <f>_xll.ciqfunctions.udf.CIQ($C$2,"IQ_PENSION_OBLIGATION_ROA_DOM",J$6,$F$2,,,Ccy,Conv)</f>
        <v>-1253</v>
      </c>
      <c r="K745" s="18">
        <f>_xll.ciqfunctions.udf.CIQ($C$2,"IQ_PENSION_OBLIGATION_ROA_DOM",K$6,$F$2,,,Ccy,Conv)</f>
        <v>0</v>
      </c>
      <c r="L745" s="18">
        <f>_xll.ciqfunctions.udf.CIQ($C$2,"IQ_PENSION_OBLIGATION_ROA_DOM",L$6,$F$2,,,Ccy,Conv)</f>
        <v>0</v>
      </c>
      <c r="M745" s="18">
        <f>_xll.ciqfunctions.udf.CIQ($C$2,"IQ_PENSION_OBLIGATION_ROA_DOM",M$6,$F$2,,,Ccy,Conv)</f>
        <v>0</v>
      </c>
      <c r="N745" s="18">
        <f>_xll.ciqfunctions.udf.CIQ($C$2,"IQ_PENSION_OBLIGATION_ROA_DOM",N$6,$F$2,,,Ccy,Conv)</f>
        <v>-1073</v>
      </c>
      <c r="O745" s="30"/>
      <c r="P745" s="18">
        <f>_xll.ciqfunctions.udf.CIQ($C$2,"IQ_PENSION_OBLIGATION_ROA_DOM",P$6,$F$2,,,Ccy,Conv)</f>
        <v>-1073</v>
      </c>
      <c r="Q745" s="215"/>
      <c r="R745" s="215"/>
      <c r="S745" s="215"/>
      <c r="T745" s="215"/>
      <c r="U745" s="215"/>
      <c r="V745" s="222"/>
      <c r="W745" s="222"/>
      <c r="X745" s="222"/>
      <c r="Y745" s="215"/>
      <c r="Z745" s="215"/>
      <c r="AA745" s="215"/>
      <c r="AB745" s="215"/>
      <c r="AC745" s="215"/>
      <c r="AD745" s="215"/>
      <c r="AE745" s="215"/>
      <c r="AF745" s="215"/>
      <c r="AG745" s="215"/>
      <c r="AH745" s="215"/>
      <c r="AI745" s="215"/>
      <c r="AJ745" s="215"/>
      <c r="AK745" s="215"/>
      <c r="AL745" s="215"/>
      <c r="AM745" s="215"/>
      <c r="AN745" s="215"/>
      <c r="AO745" s="215"/>
      <c r="AP745" s="215"/>
      <c r="AQ745" s="215"/>
      <c r="AR745" s="215"/>
      <c r="AS745" s="215"/>
      <c r="AT745" s="215"/>
      <c r="AU745" s="215"/>
      <c r="AV745" s="215"/>
      <c r="AW745" s="215"/>
      <c r="AX745" s="215"/>
      <c r="AY745" s="215"/>
      <c r="AZ745" s="215"/>
      <c r="BA745" s="215"/>
      <c r="BB745" s="215"/>
      <c r="BC745" s="215"/>
      <c r="BD745" s="215"/>
      <c r="BE745" s="215"/>
      <c r="BF745" s="215"/>
      <c r="BG745" s="215"/>
      <c r="BH745" s="215"/>
      <c r="BI745" s="215"/>
      <c r="BJ745" s="215"/>
      <c r="BK745" s="215"/>
      <c r="BL745" s="215"/>
      <c r="BM745" s="215"/>
      <c r="BN745" s="215"/>
      <c r="BO745" s="215"/>
      <c r="BP745" s="215"/>
      <c r="BQ745" s="215"/>
      <c r="BR745" s="215"/>
      <c r="BS745" s="215"/>
      <c r="BT745" s="215"/>
      <c r="BU745" s="215"/>
      <c r="BV745" s="215"/>
      <c r="BW745" s="215"/>
      <c r="BX745" s="215"/>
      <c r="BY745" s="215"/>
      <c r="BZ745" s="215"/>
    </row>
    <row r="746" spans="1:78" outlineLevel="1" x14ac:dyDescent="0.2">
      <c r="A746" s="2" t="str">
        <f>'Language Index'!A498</f>
        <v>Def. Benefit Other Cost</v>
      </c>
      <c r="B746" s="17"/>
      <c r="C746" s="17"/>
      <c r="D746" s="18">
        <f>_xll.ciqfunctions.udf.CIQ($C$2,"IQ_PENSION_OBLIGATION_OTHER_COST_DOM",D$6,$F$2,,,Ccy,Conv)</f>
        <v>0</v>
      </c>
      <c r="E746" s="18">
        <f>_xll.ciqfunctions.udf.CIQ($C$2,"IQ_PENSION_OBLIGATION_OTHER_COST_DOM",E$6,$F$2,,,Ccy,Conv)</f>
        <v>0</v>
      </c>
      <c r="F746" s="18">
        <f>_xll.ciqfunctions.udf.CIQ($C$2,"IQ_PENSION_OBLIGATION_OTHER_COST_DOM",F$6,$F$2,,,Ccy,Conv)</f>
        <v>109</v>
      </c>
      <c r="G746" s="18">
        <f>_xll.ciqfunctions.udf.CIQ($C$2,"IQ_PENSION_OBLIGATION_OTHER_COST_DOM",G$6,$F$2,,,Ccy,Conv)</f>
        <v>0</v>
      </c>
      <c r="H746" s="18">
        <f>_xll.ciqfunctions.udf.CIQ($C$2,"IQ_PENSION_OBLIGATION_OTHER_COST_DOM",H$6,$F$2,,,Ccy,Conv)</f>
        <v>0</v>
      </c>
      <c r="I746" s="18">
        <f>_xll.ciqfunctions.udf.CIQ($C$2,"IQ_PENSION_OBLIGATION_OTHER_COST_DOM",I$6,$F$2,,,Ccy,Conv)</f>
        <v>0</v>
      </c>
      <c r="J746" s="18">
        <f>_xll.ciqfunctions.udf.CIQ($C$2,"IQ_PENSION_OBLIGATION_OTHER_COST_DOM",J$6,$F$2,,,Ccy,Conv)</f>
        <v>3213</v>
      </c>
      <c r="K746" s="18">
        <f>_xll.ciqfunctions.udf.CIQ($C$2,"IQ_PENSION_OBLIGATION_OTHER_COST_DOM",K$6,$F$2,,,Ccy,Conv)</f>
        <v>0</v>
      </c>
      <c r="L746" s="18">
        <f>_xll.ciqfunctions.udf.CIQ($C$2,"IQ_PENSION_OBLIGATION_OTHER_COST_DOM",L$6,$F$2,,,Ccy,Conv)</f>
        <v>0</v>
      </c>
      <c r="M746" s="18">
        <f>_xll.ciqfunctions.udf.CIQ($C$2,"IQ_PENSION_OBLIGATION_OTHER_COST_DOM",M$6,$F$2,,,Ccy,Conv)</f>
        <v>0</v>
      </c>
      <c r="N746" s="18">
        <f>_xll.ciqfunctions.udf.CIQ($C$2,"IQ_PENSION_OBLIGATION_OTHER_COST_DOM",N$6,$F$2,,,Ccy,Conv)</f>
        <v>280</v>
      </c>
      <c r="O746" s="30"/>
      <c r="P746" s="18">
        <f>_xll.ciqfunctions.udf.CIQ($C$2,"IQ_PENSION_OBLIGATION_OTHER_COST_DOM",P$6,$F$2,,,Ccy,Conv)</f>
        <v>280</v>
      </c>
      <c r="Q746" s="215"/>
      <c r="R746" s="215"/>
      <c r="S746" s="215"/>
      <c r="T746" s="215"/>
      <c r="U746" s="215"/>
      <c r="V746" s="222"/>
      <c r="W746" s="222"/>
      <c r="X746" s="222"/>
      <c r="Y746" s="215"/>
      <c r="Z746" s="215"/>
      <c r="AA746" s="215"/>
      <c r="AB746" s="215"/>
      <c r="AC746" s="215"/>
      <c r="AD746" s="215"/>
      <c r="AE746" s="215"/>
      <c r="AF746" s="215"/>
      <c r="AG746" s="215"/>
      <c r="AH746" s="215"/>
      <c r="AI746" s="215"/>
      <c r="AJ746" s="215"/>
      <c r="AK746" s="215"/>
      <c r="AL746" s="215"/>
      <c r="AM746" s="215"/>
      <c r="AN746" s="215"/>
      <c r="AO746" s="215"/>
      <c r="AP746" s="215"/>
      <c r="AQ746" s="215"/>
      <c r="AR746" s="215"/>
      <c r="AS746" s="215"/>
      <c r="AT746" s="215"/>
      <c r="AU746" s="215"/>
      <c r="AV746" s="215"/>
      <c r="AW746" s="215"/>
      <c r="AX746" s="215"/>
      <c r="AY746" s="215"/>
      <c r="AZ746" s="215"/>
      <c r="BA746" s="215"/>
      <c r="BB746" s="215"/>
      <c r="BC746" s="215"/>
      <c r="BD746" s="215"/>
      <c r="BE746" s="215"/>
      <c r="BF746" s="215"/>
      <c r="BG746" s="215"/>
      <c r="BH746" s="215"/>
      <c r="BI746" s="215"/>
      <c r="BJ746" s="215"/>
      <c r="BK746" s="215"/>
      <c r="BL746" s="215"/>
      <c r="BM746" s="215"/>
      <c r="BN746" s="215"/>
      <c r="BO746" s="215"/>
      <c r="BP746" s="215"/>
      <c r="BQ746" s="215"/>
      <c r="BR746" s="215"/>
      <c r="BS746" s="215"/>
      <c r="BT746" s="215"/>
      <c r="BU746" s="215"/>
      <c r="BV746" s="215"/>
      <c r="BW746" s="215"/>
      <c r="BX746" s="215"/>
      <c r="BY746" s="215"/>
      <c r="BZ746" s="215"/>
    </row>
    <row r="747" spans="1:78" outlineLevel="1" x14ac:dyDescent="0.2">
      <c r="A747" s="2" t="str">
        <f>'Language Index'!A499</f>
        <v>Def. Benefit Total Cost</v>
      </c>
      <c r="B747" s="17"/>
      <c r="C747" s="17"/>
      <c r="D747" s="18">
        <f>_xll.ciqfunctions.udf.CIQ($C$2,"IQ_PENSION_OBLIGATION_TOTAL_COST_DOM",D$6,$F$2,,,Ccy,Conv)</f>
        <v>0</v>
      </c>
      <c r="E747" s="18">
        <f>_xll.ciqfunctions.udf.CIQ($C$2,"IQ_PENSION_OBLIGATION_TOTAL_COST_DOM",E$6,$F$2,,,Ccy,Conv)</f>
        <v>0</v>
      </c>
      <c r="F747" s="18">
        <f>_xll.ciqfunctions.udf.CIQ($C$2,"IQ_PENSION_OBLIGATION_TOTAL_COST_DOM",F$6,$F$2,,,Ccy,Conv)</f>
        <v>-329</v>
      </c>
      <c r="G747" s="18">
        <f>_xll.ciqfunctions.udf.CIQ($C$2,"IQ_PENSION_OBLIGATION_TOTAL_COST_DOM",G$6,$F$2,,,Ccy,Conv)</f>
        <v>0</v>
      </c>
      <c r="H747" s="18">
        <f>_xll.ciqfunctions.udf.CIQ($C$2,"IQ_PENSION_OBLIGATION_TOTAL_COST_DOM",H$6,$F$2,,,Ccy,Conv)</f>
        <v>0</v>
      </c>
      <c r="I747" s="18">
        <f>_xll.ciqfunctions.udf.CIQ($C$2,"IQ_PENSION_OBLIGATION_TOTAL_COST_DOM",I$6,$F$2,,,Ccy,Conv)</f>
        <v>0</v>
      </c>
      <c r="J747" s="18">
        <f>_xll.ciqfunctions.udf.CIQ($C$2,"IQ_PENSION_OBLIGATION_TOTAL_COST_DOM",J$6,$F$2,,,Ccy,Conv)</f>
        <v>3265</v>
      </c>
      <c r="K747" s="18">
        <f>_xll.ciqfunctions.udf.CIQ($C$2,"IQ_PENSION_OBLIGATION_TOTAL_COST_DOM",K$6,$F$2,,,Ccy,Conv)</f>
        <v>0</v>
      </c>
      <c r="L747" s="18">
        <f>_xll.ciqfunctions.udf.CIQ($C$2,"IQ_PENSION_OBLIGATION_TOTAL_COST_DOM",L$6,$F$2,,,Ccy,Conv)</f>
        <v>0</v>
      </c>
      <c r="M747" s="18">
        <f>_xll.ciqfunctions.udf.CIQ($C$2,"IQ_PENSION_OBLIGATION_TOTAL_COST_DOM",M$6,$F$2,,,Ccy,Conv)</f>
        <v>0</v>
      </c>
      <c r="N747" s="18">
        <f>_xll.ciqfunctions.udf.CIQ($C$2,"IQ_PENSION_OBLIGATION_TOTAL_COST_DOM",N$6,$F$2,,,Ccy,Conv)</f>
        <v>307</v>
      </c>
      <c r="O747" s="30"/>
      <c r="P747" s="18">
        <f>_xll.ciqfunctions.udf.CIQ($C$2,"IQ_PENSION_OBLIGATION_TOTAL_COST_DOM",P$6,$F$2,,,Ccy,Conv)</f>
        <v>307</v>
      </c>
      <c r="Q747" s="215"/>
      <c r="R747" s="215"/>
      <c r="S747" s="215"/>
      <c r="T747" s="215"/>
      <c r="U747" s="215"/>
      <c r="V747" s="222"/>
      <c r="W747" s="222"/>
      <c r="X747" s="222"/>
      <c r="Y747" s="215"/>
      <c r="Z747" s="215"/>
      <c r="AA747" s="215"/>
      <c r="AB747" s="215"/>
      <c r="AC747" s="215"/>
      <c r="AD747" s="215"/>
      <c r="AE747" s="215"/>
      <c r="AF747" s="215"/>
      <c r="AG747" s="215"/>
      <c r="AH747" s="215"/>
      <c r="AI747" s="215"/>
      <c r="AJ747" s="215"/>
      <c r="AK747" s="215"/>
      <c r="AL747" s="215"/>
      <c r="AM747" s="215"/>
      <c r="AN747" s="215"/>
      <c r="AO747" s="215"/>
      <c r="AP747" s="215"/>
      <c r="AQ747" s="215"/>
      <c r="AR747" s="215"/>
      <c r="AS747" s="215"/>
      <c r="AT747" s="215"/>
      <c r="AU747" s="215"/>
      <c r="AV747" s="215"/>
      <c r="AW747" s="215"/>
      <c r="AX747" s="215"/>
      <c r="AY747" s="215"/>
      <c r="AZ747" s="215"/>
      <c r="BA747" s="215"/>
      <c r="BB747" s="215"/>
      <c r="BC747" s="215"/>
      <c r="BD747" s="215"/>
      <c r="BE747" s="215"/>
      <c r="BF747" s="215"/>
      <c r="BG747" s="215"/>
      <c r="BH747" s="215"/>
      <c r="BI747" s="215"/>
      <c r="BJ747" s="215"/>
      <c r="BK747" s="215"/>
      <c r="BL747" s="215"/>
      <c r="BM747" s="215"/>
      <c r="BN747" s="215"/>
      <c r="BO747" s="215"/>
      <c r="BP747" s="215"/>
      <c r="BQ747" s="215"/>
      <c r="BR747" s="215"/>
      <c r="BS747" s="215"/>
      <c r="BT747" s="215"/>
      <c r="BU747" s="215"/>
      <c r="BV747" s="215"/>
      <c r="BW747" s="215"/>
      <c r="BX747" s="215"/>
      <c r="BY747" s="215"/>
      <c r="BZ747" s="215"/>
    </row>
    <row r="748" spans="1:78" outlineLevel="1" x14ac:dyDescent="0.2">
      <c r="A748" s="2" t="str">
        <f>'Language Index'!A500</f>
        <v>Def. Benefit Total Cost of Supple Plans</v>
      </c>
      <c r="B748" s="17"/>
      <c r="C748" s="17"/>
      <c r="D748" s="18">
        <f>_xll.ciqfunctions.udf.CIQ($C$2,"IQ_PENSION_OBLIGATION_SUPPLE_PLANS_TOTAL_COST_DOM",D$6,$F$2,,,Ccy,Conv)</f>
        <v>0</v>
      </c>
      <c r="E748" s="18">
        <f>_xll.ciqfunctions.udf.CIQ($C$2,"IQ_PENSION_OBLIGATION_SUPPLE_PLANS_TOTAL_COST_DOM",E$6,$F$2,,,Ccy,Conv)</f>
        <v>0</v>
      </c>
      <c r="F748" s="18">
        <f>_xll.ciqfunctions.udf.CIQ($C$2,"IQ_PENSION_OBLIGATION_SUPPLE_PLANS_TOTAL_COST_DOM",F$6,$F$2,,,Ccy,Conv)</f>
        <v>0</v>
      </c>
      <c r="G748" s="18">
        <f>_xll.ciqfunctions.udf.CIQ($C$2,"IQ_PENSION_OBLIGATION_SUPPLE_PLANS_TOTAL_COST_DOM",G$6,$F$2,,,Ccy,Conv)</f>
        <v>0</v>
      </c>
      <c r="H748" s="18">
        <f>_xll.ciqfunctions.udf.CIQ($C$2,"IQ_PENSION_OBLIGATION_SUPPLE_PLANS_TOTAL_COST_DOM",H$6,$F$2,,,Ccy,Conv)</f>
        <v>0</v>
      </c>
      <c r="I748" s="18">
        <f>_xll.ciqfunctions.udf.CIQ($C$2,"IQ_PENSION_OBLIGATION_SUPPLE_PLANS_TOTAL_COST_DOM",I$6,$F$2,,,Ccy,Conv)</f>
        <v>0</v>
      </c>
      <c r="J748" s="18">
        <f>_xll.ciqfunctions.udf.CIQ($C$2,"IQ_PENSION_OBLIGATION_SUPPLE_PLANS_TOTAL_COST_DOM",J$6,$F$2,,,Ccy,Conv)</f>
        <v>0</v>
      </c>
      <c r="K748" s="18">
        <f>_xll.ciqfunctions.udf.CIQ($C$2,"IQ_PENSION_OBLIGATION_SUPPLE_PLANS_TOTAL_COST_DOM",K$6,$F$2,,,Ccy,Conv)</f>
        <v>0</v>
      </c>
      <c r="L748" s="18">
        <f>_xll.ciqfunctions.udf.CIQ($C$2,"IQ_PENSION_OBLIGATION_SUPPLE_PLANS_TOTAL_COST_DOM",L$6,$F$2,,,Ccy,Conv)</f>
        <v>0</v>
      </c>
      <c r="M748" s="18">
        <f>_xll.ciqfunctions.udf.CIQ($C$2,"IQ_PENSION_OBLIGATION_SUPPLE_PLANS_TOTAL_COST_DOM",M$6,$F$2,,,Ccy,Conv)</f>
        <v>0</v>
      </c>
      <c r="N748" s="18">
        <f>_xll.ciqfunctions.udf.CIQ($C$2,"IQ_PENSION_OBLIGATION_SUPPLE_PLANS_TOTAL_COST_DOM",N$6,$F$2,,,Ccy,Conv)</f>
        <v>0</v>
      </c>
      <c r="O748" s="30"/>
      <c r="P748" s="18">
        <f>_xll.ciqfunctions.udf.CIQ($C$2,"IQ_PENSION_OBLIGATION_SUPPLE_PLANS_TOTAL_COST_DOM",P$6,$F$2,,,Ccy,Conv)</f>
        <v>0</v>
      </c>
      <c r="Q748" s="215"/>
      <c r="R748" s="215"/>
      <c r="S748" s="215"/>
      <c r="T748" s="215"/>
      <c r="U748" s="215"/>
      <c r="V748" s="222"/>
      <c r="W748" s="222"/>
      <c r="X748" s="222"/>
      <c r="Y748" s="215"/>
      <c r="Z748" s="215"/>
      <c r="AA748" s="215"/>
      <c r="AB748" s="215"/>
      <c r="AC748" s="215"/>
      <c r="AD748" s="215"/>
      <c r="AE748" s="215"/>
      <c r="AF748" s="215"/>
      <c r="AG748" s="215"/>
      <c r="AH748" s="215"/>
      <c r="AI748" s="215"/>
      <c r="AJ748" s="215"/>
      <c r="AK748" s="215"/>
      <c r="AL748" s="215"/>
      <c r="AM748" s="215"/>
      <c r="AN748" s="215"/>
      <c r="AO748" s="215"/>
      <c r="AP748" s="215"/>
      <c r="AQ748" s="215"/>
      <c r="AR748" s="215"/>
      <c r="AS748" s="215"/>
      <c r="AT748" s="215"/>
      <c r="AU748" s="215"/>
      <c r="AV748" s="215"/>
      <c r="AW748" s="215"/>
      <c r="AX748" s="215"/>
      <c r="AY748" s="215"/>
      <c r="AZ748" s="215"/>
      <c r="BA748" s="215"/>
      <c r="BB748" s="215"/>
      <c r="BC748" s="215"/>
      <c r="BD748" s="215"/>
      <c r="BE748" s="215"/>
      <c r="BF748" s="215"/>
      <c r="BG748" s="215"/>
      <c r="BH748" s="215"/>
      <c r="BI748" s="215"/>
      <c r="BJ748" s="215"/>
      <c r="BK748" s="215"/>
      <c r="BL748" s="215"/>
      <c r="BM748" s="215"/>
      <c r="BN748" s="215"/>
      <c r="BO748" s="215"/>
      <c r="BP748" s="215"/>
      <c r="BQ748" s="215"/>
      <c r="BR748" s="215"/>
      <c r="BS748" s="215"/>
      <c r="BT748" s="215"/>
      <c r="BU748" s="215"/>
      <c r="BV748" s="215"/>
      <c r="BW748" s="215"/>
      <c r="BX748" s="215"/>
      <c r="BY748" s="215"/>
      <c r="BZ748" s="215"/>
    </row>
    <row r="749" spans="1:78" outlineLevel="1" x14ac:dyDescent="0.2">
      <c r="A749" s="2" t="str">
        <f>'Language Index'!A599</f>
        <v>Def. Benefit Total Cost Incl. Supple Plans</v>
      </c>
      <c r="B749" s="17"/>
      <c r="C749" s="17"/>
      <c r="D749" s="18">
        <f>_xll.ciqfunctions.udf.CIQ($C$2,"IQ_PENSION_OBLIGATION_TOTAL_COST_INCL_SUPPLE_PLANS_DOM",D$6,$F$2,,,Ccy,Conv)</f>
        <v>0</v>
      </c>
      <c r="E749" s="18">
        <f>_xll.ciqfunctions.udf.CIQ($C$2,"IQ_PENSION_OBLIGATION_TOTAL_COST_INCL_SUPPLE_PLANS_DOM",E$6,$F$2,,,Ccy,Conv)</f>
        <v>0</v>
      </c>
      <c r="F749" s="18">
        <f>_xll.ciqfunctions.udf.CIQ($C$2,"IQ_PENSION_OBLIGATION_TOTAL_COST_INCL_SUPPLE_PLANS_DOM",F$6,$F$2,,,Ccy,Conv)</f>
        <v>0</v>
      </c>
      <c r="G749" s="18">
        <f>_xll.ciqfunctions.udf.CIQ($C$2,"IQ_PENSION_OBLIGATION_TOTAL_COST_INCL_SUPPLE_PLANS_DOM",G$6,$F$2,,,Ccy,Conv)</f>
        <v>0</v>
      </c>
      <c r="H749" s="18">
        <f>_xll.ciqfunctions.udf.CIQ($C$2,"IQ_PENSION_OBLIGATION_TOTAL_COST_INCL_SUPPLE_PLANS_DOM",H$6,$F$2,,,Ccy,Conv)</f>
        <v>0</v>
      </c>
      <c r="I749" s="18">
        <f>_xll.ciqfunctions.udf.CIQ($C$2,"IQ_PENSION_OBLIGATION_TOTAL_COST_INCL_SUPPLE_PLANS_DOM",I$6,$F$2,,,Ccy,Conv)</f>
        <v>0</v>
      </c>
      <c r="J749" s="18">
        <f>_xll.ciqfunctions.udf.CIQ($C$2,"IQ_PENSION_OBLIGATION_TOTAL_COST_INCL_SUPPLE_PLANS_DOM",J$6,$F$2,,,Ccy,Conv)</f>
        <v>0</v>
      </c>
      <c r="K749" s="18">
        <f>_xll.ciqfunctions.udf.CIQ($C$2,"IQ_PENSION_OBLIGATION_TOTAL_COST_INCL_SUPPLE_PLANS_DOM",K$6,$F$2,,,Ccy,Conv)</f>
        <v>0</v>
      </c>
      <c r="L749" s="18">
        <f>_xll.ciqfunctions.udf.CIQ($C$2,"IQ_PENSION_OBLIGATION_TOTAL_COST_INCL_SUPPLE_PLANS_DOM",L$6,$F$2,,,Ccy,Conv)</f>
        <v>0</v>
      </c>
      <c r="M749" s="18">
        <f>_xll.ciqfunctions.udf.CIQ($C$2,"IQ_PENSION_OBLIGATION_TOTAL_COST_INCL_SUPPLE_PLANS_DOM",M$6,$F$2,,,Ccy,Conv)</f>
        <v>0</v>
      </c>
      <c r="N749" s="18">
        <f>_xll.ciqfunctions.udf.CIQ($C$2,"IQ_PENSION_OBLIGATION_TOTAL_COST_INCL_SUPPLE_PLANS_DOM",N$6,$F$2,,,Ccy,Conv)</f>
        <v>0</v>
      </c>
      <c r="O749" s="30"/>
      <c r="P749" s="18">
        <f>_xll.ciqfunctions.udf.CIQ($C$2,"IQ_PENSION_OBLIGATION_TOTAL_COST_INCL_SUPPLE_PLANS_DOM",P$6,$F$2,,,Ccy,Conv)</f>
        <v>0</v>
      </c>
      <c r="Q749" s="215"/>
      <c r="R749" s="215"/>
      <c r="S749" s="215"/>
      <c r="T749" s="215"/>
      <c r="U749" s="215"/>
      <c r="V749" s="222"/>
      <c r="W749" s="222"/>
      <c r="X749" s="222"/>
      <c r="Y749" s="215"/>
      <c r="Z749" s="215"/>
      <c r="AA749" s="215"/>
      <c r="AB749" s="215"/>
      <c r="AC749" s="215"/>
      <c r="AD749" s="215"/>
      <c r="AE749" s="215"/>
      <c r="AF749" s="215"/>
      <c r="AG749" s="215"/>
      <c r="AH749" s="215"/>
      <c r="AI749" s="215"/>
      <c r="AJ749" s="215"/>
      <c r="AK749" s="215"/>
      <c r="AL749" s="215"/>
      <c r="AM749" s="215"/>
      <c r="AN749" s="215"/>
      <c r="AO749" s="215"/>
      <c r="AP749" s="215"/>
      <c r="AQ749" s="215"/>
      <c r="AR749" s="215"/>
      <c r="AS749" s="215"/>
      <c r="AT749" s="215"/>
      <c r="AU749" s="215"/>
      <c r="AV749" s="215"/>
      <c r="AW749" s="215"/>
      <c r="AX749" s="215"/>
      <c r="AY749" s="215"/>
      <c r="AZ749" s="215"/>
      <c r="BA749" s="215"/>
      <c r="BB749" s="215"/>
      <c r="BC749" s="215"/>
      <c r="BD749" s="215"/>
      <c r="BE749" s="215"/>
      <c r="BF749" s="215"/>
      <c r="BG749" s="215"/>
      <c r="BH749" s="215"/>
      <c r="BI749" s="215"/>
      <c r="BJ749" s="215"/>
      <c r="BK749" s="215"/>
      <c r="BL749" s="215"/>
      <c r="BM749" s="215"/>
      <c r="BN749" s="215"/>
      <c r="BO749" s="215"/>
      <c r="BP749" s="215"/>
      <c r="BQ749" s="215"/>
      <c r="BR749" s="215"/>
      <c r="BS749" s="215"/>
      <c r="BT749" s="215"/>
      <c r="BU749" s="215"/>
      <c r="BV749" s="215"/>
      <c r="BW749" s="215"/>
      <c r="BX749" s="215"/>
      <c r="BY749" s="215"/>
      <c r="BZ749" s="215"/>
    </row>
    <row r="750" spans="1:78" outlineLevel="1" x14ac:dyDescent="0.2">
      <c r="A750" s="9" t="str">
        <f>'Language Index'!A503</f>
        <v>Defined Benefit Obligation</v>
      </c>
      <c r="B750" s="17"/>
      <c r="C750" s="17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30"/>
      <c r="P750" s="18"/>
      <c r="Q750" s="215"/>
      <c r="R750" s="215"/>
      <c r="S750" s="215"/>
      <c r="T750" s="215"/>
      <c r="U750" s="215"/>
      <c r="V750" s="222"/>
      <c r="W750" s="222"/>
      <c r="X750" s="222"/>
      <c r="Y750" s="215"/>
      <c r="Z750" s="215"/>
      <c r="AA750" s="215"/>
      <c r="AB750" s="215"/>
      <c r="AC750" s="215"/>
      <c r="AD750" s="215"/>
      <c r="AE750" s="215"/>
      <c r="AF750" s="215"/>
      <c r="AG750" s="215"/>
      <c r="AH750" s="215"/>
      <c r="AI750" s="215"/>
      <c r="AJ750" s="215"/>
      <c r="AK750" s="215"/>
      <c r="AL750" s="215"/>
      <c r="AM750" s="215"/>
      <c r="AN750" s="215"/>
      <c r="AO750" s="215"/>
      <c r="AP750" s="215"/>
      <c r="AQ750" s="215"/>
      <c r="AR750" s="215"/>
      <c r="AS750" s="215"/>
      <c r="AT750" s="215"/>
      <c r="AU750" s="215"/>
      <c r="AV750" s="215"/>
      <c r="AW750" s="215"/>
      <c r="AX750" s="215"/>
      <c r="AY750" s="215"/>
      <c r="AZ750" s="215"/>
      <c r="BA750" s="215"/>
      <c r="BB750" s="215"/>
      <c r="BC750" s="215"/>
      <c r="BD750" s="215"/>
      <c r="BE750" s="215"/>
      <c r="BF750" s="215"/>
      <c r="BG750" s="215"/>
      <c r="BH750" s="215"/>
      <c r="BI750" s="215"/>
      <c r="BJ750" s="215"/>
      <c r="BK750" s="215"/>
      <c r="BL750" s="215"/>
      <c r="BM750" s="215"/>
      <c r="BN750" s="215"/>
      <c r="BO750" s="215"/>
      <c r="BP750" s="215"/>
      <c r="BQ750" s="215"/>
      <c r="BR750" s="215"/>
      <c r="BS750" s="215"/>
      <c r="BT750" s="215"/>
      <c r="BU750" s="215"/>
      <c r="BV750" s="215"/>
      <c r="BW750" s="215"/>
      <c r="BX750" s="215"/>
      <c r="BY750" s="215"/>
      <c r="BZ750" s="215"/>
    </row>
    <row r="751" spans="1:78" outlineLevel="1" x14ac:dyDescent="0.2">
      <c r="A751" s="2" t="str">
        <f>'Language Index'!A504</f>
        <v>Beg. Def. Benefit Obligation</v>
      </c>
      <c r="B751" s="17"/>
      <c r="C751" s="17"/>
      <c r="D751" s="18">
        <f>_xll.ciqfunctions.udf.CIQ($C$2,"IQ_PENSION_OBLIGATION_BEG_DOM",D$6,$F$2,,,Ccy,Conv)</f>
        <v>0</v>
      </c>
      <c r="E751" s="18">
        <f>_xll.ciqfunctions.udf.CIQ($C$2,"IQ_PENSION_OBLIGATION_BEG_DOM",E$6,$F$2,,,Ccy,Conv)</f>
        <v>0</v>
      </c>
      <c r="F751" s="18">
        <f>_xll.ciqfunctions.udf.CIQ($C$2,"IQ_PENSION_OBLIGATION_BEG_DOM",F$6,$F$2,,,Ccy,Conv)</f>
        <v>21493</v>
      </c>
      <c r="G751" s="18">
        <f>_xll.ciqfunctions.udf.CIQ($C$2,"IQ_PENSION_OBLIGATION_BEG_DOM",G$6,$F$2,,,Ccy,Conv)</f>
        <v>0</v>
      </c>
      <c r="H751" s="18">
        <f>_xll.ciqfunctions.udf.CIQ($C$2,"IQ_PENSION_OBLIGATION_BEG_DOM",H$6,$F$2,,,Ccy,Conv)</f>
        <v>0</v>
      </c>
      <c r="I751" s="18">
        <f>_xll.ciqfunctions.udf.CIQ($C$2,"IQ_PENSION_OBLIGATION_BEG_DOM",I$6,$F$2,,,Ccy,Conv)</f>
        <v>0</v>
      </c>
      <c r="J751" s="18">
        <f>_xll.ciqfunctions.udf.CIQ($C$2,"IQ_PENSION_OBLIGATION_BEG_DOM",J$6,$F$2,,,Ccy,Conv)</f>
        <v>21235</v>
      </c>
      <c r="K751" s="18">
        <f>_xll.ciqfunctions.udf.CIQ($C$2,"IQ_PENSION_OBLIGATION_BEG_DOM",K$6,$F$2,,,Ccy,Conv)</f>
        <v>0</v>
      </c>
      <c r="L751" s="18">
        <f>_xll.ciqfunctions.udf.CIQ($C$2,"IQ_PENSION_OBLIGATION_BEG_DOM",L$6,$F$2,,,Ccy,Conv)</f>
        <v>0</v>
      </c>
      <c r="M751" s="18">
        <f>_xll.ciqfunctions.udf.CIQ($C$2,"IQ_PENSION_OBLIGATION_BEG_DOM",M$6,$F$2,,,Ccy,Conv)</f>
        <v>0</v>
      </c>
      <c r="N751" s="18">
        <f>_xll.ciqfunctions.udf.CIQ($C$2,"IQ_PENSION_OBLIGATION_BEG_DOM",N$6,$F$2,,,Ccy,Conv)</f>
        <v>14219</v>
      </c>
      <c r="O751" s="30"/>
      <c r="P751" s="18">
        <f>_xll.ciqfunctions.udf.CIQ($C$2,"IQ_PENSION_OBLIGATION_BEG_DOM",P$6,$F$2,,,Ccy,Conv)</f>
        <v>14219</v>
      </c>
      <c r="Q751" s="215"/>
      <c r="R751" s="215"/>
      <c r="S751" s="215"/>
      <c r="T751" s="215"/>
      <c r="U751" s="215"/>
      <c r="V751" s="222"/>
      <c r="W751" s="222"/>
      <c r="X751" s="222"/>
      <c r="Y751" s="215"/>
      <c r="Z751" s="215"/>
      <c r="AA751" s="215"/>
      <c r="AB751" s="215"/>
      <c r="AC751" s="215"/>
      <c r="AD751" s="215"/>
      <c r="AE751" s="215"/>
      <c r="AF751" s="215"/>
      <c r="AG751" s="215"/>
      <c r="AH751" s="215"/>
      <c r="AI751" s="215"/>
      <c r="AJ751" s="215"/>
      <c r="AK751" s="215"/>
      <c r="AL751" s="215"/>
      <c r="AM751" s="215"/>
      <c r="AN751" s="215"/>
      <c r="AO751" s="215"/>
      <c r="AP751" s="215"/>
      <c r="AQ751" s="215"/>
      <c r="AR751" s="215"/>
      <c r="AS751" s="215"/>
      <c r="AT751" s="215"/>
      <c r="AU751" s="215"/>
      <c r="AV751" s="215"/>
      <c r="AW751" s="215"/>
      <c r="AX751" s="215"/>
      <c r="AY751" s="215"/>
      <c r="AZ751" s="215"/>
      <c r="BA751" s="215"/>
      <c r="BB751" s="215"/>
      <c r="BC751" s="215"/>
      <c r="BD751" s="215"/>
      <c r="BE751" s="215"/>
      <c r="BF751" s="215"/>
      <c r="BG751" s="215"/>
      <c r="BH751" s="215"/>
      <c r="BI751" s="215"/>
      <c r="BJ751" s="215"/>
      <c r="BK751" s="215"/>
      <c r="BL751" s="215"/>
      <c r="BM751" s="215"/>
      <c r="BN751" s="215"/>
      <c r="BO751" s="215"/>
      <c r="BP751" s="215"/>
      <c r="BQ751" s="215"/>
      <c r="BR751" s="215"/>
      <c r="BS751" s="215"/>
      <c r="BT751" s="215"/>
      <c r="BU751" s="215"/>
      <c r="BV751" s="215"/>
      <c r="BW751" s="215"/>
      <c r="BX751" s="215"/>
      <c r="BY751" s="215"/>
      <c r="BZ751" s="215"/>
    </row>
    <row r="752" spans="1:78" outlineLevel="1" x14ac:dyDescent="0.2">
      <c r="A752" s="2" t="str">
        <f>'Language Index'!A495</f>
        <v>Def. Benefit Service Cost</v>
      </c>
      <c r="B752" s="17"/>
      <c r="C752" s="17"/>
      <c r="D752" s="18">
        <f>_xll.ciqfunctions.udf.CIQ($C$2,"IQ_PENSION_OBLIGATION_SERVICE_COST_DOM",D$6,$F$2,,,Ccy,Conv)</f>
        <v>0</v>
      </c>
      <c r="E752" s="18">
        <f>_xll.ciqfunctions.udf.CIQ($C$2,"IQ_PENSION_OBLIGATION_SERVICE_COST_DOM",E$6,$F$2,,,Ccy,Conv)</f>
        <v>0</v>
      </c>
      <c r="F752" s="18">
        <f>_xll.ciqfunctions.udf.CIQ($C$2,"IQ_PENSION_OBLIGATION_SERVICE_COST_DOM",F$6,$F$2,,,Ccy,Conv)</f>
        <v>0</v>
      </c>
      <c r="G752" s="18">
        <f>_xll.ciqfunctions.udf.CIQ($C$2,"IQ_PENSION_OBLIGATION_SERVICE_COST_DOM",G$6,$F$2,,,Ccy,Conv)</f>
        <v>0</v>
      </c>
      <c r="H752" s="18">
        <f>_xll.ciqfunctions.udf.CIQ($C$2,"IQ_PENSION_OBLIGATION_SERVICE_COST_DOM",H$6,$F$2,,,Ccy,Conv)</f>
        <v>0</v>
      </c>
      <c r="I752" s="18">
        <f>_xll.ciqfunctions.udf.CIQ($C$2,"IQ_PENSION_OBLIGATION_SERVICE_COST_DOM",I$6,$F$2,,,Ccy,Conv)</f>
        <v>0</v>
      </c>
      <c r="J752" s="18">
        <f>_xll.ciqfunctions.udf.CIQ($C$2,"IQ_PENSION_OBLIGATION_SERVICE_COST_DOM",J$6,$F$2,,,Ccy,Conv)</f>
        <v>394</v>
      </c>
      <c r="K752" s="18">
        <f>_xll.ciqfunctions.udf.CIQ($C$2,"IQ_PENSION_OBLIGATION_SERVICE_COST_DOM",K$6,$F$2,,,Ccy,Conv)</f>
        <v>0</v>
      </c>
      <c r="L752" s="18">
        <f>_xll.ciqfunctions.udf.CIQ($C$2,"IQ_PENSION_OBLIGATION_SERVICE_COST_DOM",L$6,$F$2,,,Ccy,Conv)</f>
        <v>0</v>
      </c>
      <c r="M752" s="18">
        <f>_xll.ciqfunctions.udf.CIQ($C$2,"IQ_PENSION_OBLIGATION_SERVICE_COST_DOM",M$6,$F$2,,,Ccy,Conv)</f>
        <v>0</v>
      </c>
      <c r="N752" s="18">
        <f>_xll.ciqfunctions.udf.CIQ($C$2,"IQ_PENSION_OBLIGATION_SERVICE_COST_DOM",N$6,$F$2,,,Ccy,Conv)</f>
        <v>352</v>
      </c>
      <c r="O752" s="30"/>
      <c r="P752" s="18">
        <f>_xll.ciqfunctions.udf.CIQ($C$2,"IQ_PENSION_OBLIGATION_SERVICE_COST_DOM",P$6,$F$2,,,Ccy,Conv)</f>
        <v>352</v>
      </c>
      <c r="Q752" s="215"/>
      <c r="R752" s="215"/>
      <c r="S752" s="215"/>
      <c r="T752" s="215"/>
      <c r="U752" s="215"/>
      <c r="V752" s="222"/>
      <c r="W752" s="222"/>
      <c r="X752" s="222"/>
      <c r="Y752" s="215"/>
      <c r="Z752" s="215"/>
      <c r="AA752" s="215"/>
      <c r="AB752" s="215"/>
      <c r="AC752" s="215"/>
      <c r="AD752" s="215"/>
      <c r="AE752" s="215"/>
      <c r="AF752" s="215"/>
      <c r="AG752" s="215"/>
      <c r="AH752" s="215"/>
      <c r="AI752" s="215"/>
      <c r="AJ752" s="215"/>
      <c r="AK752" s="215"/>
      <c r="AL752" s="215"/>
      <c r="AM752" s="215"/>
      <c r="AN752" s="215"/>
      <c r="AO752" s="215"/>
      <c r="AP752" s="215"/>
      <c r="AQ752" s="215"/>
      <c r="AR752" s="215"/>
      <c r="AS752" s="215"/>
      <c r="AT752" s="215"/>
      <c r="AU752" s="215"/>
      <c r="AV752" s="215"/>
      <c r="AW752" s="215"/>
      <c r="AX752" s="215"/>
      <c r="AY752" s="215"/>
      <c r="AZ752" s="215"/>
      <c r="BA752" s="215"/>
      <c r="BB752" s="215"/>
      <c r="BC752" s="215"/>
      <c r="BD752" s="215"/>
      <c r="BE752" s="215"/>
      <c r="BF752" s="215"/>
      <c r="BG752" s="215"/>
      <c r="BH752" s="215"/>
      <c r="BI752" s="215"/>
      <c r="BJ752" s="215"/>
      <c r="BK752" s="215"/>
      <c r="BL752" s="215"/>
      <c r="BM752" s="215"/>
      <c r="BN752" s="215"/>
      <c r="BO752" s="215"/>
      <c r="BP752" s="215"/>
      <c r="BQ752" s="215"/>
      <c r="BR752" s="215"/>
      <c r="BS752" s="215"/>
      <c r="BT752" s="215"/>
      <c r="BU752" s="215"/>
      <c r="BV752" s="215"/>
      <c r="BW752" s="215"/>
      <c r="BX752" s="215"/>
      <c r="BY752" s="215"/>
      <c r="BZ752" s="215"/>
    </row>
    <row r="753" spans="1:78" outlineLevel="1" x14ac:dyDescent="0.2">
      <c r="A753" s="2" t="str">
        <f>'Language Index'!A496</f>
        <v>Def. Benefit Interest Cost</v>
      </c>
      <c r="B753" s="17"/>
      <c r="C753" s="17"/>
      <c r="D753" s="18">
        <f>_xll.ciqfunctions.udf.CIQ($C$2,"IQ_PENSION_OBLIGATION_INTEREST_COST_DOM",D$6,$F$2,,,Ccy,Conv)</f>
        <v>0</v>
      </c>
      <c r="E753" s="18">
        <f>_xll.ciqfunctions.udf.CIQ($C$2,"IQ_PENSION_OBLIGATION_INTEREST_COST_DOM",E$6,$F$2,,,Ccy,Conv)</f>
        <v>0</v>
      </c>
      <c r="F753" s="18">
        <f>_xll.ciqfunctions.udf.CIQ($C$2,"IQ_PENSION_OBLIGATION_INTEREST_COST_DOM",F$6,$F$2,,,Ccy,Conv)</f>
        <v>1090</v>
      </c>
      <c r="G753" s="18">
        <f>_xll.ciqfunctions.udf.CIQ($C$2,"IQ_PENSION_OBLIGATION_INTEREST_COST_DOM",G$6,$F$2,,,Ccy,Conv)</f>
        <v>0</v>
      </c>
      <c r="H753" s="18">
        <f>_xll.ciqfunctions.udf.CIQ($C$2,"IQ_PENSION_OBLIGATION_INTEREST_COST_DOM",H$6,$F$2,,,Ccy,Conv)</f>
        <v>0</v>
      </c>
      <c r="I753" s="18">
        <f>_xll.ciqfunctions.udf.CIQ($C$2,"IQ_PENSION_OBLIGATION_INTEREST_COST_DOM",I$6,$F$2,,,Ccy,Conv)</f>
        <v>0</v>
      </c>
      <c r="J753" s="18">
        <f>_xll.ciqfunctions.udf.CIQ($C$2,"IQ_PENSION_OBLIGATION_INTEREST_COST_DOM",J$6,$F$2,,,Ccy,Conv)</f>
        <v>911</v>
      </c>
      <c r="K753" s="18">
        <f>_xll.ciqfunctions.udf.CIQ($C$2,"IQ_PENSION_OBLIGATION_INTEREST_COST_DOM",K$6,$F$2,,,Ccy,Conv)</f>
        <v>0</v>
      </c>
      <c r="L753" s="18">
        <f>_xll.ciqfunctions.udf.CIQ($C$2,"IQ_PENSION_OBLIGATION_INTEREST_COST_DOM",L$6,$F$2,,,Ccy,Conv)</f>
        <v>0</v>
      </c>
      <c r="M753" s="18">
        <f>_xll.ciqfunctions.udf.CIQ($C$2,"IQ_PENSION_OBLIGATION_INTEREST_COST_DOM",M$6,$F$2,,,Ccy,Conv)</f>
        <v>0</v>
      </c>
      <c r="N753" s="18">
        <f>_xll.ciqfunctions.udf.CIQ($C$2,"IQ_PENSION_OBLIGATION_INTEREST_COST_DOM",N$6,$F$2,,,Ccy,Conv)</f>
        <v>748</v>
      </c>
      <c r="O753" s="30"/>
      <c r="P753" s="18">
        <f>_xll.ciqfunctions.udf.CIQ($C$2,"IQ_PENSION_OBLIGATION_INTEREST_COST_DOM",P$6,$F$2,,,Ccy,Conv)</f>
        <v>748</v>
      </c>
      <c r="Q753" s="215"/>
      <c r="R753" s="215"/>
      <c r="S753" s="215"/>
      <c r="T753" s="215"/>
      <c r="U753" s="215"/>
      <c r="V753" s="222"/>
      <c r="W753" s="222"/>
      <c r="X753" s="222"/>
      <c r="Y753" s="215"/>
      <c r="Z753" s="215"/>
      <c r="AA753" s="215"/>
      <c r="AB753" s="215"/>
      <c r="AC753" s="215"/>
      <c r="AD753" s="215"/>
      <c r="AE753" s="215"/>
      <c r="AF753" s="215"/>
      <c r="AG753" s="215"/>
      <c r="AH753" s="215"/>
      <c r="AI753" s="215"/>
      <c r="AJ753" s="215"/>
      <c r="AK753" s="215"/>
      <c r="AL753" s="215"/>
      <c r="AM753" s="215"/>
      <c r="AN753" s="215"/>
      <c r="AO753" s="215"/>
      <c r="AP753" s="215"/>
      <c r="AQ753" s="215"/>
      <c r="AR753" s="215"/>
      <c r="AS753" s="215"/>
      <c r="AT753" s="215"/>
      <c r="AU753" s="215"/>
      <c r="AV753" s="215"/>
      <c r="AW753" s="215"/>
      <c r="AX753" s="215"/>
      <c r="AY753" s="215"/>
      <c r="AZ753" s="215"/>
      <c r="BA753" s="215"/>
      <c r="BB753" s="215"/>
      <c r="BC753" s="215"/>
      <c r="BD753" s="215"/>
      <c r="BE753" s="215"/>
      <c r="BF753" s="215"/>
      <c r="BG753" s="215"/>
      <c r="BH753" s="215"/>
      <c r="BI753" s="215"/>
      <c r="BJ753" s="215"/>
      <c r="BK753" s="215"/>
      <c r="BL753" s="215"/>
      <c r="BM753" s="215"/>
      <c r="BN753" s="215"/>
      <c r="BO753" s="215"/>
      <c r="BP753" s="215"/>
      <c r="BQ753" s="215"/>
      <c r="BR753" s="215"/>
      <c r="BS753" s="215"/>
      <c r="BT753" s="215"/>
      <c r="BU753" s="215"/>
      <c r="BV753" s="215"/>
      <c r="BW753" s="215"/>
      <c r="BX753" s="215"/>
      <c r="BY753" s="215"/>
      <c r="BZ753" s="215"/>
    </row>
    <row r="754" spans="1:78" outlineLevel="1" x14ac:dyDescent="0.2">
      <c r="A754" s="2" t="str">
        <f>'Language Index'!A505</f>
        <v>Def. Benefit Employee Contributions</v>
      </c>
      <c r="B754" s="17"/>
      <c r="C754" s="17"/>
      <c r="D754" s="18">
        <f>_xll.ciqfunctions.udf.CIQ($C$2,"IQ_PENSION_OBLIGATION_EMPLOYEE_CONTRIBUTIONS_DOM",D$6,$F$2,,,Ccy,Conv)</f>
        <v>0</v>
      </c>
      <c r="E754" s="18">
        <f>_xll.ciqfunctions.udf.CIQ($C$2,"IQ_PENSION_OBLIGATION_EMPLOYEE_CONTRIBUTIONS_DOM",E$6,$F$2,,,Ccy,Conv)</f>
        <v>0</v>
      </c>
      <c r="F754" s="18">
        <f>_xll.ciqfunctions.udf.CIQ($C$2,"IQ_PENSION_OBLIGATION_EMPLOYEE_CONTRIBUTIONS_DOM",F$6,$F$2,,,Ccy,Conv)</f>
        <v>0</v>
      </c>
      <c r="G754" s="18">
        <f>_xll.ciqfunctions.udf.CIQ($C$2,"IQ_PENSION_OBLIGATION_EMPLOYEE_CONTRIBUTIONS_DOM",G$6,$F$2,,,Ccy,Conv)</f>
        <v>0</v>
      </c>
      <c r="H754" s="18">
        <f>_xll.ciqfunctions.udf.CIQ($C$2,"IQ_PENSION_OBLIGATION_EMPLOYEE_CONTRIBUTIONS_DOM",H$6,$F$2,,,Ccy,Conv)</f>
        <v>0</v>
      </c>
      <c r="I754" s="18">
        <f>_xll.ciqfunctions.udf.CIQ($C$2,"IQ_PENSION_OBLIGATION_EMPLOYEE_CONTRIBUTIONS_DOM",I$6,$F$2,,,Ccy,Conv)</f>
        <v>0</v>
      </c>
      <c r="J754" s="18">
        <f>_xll.ciqfunctions.udf.CIQ($C$2,"IQ_PENSION_OBLIGATION_EMPLOYEE_CONTRIBUTIONS_DOM",J$6,$F$2,,,Ccy,Conv)</f>
        <v>0</v>
      </c>
      <c r="K754" s="18">
        <f>_xll.ciqfunctions.udf.CIQ($C$2,"IQ_PENSION_OBLIGATION_EMPLOYEE_CONTRIBUTIONS_DOM",K$6,$F$2,,,Ccy,Conv)</f>
        <v>0</v>
      </c>
      <c r="L754" s="18">
        <f>_xll.ciqfunctions.udf.CIQ($C$2,"IQ_PENSION_OBLIGATION_EMPLOYEE_CONTRIBUTIONS_DOM",L$6,$F$2,,,Ccy,Conv)</f>
        <v>0</v>
      </c>
      <c r="M754" s="18">
        <f>_xll.ciqfunctions.udf.CIQ($C$2,"IQ_PENSION_OBLIGATION_EMPLOYEE_CONTRIBUTIONS_DOM",M$6,$F$2,,,Ccy,Conv)</f>
        <v>0</v>
      </c>
      <c r="N754" s="18">
        <f>_xll.ciqfunctions.udf.CIQ($C$2,"IQ_PENSION_OBLIGATION_EMPLOYEE_CONTRIBUTIONS_DOM",N$6,$F$2,,,Ccy,Conv)</f>
        <v>0</v>
      </c>
      <c r="O754" s="30"/>
      <c r="P754" s="18">
        <f>_xll.ciqfunctions.udf.CIQ($C$2,"IQ_PENSION_OBLIGATION_EMPLOYEE_CONTRIBUTIONS_DOM",P$6,$F$2,,,Ccy,Conv)</f>
        <v>0</v>
      </c>
      <c r="Q754" s="215"/>
      <c r="R754" s="215"/>
      <c r="S754" s="215"/>
      <c r="T754" s="215"/>
      <c r="U754" s="215"/>
      <c r="V754" s="222"/>
      <c r="W754" s="222"/>
      <c r="X754" s="222"/>
      <c r="Y754" s="215"/>
      <c r="Z754" s="215"/>
      <c r="AA754" s="215"/>
      <c r="AB754" s="215"/>
      <c r="AC754" s="215"/>
      <c r="AD754" s="215"/>
      <c r="AE754" s="215"/>
      <c r="AF754" s="215"/>
      <c r="AG754" s="215"/>
      <c r="AH754" s="215"/>
      <c r="AI754" s="215"/>
      <c r="AJ754" s="215"/>
      <c r="AK754" s="215"/>
      <c r="AL754" s="215"/>
      <c r="AM754" s="215"/>
      <c r="AN754" s="215"/>
      <c r="AO754" s="215"/>
      <c r="AP754" s="215"/>
      <c r="AQ754" s="215"/>
      <c r="AR754" s="215"/>
      <c r="AS754" s="215"/>
      <c r="AT754" s="215"/>
      <c r="AU754" s="215"/>
      <c r="AV754" s="215"/>
      <c r="AW754" s="215"/>
      <c r="AX754" s="215"/>
      <c r="AY754" s="215"/>
      <c r="AZ754" s="215"/>
      <c r="BA754" s="215"/>
      <c r="BB754" s="215"/>
      <c r="BC754" s="215"/>
      <c r="BD754" s="215"/>
      <c r="BE754" s="215"/>
      <c r="BF754" s="215"/>
      <c r="BG754" s="215"/>
      <c r="BH754" s="215"/>
      <c r="BI754" s="215"/>
      <c r="BJ754" s="215"/>
      <c r="BK754" s="215"/>
      <c r="BL754" s="215"/>
      <c r="BM754" s="215"/>
      <c r="BN754" s="215"/>
      <c r="BO754" s="215"/>
      <c r="BP754" s="215"/>
      <c r="BQ754" s="215"/>
      <c r="BR754" s="215"/>
      <c r="BS754" s="215"/>
      <c r="BT754" s="215"/>
      <c r="BU754" s="215"/>
      <c r="BV754" s="215"/>
      <c r="BW754" s="215"/>
      <c r="BX754" s="215"/>
      <c r="BY754" s="215"/>
      <c r="BZ754" s="215"/>
    </row>
    <row r="755" spans="1:78" outlineLevel="1" x14ac:dyDescent="0.2">
      <c r="A755" s="2" t="str">
        <f>'Language Index'!A506</f>
        <v>Def. Benefit Actuarial Gain/Losses</v>
      </c>
      <c r="B755" s="17"/>
      <c r="C755" s="17"/>
      <c r="D755" s="18">
        <f>_xll.ciqfunctions.udf.CIQ($C$2,"IQ_PENSION_OBLIGATION_ACTUARIAL_GAIN_LOSS_DOM",D$6,$F$2,,,Ccy,Conv)</f>
        <v>0</v>
      </c>
      <c r="E755" s="18">
        <f>_xll.ciqfunctions.udf.CIQ($C$2,"IQ_PENSION_OBLIGATION_ACTUARIAL_GAIN_LOSS_DOM",E$6,$F$2,,,Ccy,Conv)</f>
        <v>0</v>
      </c>
      <c r="F755" s="18">
        <f>_xll.ciqfunctions.udf.CIQ($C$2,"IQ_PENSION_OBLIGATION_ACTUARIAL_GAIN_LOSS_DOM",F$6,$F$2,,,Ccy,Conv)</f>
        <v>486</v>
      </c>
      <c r="G755" s="18">
        <f>_xll.ciqfunctions.udf.CIQ($C$2,"IQ_PENSION_OBLIGATION_ACTUARIAL_GAIN_LOSS_DOM",G$6,$F$2,,,Ccy,Conv)</f>
        <v>0</v>
      </c>
      <c r="H755" s="18">
        <f>_xll.ciqfunctions.udf.CIQ($C$2,"IQ_PENSION_OBLIGATION_ACTUARIAL_GAIN_LOSS_DOM",H$6,$F$2,,,Ccy,Conv)</f>
        <v>0</v>
      </c>
      <c r="I755" s="18">
        <f>_xll.ciqfunctions.udf.CIQ($C$2,"IQ_PENSION_OBLIGATION_ACTUARIAL_GAIN_LOSS_DOM",I$6,$F$2,,,Ccy,Conv)</f>
        <v>0</v>
      </c>
      <c r="J755" s="18">
        <f>_xll.ciqfunctions.udf.CIQ($C$2,"IQ_PENSION_OBLIGATION_ACTUARIAL_GAIN_LOSS_DOM",J$6,$F$2,,,Ccy,Conv)</f>
        <v>-589</v>
      </c>
      <c r="K755" s="18">
        <f>_xll.ciqfunctions.udf.CIQ($C$2,"IQ_PENSION_OBLIGATION_ACTUARIAL_GAIN_LOSS_DOM",K$6,$F$2,,,Ccy,Conv)</f>
        <v>0</v>
      </c>
      <c r="L755" s="18">
        <f>_xll.ciqfunctions.udf.CIQ($C$2,"IQ_PENSION_OBLIGATION_ACTUARIAL_GAIN_LOSS_DOM",L$6,$F$2,,,Ccy,Conv)</f>
        <v>0</v>
      </c>
      <c r="M755" s="18">
        <f>_xll.ciqfunctions.udf.CIQ($C$2,"IQ_PENSION_OBLIGATION_ACTUARIAL_GAIN_LOSS_DOM",M$6,$F$2,,,Ccy,Conv)</f>
        <v>0</v>
      </c>
      <c r="N755" s="18">
        <f>_xll.ciqfunctions.udf.CIQ($C$2,"IQ_PENSION_OBLIGATION_ACTUARIAL_GAIN_LOSS_DOM",N$6,$F$2,,,Ccy,Conv)</f>
        <v>316</v>
      </c>
      <c r="O755" s="30"/>
      <c r="P755" s="18">
        <f>_xll.ciqfunctions.udf.CIQ($C$2,"IQ_PENSION_OBLIGATION_ACTUARIAL_GAIN_LOSS_DOM",P$6,$F$2,,,Ccy,Conv)</f>
        <v>316</v>
      </c>
      <c r="Q755" s="215"/>
      <c r="R755" s="215"/>
      <c r="S755" s="215"/>
      <c r="T755" s="215"/>
      <c r="U755" s="215"/>
      <c r="V755" s="222"/>
      <c r="W755" s="222"/>
      <c r="X755" s="222"/>
      <c r="Y755" s="215"/>
      <c r="Z755" s="215"/>
      <c r="AA755" s="215"/>
      <c r="AB755" s="215"/>
      <c r="AC755" s="215"/>
      <c r="AD755" s="215"/>
      <c r="AE755" s="215"/>
      <c r="AF755" s="215"/>
      <c r="AG755" s="215"/>
      <c r="AH755" s="215"/>
      <c r="AI755" s="215"/>
      <c r="AJ755" s="215"/>
      <c r="AK755" s="215"/>
      <c r="AL755" s="215"/>
      <c r="AM755" s="215"/>
      <c r="AN755" s="215"/>
      <c r="AO755" s="215"/>
      <c r="AP755" s="215"/>
      <c r="AQ755" s="215"/>
      <c r="AR755" s="215"/>
      <c r="AS755" s="215"/>
      <c r="AT755" s="215"/>
      <c r="AU755" s="215"/>
      <c r="AV755" s="215"/>
      <c r="AW755" s="215"/>
      <c r="AX755" s="215"/>
      <c r="AY755" s="215"/>
      <c r="AZ755" s="215"/>
      <c r="BA755" s="215"/>
      <c r="BB755" s="215"/>
      <c r="BC755" s="215"/>
      <c r="BD755" s="215"/>
      <c r="BE755" s="215"/>
      <c r="BF755" s="215"/>
      <c r="BG755" s="215"/>
      <c r="BH755" s="215"/>
      <c r="BI755" s="215"/>
      <c r="BJ755" s="215"/>
      <c r="BK755" s="215"/>
      <c r="BL755" s="215"/>
      <c r="BM755" s="215"/>
      <c r="BN755" s="215"/>
      <c r="BO755" s="215"/>
      <c r="BP755" s="215"/>
      <c r="BQ755" s="215"/>
      <c r="BR755" s="215"/>
      <c r="BS755" s="215"/>
      <c r="BT755" s="215"/>
      <c r="BU755" s="215"/>
      <c r="BV755" s="215"/>
      <c r="BW755" s="215"/>
      <c r="BX755" s="215"/>
      <c r="BY755" s="215"/>
      <c r="BZ755" s="215"/>
    </row>
    <row r="756" spans="1:78" outlineLevel="1" x14ac:dyDescent="0.2">
      <c r="A756" s="2" t="str">
        <f>'Language Index'!A507</f>
        <v>Def. Benefits Paid</v>
      </c>
      <c r="B756" s="17"/>
      <c r="C756" s="17"/>
      <c r="D756" s="18">
        <f>_xll.ciqfunctions.udf.CIQ($C$2,"IQ_PENSION_OBLIGATION_PAID_DOM",D$6,$F$2,,,Ccy,Conv)</f>
        <v>0</v>
      </c>
      <c r="E756" s="18">
        <f>_xll.ciqfunctions.udf.CIQ($C$2,"IQ_PENSION_OBLIGATION_PAID_DOM",E$6,$F$2,,,Ccy,Conv)</f>
        <v>0</v>
      </c>
      <c r="F756" s="18">
        <f>_xll.ciqfunctions.udf.CIQ($C$2,"IQ_PENSION_OBLIGATION_PAID_DOM",F$6,$F$2,,,Ccy,Conv)</f>
        <v>-1546</v>
      </c>
      <c r="G756" s="18">
        <f>_xll.ciqfunctions.udf.CIQ($C$2,"IQ_PENSION_OBLIGATION_PAID_DOM",G$6,$F$2,,,Ccy,Conv)</f>
        <v>0</v>
      </c>
      <c r="H756" s="18">
        <f>_xll.ciqfunctions.udf.CIQ($C$2,"IQ_PENSION_OBLIGATION_PAID_DOM",H$6,$F$2,,,Ccy,Conv)</f>
        <v>0</v>
      </c>
      <c r="I756" s="18">
        <f>_xll.ciqfunctions.udf.CIQ($C$2,"IQ_PENSION_OBLIGATION_PAID_DOM",I$6,$F$2,,,Ccy,Conv)</f>
        <v>0</v>
      </c>
      <c r="J756" s="18">
        <f>_xll.ciqfunctions.udf.CIQ($C$2,"IQ_PENSION_OBLIGATION_PAID_DOM",J$6,$F$2,,,Ccy,Conv)</f>
        <v>-1554</v>
      </c>
      <c r="K756" s="18">
        <f>_xll.ciqfunctions.udf.CIQ($C$2,"IQ_PENSION_OBLIGATION_PAID_DOM",K$6,$F$2,,,Ccy,Conv)</f>
        <v>0</v>
      </c>
      <c r="L756" s="18">
        <f>_xll.ciqfunctions.udf.CIQ($C$2,"IQ_PENSION_OBLIGATION_PAID_DOM",L$6,$F$2,,,Ccy,Conv)</f>
        <v>0</v>
      </c>
      <c r="M756" s="18">
        <f>_xll.ciqfunctions.udf.CIQ($C$2,"IQ_PENSION_OBLIGATION_PAID_DOM",M$6,$F$2,,,Ccy,Conv)</f>
        <v>0</v>
      </c>
      <c r="N756" s="18">
        <f>_xll.ciqfunctions.udf.CIQ($C$2,"IQ_PENSION_OBLIGATION_PAID_DOM",N$6,$F$2,,,Ccy,Conv)</f>
        <v>-869</v>
      </c>
      <c r="O756" s="30"/>
      <c r="P756" s="18">
        <f>_xll.ciqfunctions.udf.CIQ($C$2,"IQ_PENSION_OBLIGATION_PAID_DOM",P$6,$F$2,,,Ccy,Conv)</f>
        <v>-869</v>
      </c>
      <c r="Q756" s="215"/>
      <c r="R756" s="215"/>
      <c r="S756" s="215"/>
      <c r="T756" s="215"/>
      <c r="U756" s="215"/>
      <c r="V756" s="222"/>
      <c r="W756" s="222"/>
      <c r="X756" s="222"/>
      <c r="Y756" s="215"/>
      <c r="Z756" s="215"/>
      <c r="AA756" s="215"/>
      <c r="AB756" s="215"/>
      <c r="AC756" s="215"/>
      <c r="AD756" s="215"/>
      <c r="AE756" s="215"/>
      <c r="AF756" s="215"/>
      <c r="AG756" s="215"/>
      <c r="AH756" s="215"/>
      <c r="AI756" s="215"/>
      <c r="AJ756" s="215"/>
      <c r="AK756" s="215"/>
      <c r="AL756" s="215"/>
      <c r="AM756" s="215"/>
      <c r="AN756" s="215"/>
      <c r="AO756" s="215"/>
      <c r="AP756" s="215"/>
      <c r="AQ756" s="215"/>
      <c r="AR756" s="215"/>
      <c r="AS756" s="215"/>
      <c r="AT756" s="215"/>
      <c r="AU756" s="215"/>
      <c r="AV756" s="215"/>
      <c r="AW756" s="215"/>
      <c r="AX756" s="215"/>
      <c r="AY756" s="215"/>
      <c r="AZ756" s="215"/>
      <c r="BA756" s="215"/>
      <c r="BB756" s="215"/>
      <c r="BC756" s="215"/>
      <c r="BD756" s="215"/>
      <c r="BE756" s="215"/>
      <c r="BF756" s="215"/>
      <c r="BG756" s="215"/>
      <c r="BH756" s="215"/>
      <c r="BI756" s="215"/>
      <c r="BJ756" s="215"/>
      <c r="BK756" s="215"/>
      <c r="BL756" s="215"/>
      <c r="BM756" s="215"/>
      <c r="BN756" s="215"/>
      <c r="BO756" s="215"/>
      <c r="BP756" s="215"/>
      <c r="BQ756" s="215"/>
      <c r="BR756" s="215"/>
      <c r="BS756" s="215"/>
      <c r="BT756" s="215"/>
      <c r="BU756" s="215"/>
      <c r="BV756" s="215"/>
      <c r="BW756" s="215"/>
      <c r="BX756" s="215"/>
      <c r="BY756" s="215"/>
      <c r="BZ756" s="215"/>
    </row>
    <row r="757" spans="1:78" outlineLevel="1" x14ac:dyDescent="0.2">
      <c r="A757" s="2" t="str">
        <f>'Language Index'!A508</f>
        <v>Foreign Exchange Adj.</v>
      </c>
      <c r="B757" s="17"/>
      <c r="C757" s="17"/>
      <c r="D757" s="18">
        <f>_xll.ciqfunctions.udf.CIQ($C$2,"IQ_PENSION_OBLIGATION_FX_ADJ_DOM",D$6,$F$2,,,Ccy,Conv)</f>
        <v>0</v>
      </c>
      <c r="E757" s="18">
        <f>_xll.ciqfunctions.udf.CIQ($C$2,"IQ_PENSION_OBLIGATION_FX_ADJ_DOM",E$6,$F$2,,,Ccy,Conv)</f>
        <v>0</v>
      </c>
      <c r="F757" s="18">
        <f>_xll.ciqfunctions.udf.CIQ($C$2,"IQ_PENSION_OBLIGATION_FX_ADJ_DOM",F$6,$F$2,,,Ccy,Conv)</f>
        <v>0</v>
      </c>
      <c r="G757" s="18">
        <f>_xll.ciqfunctions.udf.CIQ($C$2,"IQ_PENSION_OBLIGATION_FX_ADJ_DOM",G$6,$F$2,,,Ccy,Conv)</f>
        <v>0</v>
      </c>
      <c r="H757" s="18">
        <f>_xll.ciqfunctions.udf.CIQ($C$2,"IQ_PENSION_OBLIGATION_FX_ADJ_DOM",H$6,$F$2,,,Ccy,Conv)</f>
        <v>0</v>
      </c>
      <c r="I757" s="18">
        <f>_xll.ciqfunctions.udf.CIQ($C$2,"IQ_PENSION_OBLIGATION_FX_ADJ_DOM",I$6,$F$2,,,Ccy,Conv)</f>
        <v>0</v>
      </c>
      <c r="J757" s="18">
        <f>_xll.ciqfunctions.udf.CIQ($C$2,"IQ_PENSION_OBLIGATION_FX_ADJ_DOM",J$6,$F$2,,,Ccy,Conv)</f>
        <v>0</v>
      </c>
      <c r="K757" s="18">
        <f>_xll.ciqfunctions.udf.CIQ($C$2,"IQ_PENSION_OBLIGATION_FX_ADJ_DOM",K$6,$F$2,,,Ccy,Conv)</f>
        <v>0</v>
      </c>
      <c r="L757" s="18">
        <f>_xll.ciqfunctions.udf.CIQ($C$2,"IQ_PENSION_OBLIGATION_FX_ADJ_DOM",L$6,$F$2,,,Ccy,Conv)</f>
        <v>0</v>
      </c>
      <c r="M757" s="18">
        <f>_xll.ciqfunctions.udf.CIQ($C$2,"IQ_PENSION_OBLIGATION_FX_ADJ_DOM",M$6,$F$2,,,Ccy,Conv)</f>
        <v>0</v>
      </c>
      <c r="N757" s="18">
        <f>_xll.ciqfunctions.udf.CIQ($C$2,"IQ_PENSION_OBLIGATION_FX_ADJ_DOM",N$6,$F$2,,,Ccy,Conv)</f>
        <v>0</v>
      </c>
      <c r="O757" s="30"/>
      <c r="P757" s="18">
        <f>_xll.ciqfunctions.udf.CIQ($C$2,"IQ_PENSION_OBLIGATION_FX_ADJ_DOM",P$6,$F$2,,,Ccy,Conv)</f>
        <v>0</v>
      </c>
      <c r="Q757" s="215"/>
      <c r="R757" s="215"/>
      <c r="S757" s="215"/>
      <c r="T757" s="215"/>
      <c r="U757" s="215"/>
      <c r="V757" s="222"/>
      <c r="W757" s="222"/>
      <c r="X757" s="222"/>
      <c r="Y757" s="215"/>
      <c r="Z757" s="215"/>
      <c r="AA757" s="215"/>
      <c r="AB757" s="215"/>
      <c r="AC757" s="215"/>
      <c r="AD757" s="215"/>
      <c r="AE757" s="215"/>
      <c r="AF757" s="215"/>
      <c r="AG757" s="215"/>
      <c r="AH757" s="215"/>
      <c r="AI757" s="215"/>
      <c r="AJ757" s="215"/>
      <c r="AK757" s="215"/>
      <c r="AL757" s="215"/>
      <c r="AM757" s="215"/>
      <c r="AN757" s="215"/>
      <c r="AO757" s="215"/>
      <c r="AP757" s="215"/>
      <c r="AQ757" s="215"/>
      <c r="AR757" s="215"/>
      <c r="AS757" s="215"/>
      <c r="AT757" s="215"/>
      <c r="AU757" s="215"/>
      <c r="AV757" s="215"/>
      <c r="AW757" s="215"/>
      <c r="AX757" s="215"/>
      <c r="AY757" s="215"/>
      <c r="AZ757" s="215"/>
      <c r="BA757" s="215"/>
      <c r="BB757" s="215"/>
      <c r="BC757" s="215"/>
      <c r="BD757" s="215"/>
      <c r="BE757" s="215"/>
      <c r="BF757" s="215"/>
      <c r="BG757" s="215"/>
      <c r="BH757" s="215"/>
      <c r="BI757" s="215"/>
      <c r="BJ757" s="215"/>
      <c r="BK757" s="215"/>
      <c r="BL757" s="215"/>
      <c r="BM757" s="215"/>
      <c r="BN757" s="215"/>
      <c r="BO757" s="215"/>
      <c r="BP757" s="215"/>
      <c r="BQ757" s="215"/>
      <c r="BR757" s="215"/>
      <c r="BS757" s="215"/>
      <c r="BT757" s="215"/>
      <c r="BU757" s="215"/>
      <c r="BV757" s="215"/>
      <c r="BW757" s="215"/>
      <c r="BX757" s="215"/>
      <c r="BY757" s="215"/>
      <c r="BZ757" s="215"/>
    </row>
    <row r="758" spans="1:78" outlineLevel="1" x14ac:dyDescent="0.2">
      <c r="A758" s="2" t="str">
        <f>'Language Index'!A509</f>
        <v>Acq. Benefit Obligation</v>
      </c>
      <c r="B758" s="17"/>
      <c r="C758" s="17"/>
      <c r="D758" s="18">
        <f>_xll.ciqfunctions.udf.CIQ($C$2,"IQ_PENSION_OBLIGATION_ACQ_DOM",D$6,$F$2,,,Ccy,Conv)</f>
        <v>0</v>
      </c>
      <c r="E758" s="18">
        <f>_xll.ciqfunctions.udf.CIQ($C$2,"IQ_PENSION_OBLIGATION_ACQ_DOM",E$6,$F$2,,,Ccy,Conv)</f>
        <v>0</v>
      </c>
      <c r="F758" s="18">
        <f>_xll.ciqfunctions.udf.CIQ($C$2,"IQ_PENSION_OBLIGATION_ACQ_DOM",F$6,$F$2,,,Ccy,Conv)</f>
        <v>0</v>
      </c>
      <c r="G758" s="18">
        <f>_xll.ciqfunctions.udf.CIQ($C$2,"IQ_PENSION_OBLIGATION_ACQ_DOM",G$6,$F$2,,,Ccy,Conv)</f>
        <v>0</v>
      </c>
      <c r="H758" s="18">
        <f>_xll.ciqfunctions.udf.CIQ($C$2,"IQ_PENSION_OBLIGATION_ACQ_DOM",H$6,$F$2,,,Ccy,Conv)</f>
        <v>0</v>
      </c>
      <c r="I758" s="18">
        <f>_xll.ciqfunctions.udf.CIQ($C$2,"IQ_PENSION_OBLIGATION_ACQ_DOM",I$6,$F$2,,,Ccy,Conv)</f>
        <v>0</v>
      </c>
      <c r="J758" s="18">
        <f>_xll.ciqfunctions.udf.CIQ($C$2,"IQ_PENSION_OBLIGATION_ACQ_DOM",J$6,$F$2,,,Ccy,Conv)</f>
        <v>0</v>
      </c>
      <c r="K758" s="18">
        <f>_xll.ciqfunctions.udf.CIQ($C$2,"IQ_PENSION_OBLIGATION_ACQ_DOM",K$6,$F$2,,,Ccy,Conv)</f>
        <v>0</v>
      </c>
      <c r="L758" s="18">
        <f>_xll.ciqfunctions.udf.CIQ($C$2,"IQ_PENSION_OBLIGATION_ACQ_DOM",L$6,$F$2,,,Ccy,Conv)</f>
        <v>0</v>
      </c>
      <c r="M758" s="18">
        <f>_xll.ciqfunctions.udf.CIQ($C$2,"IQ_PENSION_OBLIGATION_ACQ_DOM",M$6,$F$2,,,Ccy,Conv)</f>
        <v>0</v>
      </c>
      <c r="N758" s="18">
        <f>_xll.ciqfunctions.udf.CIQ($C$2,"IQ_PENSION_OBLIGATION_ACQ_DOM",N$6,$F$2,,,Ccy,Conv)</f>
        <v>0</v>
      </c>
      <c r="O758" s="30"/>
      <c r="P758" s="18">
        <f>_xll.ciqfunctions.udf.CIQ($C$2,"IQ_PENSION_OBLIGATION_ACQ_DOM",P$6,$F$2,,,Ccy,Conv)</f>
        <v>0</v>
      </c>
      <c r="Q758" s="215"/>
      <c r="R758" s="215"/>
      <c r="S758" s="215"/>
      <c r="T758" s="215"/>
      <c r="U758" s="215"/>
      <c r="V758" s="222"/>
      <c r="W758" s="222"/>
      <c r="X758" s="222"/>
      <c r="Y758" s="215"/>
      <c r="Z758" s="215"/>
      <c r="AA758" s="215"/>
      <c r="AB758" s="215"/>
      <c r="AC758" s="215"/>
      <c r="AD758" s="215"/>
      <c r="AE758" s="215"/>
      <c r="AF758" s="215"/>
      <c r="AG758" s="215"/>
      <c r="AH758" s="215"/>
      <c r="AI758" s="215"/>
      <c r="AJ758" s="215"/>
      <c r="AK758" s="215"/>
      <c r="AL758" s="215"/>
      <c r="AM758" s="215"/>
      <c r="AN758" s="215"/>
      <c r="AO758" s="215"/>
      <c r="AP758" s="215"/>
      <c r="AQ758" s="215"/>
      <c r="AR758" s="215"/>
      <c r="AS758" s="215"/>
      <c r="AT758" s="215"/>
      <c r="AU758" s="215"/>
      <c r="AV758" s="215"/>
      <c r="AW758" s="215"/>
      <c r="AX758" s="215"/>
      <c r="AY758" s="215"/>
      <c r="AZ758" s="215"/>
      <c r="BA758" s="215"/>
      <c r="BB758" s="215"/>
      <c r="BC758" s="215"/>
      <c r="BD758" s="215"/>
      <c r="BE758" s="215"/>
      <c r="BF758" s="215"/>
      <c r="BG758" s="215"/>
      <c r="BH758" s="215"/>
      <c r="BI758" s="215"/>
      <c r="BJ758" s="215"/>
      <c r="BK758" s="215"/>
      <c r="BL758" s="215"/>
      <c r="BM758" s="215"/>
      <c r="BN758" s="215"/>
      <c r="BO758" s="215"/>
      <c r="BP758" s="215"/>
      <c r="BQ758" s="215"/>
      <c r="BR758" s="215"/>
      <c r="BS758" s="215"/>
      <c r="BT758" s="215"/>
      <c r="BU758" s="215"/>
      <c r="BV758" s="215"/>
      <c r="BW758" s="215"/>
      <c r="BX758" s="215"/>
      <c r="BY758" s="215"/>
      <c r="BZ758" s="215"/>
    </row>
    <row r="759" spans="1:78" outlineLevel="1" x14ac:dyDescent="0.2">
      <c r="A759" s="2" t="str">
        <f>'Language Index'!A510</f>
        <v>Def. Benefit Settlement/Curtailment</v>
      </c>
      <c r="B759" s="17"/>
      <c r="C759" s="17"/>
      <c r="D759" s="18">
        <f>_xll.ciqfunctions.udf.CIQ($C$2,"IQ_PENSION_OBLIGATION_CURTAIL_DOM",D$6,$F$2,,,Ccy,Conv)</f>
        <v>0</v>
      </c>
      <c r="E759" s="18">
        <f>_xll.ciqfunctions.udf.CIQ($C$2,"IQ_PENSION_OBLIGATION_CURTAIL_DOM",E$6,$F$2,,,Ccy,Conv)</f>
        <v>0</v>
      </c>
      <c r="F759" s="18">
        <f>_xll.ciqfunctions.udf.CIQ($C$2,"IQ_PENSION_OBLIGATION_CURTAIL_DOM",F$6,$F$2,,,Ccy,Conv)</f>
        <v>0</v>
      </c>
      <c r="G759" s="18">
        <f>_xll.ciqfunctions.udf.CIQ($C$2,"IQ_PENSION_OBLIGATION_CURTAIL_DOM",G$6,$F$2,,,Ccy,Conv)</f>
        <v>0</v>
      </c>
      <c r="H759" s="18">
        <f>_xll.ciqfunctions.udf.CIQ($C$2,"IQ_PENSION_OBLIGATION_CURTAIL_DOM",H$6,$F$2,,,Ccy,Conv)</f>
        <v>0</v>
      </c>
      <c r="I759" s="18">
        <f>_xll.ciqfunctions.udf.CIQ($C$2,"IQ_PENSION_OBLIGATION_CURTAIL_DOM",I$6,$F$2,,,Ccy,Conv)</f>
        <v>0</v>
      </c>
      <c r="J759" s="18">
        <f>_xll.ciqfunctions.udf.CIQ($C$2,"IQ_PENSION_OBLIGATION_CURTAIL_DOM",J$6,$F$2,,,Ccy,Conv)</f>
        <v>0</v>
      </c>
      <c r="K759" s="18">
        <f>_xll.ciqfunctions.udf.CIQ($C$2,"IQ_PENSION_OBLIGATION_CURTAIL_DOM",K$6,$F$2,,,Ccy,Conv)</f>
        <v>0</v>
      </c>
      <c r="L759" s="18">
        <f>_xll.ciqfunctions.udf.CIQ($C$2,"IQ_PENSION_OBLIGATION_CURTAIL_DOM",L$6,$F$2,,,Ccy,Conv)</f>
        <v>0</v>
      </c>
      <c r="M759" s="18">
        <f>_xll.ciqfunctions.udf.CIQ($C$2,"IQ_PENSION_OBLIGATION_CURTAIL_DOM",M$6,$F$2,,,Ccy,Conv)</f>
        <v>0</v>
      </c>
      <c r="N759" s="18">
        <f>_xll.ciqfunctions.udf.CIQ($C$2,"IQ_PENSION_OBLIGATION_CURTAIL_DOM",N$6,$F$2,,,Ccy,Conv)</f>
        <v>0</v>
      </c>
      <c r="O759" s="30"/>
      <c r="P759" s="18">
        <f>_xll.ciqfunctions.udf.CIQ($C$2,"IQ_PENSION_OBLIGATION_CURTAIL_DOM",P$6,$F$2,,,Ccy,Conv)</f>
        <v>0</v>
      </c>
      <c r="Q759" s="215"/>
      <c r="R759" s="215"/>
      <c r="S759" s="215"/>
      <c r="T759" s="215"/>
      <c r="U759" s="215"/>
      <c r="V759" s="222"/>
      <c r="W759" s="222"/>
      <c r="X759" s="222"/>
      <c r="Y759" s="215"/>
      <c r="Z759" s="215"/>
      <c r="AA759" s="215"/>
      <c r="AB759" s="215"/>
      <c r="AC759" s="215"/>
      <c r="AD759" s="215"/>
      <c r="AE759" s="215"/>
      <c r="AF759" s="215"/>
      <c r="AG759" s="215"/>
      <c r="AH759" s="215"/>
      <c r="AI759" s="215"/>
      <c r="AJ759" s="215"/>
      <c r="AK759" s="215"/>
      <c r="AL759" s="215"/>
      <c r="AM759" s="215"/>
      <c r="AN759" s="215"/>
      <c r="AO759" s="215"/>
      <c r="AP759" s="215"/>
      <c r="AQ759" s="215"/>
      <c r="AR759" s="215"/>
      <c r="AS759" s="215"/>
      <c r="AT759" s="215"/>
      <c r="AU759" s="215"/>
      <c r="AV759" s="215"/>
      <c r="AW759" s="215"/>
      <c r="AX759" s="215"/>
      <c r="AY759" s="215"/>
      <c r="AZ759" s="215"/>
      <c r="BA759" s="215"/>
      <c r="BB759" s="215"/>
      <c r="BC759" s="215"/>
      <c r="BD759" s="215"/>
      <c r="BE759" s="215"/>
      <c r="BF759" s="215"/>
      <c r="BG759" s="215"/>
      <c r="BH759" s="215"/>
      <c r="BI759" s="215"/>
      <c r="BJ759" s="215"/>
      <c r="BK759" s="215"/>
      <c r="BL759" s="215"/>
      <c r="BM759" s="215"/>
      <c r="BN759" s="215"/>
      <c r="BO759" s="215"/>
      <c r="BP759" s="215"/>
      <c r="BQ759" s="215"/>
      <c r="BR759" s="215"/>
      <c r="BS759" s="215"/>
      <c r="BT759" s="215"/>
      <c r="BU759" s="215"/>
      <c r="BV759" s="215"/>
      <c r="BW759" s="215"/>
      <c r="BX759" s="215"/>
      <c r="BY759" s="215"/>
      <c r="BZ759" s="215"/>
    </row>
    <row r="760" spans="1:78" outlineLevel="1" x14ac:dyDescent="0.2">
      <c r="A760" s="2" t="str">
        <f>'Language Index'!A511</f>
        <v>Other Adj. To Def. Benefit Obligation</v>
      </c>
      <c r="B760" s="17"/>
      <c r="C760" s="17"/>
      <c r="D760" s="18">
        <f>_xll.ciqfunctions.udf.CIQ($C$2,"IQ_PENSION_OBLIGATION_OTHER_PLAN_ADJ_DOM",D$6,$F$2,,,Ccy,Conv)</f>
        <v>0</v>
      </c>
      <c r="E760" s="18">
        <f>_xll.ciqfunctions.udf.CIQ($C$2,"IQ_PENSION_OBLIGATION_OTHER_PLAN_ADJ_DOM",E$6,$F$2,,,Ccy,Conv)</f>
        <v>0</v>
      </c>
      <c r="F760" s="18">
        <f>_xll.ciqfunctions.udf.CIQ($C$2,"IQ_PENSION_OBLIGATION_OTHER_PLAN_ADJ_DOM",F$6,$F$2,,,Ccy,Conv)</f>
        <v>-288</v>
      </c>
      <c r="G760" s="18">
        <f>_xll.ciqfunctions.udf.CIQ($C$2,"IQ_PENSION_OBLIGATION_OTHER_PLAN_ADJ_DOM",G$6,$F$2,,,Ccy,Conv)</f>
        <v>0</v>
      </c>
      <c r="H760" s="18">
        <f>_xll.ciqfunctions.udf.CIQ($C$2,"IQ_PENSION_OBLIGATION_OTHER_PLAN_ADJ_DOM",H$6,$F$2,,,Ccy,Conv)</f>
        <v>0</v>
      </c>
      <c r="I760" s="18">
        <f>_xll.ciqfunctions.udf.CIQ($C$2,"IQ_PENSION_OBLIGATION_OTHER_PLAN_ADJ_DOM",I$6,$F$2,,,Ccy,Conv)</f>
        <v>0</v>
      </c>
      <c r="J760" s="18">
        <f>_xll.ciqfunctions.udf.CIQ($C$2,"IQ_PENSION_OBLIGATION_OTHER_PLAN_ADJ_DOM",J$6,$F$2,,,Ccy,Conv)</f>
        <v>-6178</v>
      </c>
      <c r="K760" s="18">
        <f>_xll.ciqfunctions.udf.CIQ($C$2,"IQ_PENSION_OBLIGATION_OTHER_PLAN_ADJ_DOM",K$6,$F$2,,,Ccy,Conv)</f>
        <v>0</v>
      </c>
      <c r="L760" s="18">
        <f>_xll.ciqfunctions.udf.CIQ($C$2,"IQ_PENSION_OBLIGATION_OTHER_PLAN_ADJ_DOM",L$6,$F$2,,,Ccy,Conv)</f>
        <v>0</v>
      </c>
      <c r="M760" s="18">
        <f>_xll.ciqfunctions.udf.CIQ($C$2,"IQ_PENSION_OBLIGATION_OTHER_PLAN_ADJ_DOM",M$6,$F$2,,,Ccy,Conv)</f>
        <v>0</v>
      </c>
      <c r="N760" s="18">
        <f>_xll.ciqfunctions.udf.CIQ($C$2,"IQ_PENSION_OBLIGATION_OTHER_PLAN_ADJ_DOM",N$6,$F$2,,,Ccy,Conv)</f>
        <v>-306</v>
      </c>
      <c r="O760" s="30"/>
      <c r="P760" s="18">
        <f>_xll.ciqfunctions.udf.CIQ($C$2,"IQ_PENSION_OBLIGATION_OTHER_PLAN_ADJ_DOM",P$6,$F$2,,,Ccy,Conv)</f>
        <v>-306</v>
      </c>
      <c r="Q760" s="215"/>
      <c r="R760" s="215"/>
      <c r="S760" s="215"/>
      <c r="T760" s="215"/>
      <c r="U760" s="215"/>
      <c r="V760" s="222"/>
      <c r="W760" s="222"/>
      <c r="X760" s="222"/>
      <c r="Y760" s="215"/>
      <c r="Z760" s="215"/>
      <c r="AA760" s="215"/>
      <c r="AB760" s="215"/>
      <c r="AC760" s="215"/>
      <c r="AD760" s="215"/>
      <c r="AE760" s="215"/>
      <c r="AF760" s="215"/>
      <c r="AG760" s="215"/>
      <c r="AH760" s="215"/>
      <c r="AI760" s="215"/>
      <c r="AJ760" s="215"/>
      <c r="AK760" s="215"/>
      <c r="AL760" s="215"/>
      <c r="AM760" s="215"/>
      <c r="AN760" s="215"/>
      <c r="AO760" s="215"/>
      <c r="AP760" s="215"/>
      <c r="AQ760" s="215"/>
      <c r="AR760" s="215"/>
      <c r="AS760" s="215"/>
      <c r="AT760" s="215"/>
      <c r="AU760" s="215"/>
      <c r="AV760" s="215"/>
      <c r="AW760" s="215"/>
      <c r="AX760" s="215"/>
      <c r="AY760" s="215"/>
      <c r="AZ760" s="215"/>
      <c r="BA760" s="215"/>
      <c r="BB760" s="215"/>
      <c r="BC760" s="215"/>
      <c r="BD760" s="215"/>
      <c r="BE760" s="215"/>
      <c r="BF760" s="215"/>
      <c r="BG760" s="215"/>
      <c r="BH760" s="215"/>
      <c r="BI760" s="215"/>
      <c r="BJ760" s="215"/>
      <c r="BK760" s="215"/>
      <c r="BL760" s="215"/>
      <c r="BM760" s="215"/>
      <c r="BN760" s="215"/>
      <c r="BO760" s="215"/>
      <c r="BP760" s="215"/>
      <c r="BQ760" s="215"/>
      <c r="BR760" s="215"/>
      <c r="BS760" s="215"/>
      <c r="BT760" s="215"/>
      <c r="BU760" s="215"/>
      <c r="BV760" s="215"/>
      <c r="BW760" s="215"/>
      <c r="BX760" s="215"/>
      <c r="BY760" s="215"/>
      <c r="BZ760" s="215"/>
    </row>
    <row r="761" spans="1:78" outlineLevel="1" x14ac:dyDescent="0.2">
      <c r="A761" s="2" t="str">
        <f>'Language Index'!A512</f>
        <v>Proj. Benefit Obligation</v>
      </c>
      <c r="B761" s="17"/>
      <c r="C761" s="17"/>
      <c r="D761" s="18">
        <f>_xll.ciqfunctions.udf.CIQ($C$2,"IQ_PENSION_OBLIGATION_PROJECTED_DOM",D$6,$F$2,,,Ccy,Conv)</f>
        <v>0</v>
      </c>
      <c r="E761" s="18">
        <f>_xll.ciqfunctions.udf.CIQ($C$2,"IQ_PENSION_OBLIGATION_PROJECTED_DOM",E$6,$F$2,,,Ccy,Conv)</f>
        <v>0</v>
      </c>
      <c r="F761" s="18">
        <f>_xll.ciqfunctions.udf.CIQ($C$2,"IQ_PENSION_OBLIGATION_PROJECTED_DOM",F$6,$F$2,,,Ccy,Conv)</f>
        <v>21235</v>
      </c>
      <c r="G761" s="18">
        <f>_xll.ciqfunctions.udf.CIQ($C$2,"IQ_PENSION_OBLIGATION_PROJECTED_DOM",G$6,$F$2,,,Ccy,Conv)</f>
        <v>0</v>
      </c>
      <c r="H761" s="18">
        <f>_xll.ciqfunctions.udf.CIQ($C$2,"IQ_PENSION_OBLIGATION_PROJECTED_DOM",H$6,$F$2,,,Ccy,Conv)</f>
        <v>0</v>
      </c>
      <c r="I761" s="18">
        <f>_xll.ciqfunctions.udf.CIQ($C$2,"IQ_PENSION_OBLIGATION_PROJECTED_DOM",I$6,$F$2,,,Ccy,Conv)</f>
        <v>0</v>
      </c>
      <c r="J761" s="18">
        <f>_xll.ciqfunctions.udf.CIQ($C$2,"IQ_PENSION_OBLIGATION_PROJECTED_DOM",J$6,$F$2,,,Ccy,Conv)</f>
        <v>14219</v>
      </c>
      <c r="K761" s="18">
        <f>_xll.ciqfunctions.udf.CIQ($C$2,"IQ_PENSION_OBLIGATION_PROJECTED_DOM",K$6,$F$2,,,Ccy,Conv)</f>
        <v>0</v>
      </c>
      <c r="L761" s="18">
        <f>_xll.ciqfunctions.udf.CIQ($C$2,"IQ_PENSION_OBLIGATION_PROJECTED_DOM",L$6,$F$2,,,Ccy,Conv)</f>
        <v>0</v>
      </c>
      <c r="M761" s="18">
        <f>_xll.ciqfunctions.udf.CIQ($C$2,"IQ_PENSION_OBLIGATION_PROJECTED_DOM",M$6,$F$2,,,Ccy,Conv)</f>
        <v>0</v>
      </c>
      <c r="N761" s="18">
        <f>_xll.ciqfunctions.udf.CIQ($C$2,"IQ_PENSION_OBLIGATION_PROJECTED_DOM",N$6,$F$2,,,Ccy,Conv)</f>
        <v>14460</v>
      </c>
      <c r="O761" s="30"/>
      <c r="P761" s="18">
        <f>_xll.ciqfunctions.udf.CIQ($C$2,"IQ_PENSION_OBLIGATION_PROJECTED_DOM",P$6,$F$2,,,Ccy,Conv)</f>
        <v>14460</v>
      </c>
      <c r="Q761" s="215"/>
      <c r="R761" s="215"/>
      <c r="S761" s="215"/>
      <c r="T761" s="215"/>
      <c r="U761" s="215"/>
      <c r="V761" s="222"/>
      <c r="W761" s="222"/>
      <c r="X761" s="222"/>
      <c r="Y761" s="215"/>
      <c r="Z761" s="215"/>
      <c r="AA761" s="215"/>
      <c r="AB761" s="215"/>
      <c r="AC761" s="215"/>
      <c r="AD761" s="215"/>
      <c r="AE761" s="215"/>
      <c r="AF761" s="215"/>
      <c r="AG761" s="215"/>
      <c r="AH761" s="215"/>
      <c r="AI761" s="215"/>
      <c r="AJ761" s="215"/>
      <c r="AK761" s="215"/>
      <c r="AL761" s="215"/>
      <c r="AM761" s="215"/>
      <c r="AN761" s="215"/>
      <c r="AO761" s="215"/>
      <c r="AP761" s="215"/>
      <c r="AQ761" s="215"/>
      <c r="AR761" s="215"/>
      <c r="AS761" s="215"/>
      <c r="AT761" s="215"/>
      <c r="AU761" s="215"/>
      <c r="AV761" s="215"/>
      <c r="AW761" s="215"/>
      <c r="AX761" s="215"/>
      <c r="AY761" s="215"/>
      <c r="AZ761" s="215"/>
      <c r="BA761" s="215"/>
      <c r="BB761" s="215"/>
      <c r="BC761" s="215"/>
      <c r="BD761" s="215"/>
      <c r="BE761" s="215"/>
      <c r="BF761" s="215"/>
      <c r="BG761" s="215"/>
      <c r="BH761" s="215"/>
      <c r="BI761" s="215"/>
      <c r="BJ761" s="215"/>
      <c r="BK761" s="215"/>
      <c r="BL761" s="215"/>
      <c r="BM761" s="215"/>
      <c r="BN761" s="215"/>
      <c r="BO761" s="215"/>
      <c r="BP761" s="215"/>
      <c r="BQ761" s="215"/>
      <c r="BR761" s="215"/>
      <c r="BS761" s="215"/>
      <c r="BT761" s="215"/>
      <c r="BU761" s="215"/>
      <c r="BV761" s="215"/>
      <c r="BW761" s="215"/>
      <c r="BX761" s="215"/>
      <c r="BY761" s="215"/>
      <c r="BZ761" s="215"/>
    </row>
    <row r="762" spans="1:78" outlineLevel="1" x14ac:dyDescent="0.2">
      <c r="A762" s="2" t="str">
        <f>'Language Index'!A513</f>
        <v>Accum. Benefit Obligation (Pension)</v>
      </c>
      <c r="B762" s="17"/>
      <c r="C762" s="17"/>
      <c r="D762" s="18">
        <f>_xll.ciqfunctions.udf.CIQ($C$2,"IQ_PENSION_ACCUMULATED_OBLIGATION_DOMESTIC",D$6,$F$2,,,Ccy,Conv)</f>
        <v>0</v>
      </c>
      <c r="E762" s="18">
        <f>_xll.ciqfunctions.udf.CIQ($C$2,"IQ_PENSION_ACCUMULATED_OBLIGATION_DOMESTIC",E$6,$F$2,,,Ccy,Conv)</f>
        <v>0</v>
      </c>
      <c r="F762" s="18">
        <f>_xll.ciqfunctions.udf.CIQ($C$2,"IQ_PENSION_ACCUMULATED_OBLIGATION_DOMESTIC",F$6,$F$2,,,Ccy,Conv)</f>
        <v>21235</v>
      </c>
      <c r="G762" s="18">
        <f>_xll.ciqfunctions.udf.CIQ($C$2,"IQ_PENSION_ACCUMULATED_OBLIGATION_DOMESTIC",G$6,$F$2,,,Ccy,Conv)</f>
        <v>0</v>
      </c>
      <c r="H762" s="18">
        <f>_xll.ciqfunctions.udf.CIQ($C$2,"IQ_PENSION_ACCUMULATED_OBLIGATION_DOMESTIC",H$6,$F$2,,,Ccy,Conv)</f>
        <v>0</v>
      </c>
      <c r="I762" s="18">
        <f>_xll.ciqfunctions.udf.CIQ($C$2,"IQ_PENSION_ACCUMULATED_OBLIGATION_DOMESTIC",I$6,$F$2,,,Ccy,Conv)</f>
        <v>0</v>
      </c>
      <c r="J762" s="18">
        <f>_xll.ciqfunctions.udf.CIQ($C$2,"IQ_PENSION_ACCUMULATED_OBLIGATION_DOMESTIC",J$6,$F$2,,,Ccy,Conv)</f>
        <v>14219</v>
      </c>
      <c r="K762" s="18">
        <f>_xll.ciqfunctions.udf.CIQ($C$2,"IQ_PENSION_ACCUMULATED_OBLIGATION_DOMESTIC",K$6,$F$2,,,Ccy,Conv)</f>
        <v>0</v>
      </c>
      <c r="L762" s="18">
        <f>_xll.ciqfunctions.udf.CIQ($C$2,"IQ_PENSION_ACCUMULATED_OBLIGATION_DOMESTIC",L$6,$F$2,,,Ccy,Conv)</f>
        <v>0</v>
      </c>
      <c r="M762" s="18">
        <f>_xll.ciqfunctions.udf.CIQ($C$2,"IQ_PENSION_ACCUMULATED_OBLIGATION_DOMESTIC",M$6,$F$2,,,Ccy,Conv)</f>
        <v>0</v>
      </c>
      <c r="N762" s="18">
        <f>_xll.ciqfunctions.udf.CIQ($C$2,"IQ_PENSION_ACCUMULATED_OBLIGATION_DOMESTIC",N$6,$F$2,,,Ccy,Conv)</f>
        <v>14460</v>
      </c>
      <c r="O762" s="30"/>
      <c r="P762" s="18">
        <f>_xll.ciqfunctions.udf.CIQ($C$2,"IQ_PENSION_ACCUMULATED_OBLIGATION_DOMESTIC",P$6,$F$2,,,Ccy,Conv)</f>
        <v>14460</v>
      </c>
      <c r="Q762" s="215"/>
      <c r="R762" s="215"/>
      <c r="S762" s="215"/>
      <c r="T762" s="215"/>
      <c r="U762" s="215"/>
      <c r="V762" s="222"/>
      <c r="W762" s="222"/>
      <c r="X762" s="222"/>
      <c r="Y762" s="215"/>
      <c r="Z762" s="215"/>
      <c r="AA762" s="215"/>
      <c r="AB762" s="215"/>
      <c r="AC762" s="215"/>
      <c r="AD762" s="215"/>
      <c r="AE762" s="215"/>
      <c r="AF762" s="215"/>
      <c r="AG762" s="215"/>
      <c r="AH762" s="215"/>
      <c r="AI762" s="215"/>
      <c r="AJ762" s="215"/>
      <c r="AK762" s="215"/>
      <c r="AL762" s="215"/>
      <c r="AM762" s="215"/>
      <c r="AN762" s="215"/>
      <c r="AO762" s="215"/>
      <c r="AP762" s="215"/>
      <c r="AQ762" s="215"/>
      <c r="AR762" s="215"/>
      <c r="AS762" s="215"/>
      <c r="AT762" s="215"/>
      <c r="AU762" s="215"/>
      <c r="AV762" s="215"/>
      <c r="AW762" s="215"/>
      <c r="AX762" s="215"/>
      <c r="AY762" s="215"/>
      <c r="AZ762" s="215"/>
      <c r="BA762" s="215"/>
      <c r="BB762" s="215"/>
      <c r="BC762" s="215"/>
      <c r="BD762" s="215"/>
      <c r="BE762" s="215"/>
      <c r="BF762" s="215"/>
      <c r="BG762" s="215"/>
      <c r="BH762" s="215"/>
      <c r="BI762" s="215"/>
      <c r="BJ762" s="215"/>
      <c r="BK762" s="215"/>
      <c r="BL762" s="215"/>
      <c r="BM762" s="215"/>
      <c r="BN762" s="215"/>
      <c r="BO762" s="215"/>
      <c r="BP762" s="215"/>
      <c r="BQ762" s="215"/>
      <c r="BR762" s="215"/>
      <c r="BS762" s="215"/>
      <c r="BT762" s="215"/>
      <c r="BU762" s="215"/>
      <c r="BV762" s="215"/>
      <c r="BW762" s="215"/>
      <c r="BX762" s="215"/>
      <c r="BY762" s="215"/>
      <c r="BZ762" s="215"/>
    </row>
    <row r="763" spans="1:78" outlineLevel="1" x14ac:dyDescent="0.2">
      <c r="A763" s="9" t="str">
        <f>'Language Index'!A514</f>
        <v>Plan Assets</v>
      </c>
      <c r="B763" s="17"/>
      <c r="C763" s="17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30"/>
      <c r="P763" s="18"/>
      <c r="Q763" s="215"/>
      <c r="R763" s="215"/>
      <c r="S763" s="215"/>
      <c r="T763" s="215"/>
      <c r="U763" s="215"/>
      <c r="V763" s="222"/>
      <c r="W763" s="222"/>
      <c r="X763" s="222"/>
      <c r="Y763" s="215"/>
      <c r="Z763" s="215"/>
      <c r="AA763" s="215"/>
      <c r="AB763" s="215"/>
      <c r="AC763" s="215"/>
      <c r="AD763" s="215"/>
      <c r="AE763" s="215"/>
      <c r="AF763" s="215"/>
      <c r="AG763" s="215"/>
      <c r="AH763" s="215"/>
      <c r="AI763" s="215"/>
      <c r="AJ763" s="215"/>
      <c r="AK763" s="215"/>
      <c r="AL763" s="215"/>
      <c r="AM763" s="215"/>
      <c r="AN763" s="215"/>
      <c r="AO763" s="215"/>
      <c r="AP763" s="215"/>
      <c r="AQ763" s="215"/>
      <c r="AR763" s="215"/>
      <c r="AS763" s="215"/>
      <c r="AT763" s="215"/>
      <c r="AU763" s="215"/>
      <c r="AV763" s="215"/>
      <c r="AW763" s="215"/>
      <c r="AX763" s="215"/>
      <c r="AY763" s="215"/>
      <c r="AZ763" s="215"/>
      <c r="BA763" s="215"/>
      <c r="BB763" s="215"/>
      <c r="BC763" s="215"/>
      <c r="BD763" s="215"/>
      <c r="BE763" s="215"/>
      <c r="BF763" s="215"/>
      <c r="BG763" s="215"/>
      <c r="BH763" s="215"/>
      <c r="BI763" s="215"/>
      <c r="BJ763" s="215"/>
      <c r="BK763" s="215"/>
      <c r="BL763" s="215"/>
      <c r="BM763" s="215"/>
      <c r="BN763" s="215"/>
      <c r="BO763" s="215"/>
      <c r="BP763" s="215"/>
      <c r="BQ763" s="215"/>
      <c r="BR763" s="215"/>
      <c r="BS763" s="215"/>
      <c r="BT763" s="215"/>
      <c r="BU763" s="215"/>
      <c r="BV763" s="215"/>
      <c r="BW763" s="215"/>
      <c r="BX763" s="215"/>
      <c r="BY763" s="215"/>
      <c r="BZ763" s="215"/>
    </row>
    <row r="764" spans="1:78" outlineLevel="1" x14ac:dyDescent="0.2">
      <c r="A764" s="2" t="str">
        <f>'Language Index'!A515</f>
        <v>Beg. Plan Assets</v>
      </c>
      <c r="B764" s="17"/>
      <c r="C764" s="17"/>
      <c r="D764" s="18">
        <f>_xll.ciqfunctions.udf.CIQ($C$2,"IQ_PENSION_ASSETS_BEG_DOM",D$6,$F$2,,,Ccy,Conv)</f>
        <v>0</v>
      </c>
      <c r="E764" s="18">
        <f>_xll.ciqfunctions.udf.CIQ($C$2,"IQ_PENSION_ASSETS_BEG_DOM",E$6,$F$2,,,Ccy,Conv)</f>
        <v>0</v>
      </c>
      <c r="F764" s="18">
        <f>_xll.ciqfunctions.udf.CIQ($C$2,"IQ_PENSION_ASSETS_BEG_DOM",F$6,$F$2,,,Ccy,Conv)</f>
        <v>25094</v>
      </c>
      <c r="G764" s="18">
        <f>_xll.ciqfunctions.udf.CIQ($C$2,"IQ_PENSION_ASSETS_BEG_DOM",G$6,$F$2,,,Ccy,Conv)</f>
        <v>0</v>
      </c>
      <c r="H764" s="18">
        <f>_xll.ciqfunctions.udf.CIQ($C$2,"IQ_PENSION_ASSETS_BEG_DOM",H$6,$F$2,,,Ccy,Conv)</f>
        <v>0</v>
      </c>
      <c r="I764" s="18">
        <f>_xll.ciqfunctions.udf.CIQ($C$2,"IQ_PENSION_ASSETS_BEG_DOM",I$6,$F$2,,,Ccy,Conv)</f>
        <v>0</v>
      </c>
      <c r="J764" s="18">
        <f>_xll.ciqfunctions.udf.CIQ($C$2,"IQ_PENSION_ASSETS_BEG_DOM",J$6,$F$2,,,Ccy,Conv)</f>
        <v>24437</v>
      </c>
      <c r="K764" s="18">
        <f>_xll.ciqfunctions.udf.CIQ($C$2,"IQ_PENSION_ASSETS_BEG_DOM",K$6,$F$2,,,Ccy,Conv)</f>
        <v>0</v>
      </c>
      <c r="L764" s="18">
        <f>_xll.ciqfunctions.udf.CIQ($C$2,"IQ_PENSION_ASSETS_BEG_DOM",L$6,$F$2,,,Ccy,Conv)</f>
        <v>0</v>
      </c>
      <c r="M764" s="18">
        <f>_xll.ciqfunctions.udf.CIQ($C$2,"IQ_PENSION_ASSETS_BEG_DOM",M$6,$F$2,,,Ccy,Conv)</f>
        <v>0</v>
      </c>
      <c r="N764" s="18">
        <f>_xll.ciqfunctions.udf.CIQ($C$2,"IQ_PENSION_ASSETS_BEG_DOM",N$6,$F$2,,,Ccy,Conv)</f>
        <v>17591</v>
      </c>
      <c r="O764" s="30"/>
      <c r="P764" s="18">
        <f>_xll.ciqfunctions.udf.CIQ($C$2,"IQ_PENSION_ASSETS_BEG_DOM",P$6,$F$2,,,Ccy,Conv)</f>
        <v>17591</v>
      </c>
      <c r="Q764" s="215"/>
      <c r="R764" s="215"/>
      <c r="S764" s="215"/>
      <c r="T764" s="215"/>
      <c r="U764" s="215"/>
      <c r="V764" s="222"/>
      <c r="W764" s="222"/>
      <c r="X764" s="222"/>
      <c r="Y764" s="215"/>
      <c r="Z764" s="215"/>
      <c r="AA764" s="215"/>
      <c r="AB764" s="215"/>
      <c r="AC764" s="215"/>
      <c r="AD764" s="215"/>
      <c r="AE764" s="215"/>
      <c r="AF764" s="215"/>
      <c r="AG764" s="215"/>
      <c r="AH764" s="215"/>
      <c r="AI764" s="215"/>
      <c r="AJ764" s="215"/>
      <c r="AK764" s="215"/>
      <c r="AL764" s="215"/>
      <c r="AM764" s="215"/>
      <c r="AN764" s="215"/>
      <c r="AO764" s="215"/>
      <c r="AP764" s="215"/>
      <c r="AQ764" s="215"/>
      <c r="AR764" s="215"/>
      <c r="AS764" s="215"/>
      <c r="AT764" s="215"/>
      <c r="AU764" s="215"/>
      <c r="AV764" s="215"/>
      <c r="AW764" s="215"/>
      <c r="AX764" s="215"/>
      <c r="AY764" s="215"/>
      <c r="AZ764" s="215"/>
      <c r="BA764" s="215"/>
      <c r="BB764" s="215"/>
      <c r="BC764" s="215"/>
      <c r="BD764" s="215"/>
      <c r="BE764" s="215"/>
      <c r="BF764" s="215"/>
      <c r="BG764" s="215"/>
      <c r="BH764" s="215"/>
      <c r="BI764" s="215"/>
      <c r="BJ764" s="215"/>
      <c r="BK764" s="215"/>
      <c r="BL764" s="215"/>
      <c r="BM764" s="215"/>
      <c r="BN764" s="215"/>
      <c r="BO764" s="215"/>
      <c r="BP764" s="215"/>
      <c r="BQ764" s="215"/>
      <c r="BR764" s="215"/>
      <c r="BS764" s="215"/>
      <c r="BT764" s="215"/>
      <c r="BU764" s="215"/>
      <c r="BV764" s="215"/>
      <c r="BW764" s="215"/>
      <c r="BX764" s="215"/>
      <c r="BY764" s="215"/>
      <c r="BZ764" s="215"/>
    </row>
    <row r="765" spans="1:78" outlineLevel="1" x14ac:dyDescent="0.2">
      <c r="A765" s="2" t="str">
        <f>'Language Index'!A516</f>
        <v>Actual Return on Plan Assets</v>
      </c>
      <c r="B765" s="17"/>
      <c r="C765" s="17"/>
      <c r="D765" s="18">
        <f>_xll.ciqfunctions.udf.CIQ($C$2,"IQ_PENSION_ASSETS_ACTUAL_RETURN_DOM",D$6,$F$2,,,Ccy,Conv)</f>
        <v>0</v>
      </c>
      <c r="E765" s="18">
        <f>_xll.ciqfunctions.udf.CIQ($C$2,"IQ_PENSION_ASSETS_ACTUAL_RETURN_DOM",E$6,$F$2,,,Ccy,Conv)</f>
        <v>0</v>
      </c>
      <c r="F765" s="18">
        <f>_xll.ciqfunctions.udf.CIQ($C$2,"IQ_PENSION_ASSETS_ACTUAL_RETURN_DOM",F$6,$F$2,,,Ccy,Conv)</f>
        <v>1055</v>
      </c>
      <c r="G765" s="18">
        <f>_xll.ciqfunctions.udf.CIQ($C$2,"IQ_PENSION_ASSETS_ACTUAL_RETURN_DOM",G$6,$F$2,,,Ccy,Conv)</f>
        <v>0</v>
      </c>
      <c r="H765" s="18">
        <f>_xll.ciqfunctions.udf.CIQ($C$2,"IQ_PENSION_ASSETS_ACTUAL_RETURN_DOM",H$6,$F$2,,,Ccy,Conv)</f>
        <v>0</v>
      </c>
      <c r="I765" s="18">
        <f>_xll.ciqfunctions.udf.CIQ($C$2,"IQ_PENSION_ASSETS_ACTUAL_RETURN_DOM",I$6,$F$2,,,Ccy,Conv)</f>
        <v>0</v>
      </c>
      <c r="J765" s="18">
        <f>_xll.ciqfunctions.udf.CIQ($C$2,"IQ_PENSION_ASSETS_ACTUAL_RETURN_DOM",J$6,$F$2,,,Ccy,Conv)</f>
        <v>764</v>
      </c>
      <c r="K765" s="18">
        <f>_xll.ciqfunctions.udf.CIQ($C$2,"IQ_PENSION_ASSETS_ACTUAL_RETURN_DOM",K$6,$F$2,,,Ccy,Conv)</f>
        <v>0</v>
      </c>
      <c r="L765" s="18">
        <f>_xll.ciqfunctions.udf.CIQ($C$2,"IQ_PENSION_ASSETS_ACTUAL_RETURN_DOM",L$6,$F$2,,,Ccy,Conv)</f>
        <v>0</v>
      </c>
      <c r="M765" s="18">
        <f>_xll.ciqfunctions.udf.CIQ($C$2,"IQ_PENSION_ASSETS_ACTUAL_RETURN_DOM",M$6,$F$2,,,Ccy,Conv)</f>
        <v>0</v>
      </c>
      <c r="N765" s="18">
        <f>_xll.ciqfunctions.udf.CIQ($C$2,"IQ_PENSION_ASSETS_ACTUAL_RETURN_DOM",N$6,$F$2,,,Ccy,Conv)</f>
        <v>1536</v>
      </c>
      <c r="O765" s="30"/>
      <c r="P765" s="18">
        <f>_xll.ciqfunctions.udf.CIQ($C$2,"IQ_PENSION_ASSETS_ACTUAL_RETURN_DOM",P$6,$F$2,,,Ccy,Conv)</f>
        <v>1536</v>
      </c>
      <c r="Q765" s="215"/>
      <c r="R765" s="215"/>
      <c r="S765" s="215"/>
      <c r="T765" s="215"/>
      <c r="U765" s="215"/>
      <c r="V765" s="222"/>
      <c r="W765" s="222"/>
      <c r="X765" s="222"/>
      <c r="Y765" s="215"/>
      <c r="Z765" s="215"/>
      <c r="AA765" s="215"/>
      <c r="AB765" s="215"/>
      <c r="AC765" s="215"/>
      <c r="AD765" s="215"/>
      <c r="AE765" s="215"/>
      <c r="AF765" s="215"/>
      <c r="AG765" s="215"/>
      <c r="AH765" s="215"/>
      <c r="AI765" s="215"/>
      <c r="AJ765" s="215"/>
      <c r="AK765" s="215"/>
      <c r="AL765" s="215"/>
      <c r="AM765" s="215"/>
      <c r="AN765" s="215"/>
      <c r="AO765" s="215"/>
      <c r="AP765" s="215"/>
      <c r="AQ765" s="215"/>
      <c r="AR765" s="215"/>
      <c r="AS765" s="215"/>
      <c r="AT765" s="215"/>
      <c r="AU765" s="215"/>
      <c r="AV765" s="215"/>
      <c r="AW765" s="215"/>
      <c r="AX765" s="215"/>
      <c r="AY765" s="215"/>
      <c r="AZ765" s="215"/>
      <c r="BA765" s="215"/>
      <c r="BB765" s="215"/>
      <c r="BC765" s="215"/>
      <c r="BD765" s="215"/>
      <c r="BE765" s="215"/>
      <c r="BF765" s="215"/>
      <c r="BG765" s="215"/>
      <c r="BH765" s="215"/>
      <c r="BI765" s="215"/>
      <c r="BJ765" s="215"/>
      <c r="BK765" s="215"/>
      <c r="BL765" s="215"/>
      <c r="BM765" s="215"/>
      <c r="BN765" s="215"/>
      <c r="BO765" s="215"/>
      <c r="BP765" s="215"/>
      <c r="BQ765" s="215"/>
      <c r="BR765" s="215"/>
      <c r="BS765" s="215"/>
      <c r="BT765" s="215"/>
      <c r="BU765" s="215"/>
      <c r="BV765" s="215"/>
      <c r="BW765" s="215"/>
      <c r="BX765" s="215"/>
      <c r="BY765" s="215"/>
      <c r="BZ765" s="215"/>
    </row>
    <row r="766" spans="1:78" outlineLevel="1" x14ac:dyDescent="0.2">
      <c r="A766" s="2" t="str">
        <f>'Language Index'!A517</f>
        <v>Employer Contributions</v>
      </c>
      <c r="B766" s="17"/>
      <c r="C766" s="17"/>
      <c r="D766" s="18">
        <f>_xll.ciqfunctions.udf.CIQ($C$2,"IQ_PENSION_ASSETS_EMPLOYER_CONTRIBUTIONS_DOM",D$6,$F$2,,,Ccy,Conv)</f>
        <v>0</v>
      </c>
      <c r="E766" s="18">
        <f>_xll.ciqfunctions.udf.CIQ($C$2,"IQ_PENSION_ASSETS_EMPLOYER_CONTRIBUTIONS_DOM",E$6,$F$2,,,Ccy,Conv)</f>
        <v>0</v>
      </c>
      <c r="F766" s="18">
        <f>_xll.ciqfunctions.udf.CIQ($C$2,"IQ_PENSION_ASSETS_EMPLOYER_CONTRIBUTIONS_DOM",F$6,$F$2,,,Ccy,Conv)</f>
        <v>0</v>
      </c>
      <c r="G766" s="18">
        <f>_xll.ciqfunctions.udf.CIQ($C$2,"IQ_PENSION_ASSETS_EMPLOYER_CONTRIBUTIONS_DOM",G$6,$F$2,,,Ccy,Conv)</f>
        <v>0</v>
      </c>
      <c r="H766" s="18">
        <f>_xll.ciqfunctions.udf.CIQ($C$2,"IQ_PENSION_ASSETS_EMPLOYER_CONTRIBUTIONS_DOM",H$6,$F$2,,,Ccy,Conv)</f>
        <v>0</v>
      </c>
      <c r="I766" s="18">
        <f>_xll.ciqfunctions.udf.CIQ($C$2,"IQ_PENSION_ASSETS_EMPLOYER_CONTRIBUTIONS_DOM",I$6,$F$2,,,Ccy,Conv)</f>
        <v>0</v>
      </c>
      <c r="J766" s="18">
        <f>_xll.ciqfunctions.udf.CIQ($C$2,"IQ_PENSION_ASSETS_EMPLOYER_CONTRIBUTIONS_DOM",J$6,$F$2,,,Ccy,Conv)</f>
        <v>0</v>
      </c>
      <c r="K766" s="18">
        <f>_xll.ciqfunctions.udf.CIQ($C$2,"IQ_PENSION_ASSETS_EMPLOYER_CONTRIBUTIONS_DOM",K$6,$F$2,,,Ccy,Conv)</f>
        <v>0</v>
      </c>
      <c r="L766" s="18">
        <f>_xll.ciqfunctions.udf.CIQ($C$2,"IQ_PENSION_ASSETS_EMPLOYER_CONTRIBUTIONS_DOM",L$6,$F$2,,,Ccy,Conv)</f>
        <v>0</v>
      </c>
      <c r="M766" s="18">
        <f>_xll.ciqfunctions.udf.CIQ($C$2,"IQ_PENSION_ASSETS_EMPLOYER_CONTRIBUTIONS_DOM",M$6,$F$2,,,Ccy,Conv)</f>
        <v>0</v>
      </c>
      <c r="N766" s="18">
        <f>_xll.ciqfunctions.udf.CIQ($C$2,"IQ_PENSION_ASSETS_EMPLOYER_CONTRIBUTIONS_DOM",N$6,$F$2,,,Ccy,Conv)</f>
        <v>0</v>
      </c>
      <c r="O766" s="30"/>
      <c r="P766" s="18">
        <f>_xll.ciqfunctions.udf.CIQ($C$2,"IQ_PENSION_ASSETS_EMPLOYER_CONTRIBUTIONS_DOM",P$6,$F$2,,,Ccy,Conv)</f>
        <v>0</v>
      </c>
      <c r="Q766" s="215"/>
      <c r="R766" s="215"/>
      <c r="S766" s="215"/>
      <c r="T766" s="215"/>
      <c r="U766" s="215"/>
      <c r="V766" s="222"/>
      <c r="W766" s="222"/>
      <c r="X766" s="222"/>
      <c r="Y766" s="215"/>
      <c r="Z766" s="215"/>
      <c r="AA766" s="215"/>
      <c r="AB766" s="215"/>
      <c r="AC766" s="215"/>
      <c r="AD766" s="215"/>
      <c r="AE766" s="215"/>
      <c r="AF766" s="215"/>
      <c r="AG766" s="215"/>
      <c r="AH766" s="215"/>
      <c r="AI766" s="215"/>
      <c r="AJ766" s="215"/>
      <c r="AK766" s="215"/>
      <c r="AL766" s="215"/>
      <c r="AM766" s="215"/>
      <c r="AN766" s="215"/>
      <c r="AO766" s="215"/>
      <c r="AP766" s="215"/>
      <c r="AQ766" s="215"/>
      <c r="AR766" s="215"/>
      <c r="AS766" s="215"/>
      <c r="AT766" s="215"/>
      <c r="AU766" s="215"/>
      <c r="AV766" s="215"/>
      <c r="AW766" s="215"/>
      <c r="AX766" s="215"/>
      <c r="AY766" s="215"/>
      <c r="AZ766" s="215"/>
      <c r="BA766" s="215"/>
      <c r="BB766" s="215"/>
      <c r="BC766" s="215"/>
      <c r="BD766" s="215"/>
      <c r="BE766" s="215"/>
      <c r="BF766" s="215"/>
      <c r="BG766" s="215"/>
      <c r="BH766" s="215"/>
      <c r="BI766" s="215"/>
      <c r="BJ766" s="215"/>
      <c r="BK766" s="215"/>
      <c r="BL766" s="215"/>
      <c r="BM766" s="215"/>
      <c r="BN766" s="215"/>
      <c r="BO766" s="215"/>
      <c r="BP766" s="215"/>
      <c r="BQ766" s="215"/>
      <c r="BR766" s="215"/>
      <c r="BS766" s="215"/>
      <c r="BT766" s="215"/>
      <c r="BU766" s="215"/>
      <c r="BV766" s="215"/>
      <c r="BW766" s="215"/>
      <c r="BX766" s="215"/>
      <c r="BY766" s="215"/>
      <c r="BZ766" s="215"/>
    </row>
    <row r="767" spans="1:78" outlineLevel="1" x14ac:dyDescent="0.2">
      <c r="A767" s="2" t="str">
        <f>'Language Index'!A518</f>
        <v>Participant Contributions</v>
      </c>
      <c r="B767" s="17"/>
      <c r="C767" s="17"/>
      <c r="D767" s="18">
        <f>_xll.ciqfunctions.udf.CIQ($C$2,"IQ_PENSION_ASSETS_PARTICIP_CONTRIBUTIONS_DOM",D$6,$F$2,,,Ccy,Conv)</f>
        <v>0</v>
      </c>
      <c r="E767" s="18">
        <f>_xll.ciqfunctions.udf.CIQ($C$2,"IQ_PENSION_ASSETS_PARTICIP_CONTRIBUTIONS_DOM",E$6,$F$2,,,Ccy,Conv)</f>
        <v>0</v>
      </c>
      <c r="F767" s="18">
        <f>_xll.ciqfunctions.udf.CIQ($C$2,"IQ_PENSION_ASSETS_PARTICIP_CONTRIBUTIONS_DOM",F$6,$F$2,,,Ccy,Conv)</f>
        <v>0</v>
      </c>
      <c r="G767" s="18">
        <f>_xll.ciqfunctions.udf.CIQ($C$2,"IQ_PENSION_ASSETS_PARTICIP_CONTRIBUTIONS_DOM",G$6,$F$2,,,Ccy,Conv)</f>
        <v>0</v>
      </c>
      <c r="H767" s="18">
        <f>_xll.ciqfunctions.udf.CIQ($C$2,"IQ_PENSION_ASSETS_PARTICIP_CONTRIBUTIONS_DOM",H$6,$F$2,,,Ccy,Conv)</f>
        <v>0</v>
      </c>
      <c r="I767" s="18">
        <f>_xll.ciqfunctions.udf.CIQ($C$2,"IQ_PENSION_ASSETS_PARTICIP_CONTRIBUTIONS_DOM",I$6,$F$2,,,Ccy,Conv)</f>
        <v>0</v>
      </c>
      <c r="J767" s="18">
        <f>_xll.ciqfunctions.udf.CIQ($C$2,"IQ_PENSION_ASSETS_PARTICIP_CONTRIBUTIONS_DOM",J$6,$F$2,,,Ccy,Conv)</f>
        <v>0</v>
      </c>
      <c r="K767" s="18">
        <f>_xll.ciqfunctions.udf.CIQ($C$2,"IQ_PENSION_ASSETS_PARTICIP_CONTRIBUTIONS_DOM",K$6,$F$2,,,Ccy,Conv)</f>
        <v>0</v>
      </c>
      <c r="L767" s="18">
        <f>_xll.ciqfunctions.udf.CIQ($C$2,"IQ_PENSION_ASSETS_PARTICIP_CONTRIBUTIONS_DOM",L$6,$F$2,,,Ccy,Conv)</f>
        <v>0</v>
      </c>
      <c r="M767" s="18">
        <f>_xll.ciqfunctions.udf.CIQ($C$2,"IQ_PENSION_ASSETS_PARTICIP_CONTRIBUTIONS_DOM",M$6,$F$2,,,Ccy,Conv)</f>
        <v>0</v>
      </c>
      <c r="N767" s="18">
        <f>_xll.ciqfunctions.udf.CIQ($C$2,"IQ_PENSION_ASSETS_PARTICIP_CONTRIBUTIONS_DOM",N$6,$F$2,,,Ccy,Conv)</f>
        <v>0</v>
      </c>
      <c r="O767" s="30"/>
      <c r="P767" s="18">
        <f>_xll.ciqfunctions.udf.CIQ($C$2,"IQ_PENSION_ASSETS_PARTICIP_CONTRIBUTIONS_DOM",P$6,$F$2,,,Ccy,Conv)</f>
        <v>0</v>
      </c>
      <c r="Q767" s="215"/>
      <c r="R767" s="215"/>
      <c r="S767" s="215"/>
      <c r="T767" s="215"/>
      <c r="U767" s="215"/>
      <c r="V767" s="222"/>
      <c r="W767" s="222"/>
      <c r="X767" s="222"/>
      <c r="Y767" s="215"/>
      <c r="Z767" s="215"/>
      <c r="AA767" s="215"/>
      <c r="AB767" s="215"/>
      <c r="AC767" s="215"/>
      <c r="AD767" s="215"/>
      <c r="AE767" s="215"/>
      <c r="AF767" s="215"/>
      <c r="AG767" s="215"/>
      <c r="AH767" s="215"/>
      <c r="AI767" s="215"/>
      <c r="AJ767" s="215"/>
      <c r="AK767" s="215"/>
      <c r="AL767" s="215"/>
      <c r="AM767" s="215"/>
      <c r="AN767" s="215"/>
      <c r="AO767" s="215"/>
      <c r="AP767" s="215"/>
      <c r="AQ767" s="215"/>
      <c r="AR767" s="215"/>
      <c r="AS767" s="215"/>
      <c r="AT767" s="215"/>
      <c r="AU767" s="215"/>
      <c r="AV767" s="215"/>
      <c r="AW767" s="215"/>
      <c r="AX767" s="215"/>
      <c r="AY767" s="215"/>
      <c r="AZ767" s="215"/>
      <c r="BA767" s="215"/>
      <c r="BB767" s="215"/>
      <c r="BC767" s="215"/>
      <c r="BD767" s="215"/>
      <c r="BE767" s="215"/>
      <c r="BF767" s="215"/>
      <c r="BG767" s="215"/>
      <c r="BH767" s="215"/>
      <c r="BI767" s="215"/>
      <c r="BJ767" s="215"/>
      <c r="BK767" s="215"/>
      <c r="BL767" s="215"/>
      <c r="BM767" s="215"/>
      <c r="BN767" s="215"/>
      <c r="BO767" s="215"/>
      <c r="BP767" s="215"/>
      <c r="BQ767" s="215"/>
      <c r="BR767" s="215"/>
      <c r="BS767" s="215"/>
      <c r="BT767" s="215"/>
      <c r="BU767" s="215"/>
      <c r="BV767" s="215"/>
      <c r="BW767" s="215"/>
      <c r="BX767" s="215"/>
      <c r="BY767" s="215"/>
      <c r="BZ767" s="215"/>
    </row>
    <row r="768" spans="1:78" outlineLevel="1" x14ac:dyDescent="0.2">
      <c r="A768" s="2" t="str">
        <f>'Language Index'!A519</f>
        <v>Benefits Paid</v>
      </c>
      <c r="B768" s="17"/>
      <c r="C768" s="17"/>
      <c r="D768" s="18">
        <f>_xll.ciqfunctions.udf.CIQ($C$2,"IQ_PENSION_ASSETS_BENEFITS_PAID_DOM",D$6,$F$2,,,Ccy,Conv)</f>
        <v>0</v>
      </c>
      <c r="E768" s="18">
        <f>_xll.ciqfunctions.udf.CIQ($C$2,"IQ_PENSION_ASSETS_BENEFITS_PAID_DOM",E$6,$F$2,,,Ccy,Conv)</f>
        <v>0</v>
      </c>
      <c r="F768" s="18">
        <f>_xll.ciqfunctions.udf.CIQ($C$2,"IQ_PENSION_ASSETS_BENEFITS_PAID_DOM",F$6,$F$2,,,Ccy,Conv)</f>
        <v>-1424</v>
      </c>
      <c r="G768" s="18">
        <f>_xll.ciqfunctions.udf.CIQ($C$2,"IQ_PENSION_ASSETS_BENEFITS_PAID_DOM",G$6,$F$2,,,Ccy,Conv)</f>
        <v>0</v>
      </c>
      <c r="H768" s="18">
        <f>_xll.ciqfunctions.udf.CIQ($C$2,"IQ_PENSION_ASSETS_BENEFITS_PAID_DOM",H$6,$F$2,,,Ccy,Conv)</f>
        <v>0</v>
      </c>
      <c r="I768" s="18">
        <f>_xll.ciqfunctions.udf.CIQ($C$2,"IQ_PENSION_ASSETS_BENEFITS_PAID_DOM",I$6,$F$2,,,Ccy,Conv)</f>
        <v>0</v>
      </c>
      <c r="J768" s="18">
        <f>_xll.ciqfunctions.udf.CIQ($C$2,"IQ_PENSION_ASSETS_BENEFITS_PAID_DOM",J$6,$F$2,,,Ccy,Conv)</f>
        <v>-1432</v>
      </c>
      <c r="K768" s="18">
        <f>_xll.ciqfunctions.udf.CIQ($C$2,"IQ_PENSION_ASSETS_BENEFITS_PAID_DOM",K$6,$F$2,,,Ccy,Conv)</f>
        <v>0</v>
      </c>
      <c r="L768" s="18">
        <f>_xll.ciqfunctions.udf.CIQ($C$2,"IQ_PENSION_ASSETS_BENEFITS_PAID_DOM",L$6,$F$2,,,Ccy,Conv)</f>
        <v>0</v>
      </c>
      <c r="M768" s="18">
        <f>_xll.ciqfunctions.udf.CIQ($C$2,"IQ_PENSION_ASSETS_BENEFITS_PAID_DOM",M$6,$F$2,,,Ccy,Conv)</f>
        <v>0</v>
      </c>
      <c r="N768" s="18">
        <f>_xll.ciqfunctions.udf.CIQ($C$2,"IQ_PENSION_ASSETS_BENEFITS_PAID_DOM",N$6,$F$2,,,Ccy,Conv)</f>
        <v>-749</v>
      </c>
      <c r="O768" s="30"/>
      <c r="P768" s="18">
        <f>_xll.ciqfunctions.udf.CIQ($C$2,"IQ_PENSION_ASSETS_BENEFITS_PAID_DOM",P$6,$F$2,,,Ccy,Conv)</f>
        <v>-749</v>
      </c>
      <c r="Q768" s="215"/>
      <c r="R768" s="215"/>
      <c r="S768" s="215"/>
      <c r="T768" s="215"/>
      <c r="U768" s="215"/>
      <c r="V768" s="222"/>
      <c r="W768" s="222"/>
      <c r="X768" s="222"/>
      <c r="Y768" s="215"/>
      <c r="Z768" s="215"/>
      <c r="AA768" s="215"/>
      <c r="AB768" s="215"/>
      <c r="AC768" s="215"/>
      <c r="AD768" s="215"/>
      <c r="AE768" s="215"/>
      <c r="AF768" s="215"/>
      <c r="AG768" s="215"/>
      <c r="AH768" s="215"/>
      <c r="AI768" s="215"/>
      <c r="AJ768" s="215"/>
      <c r="AK768" s="215"/>
      <c r="AL768" s="215"/>
      <c r="AM768" s="215"/>
      <c r="AN768" s="215"/>
      <c r="AO768" s="215"/>
      <c r="AP768" s="215"/>
      <c r="AQ768" s="215"/>
      <c r="AR768" s="215"/>
      <c r="AS768" s="215"/>
      <c r="AT768" s="215"/>
      <c r="AU768" s="215"/>
      <c r="AV768" s="215"/>
      <c r="AW768" s="215"/>
      <c r="AX768" s="215"/>
      <c r="AY768" s="215"/>
      <c r="AZ768" s="215"/>
      <c r="BA768" s="215"/>
      <c r="BB768" s="215"/>
      <c r="BC768" s="215"/>
      <c r="BD768" s="215"/>
      <c r="BE768" s="215"/>
      <c r="BF768" s="215"/>
      <c r="BG768" s="215"/>
      <c r="BH768" s="215"/>
      <c r="BI768" s="215"/>
      <c r="BJ768" s="215"/>
      <c r="BK768" s="215"/>
      <c r="BL768" s="215"/>
      <c r="BM768" s="215"/>
      <c r="BN768" s="215"/>
      <c r="BO768" s="215"/>
      <c r="BP768" s="215"/>
      <c r="BQ768" s="215"/>
      <c r="BR768" s="215"/>
      <c r="BS768" s="215"/>
      <c r="BT768" s="215"/>
      <c r="BU768" s="215"/>
      <c r="BV768" s="215"/>
      <c r="BW768" s="215"/>
      <c r="BX768" s="215"/>
      <c r="BY768" s="215"/>
      <c r="BZ768" s="215"/>
    </row>
    <row r="769" spans="1:78" outlineLevel="1" x14ac:dyDescent="0.2">
      <c r="A769" s="2" t="str">
        <f>'Language Index'!A520</f>
        <v>Foreign Exchange Adjustments</v>
      </c>
      <c r="B769" s="17"/>
      <c r="C769" s="17"/>
      <c r="D769" s="18">
        <f>_xll.ciqfunctions.udf.CIQ($C$2,"IQ_PENSION_ASSETS_FX_ADJ_DOM",D$6,$F$2,,,Ccy,Conv)</f>
        <v>0</v>
      </c>
      <c r="E769" s="18">
        <f>_xll.ciqfunctions.udf.CIQ($C$2,"IQ_PENSION_ASSETS_FX_ADJ_DOM",E$6,$F$2,,,Ccy,Conv)</f>
        <v>0</v>
      </c>
      <c r="F769" s="18">
        <f>_xll.ciqfunctions.udf.CIQ($C$2,"IQ_PENSION_ASSETS_FX_ADJ_DOM",F$6,$F$2,,,Ccy,Conv)</f>
        <v>0</v>
      </c>
      <c r="G769" s="18">
        <f>_xll.ciqfunctions.udf.CIQ($C$2,"IQ_PENSION_ASSETS_FX_ADJ_DOM",G$6,$F$2,,,Ccy,Conv)</f>
        <v>0</v>
      </c>
      <c r="H769" s="18">
        <f>_xll.ciqfunctions.udf.CIQ($C$2,"IQ_PENSION_ASSETS_FX_ADJ_DOM",H$6,$F$2,,,Ccy,Conv)</f>
        <v>0</v>
      </c>
      <c r="I769" s="18">
        <f>_xll.ciqfunctions.udf.CIQ($C$2,"IQ_PENSION_ASSETS_FX_ADJ_DOM",I$6,$F$2,,,Ccy,Conv)</f>
        <v>0</v>
      </c>
      <c r="J769" s="18">
        <f>_xll.ciqfunctions.udf.CIQ($C$2,"IQ_PENSION_ASSETS_FX_ADJ_DOM",J$6,$F$2,,,Ccy,Conv)</f>
        <v>0</v>
      </c>
      <c r="K769" s="18">
        <f>_xll.ciqfunctions.udf.CIQ($C$2,"IQ_PENSION_ASSETS_FX_ADJ_DOM",K$6,$F$2,,,Ccy,Conv)</f>
        <v>0</v>
      </c>
      <c r="L769" s="18">
        <f>_xll.ciqfunctions.udf.CIQ($C$2,"IQ_PENSION_ASSETS_FX_ADJ_DOM",L$6,$F$2,,,Ccy,Conv)</f>
        <v>0</v>
      </c>
      <c r="M769" s="18">
        <f>_xll.ciqfunctions.udf.CIQ($C$2,"IQ_PENSION_ASSETS_FX_ADJ_DOM",M$6,$F$2,,,Ccy,Conv)</f>
        <v>0</v>
      </c>
      <c r="N769" s="18">
        <f>_xll.ciqfunctions.udf.CIQ($C$2,"IQ_PENSION_ASSETS_FX_ADJ_DOM",N$6,$F$2,,,Ccy,Conv)</f>
        <v>0</v>
      </c>
      <c r="O769" s="30"/>
      <c r="P769" s="18">
        <f>_xll.ciqfunctions.udf.CIQ($C$2,"IQ_PENSION_ASSETS_FX_ADJ_DOM",P$6,$F$2,,,Ccy,Conv)</f>
        <v>0</v>
      </c>
      <c r="Q769" s="215"/>
      <c r="R769" s="215"/>
      <c r="S769" s="215"/>
      <c r="T769" s="215"/>
      <c r="U769" s="215"/>
      <c r="V769" s="222"/>
      <c r="W769" s="222"/>
      <c r="X769" s="222"/>
      <c r="Y769" s="215"/>
      <c r="Z769" s="215"/>
      <c r="AA769" s="215"/>
      <c r="AB769" s="215"/>
      <c r="AC769" s="215"/>
      <c r="AD769" s="215"/>
      <c r="AE769" s="215"/>
      <c r="AF769" s="215"/>
      <c r="AG769" s="215"/>
      <c r="AH769" s="215"/>
      <c r="AI769" s="215"/>
      <c r="AJ769" s="215"/>
      <c r="AK769" s="215"/>
      <c r="AL769" s="215"/>
      <c r="AM769" s="215"/>
      <c r="AN769" s="215"/>
      <c r="AO769" s="215"/>
      <c r="AP769" s="215"/>
      <c r="AQ769" s="215"/>
      <c r="AR769" s="215"/>
      <c r="AS769" s="215"/>
      <c r="AT769" s="215"/>
      <c r="AU769" s="215"/>
      <c r="AV769" s="215"/>
      <c r="AW769" s="215"/>
      <c r="AX769" s="215"/>
      <c r="AY769" s="215"/>
      <c r="AZ769" s="215"/>
      <c r="BA769" s="215"/>
      <c r="BB769" s="215"/>
      <c r="BC769" s="215"/>
      <c r="BD769" s="215"/>
      <c r="BE769" s="215"/>
      <c r="BF769" s="215"/>
      <c r="BG769" s="215"/>
      <c r="BH769" s="215"/>
      <c r="BI769" s="215"/>
      <c r="BJ769" s="215"/>
      <c r="BK769" s="215"/>
      <c r="BL769" s="215"/>
      <c r="BM769" s="215"/>
      <c r="BN769" s="215"/>
      <c r="BO769" s="215"/>
      <c r="BP769" s="215"/>
      <c r="BQ769" s="215"/>
      <c r="BR769" s="215"/>
      <c r="BS769" s="215"/>
      <c r="BT769" s="215"/>
      <c r="BU769" s="215"/>
      <c r="BV769" s="215"/>
      <c r="BW769" s="215"/>
      <c r="BX769" s="215"/>
      <c r="BY769" s="215"/>
      <c r="BZ769" s="215"/>
    </row>
    <row r="770" spans="1:78" outlineLevel="1" x14ac:dyDescent="0.2">
      <c r="A770" s="2" t="str">
        <f>'Language Index'!A521</f>
        <v>Acquired Plan Assets</v>
      </c>
      <c r="B770" s="17"/>
      <c r="C770" s="17"/>
      <c r="D770" s="18">
        <f>_xll.ciqfunctions.udf.CIQ($C$2,"IQ_PENSION_ASSETS_ACQ_DOM",D$6,$F$2,,,Ccy,Conv)</f>
        <v>0</v>
      </c>
      <c r="E770" s="18">
        <f>_xll.ciqfunctions.udf.CIQ($C$2,"IQ_PENSION_ASSETS_ACQ_DOM",E$6,$F$2,,,Ccy,Conv)</f>
        <v>0</v>
      </c>
      <c r="F770" s="18">
        <f>_xll.ciqfunctions.udf.CIQ($C$2,"IQ_PENSION_ASSETS_ACQ_DOM",F$6,$F$2,,,Ccy,Conv)</f>
        <v>0</v>
      </c>
      <c r="G770" s="18">
        <f>_xll.ciqfunctions.udf.CIQ($C$2,"IQ_PENSION_ASSETS_ACQ_DOM",G$6,$F$2,,,Ccy,Conv)</f>
        <v>0</v>
      </c>
      <c r="H770" s="18">
        <f>_xll.ciqfunctions.udf.CIQ($C$2,"IQ_PENSION_ASSETS_ACQ_DOM",H$6,$F$2,,,Ccy,Conv)</f>
        <v>0</v>
      </c>
      <c r="I770" s="18">
        <f>_xll.ciqfunctions.udf.CIQ($C$2,"IQ_PENSION_ASSETS_ACQ_DOM",I$6,$F$2,,,Ccy,Conv)</f>
        <v>0</v>
      </c>
      <c r="J770" s="18">
        <f>_xll.ciqfunctions.udf.CIQ($C$2,"IQ_PENSION_ASSETS_ACQ_DOM",J$6,$F$2,,,Ccy,Conv)</f>
        <v>0</v>
      </c>
      <c r="K770" s="18">
        <f>_xll.ciqfunctions.udf.CIQ($C$2,"IQ_PENSION_ASSETS_ACQ_DOM",K$6,$F$2,,,Ccy,Conv)</f>
        <v>0</v>
      </c>
      <c r="L770" s="18">
        <f>_xll.ciqfunctions.udf.CIQ($C$2,"IQ_PENSION_ASSETS_ACQ_DOM",L$6,$F$2,,,Ccy,Conv)</f>
        <v>0</v>
      </c>
      <c r="M770" s="18">
        <f>_xll.ciqfunctions.udf.CIQ($C$2,"IQ_PENSION_ASSETS_ACQ_DOM",M$6,$F$2,,,Ccy,Conv)</f>
        <v>0</v>
      </c>
      <c r="N770" s="18">
        <f>_xll.ciqfunctions.udf.CIQ($C$2,"IQ_PENSION_ASSETS_ACQ_DOM",N$6,$F$2,,,Ccy,Conv)</f>
        <v>0</v>
      </c>
      <c r="O770" s="30"/>
      <c r="P770" s="18">
        <f>_xll.ciqfunctions.udf.CIQ($C$2,"IQ_PENSION_ASSETS_ACQ_DOM",P$6,$F$2,,,Ccy,Conv)</f>
        <v>0</v>
      </c>
      <c r="Q770" s="215"/>
      <c r="R770" s="215"/>
      <c r="S770" s="215"/>
      <c r="T770" s="215"/>
      <c r="U770" s="215"/>
      <c r="V770" s="222"/>
      <c r="W770" s="222"/>
      <c r="X770" s="222"/>
      <c r="Y770" s="215"/>
      <c r="Z770" s="215"/>
      <c r="AA770" s="215"/>
      <c r="AB770" s="215"/>
      <c r="AC770" s="215"/>
      <c r="AD770" s="215"/>
      <c r="AE770" s="215"/>
      <c r="AF770" s="215"/>
      <c r="AG770" s="215"/>
      <c r="AH770" s="215"/>
      <c r="AI770" s="215"/>
      <c r="AJ770" s="215"/>
      <c r="AK770" s="215"/>
      <c r="AL770" s="215"/>
      <c r="AM770" s="215"/>
      <c r="AN770" s="215"/>
      <c r="AO770" s="215"/>
      <c r="AP770" s="215"/>
      <c r="AQ770" s="215"/>
      <c r="AR770" s="215"/>
      <c r="AS770" s="215"/>
      <c r="AT770" s="215"/>
      <c r="AU770" s="215"/>
      <c r="AV770" s="215"/>
      <c r="AW770" s="215"/>
      <c r="AX770" s="215"/>
      <c r="AY770" s="215"/>
      <c r="AZ770" s="215"/>
      <c r="BA770" s="215"/>
      <c r="BB770" s="215"/>
      <c r="BC770" s="215"/>
      <c r="BD770" s="215"/>
      <c r="BE770" s="215"/>
      <c r="BF770" s="215"/>
      <c r="BG770" s="215"/>
      <c r="BH770" s="215"/>
      <c r="BI770" s="215"/>
      <c r="BJ770" s="215"/>
      <c r="BK770" s="215"/>
      <c r="BL770" s="215"/>
      <c r="BM770" s="215"/>
      <c r="BN770" s="215"/>
      <c r="BO770" s="215"/>
      <c r="BP770" s="215"/>
      <c r="BQ770" s="215"/>
      <c r="BR770" s="215"/>
      <c r="BS770" s="215"/>
      <c r="BT770" s="215"/>
      <c r="BU770" s="215"/>
      <c r="BV770" s="215"/>
      <c r="BW770" s="215"/>
      <c r="BX770" s="215"/>
      <c r="BY770" s="215"/>
      <c r="BZ770" s="215"/>
    </row>
    <row r="771" spans="1:78" outlineLevel="1" x14ac:dyDescent="0.2">
      <c r="A771" s="2" t="str">
        <f>'Language Index'!A522</f>
        <v>Plan Settlement/Curtailment</v>
      </c>
      <c r="B771" s="17"/>
      <c r="C771" s="17"/>
      <c r="D771" s="18">
        <f>_xll.ciqfunctions.udf.CIQ($C$2,"IQ_PENSION_ASSETS_CURTAIL_DOM",D$6,$F$2,,,Ccy,Conv)</f>
        <v>0</v>
      </c>
      <c r="E771" s="18">
        <f>_xll.ciqfunctions.udf.CIQ($C$2,"IQ_PENSION_ASSETS_CURTAIL_DOM",E$6,$F$2,,,Ccy,Conv)</f>
        <v>0</v>
      </c>
      <c r="F771" s="18">
        <f>_xll.ciqfunctions.udf.CIQ($C$2,"IQ_PENSION_ASSETS_CURTAIL_DOM",F$6,$F$2,,,Ccy,Conv)</f>
        <v>0</v>
      </c>
      <c r="G771" s="18">
        <f>_xll.ciqfunctions.udf.CIQ($C$2,"IQ_PENSION_ASSETS_CURTAIL_DOM",G$6,$F$2,,,Ccy,Conv)</f>
        <v>0</v>
      </c>
      <c r="H771" s="18">
        <f>_xll.ciqfunctions.udf.CIQ($C$2,"IQ_PENSION_ASSETS_CURTAIL_DOM",H$6,$F$2,,,Ccy,Conv)</f>
        <v>0</v>
      </c>
      <c r="I771" s="18">
        <f>_xll.ciqfunctions.udf.CIQ($C$2,"IQ_PENSION_ASSETS_CURTAIL_DOM",I$6,$F$2,,,Ccy,Conv)</f>
        <v>0</v>
      </c>
      <c r="J771" s="18">
        <f>_xll.ciqfunctions.udf.CIQ($C$2,"IQ_PENSION_ASSETS_CURTAIL_DOM",J$6,$F$2,,,Ccy,Conv)</f>
        <v>0</v>
      </c>
      <c r="K771" s="18">
        <f>_xll.ciqfunctions.udf.CIQ($C$2,"IQ_PENSION_ASSETS_CURTAIL_DOM",K$6,$F$2,,,Ccy,Conv)</f>
        <v>0</v>
      </c>
      <c r="L771" s="18">
        <f>_xll.ciqfunctions.udf.CIQ($C$2,"IQ_PENSION_ASSETS_CURTAIL_DOM",L$6,$F$2,,,Ccy,Conv)</f>
        <v>0</v>
      </c>
      <c r="M771" s="18">
        <f>_xll.ciqfunctions.udf.CIQ($C$2,"IQ_PENSION_ASSETS_CURTAIL_DOM",M$6,$F$2,,,Ccy,Conv)</f>
        <v>0</v>
      </c>
      <c r="N771" s="18">
        <f>_xll.ciqfunctions.udf.CIQ($C$2,"IQ_PENSION_ASSETS_CURTAIL_DOM",N$6,$F$2,,,Ccy,Conv)</f>
        <v>0</v>
      </c>
      <c r="O771" s="30"/>
      <c r="P771" s="18">
        <f>_xll.ciqfunctions.udf.CIQ($C$2,"IQ_PENSION_ASSETS_CURTAIL_DOM",P$6,$F$2,,,Ccy,Conv)</f>
        <v>0</v>
      </c>
      <c r="Q771" s="215"/>
      <c r="R771" s="215"/>
      <c r="S771" s="215"/>
      <c r="T771" s="215"/>
      <c r="U771" s="215"/>
      <c r="V771" s="222"/>
      <c r="W771" s="222"/>
      <c r="X771" s="222"/>
      <c r="Y771" s="215"/>
      <c r="Z771" s="215"/>
      <c r="AA771" s="215"/>
      <c r="AB771" s="215"/>
      <c r="AC771" s="215"/>
      <c r="AD771" s="215"/>
      <c r="AE771" s="215"/>
      <c r="AF771" s="215"/>
      <c r="AG771" s="215"/>
      <c r="AH771" s="215"/>
      <c r="AI771" s="215"/>
      <c r="AJ771" s="215"/>
      <c r="AK771" s="215"/>
      <c r="AL771" s="215"/>
      <c r="AM771" s="215"/>
      <c r="AN771" s="215"/>
      <c r="AO771" s="215"/>
      <c r="AP771" s="215"/>
      <c r="AQ771" s="215"/>
      <c r="AR771" s="215"/>
      <c r="AS771" s="215"/>
      <c r="AT771" s="215"/>
      <c r="AU771" s="215"/>
      <c r="AV771" s="215"/>
      <c r="AW771" s="215"/>
      <c r="AX771" s="215"/>
      <c r="AY771" s="215"/>
      <c r="AZ771" s="215"/>
      <c r="BA771" s="215"/>
      <c r="BB771" s="215"/>
      <c r="BC771" s="215"/>
      <c r="BD771" s="215"/>
      <c r="BE771" s="215"/>
      <c r="BF771" s="215"/>
      <c r="BG771" s="215"/>
      <c r="BH771" s="215"/>
      <c r="BI771" s="215"/>
      <c r="BJ771" s="215"/>
      <c r="BK771" s="215"/>
      <c r="BL771" s="215"/>
      <c r="BM771" s="215"/>
      <c r="BN771" s="215"/>
      <c r="BO771" s="215"/>
      <c r="BP771" s="215"/>
      <c r="BQ771" s="215"/>
      <c r="BR771" s="215"/>
      <c r="BS771" s="215"/>
      <c r="BT771" s="215"/>
      <c r="BU771" s="215"/>
      <c r="BV771" s="215"/>
      <c r="BW771" s="215"/>
      <c r="BX771" s="215"/>
      <c r="BY771" s="215"/>
      <c r="BZ771" s="215"/>
    </row>
    <row r="772" spans="1:78" outlineLevel="1" x14ac:dyDescent="0.2">
      <c r="A772" s="2" t="str">
        <f>'Language Index'!A523</f>
        <v>Other Plan Adjustments</v>
      </c>
      <c r="B772" s="17"/>
      <c r="C772" s="17"/>
      <c r="D772" s="18">
        <f>_xll.ciqfunctions.udf.CIQ($C$2,"IQ_PENSION_ASSETS_OTHER_PLAN_ADJ_DOM",D$6,$F$2,,,Ccy,Conv)</f>
        <v>0</v>
      </c>
      <c r="E772" s="18">
        <f>_xll.ciqfunctions.udf.CIQ($C$2,"IQ_PENSION_ASSETS_OTHER_PLAN_ADJ_DOM",E$6,$F$2,,,Ccy,Conv)</f>
        <v>0</v>
      </c>
      <c r="F772" s="18">
        <f>_xll.ciqfunctions.udf.CIQ($C$2,"IQ_PENSION_ASSETS_OTHER_PLAN_ADJ_DOM",F$6,$F$2,,,Ccy,Conv)</f>
        <v>-288</v>
      </c>
      <c r="G772" s="18">
        <f>_xll.ciqfunctions.udf.CIQ($C$2,"IQ_PENSION_ASSETS_OTHER_PLAN_ADJ_DOM",G$6,$F$2,,,Ccy,Conv)</f>
        <v>0</v>
      </c>
      <c r="H772" s="18">
        <f>_xll.ciqfunctions.udf.CIQ($C$2,"IQ_PENSION_ASSETS_OTHER_PLAN_ADJ_DOM",H$6,$F$2,,,Ccy,Conv)</f>
        <v>0</v>
      </c>
      <c r="I772" s="18">
        <f>_xll.ciqfunctions.udf.CIQ($C$2,"IQ_PENSION_ASSETS_OTHER_PLAN_ADJ_DOM",I$6,$F$2,,,Ccy,Conv)</f>
        <v>0</v>
      </c>
      <c r="J772" s="18">
        <f>_xll.ciqfunctions.udf.CIQ($C$2,"IQ_PENSION_ASSETS_OTHER_PLAN_ADJ_DOM",J$6,$F$2,,,Ccy,Conv)</f>
        <v>-6178</v>
      </c>
      <c r="K772" s="18">
        <f>_xll.ciqfunctions.udf.CIQ($C$2,"IQ_PENSION_ASSETS_OTHER_PLAN_ADJ_DOM",K$6,$F$2,,,Ccy,Conv)</f>
        <v>0</v>
      </c>
      <c r="L772" s="18">
        <f>_xll.ciqfunctions.udf.CIQ($C$2,"IQ_PENSION_ASSETS_OTHER_PLAN_ADJ_DOM",L$6,$F$2,,,Ccy,Conv)</f>
        <v>0</v>
      </c>
      <c r="M772" s="18">
        <f>_xll.ciqfunctions.udf.CIQ($C$2,"IQ_PENSION_ASSETS_OTHER_PLAN_ADJ_DOM",M$6,$F$2,,,Ccy,Conv)</f>
        <v>0</v>
      </c>
      <c r="N772" s="18">
        <f>_xll.ciqfunctions.udf.CIQ($C$2,"IQ_PENSION_ASSETS_OTHER_PLAN_ADJ_DOM",N$6,$F$2,,,Ccy,Conv)</f>
        <v>-306</v>
      </c>
      <c r="O772" s="30"/>
      <c r="P772" s="18">
        <f>_xll.ciqfunctions.udf.CIQ($C$2,"IQ_PENSION_ASSETS_OTHER_PLAN_ADJ_DOM",P$6,$F$2,,,Ccy,Conv)</f>
        <v>-306</v>
      </c>
      <c r="Q772" s="215"/>
      <c r="R772" s="215"/>
      <c r="S772" s="215"/>
      <c r="T772" s="215"/>
      <c r="U772" s="215"/>
      <c r="V772" s="222"/>
      <c r="W772" s="222"/>
      <c r="X772" s="222"/>
      <c r="Y772" s="215"/>
      <c r="Z772" s="215"/>
      <c r="AA772" s="215"/>
      <c r="AB772" s="215"/>
      <c r="AC772" s="215"/>
      <c r="AD772" s="215"/>
      <c r="AE772" s="215"/>
      <c r="AF772" s="215"/>
      <c r="AG772" s="215"/>
      <c r="AH772" s="215"/>
      <c r="AI772" s="215"/>
      <c r="AJ772" s="215"/>
      <c r="AK772" s="215"/>
      <c r="AL772" s="215"/>
      <c r="AM772" s="215"/>
      <c r="AN772" s="215"/>
      <c r="AO772" s="215"/>
      <c r="AP772" s="215"/>
      <c r="AQ772" s="215"/>
      <c r="AR772" s="215"/>
      <c r="AS772" s="215"/>
      <c r="AT772" s="215"/>
      <c r="AU772" s="215"/>
      <c r="AV772" s="215"/>
      <c r="AW772" s="215"/>
      <c r="AX772" s="215"/>
      <c r="AY772" s="215"/>
      <c r="AZ772" s="215"/>
      <c r="BA772" s="215"/>
      <c r="BB772" s="215"/>
      <c r="BC772" s="215"/>
      <c r="BD772" s="215"/>
      <c r="BE772" s="215"/>
      <c r="BF772" s="215"/>
      <c r="BG772" s="215"/>
      <c r="BH772" s="215"/>
      <c r="BI772" s="215"/>
      <c r="BJ772" s="215"/>
      <c r="BK772" s="215"/>
      <c r="BL772" s="215"/>
      <c r="BM772" s="215"/>
      <c r="BN772" s="215"/>
      <c r="BO772" s="215"/>
      <c r="BP772" s="215"/>
      <c r="BQ772" s="215"/>
      <c r="BR772" s="215"/>
      <c r="BS772" s="215"/>
      <c r="BT772" s="215"/>
      <c r="BU772" s="215"/>
      <c r="BV772" s="215"/>
      <c r="BW772" s="215"/>
      <c r="BX772" s="215"/>
      <c r="BY772" s="215"/>
      <c r="BZ772" s="215"/>
    </row>
    <row r="773" spans="1:78" outlineLevel="1" x14ac:dyDescent="0.2">
      <c r="A773" s="2" t="str">
        <f>'Language Index'!A524</f>
        <v>Total Plan Assets</v>
      </c>
      <c r="B773" s="17"/>
      <c r="C773" s="17"/>
      <c r="D773" s="18">
        <f>_xll.ciqfunctions.udf.CIQ($C$2,"IQ_PENSION_ASSETS_DOM",D$6,$F$2,,,Ccy,Conv)</f>
        <v>0</v>
      </c>
      <c r="E773" s="18">
        <f>_xll.ciqfunctions.udf.CIQ($C$2,"IQ_PENSION_ASSETS_DOM",E$6,$F$2,,,Ccy,Conv)</f>
        <v>0</v>
      </c>
      <c r="F773" s="18">
        <f>_xll.ciqfunctions.udf.CIQ($C$2,"IQ_PENSION_ASSETS_DOM",F$6,$F$2,,,Ccy,Conv)</f>
        <v>24437</v>
      </c>
      <c r="G773" s="18">
        <f>_xll.ciqfunctions.udf.CIQ($C$2,"IQ_PENSION_ASSETS_DOM",G$6,$F$2,,,Ccy,Conv)</f>
        <v>0</v>
      </c>
      <c r="H773" s="18">
        <f>_xll.ciqfunctions.udf.CIQ($C$2,"IQ_PENSION_ASSETS_DOM",H$6,$F$2,,,Ccy,Conv)</f>
        <v>0</v>
      </c>
      <c r="I773" s="18">
        <f>_xll.ciqfunctions.udf.CIQ($C$2,"IQ_PENSION_ASSETS_DOM",I$6,$F$2,,,Ccy,Conv)</f>
        <v>0</v>
      </c>
      <c r="J773" s="18">
        <f>_xll.ciqfunctions.udf.CIQ($C$2,"IQ_PENSION_ASSETS_DOM",J$6,$F$2,,,Ccy,Conv)</f>
        <v>17591</v>
      </c>
      <c r="K773" s="18">
        <f>_xll.ciqfunctions.udf.CIQ($C$2,"IQ_PENSION_ASSETS_DOM",K$6,$F$2,,,Ccy,Conv)</f>
        <v>0</v>
      </c>
      <c r="L773" s="18">
        <f>_xll.ciqfunctions.udf.CIQ($C$2,"IQ_PENSION_ASSETS_DOM",L$6,$F$2,,,Ccy,Conv)</f>
        <v>0</v>
      </c>
      <c r="M773" s="18">
        <f>_xll.ciqfunctions.udf.CIQ($C$2,"IQ_PENSION_ASSETS_DOM",M$6,$F$2,,,Ccy,Conv)</f>
        <v>0</v>
      </c>
      <c r="N773" s="18">
        <f>_xll.ciqfunctions.udf.CIQ($C$2,"IQ_PENSION_ASSETS_DOM",N$6,$F$2,,,Ccy,Conv)</f>
        <v>18073</v>
      </c>
      <c r="O773" s="30"/>
      <c r="P773" s="18">
        <f>_xll.ciqfunctions.udf.CIQ($C$2,"IQ_PENSION_ASSETS_DOM",P$6,$F$2,,,Ccy,Conv)</f>
        <v>18073</v>
      </c>
      <c r="Q773" s="215"/>
      <c r="R773" s="215"/>
      <c r="S773" s="215"/>
      <c r="T773" s="215"/>
      <c r="U773" s="215"/>
      <c r="V773" s="222"/>
      <c r="W773" s="222"/>
      <c r="X773" s="222"/>
      <c r="Y773" s="215"/>
      <c r="Z773" s="215"/>
      <c r="AA773" s="215"/>
      <c r="AB773" s="215"/>
      <c r="AC773" s="215"/>
      <c r="AD773" s="215"/>
      <c r="AE773" s="215"/>
      <c r="AF773" s="215"/>
      <c r="AG773" s="215"/>
      <c r="AH773" s="215"/>
      <c r="AI773" s="215"/>
      <c r="AJ773" s="215"/>
      <c r="AK773" s="215"/>
      <c r="AL773" s="215"/>
      <c r="AM773" s="215"/>
      <c r="AN773" s="215"/>
      <c r="AO773" s="215"/>
      <c r="AP773" s="215"/>
      <c r="AQ773" s="215"/>
      <c r="AR773" s="215"/>
      <c r="AS773" s="215"/>
      <c r="AT773" s="215"/>
      <c r="AU773" s="215"/>
      <c r="AV773" s="215"/>
      <c r="AW773" s="215"/>
      <c r="AX773" s="215"/>
      <c r="AY773" s="215"/>
      <c r="AZ773" s="215"/>
      <c r="BA773" s="215"/>
      <c r="BB773" s="215"/>
      <c r="BC773" s="215"/>
      <c r="BD773" s="215"/>
      <c r="BE773" s="215"/>
      <c r="BF773" s="215"/>
      <c r="BG773" s="215"/>
      <c r="BH773" s="215"/>
      <c r="BI773" s="215"/>
      <c r="BJ773" s="215"/>
      <c r="BK773" s="215"/>
      <c r="BL773" s="215"/>
      <c r="BM773" s="215"/>
      <c r="BN773" s="215"/>
      <c r="BO773" s="215"/>
      <c r="BP773" s="215"/>
      <c r="BQ773" s="215"/>
      <c r="BR773" s="215"/>
      <c r="BS773" s="215"/>
      <c r="BT773" s="215"/>
      <c r="BU773" s="215"/>
      <c r="BV773" s="215"/>
      <c r="BW773" s="215"/>
      <c r="BX773" s="215"/>
      <c r="BY773" s="215"/>
      <c r="BZ773" s="215"/>
    </row>
    <row r="774" spans="1:78" outlineLevel="1" x14ac:dyDescent="0.2">
      <c r="A774" s="2" t="str">
        <f>'Language Index'!A600</f>
        <v>Exp.Ret. On Pension Assets</v>
      </c>
      <c r="B774" s="17"/>
      <c r="C774" s="17"/>
      <c r="D774" s="18">
        <f>_xll.ciqfunctions.udf.CIQ($C$2,"IQ_PENSION_EXP_RETURN_DOMESTIC",D$6,$F$2,,,Ccy,Conv)</f>
        <v>0</v>
      </c>
      <c r="E774" s="18">
        <f>_xll.ciqfunctions.udf.CIQ($C$2,"IQ_PENSION_EXP_RETURN_DOMESTIC",E$6,$F$2,,,Ccy,Conv)</f>
        <v>0</v>
      </c>
      <c r="F774" s="18">
        <f>_xll.ciqfunctions.udf.CIQ($C$2,"IQ_PENSION_EXP_RETURN_DOMESTIC",F$6,$F$2,,,Ccy,Conv)</f>
        <v>5.5</v>
      </c>
      <c r="G774" s="18">
        <f>_xll.ciqfunctions.udf.CIQ($C$2,"IQ_PENSION_EXP_RETURN_DOMESTIC",G$6,$F$2,,,Ccy,Conv)</f>
        <v>0</v>
      </c>
      <c r="H774" s="18">
        <f>_xll.ciqfunctions.udf.CIQ($C$2,"IQ_PENSION_EXP_RETURN_DOMESTIC",H$6,$F$2,,,Ccy,Conv)</f>
        <v>0</v>
      </c>
      <c r="I774" s="18">
        <f>_xll.ciqfunctions.udf.CIQ($C$2,"IQ_PENSION_EXP_RETURN_DOMESTIC",I$6,$F$2,,,Ccy,Conv)</f>
        <v>0</v>
      </c>
      <c r="J774" s="18">
        <f>_xll.ciqfunctions.udf.CIQ($C$2,"IQ_PENSION_EXP_RETURN_DOMESTIC",J$6,$F$2,,,Ccy,Conv)</f>
        <v>5.08</v>
      </c>
      <c r="K774" s="18">
        <f>_xll.ciqfunctions.udf.CIQ($C$2,"IQ_PENSION_EXP_RETURN_DOMESTIC",K$6,$F$2,,,Ccy,Conv)</f>
        <v>0</v>
      </c>
      <c r="L774" s="18">
        <f>_xll.ciqfunctions.udf.CIQ($C$2,"IQ_PENSION_EXP_RETURN_DOMESTIC",L$6,$F$2,,,Ccy,Conv)</f>
        <v>0</v>
      </c>
      <c r="M774" s="18">
        <f>_xll.ciqfunctions.udf.CIQ($C$2,"IQ_PENSION_EXP_RETURN_DOMESTIC",M$6,$F$2,,,Ccy,Conv)</f>
        <v>0</v>
      </c>
      <c r="N774" s="18">
        <f>_xll.ciqfunctions.udf.CIQ($C$2,"IQ_PENSION_EXP_RETURN_DOMESTIC",N$6,$F$2,,,Ccy,Conv)</f>
        <v>5.5</v>
      </c>
      <c r="O774" s="30"/>
      <c r="P774" s="18">
        <f>_xll.ciqfunctions.udf.CIQ($C$2,"IQ_PENSION_EXP_RETURN_DOMESTIC",P$6,$F$2,,,Ccy,Conv)</f>
        <v>5.5</v>
      </c>
      <c r="Q774" s="215"/>
      <c r="R774" s="215"/>
      <c r="S774" s="215"/>
      <c r="T774" s="215"/>
      <c r="U774" s="215"/>
      <c r="V774" s="222"/>
      <c r="W774" s="222"/>
      <c r="X774" s="222"/>
      <c r="Y774" s="215"/>
      <c r="Z774" s="215"/>
      <c r="AA774" s="215"/>
      <c r="AB774" s="215"/>
      <c r="AC774" s="215"/>
      <c r="AD774" s="215"/>
      <c r="AE774" s="215"/>
      <c r="AF774" s="215"/>
      <c r="AG774" s="215"/>
      <c r="AH774" s="215"/>
      <c r="AI774" s="215"/>
      <c r="AJ774" s="215"/>
      <c r="AK774" s="215"/>
      <c r="AL774" s="215"/>
      <c r="AM774" s="215"/>
      <c r="AN774" s="215"/>
      <c r="AO774" s="215"/>
      <c r="AP774" s="215"/>
      <c r="AQ774" s="215"/>
      <c r="AR774" s="215"/>
      <c r="AS774" s="215"/>
      <c r="AT774" s="215"/>
      <c r="AU774" s="215"/>
      <c r="AV774" s="215"/>
      <c r="AW774" s="215"/>
      <c r="AX774" s="215"/>
      <c r="AY774" s="215"/>
      <c r="AZ774" s="215"/>
      <c r="BA774" s="215"/>
      <c r="BB774" s="215"/>
      <c r="BC774" s="215"/>
      <c r="BD774" s="215"/>
      <c r="BE774" s="215"/>
      <c r="BF774" s="215"/>
      <c r="BG774" s="215"/>
      <c r="BH774" s="215"/>
      <c r="BI774" s="215"/>
      <c r="BJ774" s="215"/>
      <c r="BK774" s="215"/>
      <c r="BL774" s="215"/>
      <c r="BM774" s="215"/>
      <c r="BN774" s="215"/>
      <c r="BO774" s="215"/>
      <c r="BP774" s="215"/>
      <c r="BQ774" s="215"/>
      <c r="BR774" s="215"/>
      <c r="BS774" s="215"/>
      <c r="BT774" s="215"/>
      <c r="BU774" s="215"/>
      <c r="BV774" s="215"/>
      <c r="BW774" s="215"/>
      <c r="BX774" s="215"/>
      <c r="BY774" s="215"/>
      <c r="BZ774" s="215"/>
    </row>
    <row r="775" spans="1:78" outlineLevel="1" x14ac:dyDescent="0.2">
      <c r="A775" s="2" t="str">
        <f>'Language Index'!A601</f>
        <v>Assumed Comp. Growth Rate</v>
      </c>
      <c r="B775" s="17"/>
      <c r="C775" s="17"/>
      <c r="D775" s="18">
        <f>_xll.ciqfunctions.udf.CIQ($C$2,"IQ_PENSION_RATE_COMP_GROWTH_DOMESTIC",D$6,$F$2)</f>
        <v>0</v>
      </c>
      <c r="E775" s="18">
        <f>_xll.ciqfunctions.udf.CIQ($C$2,"IQ_PENSION_RATE_COMP_GROWTH_DOMESTIC",E$6,$F$2)</f>
        <v>0</v>
      </c>
      <c r="F775" s="18">
        <f>_xll.ciqfunctions.udf.CIQ($C$2,"IQ_PENSION_RATE_COMP_GROWTH_DOMESTIC",F$6,$F$2)</f>
        <v>0</v>
      </c>
      <c r="G775" s="18">
        <f>_xll.ciqfunctions.udf.CIQ($C$2,"IQ_PENSION_RATE_COMP_GROWTH_DOMESTIC",G$6,$F$2)</f>
        <v>0</v>
      </c>
      <c r="H775" s="18">
        <f>_xll.ciqfunctions.udf.CIQ($C$2,"IQ_PENSION_RATE_COMP_GROWTH_DOMESTIC",H$6,$F$2)</f>
        <v>0</v>
      </c>
      <c r="I775" s="18">
        <f>_xll.ciqfunctions.udf.CIQ($C$2,"IQ_PENSION_RATE_COMP_GROWTH_DOMESTIC",I$6,$F$2)</f>
        <v>0</v>
      </c>
      <c r="J775" s="18">
        <f>_xll.ciqfunctions.udf.CIQ($C$2,"IQ_PENSION_RATE_COMP_GROWTH_DOMESTIC",J$6,$F$2)</f>
        <v>5</v>
      </c>
      <c r="K775" s="18">
        <f>_xll.ciqfunctions.udf.CIQ($C$2,"IQ_PENSION_RATE_COMP_GROWTH_DOMESTIC",K$6,$F$2)</f>
        <v>0</v>
      </c>
      <c r="L775" s="18">
        <f>_xll.ciqfunctions.udf.CIQ($C$2,"IQ_PENSION_RATE_COMP_GROWTH_DOMESTIC",L$6,$F$2)</f>
        <v>0</v>
      </c>
      <c r="M775" s="18">
        <f>_xll.ciqfunctions.udf.CIQ($C$2,"IQ_PENSION_RATE_COMP_GROWTH_DOMESTIC",M$6,$F$2)</f>
        <v>0</v>
      </c>
      <c r="N775" s="18">
        <f>_xll.ciqfunctions.udf.CIQ($C$2,"IQ_PENSION_RATE_COMP_GROWTH_DOMESTIC",N$6,$F$2)</f>
        <v>4</v>
      </c>
      <c r="O775" s="30"/>
      <c r="P775" s="18">
        <f>_xll.ciqfunctions.udf.CIQ($C$2,"IQ_PENSION_RATE_COMP_GROWTH_DOMESTIC",P$6,$F$2)</f>
        <v>4</v>
      </c>
      <c r="Q775" s="215"/>
      <c r="R775" s="215"/>
      <c r="S775" s="215"/>
      <c r="T775" s="215"/>
      <c r="U775" s="215"/>
      <c r="V775" s="222"/>
      <c r="W775" s="222"/>
      <c r="X775" s="222"/>
      <c r="Y775" s="215"/>
      <c r="Z775" s="215"/>
      <c r="AA775" s="215"/>
      <c r="AB775" s="215"/>
      <c r="AC775" s="215"/>
      <c r="AD775" s="215"/>
      <c r="AE775" s="215"/>
      <c r="AF775" s="215"/>
      <c r="AG775" s="215"/>
      <c r="AH775" s="215"/>
      <c r="AI775" s="215"/>
      <c r="AJ775" s="215"/>
      <c r="AK775" s="215"/>
      <c r="AL775" s="215"/>
      <c r="AM775" s="215"/>
      <c r="AN775" s="215"/>
      <c r="AO775" s="215"/>
      <c r="AP775" s="215"/>
      <c r="AQ775" s="215"/>
      <c r="AR775" s="215"/>
      <c r="AS775" s="215"/>
      <c r="AT775" s="215"/>
      <c r="AU775" s="215"/>
      <c r="AV775" s="215"/>
      <c r="AW775" s="215"/>
      <c r="AX775" s="215"/>
      <c r="AY775" s="215"/>
      <c r="AZ775" s="215"/>
      <c r="BA775" s="215"/>
      <c r="BB775" s="215"/>
      <c r="BC775" s="215"/>
      <c r="BD775" s="215"/>
      <c r="BE775" s="215"/>
      <c r="BF775" s="215"/>
      <c r="BG775" s="215"/>
      <c r="BH775" s="215"/>
      <c r="BI775" s="215"/>
      <c r="BJ775" s="215"/>
      <c r="BK775" s="215"/>
      <c r="BL775" s="215"/>
      <c r="BM775" s="215"/>
      <c r="BN775" s="215"/>
      <c r="BO775" s="215"/>
      <c r="BP775" s="215"/>
      <c r="BQ775" s="215"/>
      <c r="BR775" s="215"/>
      <c r="BS775" s="215"/>
      <c r="BT775" s="215"/>
      <c r="BU775" s="215"/>
      <c r="BV775" s="215"/>
      <c r="BW775" s="215"/>
      <c r="BX775" s="215"/>
      <c r="BY775" s="215"/>
      <c r="BZ775" s="215"/>
    </row>
    <row r="776" spans="1:78" outlineLevel="1" x14ac:dyDescent="0.2">
      <c r="A776" s="9" t="str">
        <f>'Language Index'!A525</f>
        <v>Weighted Avg. Assumptions on Net Periodic Cost</v>
      </c>
      <c r="B776" s="17"/>
      <c r="C776" s="17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30"/>
      <c r="P776" s="18"/>
      <c r="Q776" s="215"/>
      <c r="R776" s="215"/>
      <c r="S776" s="215"/>
      <c r="T776" s="215"/>
      <c r="U776" s="215"/>
      <c r="V776" s="222"/>
      <c r="W776" s="222"/>
      <c r="X776" s="222"/>
      <c r="Y776" s="215"/>
      <c r="Z776" s="215"/>
      <c r="AA776" s="215"/>
      <c r="AB776" s="215"/>
      <c r="AC776" s="215"/>
      <c r="AD776" s="215"/>
      <c r="AE776" s="215"/>
      <c r="AF776" s="215"/>
      <c r="AG776" s="215"/>
      <c r="AH776" s="215"/>
      <c r="AI776" s="215"/>
      <c r="AJ776" s="215"/>
      <c r="AK776" s="215"/>
      <c r="AL776" s="215"/>
      <c r="AM776" s="215"/>
      <c r="AN776" s="215"/>
      <c r="AO776" s="215"/>
      <c r="AP776" s="215"/>
      <c r="AQ776" s="215"/>
      <c r="AR776" s="215"/>
      <c r="AS776" s="215"/>
      <c r="AT776" s="215"/>
      <c r="AU776" s="215"/>
      <c r="AV776" s="215"/>
      <c r="AW776" s="215"/>
      <c r="AX776" s="215"/>
      <c r="AY776" s="215"/>
      <c r="AZ776" s="215"/>
      <c r="BA776" s="215"/>
      <c r="BB776" s="215"/>
      <c r="BC776" s="215"/>
      <c r="BD776" s="215"/>
      <c r="BE776" s="215"/>
      <c r="BF776" s="215"/>
      <c r="BG776" s="215"/>
      <c r="BH776" s="215"/>
      <c r="BI776" s="215"/>
      <c r="BJ776" s="215"/>
      <c r="BK776" s="215"/>
      <c r="BL776" s="215"/>
      <c r="BM776" s="215"/>
      <c r="BN776" s="215"/>
      <c r="BO776" s="215"/>
      <c r="BP776" s="215"/>
      <c r="BQ776" s="215"/>
      <c r="BR776" s="215"/>
      <c r="BS776" s="215"/>
      <c r="BT776" s="215"/>
      <c r="BU776" s="215"/>
      <c r="BV776" s="215"/>
      <c r="BW776" s="215"/>
      <c r="BX776" s="215"/>
      <c r="BY776" s="215"/>
      <c r="BZ776" s="215"/>
    </row>
    <row r="777" spans="1:78" outlineLevel="1" x14ac:dyDescent="0.2">
      <c r="A777" s="2" t="str">
        <f>'Language Index'!A526</f>
        <v>Net Periodic Cost Disc. Rate - Min</v>
      </c>
      <c r="B777" s="17"/>
      <c r="C777" s="17"/>
      <c r="D777" s="18">
        <f>_xll.ciqfunctions.udf.CIQ($C$2,"IQ_PENSION_DISC_RATE_MIN_DOM",D$6,$F$2)</f>
        <v>0</v>
      </c>
      <c r="E777" s="18">
        <f>_xll.ciqfunctions.udf.CIQ($C$2,"IQ_PENSION_DISC_RATE_MIN_DOM",E$6,$F$2)</f>
        <v>0</v>
      </c>
      <c r="F777" s="18">
        <f>_xll.ciqfunctions.udf.CIQ($C$2,"IQ_PENSION_DISC_RATE_MIN_DOM",F$6,$F$2)</f>
        <v>5.3</v>
      </c>
      <c r="G777" s="18">
        <f>_xll.ciqfunctions.udf.CIQ($C$2,"IQ_PENSION_DISC_RATE_MIN_DOM",G$6,$F$2)</f>
        <v>0</v>
      </c>
      <c r="H777" s="18">
        <f>_xll.ciqfunctions.udf.CIQ($C$2,"IQ_PENSION_DISC_RATE_MIN_DOM",H$6,$F$2)</f>
        <v>0</v>
      </c>
      <c r="I777" s="18">
        <f>_xll.ciqfunctions.udf.CIQ($C$2,"IQ_PENSION_DISC_RATE_MIN_DOM",I$6,$F$2)</f>
        <v>0</v>
      </c>
      <c r="J777" s="18">
        <f>_xll.ciqfunctions.udf.CIQ($C$2,"IQ_PENSION_DISC_RATE_MIN_DOM",J$6,$F$2)</f>
        <v>5</v>
      </c>
      <c r="K777" s="18">
        <f>_xll.ciqfunctions.udf.CIQ($C$2,"IQ_PENSION_DISC_RATE_MIN_DOM",K$6,$F$2)</f>
        <v>0</v>
      </c>
      <c r="L777" s="18">
        <f>_xll.ciqfunctions.udf.CIQ($C$2,"IQ_PENSION_DISC_RATE_MIN_DOM",L$6,$F$2)</f>
        <v>0</v>
      </c>
      <c r="M777" s="18">
        <f>_xll.ciqfunctions.udf.CIQ($C$2,"IQ_PENSION_DISC_RATE_MIN_DOM",M$6,$F$2)</f>
        <v>0</v>
      </c>
      <c r="N777" s="18">
        <f>_xll.ciqfunctions.udf.CIQ($C$2,"IQ_PENSION_DISC_RATE_MIN_DOM",N$6,$F$2)</f>
        <v>5.5</v>
      </c>
      <c r="O777" s="30"/>
      <c r="P777" s="18">
        <f>_xll.ciqfunctions.udf.CIQ($C$2,"IQ_PENSION_DISC_RATE_MIN_DOM",P$6,$F$2)</f>
        <v>5.5</v>
      </c>
      <c r="Q777" s="215"/>
      <c r="R777" s="215"/>
      <c r="S777" s="215"/>
      <c r="T777" s="215"/>
      <c r="U777" s="215"/>
      <c r="V777" s="222"/>
      <c r="W777" s="222"/>
      <c r="X777" s="222"/>
      <c r="Y777" s="215"/>
      <c r="Z777" s="215"/>
      <c r="AA777" s="215"/>
      <c r="AB777" s="215"/>
      <c r="AC777" s="215"/>
      <c r="AD777" s="215"/>
      <c r="AE777" s="215"/>
      <c r="AF777" s="215"/>
      <c r="AG777" s="215"/>
      <c r="AH777" s="215"/>
      <c r="AI777" s="215"/>
      <c r="AJ777" s="215"/>
      <c r="AK777" s="215"/>
      <c r="AL777" s="215"/>
      <c r="AM777" s="215"/>
      <c r="AN777" s="215"/>
      <c r="AO777" s="215"/>
      <c r="AP777" s="215"/>
      <c r="AQ777" s="215"/>
      <c r="AR777" s="215"/>
      <c r="AS777" s="215"/>
      <c r="AT777" s="215"/>
      <c r="AU777" s="215"/>
      <c r="AV777" s="215"/>
      <c r="AW777" s="215"/>
      <c r="AX777" s="215"/>
      <c r="AY777" s="215"/>
      <c r="AZ777" s="215"/>
      <c r="BA777" s="215"/>
      <c r="BB777" s="215"/>
      <c r="BC777" s="215"/>
      <c r="BD777" s="215"/>
      <c r="BE777" s="215"/>
      <c r="BF777" s="215"/>
      <c r="BG777" s="215"/>
      <c r="BH777" s="215"/>
      <c r="BI777" s="215"/>
      <c r="BJ777" s="215"/>
      <c r="BK777" s="215"/>
      <c r="BL777" s="215"/>
      <c r="BM777" s="215"/>
      <c r="BN777" s="215"/>
      <c r="BO777" s="215"/>
      <c r="BP777" s="215"/>
      <c r="BQ777" s="215"/>
      <c r="BR777" s="215"/>
      <c r="BS777" s="215"/>
      <c r="BT777" s="215"/>
      <c r="BU777" s="215"/>
      <c r="BV777" s="215"/>
      <c r="BW777" s="215"/>
      <c r="BX777" s="215"/>
      <c r="BY777" s="215"/>
      <c r="BZ777" s="215"/>
    </row>
    <row r="778" spans="1:78" outlineLevel="1" x14ac:dyDescent="0.2">
      <c r="A778" s="2" t="str">
        <f>'Language Index'!A527</f>
        <v>Net Periodic Cost Disc. Rate - Max</v>
      </c>
      <c r="B778" s="17"/>
      <c r="C778" s="17"/>
      <c r="D778" s="18">
        <f>_xll.ciqfunctions.udf.CIQ($C$2,"IQ_PENSION_DISC_RATE_MAX_DOM",D$6,$F$2)</f>
        <v>0</v>
      </c>
      <c r="E778" s="18">
        <f>_xll.ciqfunctions.udf.CIQ($C$2,"IQ_PENSION_DISC_RATE_MAX_DOM",E$6,$F$2)</f>
        <v>0</v>
      </c>
      <c r="F778" s="18">
        <f>_xll.ciqfunctions.udf.CIQ($C$2,"IQ_PENSION_DISC_RATE_MAX_DOM",F$6,$F$2)</f>
        <v>5.3</v>
      </c>
      <c r="G778" s="18">
        <f>_xll.ciqfunctions.udf.CIQ($C$2,"IQ_PENSION_DISC_RATE_MAX_DOM",G$6,$F$2)</f>
        <v>0</v>
      </c>
      <c r="H778" s="18">
        <f>_xll.ciqfunctions.udf.CIQ($C$2,"IQ_PENSION_DISC_RATE_MAX_DOM",H$6,$F$2)</f>
        <v>0</v>
      </c>
      <c r="I778" s="18">
        <f>_xll.ciqfunctions.udf.CIQ($C$2,"IQ_PENSION_DISC_RATE_MAX_DOM",I$6,$F$2)</f>
        <v>0</v>
      </c>
      <c r="J778" s="18">
        <f>_xll.ciqfunctions.udf.CIQ($C$2,"IQ_PENSION_DISC_RATE_MAX_DOM",J$6,$F$2)</f>
        <v>5</v>
      </c>
      <c r="K778" s="18">
        <f>_xll.ciqfunctions.udf.CIQ($C$2,"IQ_PENSION_DISC_RATE_MAX_DOM",K$6,$F$2)</f>
        <v>0</v>
      </c>
      <c r="L778" s="18">
        <f>_xll.ciqfunctions.udf.CIQ($C$2,"IQ_PENSION_DISC_RATE_MAX_DOM",L$6,$F$2)</f>
        <v>0</v>
      </c>
      <c r="M778" s="18">
        <f>_xll.ciqfunctions.udf.CIQ($C$2,"IQ_PENSION_DISC_RATE_MAX_DOM",M$6,$F$2)</f>
        <v>0</v>
      </c>
      <c r="N778" s="18">
        <f>_xll.ciqfunctions.udf.CIQ($C$2,"IQ_PENSION_DISC_RATE_MAX_DOM",N$6,$F$2)</f>
        <v>5.5</v>
      </c>
      <c r="O778" s="30"/>
      <c r="P778" s="18">
        <f>_xll.ciqfunctions.udf.CIQ($C$2,"IQ_PENSION_DISC_RATE_MAX_DOM",P$6,$F$2)</f>
        <v>5.5</v>
      </c>
      <c r="Q778" s="245"/>
      <c r="R778" s="215"/>
      <c r="S778" s="215"/>
      <c r="T778" s="215"/>
      <c r="U778" s="215"/>
      <c r="V778" s="222"/>
      <c r="W778" s="222"/>
      <c r="X778" s="222"/>
      <c r="Y778" s="215"/>
      <c r="Z778" s="215"/>
      <c r="AA778" s="215"/>
      <c r="AB778" s="215"/>
      <c r="AC778" s="215"/>
      <c r="AD778" s="215"/>
      <c r="AE778" s="215"/>
      <c r="AF778" s="215"/>
      <c r="AG778" s="215"/>
      <c r="AH778" s="215"/>
      <c r="AI778" s="215"/>
      <c r="AJ778" s="215"/>
      <c r="AK778" s="215"/>
      <c r="AL778" s="215"/>
      <c r="AM778" s="215"/>
      <c r="AN778" s="215"/>
      <c r="AO778" s="215"/>
      <c r="AP778" s="215"/>
      <c r="AQ778" s="215"/>
      <c r="AR778" s="215"/>
      <c r="AS778" s="215"/>
      <c r="AT778" s="215"/>
      <c r="AU778" s="215"/>
      <c r="AV778" s="215"/>
      <c r="AW778" s="215"/>
      <c r="AX778" s="215"/>
      <c r="AY778" s="215"/>
      <c r="AZ778" s="215"/>
      <c r="BA778" s="215"/>
      <c r="BB778" s="215"/>
      <c r="BC778" s="215"/>
      <c r="BD778" s="215"/>
      <c r="BE778" s="215"/>
      <c r="BF778" s="215"/>
      <c r="BG778" s="215"/>
      <c r="BH778" s="215"/>
      <c r="BI778" s="215"/>
      <c r="BJ778" s="215"/>
      <c r="BK778" s="215"/>
      <c r="BL778" s="215"/>
      <c r="BM778" s="215"/>
      <c r="BN778" s="215"/>
      <c r="BO778" s="215"/>
      <c r="BP778" s="215"/>
      <c r="BQ778" s="215"/>
      <c r="BR778" s="215"/>
      <c r="BS778" s="215"/>
      <c r="BT778" s="215"/>
      <c r="BU778" s="215"/>
      <c r="BV778" s="215"/>
      <c r="BW778" s="215"/>
      <c r="BX778" s="215"/>
      <c r="BY778" s="215"/>
      <c r="BZ778" s="215"/>
    </row>
    <row r="779" spans="1:78" outlineLevel="1" x14ac:dyDescent="0.2">
      <c r="A779" s="2" t="str">
        <f>'Language Index'!A602</f>
        <v>Discount Rate on Obligations</v>
      </c>
      <c r="B779" s="17"/>
      <c r="C779" s="17"/>
      <c r="D779" s="18">
        <f>_xll.ciqfunctions.udf.CIQ($C$2,"IQ_PENSION_DISCOUNT_RATE_DOMESTIC",D$6,$F$2)</f>
        <v>0</v>
      </c>
      <c r="E779" s="18">
        <f>_xll.ciqfunctions.udf.CIQ($C$2,"IQ_PENSION_DISCOUNT_RATE_DOMESTIC",E$6,$F$2)</f>
        <v>0</v>
      </c>
      <c r="F779" s="18">
        <f>_xll.ciqfunctions.udf.CIQ($C$2,"IQ_PENSION_DISCOUNT_RATE_DOMESTIC",F$6,$F$2)</f>
        <v>5</v>
      </c>
      <c r="G779" s="18">
        <f>_xll.ciqfunctions.udf.CIQ($C$2,"IQ_PENSION_DISCOUNT_RATE_DOMESTIC",G$6,$F$2)</f>
        <v>0</v>
      </c>
      <c r="H779" s="18">
        <f>_xll.ciqfunctions.udf.CIQ($C$2,"IQ_PENSION_DISCOUNT_RATE_DOMESTIC",H$6,$F$2)</f>
        <v>0</v>
      </c>
      <c r="I779" s="18">
        <f>_xll.ciqfunctions.udf.CIQ($C$2,"IQ_PENSION_DISCOUNT_RATE_DOMESTIC",I$6,$F$2)</f>
        <v>0</v>
      </c>
      <c r="J779" s="18">
        <f>_xll.ciqfunctions.udf.CIQ($C$2,"IQ_PENSION_DISCOUNT_RATE_DOMESTIC",J$6,$F$2)</f>
        <v>5.5</v>
      </c>
      <c r="K779" s="18">
        <f>_xll.ciqfunctions.udf.CIQ($C$2,"IQ_PENSION_DISCOUNT_RATE_DOMESTIC",K$6,$F$2)</f>
        <v>0</v>
      </c>
      <c r="L779" s="18">
        <f>_xll.ciqfunctions.udf.CIQ($C$2,"IQ_PENSION_DISCOUNT_RATE_DOMESTIC",L$6,$F$2)</f>
        <v>0</v>
      </c>
      <c r="M779" s="18">
        <f>_xll.ciqfunctions.udf.CIQ($C$2,"IQ_PENSION_DISCOUNT_RATE_DOMESTIC",M$6,$F$2)</f>
        <v>0</v>
      </c>
      <c r="N779" s="18">
        <f>_xll.ciqfunctions.udf.CIQ($C$2,"IQ_PENSION_DISCOUNT_RATE_DOMESTIC",N$6,$F$2)</f>
        <v>5.2</v>
      </c>
      <c r="O779" s="30"/>
      <c r="P779" s="18">
        <f>_xll.ciqfunctions.udf.CIQ($C$2,"IQ_PENSION_DISCOUNT_RATE_DOMESTIC",P$6,$F$2)</f>
        <v>5.2</v>
      </c>
      <c r="Q779" s="245"/>
      <c r="R779" s="215"/>
      <c r="S779" s="215"/>
      <c r="T779" s="215"/>
      <c r="U779" s="215"/>
      <c r="V779" s="222"/>
      <c r="W779" s="222"/>
      <c r="X779" s="222"/>
      <c r="Y779" s="215"/>
      <c r="Z779" s="215"/>
      <c r="AA779" s="215"/>
      <c r="AB779" s="215"/>
      <c r="AC779" s="215"/>
      <c r="AD779" s="215"/>
      <c r="AE779" s="215"/>
      <c r="AF779" s="215"/>
      <c r="AG779" s="215"/>
      <c r="AH779" s="215"/>
      <c r="AI779" s="215"/>
      <c r="AJ779" s="215"/>
      <c r="AK779" s="215"/>
      <c r="AL779" s="215"/>
      <c r="AM779" s="215"/>
      <c r="AN779" s="215"/>
      <c r="AO779" s="215"/>
      <c r="AP779" s="215"/>
      <c r="AQ779" s="215"/>
      <c r="AR779" s="215"/>
      <c r="AS779" s="215"/>
      <c r="AT779" s="215"/>
      <c r="AU779" s="215"/>
      <c r="AV779" s="215"/>
      <c r="AW779" s="215"/>
      <c r="AX779" s="215"/>
      <c r="AY779" s="215"/>
      <c r="AZ779" s="215"/>
      <c r="BA779" s="215"/>
      <c r="BB779" s="215"/>
      <c r="BC779" s="215"/>
      <c r="BD779" s="215"/>
      <c r="BE779" s="215"/>
      <c r="BF779" s="215"/>
      <c r="BG779" s="215"/>
      <c r="BH779" s="215"/>
      <c r="BI779" s="215"/>
      <c r="BJ779" s="215"/>
      <c r="BK779" s="215"/>
      <c r="BL779" s="215"/>
      <c r="BM779" s="215"/>
      <c r="BN779" s="215"/>
      <c r="BO779" s="215"/>
      <c r="BP779" s="215"/>
      <c r="BQ779" s="215"/>
      <c r="BR779" s="215"/>
      <c r="BS779" s="215"/>
      <c r="BT779" s="215"/>
      <c r="BU779" s="215"/>
      <c r="BV779" s="215"/>
      <c r="BW779" s="215"/>
      <c r="BX779" s="215"/>
      <c r="BY779" s="215"/>
      <c r="BZ779" s="215"/>
    </row>
    <row r="780" spans="1:78" outlineLevel="1" x14ac:dyDescent="0.2">
      <c r="A780" s="2" t="str">
        <f>'Language Index'!A528</f>
        <v>Rate of Comp. Increase - Min</v>
      </c>
      <c r="B780" s="17"/>
      <c r="C780" s="17"/>
      <c r="D780" s="18">
        <f>_xll.ciqfunctions.udf.CIQ($C$2,"IQ_PENSION_RATE_COMP_INCREASE_MIN_DOM",D$6,$F$2)</f>
        <v>0</v>
      </c>
      <c r="E780" s="18">
        <f>_xll.ciqfunctions.udf.CIQ($C$2,"IQ_PENSION_RATE_COMP_INCREASE_MIN_DOM",E$6,$F$2)</f>
        <v>0</v>
      </c>
      <c r="F780" s="18">
        <f>_xll.ciqfunctions.udf.CIQ($C$2,"IQ_PENSION_RATE_COMP_INCREASE_MIN_DOM",F$6,$F$2)</f>
        <v>0</v>
      </c>
      <c r="G780" s="18">
        <f>_xll.ciqfunctions.udf.CIQ($C$2,"IQ_PENSION_RATE_COMP_INCREASE_MIN_DOM",G$6,$F$2)</f>
        <v>0</v>
      </c>
      <c r="H780" s="18">
        <f>_xll.ciqfunctions.udf.CIQ($C$2,"IQ_PENSION_RATE_COMP_INCREASE_MIN_DOM",H$6,$F$2)</f>
        <v>0</v>
      </c>
      <c r="I780" s="18">
        <f>_xll.ciqfunctions.udf.CIQ($C$2,"IQ_PENSION_RATE_COMP_INCREASE_MIN_DOM",I$6,$F$2)</f>
        <v>0</v>
      </c>
      <c r="J780" s="18">
        <f>_xll.ciqfunctions.udf.CIQ($C$2,"IQ_PENSION_RATE_COMP_INCREASE_MIN_DOM",J$6,$F$2)</f>
        <v>5</v>
      </c>
      <c r="K780" s="18">
        <f>_xll.ciqfunctions.udf.CIQ($C$2,"IQ_PENSION_RATE_COMP_INCREASE_MIN_DOM",K$6,$F$2)</f>
        <v>0</v>
      </c>
      <c r="L780" s="18">
        <f>_xll.ciqfunctions.udf.CIQ($C$2,"IQ_PENSION_RATE_COMP_INCREASE_MIN_DOM",L$6,$F$2)</f>
        <v>0</v>
      </c>
      <c r="M780" s="18">
        <f>_xll.ciqfunctions.udf.CIQ($C$2,"IQ_PENSION_RATE_COMP_INCREASE_MIN_DOM",M$6,$F$2)</f>
        <v>0</v>
      </c>
      <c r="N780" s="18">
        <f>_xll.ciqfunctions.udf.CIQ($C$2,"IQ_PENSION_RATE_COMP_INCREASE_MIN_DOM",N$6,$F$2)</f>
        <v>4</v>
      </c>
      <c r="O780" s="30"/>
      <c r="P780" s="18">
        <f>_xll.ciqfunctions.udf.CIQ($C$2,"IQ_PENSION_RATE_COMP_INCREASE_MIN_DOM",P$6,$F$2)</f>
        <v>4</v>
      </c>
      <c r="Q780" s="245"/>
      <c r="R780" s="215"/>
      <c r="S780" s="215"/>
      <c r="T780" s="215"/>
      <c r="U780" s="215"/>
      <c r="V780" s="222"/>
      <c r="W780" s="222"/>
      <c r="X780" s="222"/>
      <c r="Y780" s="215"/>
      <c r="Z780" s="215"/>
      <c r="AA780" s="215"/>
      <c r="AB780" s="215"/>
      <c r="AC780" s="215"/>
      <c r="AD780" s="215"/>
      <c r="AE780" s="215"/>
      <c r="AF780" s="215"/>
      <c r="AG780" s="215"/>
      <c r="AH780" s="215"/>
      <c r="AI780" s="215"/>
      <c r="AJ780" s="215"/>
      <c r="AK780" s="215"/>
      <c r="AL780" s="215"/>
      <c r="AM780" s="215"/>
      <c r="AN780" s="215"/>
      <c r="AO780" s="215"/>
      <c r="AP780" s="215"/>
      <c r="AQ780" s="215"/>
      <c r="AR780" s="215"/>
      <c r="AS780" s="215"/>
      <c r="AT780" s="215"/>
      <c r="AU780" s="215"/>
      <c r="AV780" s="215"/>
      <c r="AW780" s="215"/>
      <c r="AX780" s="215"/>
      <c r="AY780" s="215"/>
      <c r="AZ780" s="215"/>
      <c r="BA780" s="215"/>
      <c r="BB780" s="215"/>
      <c r="BC780" s="215"/>
      <c r="BD780" s="215"/>
      <c r="BE780" s="215"/>
      <c r="BF780" s="215"/>
      <c r="BG780" s="215"/>
      <c r="BH780" s="215"/>
      <c r="BI780" s="215"/>
      <c r="BJ780" s="215"/>
      <c r="BK780" s="215"/>
      <c r="BL780" s="215"/>
      <c r="BM780" s="215"/>
      <c r="BN780" s="215"/>
      <c r="BO780" s="215"/>
      <c r="BP780" s="215"/>
      <c r="BQ780" s="215"/>
      <c r="BR780" s="215"/>
      <c r="BS780" s="215"/>
      <c r="BT780" s="215"/>
      <c r="BU780" s="215"/>
      <c r="BV780" s="215"/>
      <c r="BW780" s="215"/>
      <c r="BX780" s="215"/>
      <c r="BY780" s="215"/>
      <c r="BZ780" s="215"/>
    </row>
    <row r="781" spans="1:78" outlineLevel="1" x14ac:dyDescent="0.2">
      <c r="A781" s="2" t="str">
        <f>'Language Index'!A529</f>
        <v>Rate of Comp. Increase - Max</v>
      </c>
      <c r="B781" s="17"/>
      <c r="C781" s="17"/>
      <c r="D781" s="18">
        <f>_xll.ciqfunctions.udf.CIQ($C$2,"IQ_PENSION_RATE_COMP_INCREASE_MAX_DOM",D$6,$F$2)</f>
        <v>0</v>
      </c>
      <c r="E781" s="18">
        <f>_xll.ciqfunctions.udf.CIQ($C$2,"IQ_PENSION_RATE_COMP_INCREASE_MAX_DOM",E$6,$F$2)</f>
        <v>0</v>
      </c>
      <c r="F781" s="18">
        <f>_xll.ciqfunctions.udf.CIQ($C$2,"IQ_PENSION_RATE_COMP_INCREASE_MAX_DOM",F$6,$F$2)</f>
        <v>0</v>
      </c>
      <c r="G781" s="18">
        <f>_xll.ciqfunctions.udf.CIQ($C$2,"IQ_PENSION_RATE_COMP_INCREASE_MAX_DOM",G$6,$F$2)</f>
        <v>0</v>
      </c>
      <c r="H781" s="18">
        <f>_xll.ciqfunctions.udf.CIQ($C$2,"IQ_PENSION_RATE_COMP_INCREASE_MAX_DOM",H$6,$F$2)</f>
        <v>0</v>
      </c>
      <c r="I781" s="18">
        <f>_xll.ciqfunctions.udf.CIQ($C$2,"IQ_PENSION_RATE_COMP_INCREASE_MAX_DOM",I$6,$F$2)</f>
        <v>0</v>
      </c>
      <c r="J781" s="18">
        <f>_xll.ciqfunctions.udf.CIQ($C$2,"IQ_PENSION_RATE_COMP_INCREASE_MAX_DOM",J$6,$F$2)</f>
        <v>5</v>
      </c>
      <c r="K781" s="18">
        <f>_xll.ciqfunctions.udf.CIQ($C$2,"IQ_PENSION_RATE_COMP_INCREASE_MAX_DOM",K$6,$F$2)</f>
        <v>0</v>
      </c>
      <c r="L781" s="18">
        <f>_xll.ciqfunctions.udf.CIQ($C$2,"IQ_PENSION_RATE_COMP_INCREASE_MAX_DOM",L$6,$F$2)</f>
        <v>0</v>
      </c>
      <c r="M781" s="18">
        <f>_xll.ciqfunctions.udf.CIQ($C$2,"IQ_PENSION_RATE_COMP_INCREASE_MAX_DOM",M$6,$F$2)</f>
        <v>0</v>
      </c>
      <c r="N781" s="18">
        <f>_xll.ciqfunctions.udf.CIQ($C$2,"IQ_PENSION_RATE_COMP_INCREASE_MAX_DOM",N$6,$F$2)</f>
        <v>4</v>
      </c>
      <c r="O781" s="30"/>
      <c r="P781" s="18">
        <f>_xll.ciqfunctions.udf.CIQ($C$2,"IQ_PENSION_RATE_COMP_INCREASE_MAX_DOM",P$6,$F$2)</f>
        <v>4</v>
      </c>
      <c r="Q781" s="245"/>
      <c r="R781" s="215"/>
      <c r="S781" s="215"/>
      <c r="T781" s="215"/>
      <c r="U781" s="215"/>
      <c r="V781" s="222"/>
      <c r="W781" s="222"/>
      <c r="X781" s="222"/>
      <c r="Y781" s="215"/>
      <c r="Z781" s="215"/>
      <c r="AA781" s="215"/>
      <c r="AB781" s="215"/>
      <c r="AC781" s="215"/>
      <c r="AD781" s="215"/>
      <c r="AE781" s="215"/>
      <c r="AF781" s="215"/>
      <c r="AG781" s="215"/>
      <c r="AH781" s="215"/>
      <c r="AI781" s="215"/>
      <c r="AJ781" s="215"/>
      <c r="AK781" s="215"/>
      <c r="AL781" s="215"/>
      <c r="AM781" s="215"/>
      <c r="AN781" s="215"/>
      <c r="AO781" s="215"/>
      <c r="AP781" s="215"/>
      <c r="AQ781" s="215"/>
      <c r="AR781" s="215"/>
      <c r="AS781" s="215"/>
      <c r="AT781" s="215"/>
      <c r="AU781" s="215"/>
      <c r="AV781" s="215"/>
      <c r="AW781" s="215"/>
      <c r="AX781" s="215"/>
      <c r="AY781" s="215"/>
      <c r="AZ781" s="215"/>
      <c r="BA781" s="215"/>
      <c r="BB781" s="215"/>
      <c r="BC781" s="215"/>
      <c r="BD781" s="215"/>
      <c r="BE781" s="215"/>
      <c r="BF781" s="215"/>
      <c r="BG781" s="215"/>
      <c r="BH781" s="215"/>
      <c r="BI781" s="215"/>
      <c r="BJ781" s="215"/>
      <c r="BK781" s="215"/>
      <c r="BL781" s="215"/>
      <c r="BM781" s="215"/>
      <c r="BN781" s="215"/>
      <c r="BO781" s="215"/>
      <c r="BP781" s="215"/>
      <c r="BQ781" s="215"/>
      <c r="BR781" s="215"/>
      <c r="BS781" s="215"/>
      <c r="BT781" s="215"/>
      <c r="BU781" s="215"/>
      <c r="BV781" s="215"/>
      <c r="BW781" s="215"/>
      <c r="BX781" s="215"/>
      <c r="BY781" s="215"/>
      <c r="BZ781" s="215"/>
    </row>
    <row r="782" spans="1:78" outlineLevel="1" x14ac:dyDescent="0.2">
      <c r="A782" s="2" t="str">
        <f>'Language Index'!A530</f>
        <v>Exp. Long-Term Rate of Return on Assets - Min</v>
      </c>
      <c r="B782" s="17"/>
      <c r="C782" s="17"/>
      <c r="D782" s="18">
        <f>_xll.ciqfunctions.udf.CIQ($C$2,"IQ_PENSION_EXP_RATE_RETURN_MIN_DOM",D$6,$F$2)</f>
        <v>0</v>
      </c>
      <c r="E782" s="18">
        <f>_xll.ciqfunctions.udf.CIQ($C$2,"IQ_PENSION_EXP_RATE_RETURN_MIN_DOM",E$6,$F$2)</f>
        <v>0</v>
      </c>
      <c r="F782" s="18">
        <f>_xll.ciqfunctions.udf.CIQ($C$2,"IQ_PENSION_EXP_RATE_RETURN_MIN_DOM",F$6,$F$2)</f>
        <v>5.5</v>
      </c>
      <c r="G782" s="18">
        <f>_xll.ciqfunctions.udf.CIQ($C$2,"IQ_PENSION_EXP_RATE_RETURN_MIN_DOM",G$6,$F$2)</f>
        <v>0</v>
      </c>
      <c r="H782" s="18">
        <f>_xll.ciqfunctions.udf.CIQ($C$2,"IQ_PENSION_EXP_RATE_RETURN_MIN_DOM",H$6,$F$2)</f>
        <v>0</v>
      </c>
      <c r="I782" s="18">
        <f>_xll.ciqfunctions.udf.CIQ($C$2,"IQ_PENSION_EXP_RATE_RETURN_MIN_DOM",I$6,$F$2)</f>
        <v>0</v>
      </c>
      <c r="J782" s="18">
        <f>_xll.ciqfunctions.udf.CIQ($C$2,"IQ_PENSION_EXP_RATE_RETURN_MIN_DOM",J$6,$F$2)</f>
        <v>5.08</v>
      </c>
      <c r="K782" s="18">
        <f>_xll.ciqfunctions.udf.CIQ($C$2,"IQ_PENSION_EXP_RATE_RETURN_MIN_DOM",K$6,$F$2)</f>
        <v>0</v>
      </c>
      <c r="L782" s="18">
        <f>_xll.ciqfunctions.udf.CIQ($C$2,"IQ_PENSION_EXP_RATE_RETURN_MIN_DOM",L$6,$F$2)</f>
        <v>0</v>
      </c>
      <c r="M782" s="18">
        <f>_xll.ciqfunctions.udf.CIQ($C$2,"IQ_PENSION_EXP_RATE_RETURN_MIN_DOM",M$6,$F$2)</f>
        <v>0</v>
      </c>
      <c r="N782" s="18">
        <f>_xll.ciqfunctions.udf.CIQ($C$2,"IQ_PENSION_EXP_RATE_RETURN_MIN_DOM",N$6,$F$2)</f>
        <v>5.5</v>
      </c>
      <c r="O782" s="30"/>
      <c r="P782" s="18">
        <f>_xll.ciqfunctions.udf.CIQ($C$2,"IQ_PENSION_EXP_RATE_RETURN_MIN_DOM",P$6,$F$2)</f>
        <v>5.5</v>
      </c>
      <c r="Q782" s="245"/>
      <c r="R782" s="215"/>
      <c r="S782" s="215"/>
      <c r="T782" s="215"/>
      <c r="U782" s="215"/>
      <c r="V782" s="222"/>
      <c r="W782" s="222"/>
      <c r="X782" s="222"/>
      <c r="Y782" s="215"/>
      <c r="Z782" s="215"/>
      <c r="AA782" s="215"/>
      <c r="AB782" s="215"/>
      <c r="AC782" s="215"/>
      <c r="AD782" s="215"/>
      <c r="AE782" s="215"/>
      <c r="AF782" s="215"/>
      <c r="AG782" s="215"/>
      <c r="AH782" s="215"/>
      <c r="AI782" s="215"/>
      <c r="AJ782" s="215"/>
      <c r="AK782" s="215"/>
      <c r="AL782" s="215"/>
      <c r="AM782" s="215"/>
      <c r="AN782" s="215"/>
      <c r="AO782" s="215"/>
      <c r="AP782" s="215"/>
      <c r="AQ782" s="215"/>
      <c r="AR782" s="215"/>
      <c r="AS782" s="215"/>
      <c r="AT782" s="215"/>
      <c r="AU782" s="215"/>
      <c r="AV782" s="215"/>
      <c r="AW782" s="215"/>
      <c r="AX782" s="215"/>
      <c r="AY782" s="215"/>
      <c r="AZ782" s="215"/>
      <c r="BA782" s="215"/>
      <c r="BB782" s="215"/>
      <c r="BC782" s="215"/>
      <c r="BD782" s="215"/>
      <c r="BE782" s="215"/>
      <c r="BF782" s="215"/>
      <c r="BG782" s="215"/>
      <c r="BH782" s="215"/>
      <c r="BI782" s="215"/>
      <c r="BJ782" s="215"/>
      <c r="BK782" s="215"/>
      <c r="BL782" s="215"/>
      <c r="BM782" s="215"/>
      <c r="BN782" s="215"/>
      <c r="BO782" s="215"/>
      <c r="BP782" s="215"/>
      <c r="BQ782" s="215"/>
      <c r="BR782" s="215"/>
      <c r="BS782" s="215"/>
      <c r="BT782" s="215"/>
      <c r="BU782" s="215"/>
      <c r="BV782" s="215"/>
      <c r="BW782" s="215"/>
      <c r="BX782" s="215"/>
      <c r="BY782" s="215"/>
      <c r="BZ782" s="215"/>
    </row>
    <row r="783" spans="1:78" outlineLevel="1" x14ac:dyDescent="0.2">
      <c r="A783" s="2" t="str">
        <f>'Language Index'!A531</f>
        <v>Exp. Long-Term Rate of Return on Assets - Max</v>
      </c>
      <c r="B783" s="17"/>
      <c r="C783" s="17"/>
      <c r="D783" s="18">
        <f>_xll.ciqfunctions.udf.CIQ($C$2,"IQ_PENSION_EXP_RATE_RETURN_MAX_DOM",D$6,$F$2)</f>
        <v>0</v>
      </c>
      <c r="E783" s="18">
        <f>_xll.ciqfunctions.udf.CIQ($C$2,"IQ_PENSION_EXP_RATE_RETURN_MAX_DOM",E$6,$F$2)</f>
        <v>0</v>
      </c>
      <c r="F783" s="18">
        <f>_xll.ciqfunctions.udf.CIQ($C$2,"IQ_PENSION_EXP_RATE_RETURN_MAX_DOM",F$6,$F$2)</f>
        <v>5.5</v>
      </c>
      <c r="G783" s="18">
        <f>_xll.ciqfunctions.udf.CIQ($C$2,"IQ_PENSION_EXP_RATE_RETURN_MAX_DOM",G$6,$F$2)</f>
        <v>0</v>
      </c>
      <c r="H783" s="18">
        <f>_xll.ciqfunctions.udf.CIQ($C$2,"IQ_PENSION_EXP_RATE_RETURN_MAX_DOM",H$6,$F$2)</f>
        <v>0</v>
      </c>
      <c r="I783" s="18">
        <f>_xll.ciqfunctions.udf.CIQ($C$2,"IQ_PENSION_EXP_RATE_RETURN_MAX_DOM",I$6,$F$2)</f>
        <v>0</v>
      </c>
      <c r="J783" s="18">
        <f>_xll.ciqfunctions.udf.CIQ($C$2,"IQ_PENSION_EXP_RATE_RETURN_MAX_DOM",J$6,$F$2)</f>
        <v>5.08</v>
      </c>
      <c r="K783" s="18">
        <f>_xll.ciqfunctions.udf.CIQ($C$2,"IQ_PENSION_EXP_RATE_RETURN_MAX_DOM",K$6,$F$2)</f>
        <v>0</v>
      </c>
      <c r="L783" s="18">
        <f>_xll.ciqfunctions.udf.CIQ($C$2,"IQ_PENSION_EXP_RATE_RETURN_MAX_DOM",L$6,$F$2)</f>
        <v>0</v>
      </c>
      <c r="M783" s="18">
        <f>_xll.ciqfunctions.udf.CIQ($C$2,"IQ_PENSION_EXP_RATE_RETURN_MAX_DOM",M$6,$F$2)</f>
        <v>0</v>
      </c>
      <c r="N783" s="18">
        <f>_xll.ciqfunctions.udf.CIQ($C$2,"IQ_PENSION_EXP_RATE_RETURN_MAX_DOM",N$6,$F$2)</f>
        <v>5.5</v>
      </c>
      <c r="O783" s="30"/>
      <c r="P783" s="18">
        <f>_xll.ciqfunctions.udf.CIQ($C$2,"IQ_PENSION_EXP_RATE_RETURN_MAX_DOM",P$6,$F$2)</f>
        <v>5.5</v>
      </c>
      <c r="Q783" s="245"/>
      <c r="R783" s="215"/>
      <c r="S783" s="215"/>
      <c r="T783" s="215"/>
      <c r="U783" s="215"/>
      <c r="V783" s="222"/>
      <c r="W783" s="222"/>
      <c r="X783" s="222"/>
      <c r="Y783" s="215"/>
      <c r="Z783" s="215"/>
      <c r="AA783" s="215"/>
      <c r="AB783" s="215"/>
      <c r="AC783" s="215"/>
      <c r="AD783" s="215"/>
      <c r="AE783" s="215"/>
      <c r="AF783" s="215"/>
      <c r="AG783" s="215"/>
      <c r="AH783" s="215"/>
      <c r="AI783" s="215"/>
      <c r="AJ783" s="215"/>
      <c r="AK783" s="215"/>
      <c r="AL783" s="215"/>
      <c r="AM783" s="215"/>
      <c r="AN783" s="215"/>
      <c r="AO783" s="215"/>
      <c r="AP783" s="215"/>
      <c r="AQ783" s="215"/>
      <c r="AR783" s="215"/>
      <c r="AS783" s="215"/>
      <c r="AT783" s="215"/>
      <c r="AU783" s="215"/>
      <c r="AV783" s="215"/>
      <c r="AW783" s="215"/>
      <c r="AX783" s="215"/>
      <c r="AY783" s="215"/>
      <c r="AZ783" s="215"/>
      <c r="BA783" s="215"/>
      <c r="BB783" s="215"/>
      <c r="BC783" s="215"/>
      <c r="BD783" s="215"/>
      <c r="BE783" s="215"/>
      <c r="BF783" s="215"/>
      <c r="BG783" s="215"/>
      <c r="BH783" s="215"/>
      <c r="BI783" s="215"/>
      <c r="BJ783" s="215"/>
      <c r="BK783" s="215"/>
      <c r="BL783" s="215"/>
      <c r="BM783" s="215"/>
      <c r="BN783" s="215"/>
      <c r="BO783" s="215"/>
      <c r="BP783" s="215"/>
      <c r="BQ783" s="215"/>
      <c r="BR783" s="215"/>
      <c r="BS783" s="215"/>
      <c r="BT783" s="215"/>
      <c r="BU783" s="215"/>
      <c r="BV783" s="215"/>
      <c r="BW783" s="215"/>
      <c r="BX783" s="215"/>
      <c r="BY783" s="215"/>
      <c r="BZ783" s="215"/>
    </row>
    <row r="784" spans="1:78" outlineLevel="1" x14ac:dyDescent="0.2">
      <c r="A784" s="9" t="str">
        <f>'Language Index'!A532</f>
        <v>Breakdown of Plan Assets</v>
      </c>
      <c r="B784" s="17"/>
      <c r="C784" s="17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30"/>
      <c r="P784" s="18"/>
      <c r="Q784" s="245"/>
      <c r="R784" s="215"/>
      <c r="S784" s="215"/>
      <c r="T784" s="215"/>
      <c r="U784" s="215"/>
      <c r="V784" s="222"/>
      <c r="W784" s="222"/>
      <c r="X784" s="222"/>
      <c r="Y784" s="215"/>
      <c r="Z784" s="215"/>
      <c r="AA784" s="215"/>
      <c r="AB784" s="215"/>
      <c r="AC784" s="215"/>
      <c r="AD784" s="215"/>
      <c r="AE784" s="215"/>
      <c r="AF784" s="215"/>
      <c r="AG784" s="215"/>
      <c r="AH784" s="215"/>
      <c r="AI784" s="215"/>
      <c r="AJ784" s="215"/>
      <c r="AK784" s="215"/>
      <c r="AL784" s="215"/>
      <c r="AM784" s="215"/>
      <c r="AN784" s="215"/>
      <c r="AO784" s="215"/>
      <c r="AP784" s="215"/>
      <c r="AQ784" s="215"/>
      <c r="AR784" s="215"/>
      <c r="AS784" s="215"/>
      <c r="AT784" s="215"/>
      <c r="AU784" s="215"/>
      <c r="AV784" s="215"/>
      <c r="AW784" s="215"/>
      <c r="AX784" s="215"/>
      <c r="AY784" s="215"/>
      <c r="AZ784" s="215"/>
      <c r="BA784" s="215"/>
      <c r="BB784" s="215"/>
      <c r="BC784" s="215"/>
      <c r="BD784" s="215"/>
      <c r="BE784" s="215"/>
      <c r="BF784" s="215"/>
      <c r="BG784" s="215"/>
      <c r="BH784" s="215"/>
      <c r="BI784" s="215"/>
      <c r="BJ784" s="215"/>
      <c r="BK784" s="215"/>
      <c r="BL784" s="215"/>
      <c r="BM784" s="215"/>
      <c r="BN784" s="215"/>
      <c r="BO784" s="215"/>
      <c r="BP784" s="215"/>
      <c r="BQ784" s="215"/>
      <c r="BR784" s="215"/>
      <c r="BS784" s="215"/>
      <c r="BT784" s="215"/>
      <c r="BU784" s="215"/>
      <c r="BV784" s="215"/>
      <c r="BW784" s="215"/>
      <c r="BX784" s="215"/>
      <c r="BY784" s="215"/>
      <c r="BZ784" s="215"/>
    </row>
    <row r="785" spans="1:78" outlineLevel="1" x14ac:dyDescent="0.2">
      <c r="A785" s="2" t="str">
        <f>'Language Index'!A533</f>
        <v>Plan Assets - Equities (%)</v>
      </c>
      <c r="B785" s="17"/>
      <c r="C785" s="17"/>
      <c r="D785" s="18">
        <f>_xll.ciqfunctions.udf.CIQ($C$2,"IQ_PENSION_BREAKDOWN_PCT_EQ_DOM",D$6,$F$2)</f>
        <v>0</v>
      </c>
      <c r="E785" s="18">
        <f>_xll.ciqfunctions.udf.CIQ($C$2,"IQ_PENSION_BREAKDOWN_PCT_EQ_DOM",E$6,$F$2)</f>
        <v>0</v>
      </c>
      <c r="F785" s="18">
        <f>_xll.ciqfunctions.udf.CIQ($C$2,"IQ_PENSION_BREAKDOWN_PCT_EQ_DOM",F$6,$F$2)</f>
        <v>3.2696000000000001</v>
      </c>
      <c r="G785" s="18">
        <f>_xll.ciqfunctions.udf.CIQ($C$2,"IQ_PENSION_BREAKDOWN_PCT_EQ_DOM",G$6,$F$2)</f>
        <v>0</v>
      </c>
      <c r="H785" s="18">
        <f>_xll.ciqfunctions.udf.CIQ($C$2,"IQ_PENSION_BREAKDOWN_PCT_EQ_DOM",H$6,$F$2)</f>
        <v>0</v>
      </c>
      <c r="I785" s="18">
        <f>_xll.ciqfunctions.udf.CIQ($C$2,"IQ_PENSION_BREAKDOWN_PCT_EQ_DOM",I$6,$F$2)</f>
        <v>0</v>
      </c>
      <c r="J785" s="18">
        <f>_xll.ciqfunctions.udf.CIQ($C$2,"IQ_PENSION_BREAKDOWN_PCT_EQ_DOM",J$6,$F$2)</f>
        <v>4.7979000000000003</v>
      </c>
      <c r="K785" s="18">
        <f>_xll.ciqfunctions.udf.CIQ($C$2,"IQ_PENSION_BREAKDOWN_PCT_EQ_DOM",K$6,$F$2)</f>
        <v>0</v>
      </c>
      <c r="L785" s="18">
        <f>_xll.ciqfunctions.udf.CIQ($C$2,"IQ_PENSION_BREAKDOWN_PCT_EQ_DOM",L$6,$F$2)</f>
        <v>0</v>
      </c>
      <c r="M785" s="18">
        <f>_xll.ciqfunctions.udf.CIQ($C$2,"IQ_PENSION_BREAKDOWN_PCT_EQ_DOM",M$6,$F$2)</f>
        <v>0</v>
      </c>
      <c r="N785" s="18">
        <f>_xll.ciqfunctions.udf.CIQ($C$2,"IQ_PENSION_BREAKDOWN_PCT_EQ_DOM",N$6,$F$2)</f>
        <v>6.0309999999999997</v>
      </c>
      <c r="O785" s="30"/>
      <c r="P785" s="18">
        <f>_xll.ciqfunctions.udf.CIQ($C$2,"IQ_PENSION_BREAKDOWN_PCT_EQ_DOM",P$6,$F$2)</f>
        <v>6.0309999999999997</v>
      </c>
      <c r="Q785" s="245"/>
      <c r="R785" s="215"/>
      <c r="S785" s="215"/>
      <c r="T785" s="215"/>
      <c r="U785" s="215"/>
      <c r="V785" s="222"/>
      <c r="W785" s="222"/>
      <c r="X785" s="222"/>
      <c r="Y785" s="215"/>
      <c r="Z785" s="215"/>
      <c r="AA785" s="215"/>
      <c r="AB785" s="215"/>
      <c r="AC785" s="215"/>
      <c r="AD785" s="215"/>
      <c r="AE785" s="215"/>
      <c r="AF785" s="215"/>
      <c r="AG785" s="215"/>
      <c r="AH785" s="215"/>
      <c r="AI785" s="215"/>
      <c r="AJ785" s="215"/>
      <c r="AK785" s="215"/>
      <c r="AL785" s="215"/>
      <c r="AM785" s="215"/>
      <c r="AN785" s="215"/>
      <c r="AO785" s="215"/>
      <c r="AP785" s="215"/>
      <c r="AQ785" s="215"/>
      <c r="AR785" s="215"/>
      <c r="AS785" s="215"/>
      <c r="AT785" s="215"/>
      <c r="AU785" s="215"/>
      <c r="AV785" s="215"/>
      <c r="AW785" s="215"/>
      <c r="AX785" s="215"/>
      <c r="AY785" s="215"/>
      <c r="AZ785" s="215"/>
      <c r="BA785" s="215"/>
      <c r="BB785" s="215"/>
      <c r="BC785" s="215"/>
      <c r="BD785" s="215"/>
      <c r="BE785" s="215"/>
      <c r="BF785" s="215"/>
      <c r="BG785" s="215"/>
      <c r="BH785" s="215"/>
      <c r="BI785" s="215"/>
      <c r="BJ785" s="215"/>
      <c r="BK785" s="215"/>
      <c r="BL785" s="215"/>
      <c r="BM785" s="215"/>
      <c r="BN785" s="215"/>
      <c r="BO785" s="215"/>
      <c r="BP785" s="215"/>
      <c r="BQ785" s="215"/>
      <c r="BR785" s="215"/>
      <c r="BS785" s="215"/>
      <c r="BT785" s="215"/>
      <c r="BU785" s="215"/>
      <c r="BV785" s="215"/>
      <c r="BW785" s="215"/>
      <c r="BX785" s="215"/>
      <c r="BY785" s="215"/>
      <c r="BZ785" s="215"/>
    </row>
    <row r="786" spans="1:78" outlineLevel="1" x14ac:dyDescent="0.2">
      <c r="A786" s="2" t="str">
        <f>'Language Index'!A534</f>
        <v>Plan Assets - Fixed Income (%)</v>
      </c>
      <c r="B786" s="17"/>
      <c r="C786" s="17"/>
      <c r="D786" s="18">
        <f>_xll.ciqfunctions.udf.CIQ($C$2,"IQ_PENSION_BREAKDOWN_PCT_FI_DOM",D$6,$F$2)</f>
        <v>0</v>
      </c>
      <c r="E786" s="18">
        <f>_xll.ciqfunctions.udf.CIQ($C$2,"IQ_PENSION_BREAKDOWN_PCT_FI_DOM",E$6,$F$2)</f>
        <v>0</v>
      </c>
      <c r="F786" s="18">
        <f>_xll.ciqfunctions.udf.CIQ($C$2,"IQ_PENSION_BREAKDOWN_PCT_FI_DOM",F$6,$F$2)</f>
        <v>76.470100000000002</v>
      </c>
      <c r="G786" s="18">
        <f>_xll.ciqfunctions.udf.CIQ($C$2,"IQ_PENSION_BREAKDOWN_PCT_FI_DOM",G$6,$F$2)</f>
        <v>0</v>
      </c>
      <c r="H786" s="18">
        <f>_xll.ciqfunctions.udf.CIQ($C$2,"IQ_PENSION_BREAKDOWN_PCT_FI_DOM",H$6,$F$2)</f>
        <v>0</v>
      </c>
      <c r="I786" s="18">
        <f>_xll.ciqfunctions.udf.CIQ($C$2,"IQ_PENSION_BREAKDOWN_PCT_FI_DOM",I$6,$F$2)</f>
        <v>0</v>
      </c>
      <c r="J786" s="18">
        <f>_xll.ciqfunctions.udf.CIQ($C$2,"IQ_PENSION_BREAKDOWN_PCT_FI_DOM",J$6,$F$2)</f>
        <v>67.568600000000004</v>
      </c>
      <c r="K786" s="18">
        <f>_xll.ciqfunctions.udf.CIQ($C$2,"IQ_PENSION_BREAKDOWN_PCT_FI_DOM",K$6,$F$2)</f>
        <v>0</v>
      </c>
      <c r="L786" s="18">
        <f>_xll.ciqfunctions.udf.CIQ($C$2,"IQ_PENSION_BREAKDOWN_PCT_FI_DOM",L$6,$F$2)</f>
        <v>0</v>
      </c>
      <c r="M786" s="18">
        <f>_xll.ciqfunctions.udf.CIQ($C$2,"IQ_PENSION_BREAKDOWN_PCT_FI_DOM",M$6,$F$2)</f>
        <v>0</v>
      </c>
      <c r="N786" s="18">
        <f>_xll.ciqfunctions.udf.CIQ($C$2,"IQ_PENSION_BREAKDOWN_PCT_FI_DOM",N$6,$F$2)</f>
        <v>61.533700000000003</v>
      </c>
      <c r="O786" s="30"/>
      <c r="P786" s="18">
        <f>_xll.ciqfunctions.udf.CIQ($C$2,"IQ_PENSION_BREAKDOWN_PCT_FI_DOM",P$6,$F$2)</f>
        <v>61.533700000000003</v>
      </c>
      <c r="Q786" s="245"/>
      <c r="R786" s="215"/>
      <c r="S786" s="215"/>
      <c r="T786" s="215"/>
      <c r="U786" s="215"/>
      <c r="V786" s="222"/>
      <c r="W786" s="222"/>
      <c r="X786" s="222"/>
      <c r="Y786" s="215"/>
      <c r="Z786" s="215"/>
      <c r="AA786" s="215"/>
      <c r="AB786" s="215"/>
      <c r="AC786" s="215"/>
      <c r="AD786" s="215"/>
      <c r="AE786" s="215"/>
      <c r="AF786" s="215"/>
      <c r="AG786" s="215"/>
      <c r="AH786" s="215"/>
      <c r="AI786" s="215"/>
      <c r="AJ786" s="215"/>
      <c r="AK786" s="215"/>
      <c r="AL786" s="215"/>
      <c r="AM786" s="215"/>
      <c r="AN786" s="215"/>
      <c r="AO786" s="215"/>
      <c r="AP786" s="215"/>
      <c r="AQ786" s="215"/>
      <c r="AR786" s="215"/>
      <c r="AS786" s="215"/>
      <c r="AT786" s="215"/>
      <c r="AU786" s="215"/>
      <c r="AV786" s="215"/>
      <c r="AW786" s="215"/>
      <c r="AX786" s="215"/>
      <c r="AY786" s="215"/>
      <c r="AZ786" s="215"/>
      <c r="BA786" s="215"/>
      <c r="BB786" s="215"/>
      <c r="BC786" s="215"/>
      <c r="BD786" s="215"/>
      <c r="BE786" s="215"/>
      <c r="BF786" s="215"/>
      <c r="BG786" s="215"/>
      <c r="BH786" s="215"/>
      <c r="BI786" s="215"/>
      <c r="BJ786" s="215"/>
      <c r="BK786" s="215"/>
      <c r="BL786" s="215"/>
      <c r="BM786" s="215"/>
      <c r="BN786" s="215"/>
      <c r="BO786" s="215"/>
      <c r="BP786" s="215"/>
      <c r="BQ786" s="215"/>
      <c r="BR786" s="215"/>
      <c r="BS786" s="215"/>
      <c r="BT786" s="215"/>
      <c r="BU786" s="215"/>
      <c r="BV786" s="215"/>
      <c r="BW786" s="215"/>
      <c r="BX786" s="215"/>
      <c r="BY786" s="215"/>
      <c r="BZ786" s="215"/>
    </row>
    <row r="787" spans="1:78" outlineLevel="1" x14ac:dyDescent="0.2">
      <c r="A787" s="2" t="str">
        <f>'Language Index'!A535</f>
        <v>Plan Assets- Real Estate (%)</v>
      </c>
      <c r="B787" s="17"/>
      <c r="C787" s="17"/>
      <c r="D787" s="18">
        <f>_xll.ciqfunctions.udf.CIQ($C$2,"IQ_PENSION_BREAKDOWN_PCT_RE_DOM",D$6,$F$2)</f>
        <v>0</v>
      </c>
      <c r="E787" s="18">
        <f>_xll.ciqfunctions.udf.CIQ($C$2,"IQ_PENSION_BREAKDOWN_PCT_RE_DOM",E$6,$F$2)</f>
        <v>0</v>
      </c>
      <c r="F787" s="18">
        <f>_xll.ciqfunctions.udf.CIQ($C$2,"IQ_PENSION_BREAKDOWN_PCT_RE_DOM",F$6,$F$2)</f>
        <v>0</v>
      </c>
      <c r="G787" s="18">
        <f>_xll.ciqfunctions.udf.CIQ($C$2,"IQ_PENSION_BREAKDOWN_PCT_RE_DOM",G$6,$F$2)</f>
        <v>0</v>
      </c>
      <c r="H787" s="18">
        <f>_xll.ciqfunctions.udf.CIQ($C$2,"IQ_PENSION_BREAKDOWN_PCT_RE_DOM",H$6,$F$2)</f>
        <v>0</v>
      </c>
      <c r="I787" s="18">
        <f>_xll.ciqfunctions.udf.CIQ($C$2,"IQ_PENSION_BREAKDOWN_PCT_RE_DOM",I$6,$F$2)</f>
        <v>0</v>
      </c>
      <c r="J787" s="18">
        <f>_xll.ciqfunctions.udf.CIQ($C$2,"IQ_PENSION_BREAKDOWN_PCT_RE_DOM",J$6,$F$2)</f>
        <v>0</v>
      </c>
      <c r="K787" s="18">
        <f>_xll.ciqfunctions.udf.CIQ($C$2,"IQ_PENSION_BREAKDOWN_PCT_RE_DOM",K$6,$F$2)</f>
        <v>0</v>
      </c>
      <c r="L787" s="18">
        <f>_xll.ciqfunctions.udf.CIQ($C$2,"IQ_PENSION_BREAKDOWN_PCT_RE_DOM",L$6,$F$2)</f>
        <v>0</v>
      </c>
      <c r="M787" s="18">
        <f>_xll.ciqfunctions.udf.CIQ($C$2,"IQ_PENSION_BREAKDOWN_PCT_RE_DOM",M$6,$F$2)</f>
        <v>0</v>
      </c>
      <c r="N787" s="18">
        <f>_xll.ciqfunctions.udf.CIQ($C$2,"IQ_PENSION_BREAKDOWN_PCT_RE_DOM",N$6,$F$2)</f>
        <v>0</v>
      </c>
      <c r="O787" s="30"/>
      <c r="P787" s="18">
        <f>_xll.ciqfunctions.udf.CIQ($C$2,"IQ_PENSION_BREAKDOWN_PCT_RE_DOM",P$6,$F$2)</f>
        <v>0</v>
      </c>
      <c r="Q787" s="245"/>
      <c r="R787" s="215"/>
      <c r="S787" s="215"/>
      <c r="T787" s="215"/>
      <c r="U787" s="215"/>
      <c r="V787" s="222"/>
      <c r="W787" s="222"/>
      <c r="X787" s="222"/>
      <c r="Y787" s="215"/>
      <c r="Z787" s="215"/>
      <c r="AA787" s="215"/>
      <c r="AB787" s="215"/>
      <c r="AC787" s="215"/>
      <c r="AD787" s="215"/>
      <c r="AE787" s="215"/>
      <c r="AF787" s="215"/>
      <c r="AG787" s="215"/>
      <c r="AH787" s="215"/>
      <c r="AI787" s="215"/>
      <c r="AJ787" s="215"/>
      <c r="AK787" s="215"/>
      <c r="AL787" s="215"/>
      <c r="AM787" s="215"/>
      <c r="AN787" s="215"/>
      <c r="AO787" s="215"/>
      <c r="AP787" s="215"/>
      <c r="AQ787" s="215"/>
      <c r="AR787" s="215"/>
      <c r="AS787" s="215"/>
      <c r="AT787" s="215"/>
      <c r="AU787" s="215"/>
      <c r="AV787" s="215"/>
      <c r="AW787" s="215"/>
      <c r="AX787" s="215"/>
      <c r="AY787" s="215"/>
      <c r="AZ787" s="215"/>
      <c r="BA787" s="215"/>
      <c r="BB787" s="215"/>
      <c r="BC787" s="215"/>
      <c r="BD787" s="215"/>
      <c r="BE787" s="215"/>
      <c r="BF787" s="215"/>
      <c r="BG787" s="215"/>
      <c r="BH787" s="215"/>
      <c r="BI787" s="215"/>
      <c r="BJ787" s="215"/>
      <c r="BK787" s="215"/>
      <c r="BL787" s="215"/>
      <c r="BM787" s="215"/>
      <c r="BN787" s="215"/>
      <c r="BO787" s="215"/>
      <c r="BP787" s="215"/>
      <c r="BQ787" s="215"/>
      <c r="BR787" s="215"/>
      <c r="BS787" s="215"/>
      <c r="BT787" s="215"/>
      <c r="BU787" s="215"/>
      <c r="BV787" s="215"/>
      <c r="BW787" s="215"/>
      <c r="BX787" s="215"/>
      <c r="BY787" s="215"/>
      <c r="BZ787" s="215"/>
    </row>
    <row r="788" spans="1:78" outlineLevel="1" x14ac:dyDescent="0.2">
      <c r="A788" s="2" t="str">
        <f>'Language Index'!A536</f>
        <v>Other Plan Assets (%)</v>
      </c>
      <c r="B788" s="17"/>
      <c r="C788" s="17"/>
      <c r="D788" s="18">
        <f>_xll.ciqfunctions.udf.CIQ($C$2,"IQ_PENSION_BREAKDOWN_PCT_OTHER_DOM",D$6,$F$2)</f>
        <v>0</v>
      </c>
      <c r="E788" s="18">
        <f>_xll.ciqfunctions.udf.CIQ($C$2,"IQ_PENSION_BREAKDOWN_PCT_OTHER_DOM",E$6,$F$2)</f>
        <v>0</v>
      </c>
      <c r="F788" s="18">
        <f>_xll.ciqfunctions.udf.CIQ($C$2,"IQ_PENSION_BREAKDOWN_PCT_OTHER_DOM",F$6,$F$2)</f>
        <v>20.264299999999999</v>
      </c>
      <c r="G788" s="18">
        <f>_xll.ciqfunctions.udf.CIQ($C$2,"IQ_PENSION_BREAKDOWN_PCT_OTHER_DOM",G$6,$F$2)</f>
        <v>0</v>
      </c>
      <c r="H788" s="18">
        <f>_xll.ciqfunctions.udf.CIQ($C$2,"IQ_PENSION_BREAKDOWN_PCT_OTHER_DOM",H$6,$F$2)</f>
        <v>0</v>
      </c>
      <c r="I788" s="18">
        <f>_xll.ciqfunctions.udf.CIQ($C$2,"IQ_PENSION_BREAKDOWN_PCT_OTHER_DOM",I$6,$F$2)</f>
        <v>0</v>
      </c>
      <c r="J788" s="18">
        <f>_xll.ciqfunctions.udf.CIQ($C$2,"IQ_PENSION_BREAKDOWN_PCT_OTHER_DOM",J$6,$F$2)</f>
        <v>27.627700000000001</v>
      </c>
      <c r="K788" s="18">
        <f>_xll.ciqfunctions.udf.CIQ($C$2,"IQ_PENSION_BREAKDOWN_PCT_OTHER_DOM",K$6,$F$2)</f>
        <v>0</v>
      </c>
      <c r="L788" s="18">
        <f>_xll.ciqfunctions.udf.CIQ($C$2,"IQ_PENSION_BREAKDOWN_PCT_OTHER_DOM",L$6,$F$2)</f>
        <v>0</v>
      </c>
      <c r="M788" s="18">
        <f>_xll.ciqfunctions.udf.CIQ($C$2,"IQ_PENSION_BREAKDOWN_PCT_OTHER_DOM",M$6,$F$2)</f>
        <v>0</v>
      </c>
      <c r="N788" s="18">
        <f>_xll.ciqfunctions.udf.CIQ($C$2,"IQ_PENSION_BREAKDOWN_PCT_OTHER_DOM",N$6,$F$2)</f>
        <v>32.435099999999998</v>
      </c>
      <c r="O788" s="30"/>
      <c r="P788" s="18">
        <f>_xll.ciqfunctions.udf.CIQ($C$2,"IQ_PENSION_BREAKDOWN_PCT_OTHER_DOM",P$6,$F$2)</f>
        <v>32.435099999999998</v>
      </c>
      <c r="Q788" s="215"/>
      <c r="R788" s="215"/>
      <c r="S788" s="215"/>
      <c r="T788" s="215"/>
      <c r="U788" s="215"/>
      <c r="V788" s="222"/>
      <c r="W788" s="222"/>
      <c r="X788" s="222"/>
      <c r="Y788" s="215"/>
      <c r="Z788" s="215"/>
      <c r="AA788" s="215"/>
      <c r="AB788" s="215"/>
      <c r="AC788" s="215"/>
      <c r="AD788" s="215"/>
      <c r="AE788" s="215"/>
      <c r="AF788" s="215"/>
      <c r="AG788" s="215"/>
      <c r="AH788" s="215"/>
      <c r="AI788" s="215"/>
      <c r="AJ788" s="215"/>
      <c r="AK788" s="215"/>
      <c r="AL788" s="215"/>
      <c r="AM788" s="215"/>
      <c r="AN788" s="215"/>
      <c r="AO788" s="215"/>
      <c r="AP788" s="215"/>
      <c r="AQ788" s="215"/>
      <c r="AR788" s="215"/>
      <c r="AS788" s="215"/>
      <c r="AT788" s="215"/>
      <c r="AU788" s="215"/>
      <c r="AV788" s="215"/>
      <c r="AW788" s="215"/>
      <c r="AX788" s="215"/>
      <c r="AY788" s="215"/>
      <c r="AZ788" s="215"/>
      <c r="BA788" s="215"/>
      <c r="BB788" s="215"/>
      <c r="BC788" s="215"/>
      <c r="BD788" s="215"/>
      <c r="BE788" s="215"/>
      <c r="BF788" s="215"/>
      <c r="BG788" s="215"/>
      <c r="BH788" s="215"/>
      <c r="BI788" s="215"/>
      <c r="BJ788" s="215"/>
      <c r="BK788" s="215"/>
      <c r="BL788" s="215"/>
      <c r="BM788" s="215"/>
      <c r="BN788" s="215"/>
      <c r="BO788" s="215"/>
      <c r="BP788" s="215"/>
      <c r="BQ788" s="215"/>
      <c r="BR788" s="215"/>
      <c r="BS788" s="215"/>
      <c r="BT788" s="215"/>
      <c r="BU788" s="215"/>
      <c r="BV788" s="215"/>
      <c r="BW788" s="215"/>
      <c r="BX788" s="215"/>
      <c r="BY788" s="215"/>
      <c r="BZ788" s="215"/>
    </row>
    <row r="789" spans="1:78" outlineLevel="1" x14ac:dyDescent="0.2">
      <c r="A789" s="9" t="str">
        <f>'Language Index'!A532</f>
        <v>Breakdown of Plan Assets</v>
      </c>
      <c r="B789" s="17"/>
      <c r="C789" s="17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30"/>
      <c r="P789" s="18"/>
      <c r="Q789" s="215"/>
      <c r="R789" s="215"/>
      <c r="S789" s="215"/>
      <c r="T789" s="215"/>
      <c r="U789" s="215"/>
      <c r="V789" s="222"/>
      <c r="W789" s="222"/>
      <c r="X789" s="222"/>
      <c r="Y789" s="215"/>
      <c r="Z789" s="215"/>
      <c r="AA789" s="215"/>
      <c r="AB789" s="215"/>
      <c r="AC789" s="215"/>
      <c r="AD789" s="215"/>
      <c r="AE789" s="215"/>
      <c r="AF789" s="215"/>
      <c r="AG789" s="215"/>
      <c r="AH789" s="215"/>
      <c r="AI789" s="215"/>
      <c r="AJ789" s="215"/>
      <c r="AK789" s="215"/>
      <c r="AL789" s="215"/>
      <c r="AM789" s="215"/>
      <c r="AN789" s="215"/>
      <c r="AO789" s="215"/>
      <c r="AP789" s="215"/>
      <c r="AQ789" s="215"/>
      <c r="AR789" s="215"/>
      <c r="AS789" s="215"/>
      <c r="AT789" s="215"/>
      <c r="AU789" s="215"/>
      <c r="AV789" s="215"/>
      <c r="AW789" s="215"/>
      <c r="AX789" s="215"/>
      <c r="AY789" s="215"/>
      <c r="AZ789" s="215"/>
      <c r="BA789" s="215"/>
      <c r="BB789" s="215"/>
      <c r="BC789" s="215"/>
      <c r="BD789" s="215"/>
      <c r="BE789" s="215"/>
      <c r="BF789" s="215"/>
      <c r="BG789" s="215"/>
      <c r="BH789" s="215"/>
      <c r="BI789" s="215"/>
      <c r="BJ789" s="215"/>
      <c r="BK789" s="215"/>
      <c r="BL789" s="215"/>
      <c r="BM789" s="215"/>
      <c r="BN789" s="215"/>
      <c r="BO789" s="215"/>
      <c r="BP789" s="215"/>
      <c r="BQ789" s="215"/>
      <c r="BR789" s="215"/>
      <c r="BS789" s="215"/>
      <c r="BT789" s="215"/>
      <c r="BU789" s="215"/>
      <c r="BV789" s="215"/>
      <c r="BW789" s="215"/>
      <c r="BX789" s="215"/>
      <c r="BY789" s="215"/>
      <c r="BZ789" s="215"/>
    </row>
    <row r="790" spans="1:78" outlineLevel="1" x14ac:dyDescent="0.2">
      <c r="A790" s="2" t="str">
        <f>'Language Index'!A537</f>
        <v>Plan Assets - Equities</v>
      </c>
      <c r="B790" s="17"/>
      <c r="C790" s="17"/>
      <c r="D790" s="18">
        <f>_xll.ciqfunctions.udf.CIQ($C$2,"IQ_PENSION_BREAKDOWN_EQ_DOM",D$6,$F$2,,,Ccy,Conv)</f>
        <v>0</v>
      </c>
      <c r="E790" s="18">
        <f>_xll.ciqfunctions.udf.CIQ($C$2,"IQ_PENSION_BREAKDOWN_EQ_DOM",E$6,$F$2,,,Ccy,Conv)</f>
        <v>0</v>
      </c>
      <c r="F790" s="18">
        <f>_xll.ciqfunctions.udf.CIQ($C$2,"IQ_PENSION_BREAKDOWN_EQ_DOM",F$6,$F$2,,,Ccy,Conv)</f>
        <v>799</v>
      </c>
      <c r="G790" s="18">
        <f>_xll.ciqfunctions.udf.CIQ($C$2,"IQ_PENSION_BREAKDOWN_EQ_DOM",G$6,$F$2,,,Ccy,Conv)</f>
        <v>0</v>
      </c>
      <c r="H790" s="18">
        <f>_xll.ciqfunctions.udf.CIQ($C$2,"IQ_PENSION_BREAKDOWN_EQ_DOM",H$6,$F$2,,,Ccy,Conv)</f>
        <v>0</v>
      </c>
      <c r="I790" s="18">
        <f>_xll.ciqfunctions.udf.CIQ($C$2,"IQ_PENSION_BREAKDOWN_EQ_DOM",I$6,$F$2,,,Ccy,Conv)</f>
        <v>0</v>
      </c>
      <c r="J790" s="18">
        <f>_xll.ciqfunctions.udf.CIQ($C$2,"IQ_PENSION_BREAKDOWN_EQ_DOM",J$6,$F$2,,,Ccy,Conv)</f>
        <v>844</v>
      </c>
      <c r="K790" s="18">
        <f>_xll.ciqfunctions.udf.CIQ($C$2,"IQ_PENSION_BREAKDOWN_EQ_DOM",K$6,$F$2,,,Ccy,Conv)</f>
        <v>0</v>
      </c>
      <c r="L790" s="18">
        <f>_xll.ciqfunctions.udf.CIQ($C$2,"IQ_PENSION_BREAKDOWN_EQ_DOM",L$6,$F$2,,,Ccy,Conv)</f>
        <v>0</v>
      </c>
      <c r="M790" s="18">
        <f>_xll.ciqfunctions.udf.CIQ($C$2,"IQ_PENSION_BREAKDOWN_EQ_DOM",M$6,$F$2,,,Ccy,Conv)</f>
        <v>0</v>
      </c>
      <c r="N790" s="18">
        <f>_xll.ciqfunctions.udf.CIQ($C$2,"IQ_PENSION_BREAKDOWN_EQ_DOM",N$6,$F$2,,,Ccy,Conv)</f>
        <v>1090</v>
      </c>
      <c r="O790" s="30"/>
      <c r="P790" s="18">
        <f>_xll.ciqfunctions.udf.CIQ($C$2,"IQ_PENSION_BREAKDOWN_EQ_DOM",P$6,$F$2,,,Ccy,Conv)</f>
        <v>1090</v>
      </c>
      <c r="Q790" s="215"/>
      <c r="R790" s="215"/>
      <c r="S790" s="215"/>
      <c r="T790" s="215"/>
      <c r="U790" s="215"/>
      <c r="V790" s="222"/>
      <c r="W790" s="222"/>
      <c r="X790" s="222"/>
      <c r="Y790" s="215"/>
      <c r="Z790" s="215"/>
      <c r="AA790" s="215"/>
      <c r="AB790" s="215"/>
      <c r="AC790" s="215"/>
      <c r="AD790" s="215"/>
      <c r="AE790" s="215"/>
      <c r="AF790" s="215"/>
      <c r="AG790" s="215"/>
      <c r="AH790" s="215"/>
      <c r="AI790" s="215"/>
      <c r="AJ790" s="215"/>
      <c r="AK790" s="215"/>
      <c r="AL790" s="215"/>
      <c r="AM790" s="215"/>
      <c r="AN790" s="215"/>
      <c r="AO790" s="215"/>
      <c r="AP790" s="215"/>
      <c r="AQ790" s="215"/>
      <c r="AR790" s="215"/>
      <c r="AS790" s="215"/>
      <c r="AT790" s="215"/>
      <c r="AU790" s="215"/>
      <c r="AV790" s="215"/>
      <c r="AW790" s="215"/>
      <c r="AX790" s="215"/>
      <c r="AY790" s="215"/>
      <c r="AZ790" s="215"/>
      <c r="BA790" s="215"/>
      <c r="BB790" s="215"/>
      <c r="BC790" s="215"/>
      <c r="BD790" s="215"/>
      <c r="BE790" s="215"/>
      <c r="BF790" s="215"/>
      <c r="BG790" s="215"/>
      <c r="BH790" s="215"/>
      <c r="BI790" s="215"/>
      <c r="BJ790" s="215"/>
      <c r="BK790" s="215"/>
      <c r="BL790" s="215"/>
      <c r="BM790" s="215"/>
      <c r="BN790" s="215"/>
      <c r="BO790" s="215"/>
      <c r="BP790" s="215"/>
      <c r="BQ790" s="215"/>
      <c r="BR790" s="215"/>
      <c r="BS790" s="215"/>
      <c r="BT790" s="215"/>
      <c r="BU790" s="215"/>
      <c r="BV790" s="215"/>
      <c r="BW790" s="215"/>
      <c r="BX790" s="215"/>
      <c r="BY790" s="215"/>
      <c r="BZ790" s="215"/>
    </row>
    <row r="791" spans="1:78" outlineLevel="1" x14ac:dyDescent="0.2">
      <c r="A791" s="2" t="str">
        <f>'Language Index'!A538</f>
        <v>Plan Assets - Fixed Income</v>
      </c>
      <c r="B791" s="17"/>
      <c r="C791" s="17"/>
      <c r="D791" s="18">
        <f>_xll.ciqfunctions.udf.CIQ($C$2,"IQ_PENSION_BREAKDOWN_FI_DOM",D$6,$F$2,,,Ccy,Conv)</f>
        <v>0</v>
      </c>
      <c r="E791" s="18">
        <f>_xll.ciqfunctions.udf.CIQ($C$2,"IQ_PENSION_BREAKDOWN_FI_DOM",E$6,$F$2,,,Ccy,Conv)</f>
        <v>0</v>
      </c>
      <c r="F791" s="18">
        <f>_xll.ciqfunctions.udf.CIQ($C$2,"IQ_PENSION_BREAKDOWN_FI_DOM",F$6,$F$2,,,Ccy,Conv)</f>
        <v>18687</v>
      </c>
      <c r="G791" s="18">
        <f>_xll.ciqfunctions.udf.CIQ($C$2,"IQ_PENSION_BREAKDOWN_FI_DOM",G$6,$F$2,,,Ccy,Conv)</f>
        <v>0</v>
      </c>
      <c r="H791" s="18">
        <f>_xll.ciqfunctions.udf.CIQ($C$2,"IQ_PENSION_BREAKDOWN_FI_DOM",H$6,$F$2,,,Ccy,Conv)</f>
        <v>0</v>
      </c>
      <c r="I791" s="18">
        <f>_xll.ciqfunctions.udf.CIQ($C$2,"IQ_PENSION_BREAKDOWN_FI_DOM",I$6,$F$2,,,Ccy,Conv)</f>
        <v>0</v>
      </c>
      <c r="J791" s="18">
        <f>_xll.ciqfunctions.udf.CIQ($C$2,"IQ_PENSION_BREAKDOWN_FI_DOM",J$6,$F$2,,,Ccy,Conv)</f>
        <v>11886</v>
      </c>
      <c r="K791" s="18">
        <f>_xll.ciqfunctions.udf.CIQ($C$2,"IQ_PENSION_BREAKDOWN_FI_DOM",K$6,$F$2,,,Ccy,Conv)</f>
        <v>0</v>
      </c>
      <c r="L791" s="18">
        <f>_xll.ciqfunctions.udf.CIQ($C$2,"IQ_PENSION_BREAKDOWN_FI_DOM",L$6,$F$2,,,Ccy,Conv)</f>
        <v>0</v>
      </c>
      <c r="M791" s="18">
        <f>_xll.ciqfunctions.udf.CIQ($C$2,"IQ_PENSION_BREAKDOWN_FI_DOM",M$6,$F$2,,,Ccy,Conv)</f>
        <v>0</v>
      </c>
      <c r="N791" s="18">
        <f>_xll.ciqfunctions.udf.CIQ($C$2,"IQ_PENSION_BREAKDOWN_FI_DOM",N$6,$F$2,,,Ccy,Conv)</f>
        <v>11121</v>
      </c>
      <c r="O791" s="30"/>
      <c r="P791" s="18">
        <f>_xll.ciqfunctions.udf.CIQ($C$2,"IQ_PENSION_BREAKDOWN_FI_DOM",P$6,$F$2,,,Ccy,Conv)</f>
        <v>11121</v>
      </c>
      <c r="Q791" s="215"/>
      <c r="R791" s="215"/>
      <c r="S791" s="215"/>
      <c r="T791" s="215"/>
      <c r="U791" s="215"/>
      <c r="V791" s="222"/>
      <c r="W791" s="222"/>
      <c r="X791" s="222"/>
      <c r="Y791" s="215"/>
      <c r="Z791" s="215"/>
      <c r="AA791" s="215"/>
      <c r="AB791" s="215"/>
      <c r="AC791" s="215"/>
      <c r="AD791" s="215"/>
      <c r="AE791" s="215"/>
      <c r="AF791" s="215"/>
      <c r="AG791" s="215"/>
      <c r="AH791" s="215"/>
      <c r="AI791" s="215"/>
      <c r="AJ791" s="215"/>
      <c r="AK791" s="215"/>
      <c r="AL791" s="215"/>
      <c r="AM791" s="215"/>
      <c r="AN791" s="215"/>
      <c r="AO791" s="215"/>
      <c r="AP791" s="215"/>
      <c r="AQ791" s="215"/>
      <c r="AR791" s="215"/>
      <c r="AS791" s="215"/>
      <c r="AT791" s="215"/>
      <c r="AU791" s="215"/>
      <c r="AV791" s="215"/>
      <c r="AW791" s="215"/>
      <c r="AX791" s="215"/>
      <c r="AY791" s="215"/>
      <c r="AZ791" s="215"/>
      <c r="BA791" s="215"/>
      <c r="BB791" s="215"/>
      <c r="BC791" s="215"/>
      <c r="BD791" s="215"/>
      <c r="BE791" s="215"/>
      <c r="BF791" s="215"/>
      <c r="BG791" s="215"/>
      <c r="BH791" s="215"/>
      <c r="BI791" s="215"/>
      <c r="BJ791" s="215"/>
      <c r="BK791" s="215"/>
      <c r="BL791" s="215"/>
      <c r="BM791" s="215"/>
      <c r="BN791" s="215"/>
      <c r="BO791" s="215"/>
      <c r="BP791" s="215"/>
      <c r="BQ791" s="215"/>
      <c r="BR791" s="215"/>
      <c r="BS791" s="215"/>
      <c r="BT791" s="215"/>
      <c r="BU791" s="215"/>
      <c r="BV791" s="215"/>
      <c r="BW791" s="215"/>
      <c r="BX791" s="215"/>
      <c r="BY791" s="215"/>
      <c r="BZ791" s="215"/>
    </row>
    <row r="792" spans="1:78" outlineLevel="1" x14ac:dyDescent="0.2">
      <c r="A792" s="2" t="str">
        <f>'Language Index'!A539</f>
        <v>Plan Assets- Real Estate</v>
      </c>
      <c r="B792" s="17"/>
      <c r="C792" s="17"/>
      <c r="D792" s="18">
        <f>_xll.ciqfunctions.udf.CIQ($C$2,"IQ_PENSION_BREAKDOWN_RE_DOM",D$6,$F$2,,,Ccy,Conv)</f>
        <v>0</v>
      </c>
      <c r="E792" s="18">
        <f>_xll.ciqfunctions.udf.CIQ($C$2,"IQ_PENSION_BREAKDOWN_RE_DOM",E$6,$F$2,,,Ccy,Conv)</f>
        <v>0</v>
      </c>
      <c r="F792" s="18">
        <f>_xll.ciqfunctions.udf.CIQ($C$2,"IQ_PENSION_BREAKDOWN_RE_DOM",F$6,$F$2,,,Ccy,Conv)</f>
        <v>0</v>
      </c>
      <c r="G792" s="18">
        <f>_xll.ciqfunctions.udf.CIQ($C$2,"IQ_PENSION_BREAKDOWN_RE_DOM",G$6,$F$2,,,Ccy,Conv)</f>
        <v>0</v>
      </c>
      <c r="H792" s="18">
        <f>_xll.ciqfunctions.udf.CIQ($C$2,"IQ_PENSION_BREAKDOWN_RE_DOM",H$6,$F$2,,,Ccy,Conv)</f>
        <v>0</v>
      </c>
      <c r="I792" s="18">
        <f>_xll.ciqfunctions.udf.CIQ($C$2,"IQ_PENSION_BREAKDOWN_RE_DOM",I$6,$F$2,,,Ccy,Conv)</f>
        <v>0</v>
      </c>
      <c r="J792" s="18">
        <f>_xll.ciqfunctions.udf.CIQ($C$2,"IQ_PENSION_BREAKDOWN_RE_DOM",J$6,$F$2,,,Ccy,Conv)</f>
        <v>0</v>
      </c>
      <c r="K792" s="18">
        <f>_xll.ciqfunctions.udf.CIQ($C$2,"IQ_PENSION_BREAKDOWN_RE_DOM",K$6,$F$2,,,Ccy,Conv)</f>
        <v>0</v>
      </c>
      <c r="L792" s="18">
        <f>_xll.ciqfunctions.udf.CIQ($C$2,"IQ_PENSION_BREAKDOWN_RE_DOM",L$6,$F$2,,,Ccy,Conv)</f>
        <v>0</v>
      </c>
      <c r="M792" s="18">
        <f>_xll.ciqfunctions.udf.CIQ($C$2,"IQ_PENSION_BREAKDOWN_RE_DOM",M$6,$F$2,,,Ccy,Conv)</f>
        <v>0</v>
      </c>
      <c r="N792" s="18">
        <f>_xll.ciqfunctions.udf.CIQ($C$2,"IQ_PENSION_BREAKDOWN_RE_DOM",N$6,$F$2,,,Ccy,Conv)</f>
        <v>0</v>
      </c>
      <c r="O792" s="30"/>
      <c r="P792" s="18">
        <f>_xll.ciqfunctions.udf.CIQ($C$2,"IQ_PENSION_BREAKDOWN_RE_DOM",P$6,$F$2,,,Ccy,Conv)</f>
        <v>0</v>
      </c>
      <c r="Q792" s="215"/>
      <c r="R792" s="215"/>
      <c r="S792" s="215"/>
      <c r="T792" s="215"/>
      <c r="U792" s="215"/>
      <c r="V792" s="222"/>
      <c r="W792" s="222"/>
      <c r="X792" s="222"/>
      <c r="Y792" s="215"/>
      <c r="Z792" s="215"/>
      <c r="AA792" s="215"/>
      <c r="AB792" s="215"/>
      <c r="AC792" s="215"/>
      <c r="AD792" s="215"/>
      <c r="AE792" s="215"/>
      <c r="AF792" s="215"/>
      <c r="AG792" s="215"/>
      <c r="AH792" s="215"/>
      <c r="AI792" s="215"/>
      <c r="AJ792" s="215"/>
      <c r="AK792" s="215"/>
      <c r="AL792" s="215"/>
      <c r="AM792" s="215"/>
      <c r="AN792" s="215"/>
      <c r="AO792" s="215"/>
      <c r="AP792" s="215"/>
      <c r="AQ792" s="215"/>
      <c r="AR792" s="215"/>
      <c r="AS792" s="215"/>
      <c r="AT792" s="215"/>
      <c r="AU792" s="215"/>
      <c r="AV792" s="215"/>
      <c r="AW792" s="215"/>
      <c r="AX792" s="215"/>
      <c r="AY792" s="215"/>
      <c r="AZ792" s="215"/>
      <c r="BA792" s="215"/>
      <c r="BB792" s="215"/>
      <c r="BC792" s="215"/>
      <c r="BD792" s="215"/>
      <c r="BE792" s="215"/>
      <c r="BF792" s="215"/>
      <c r="BG792" s="215"/>
      <c r="BH792" s="215"/>
      <c r="BI792" s="215"/>
      <c r="BJ792" s="215"/>
      <c r="BK792" s="215"/>
      <c r="BL792" s="215"/>
      <c r="BM792" s="215"/>
      <c r="BN792" s="215"/>
      <c r="BO792" s="215"/>
      <c r="BP792" s="215"/>
      <c r="BQ792" s="215"/>
      <c r="BR792" s="215"/>
      <c r="BS792" s="215"/>
      <c r="BT792" s="215"/>
      <c r="BU792" s="215"/>
      <c r="BV792" s="215"/>
      <c r="BW792" s="215"/>
      <c r="BX792" s="215"/>
      <c r="BY792" s="215"/>
      <c r="BZ792" s="215"/>
    </row>
    <row r="793" spans="1:78" outlineLevel="1" x14ac:dyDescent="0.2">
      <c r="A793" s="2" t="str">
        <f>'Language Index'!A540</f>
        <v>Other Plan Assets</v>
      </c>
      <c r="B793" s="17"/>
      <c r="C793" s="17"/>
      <c r="D793" s="18">
        <f>_xll.ciqfunctions.udf.CIQ($C$2,"IQ_PENSION_BREAKDOWN_OTHER_DOM",D$6,$F$2,,,Ccy,Conv)</f>
        <v>0</v>
      </c>
      <c r="E793" s="18">
        <f>_xll.ciqfunctions.udf.CIQ($C$2,"IQ_PENSION_BREAKDOWN_OTHER_DOM",E$6,$F$2,,,Ccy,Conv)</f>
        <v>0</v>
      </c>
      <c r="F793" s="18">
        <f>_xll.ciqfunctions.udf.CIQ($C$2,"IQ_PENSION_BREAKDOWN_OTHER_DOM",F$6,$F$2,,,Ccy,Conv)</f>
        <v>4952</v>
      </c>
      <c r="G793" s="18">
        <f>_xll.ciqfunctions.udf.CIQ($C$2,"IQ_PENSION_BREAKDOWN_OTHER_DOM",G$6,$F$2,,,Ccy,Conv)</f>
        <v>0</v>
      </c>
      <c r="H793" s="18">
        <f>_xll.ciqfunctions.udf.CIQ($C$2,"IQ_PENSION_BREAKDOWN_OTHER_DOM",H$6,$F$2,,,Ccy,Conv)</f>
        <v>0</v>
      </c>
      <c r="I793" s="18">
        <f>_xll.ciqfunctions.udf.CIQ($C$2,"IQ_PENSION_BREAKDOWN_OTHER_DOM",I$6,$F$2,,,Ccy,Conv)</f>
        <v>0</v>
      </c>
      <c r="J793" s="18">
        <f>_xll.ciqfunctions.udf.CIQ($C$2,"IQ_PENSION_BREAKDOWN_OTHER_DOM",J$6,$F$2,,,Ccy,Conv)</f>
        <v>4860</v>
      </c>
      <c r="K793" s="18">
        <f>_xll.ciqfunctions.udf.CIQ($C$2,"IQ_PENSION_BREAKDOWN_OTHER_DOM",K$6,$F$2,,,Ccy,Conv)</f>
        <v>0</v>
      </c>
      <c r="L793" s="18">
        <f>_xll.ciqfunctions.udf.CIQ($C$2,"IQ_PENSION_BREAKDOWN_OTHER_DOM",L$6,$F$2,,,Ccy,Conv)</f>
        <v>0</v>
      </c>
      <c r="M793" s="18">
        <f>_xll.ciqfunctions.udf.CIQ($C$2,"IQ_PENSION_BREAKDOWN_OTHER_DOM",M$6,$F$2,,,Ccy,Conv)</f>
        <v>0</v>
      </c>
      <c r="N793" s="18">
        <f>_xll.ciqfunctions.udf.CIQ($C$2,"IQ_PENSION_BREAKDOWN_OTHER_DOM",N$6,$F$2,,,Ccy,Conv)</f>
        <v>5862</v>
      </c>
      <c r="O793" s="30"/>
      <c r="P793" s="18">
        <f>_xll.ciqfunctions.udf.CIQ($C$2,"IQ_PENSION_BREAKDOWN_OTHER_DOM",P$6,$F$2,,,Ccy,Conv)</f>
        <v>5862</v>
      </c>
      <c r="Q793" s="215"/>
      <c r="R793" s="215"/>
      <c r="S793" s="215"/>
      <c r="T793" s="215"/>
      <c r="U793" s="215"/>
      <c r="V793" s="222"/>
      <c r="W793" s="222"/>
      <c r="X793" s="222"/>
      <c r="Y793" s="215"/>
      <c r="Z793" s="215"/>
      <c r="AA793" s="215"/>
      <c r="AB793" s="215"/>
      <c r="AC793" s="215"/>
      <c r="AD793" s="215"/>
      <c r="AE793" s="215"/>
      <c r="AF793" s="215"/>
      <c r="AG793" s="215"/>
      <c r="AH793" s="215"/>
      <c r="AI793" s="215"/>
      <c r="AJ793" s="215"/>
      <c r="AK793" s="215"/>
      <c r="AL793" s="215"/>
      <c r="AM793" s="215"/>
      <c r="AN793" s="215"/>
      <c r="AO793" s="215"/>
      <c r="AP793" s="215"/>
      <c r="AQ793" s="215"/>
      <c r="AR793" s="215"/>
      <c r="AS793" s="215"/>
      <c r="AT793" s="215"/>
      <c r="AU793" s="215"/>
      <c r="AV793" s="215"/>
      <c r="AW793" s="215"/>
      <c r="AX793" s="215"/>
      <c r="AY793" s="215"/>
      <c r="AZ793" s="215"/>
      <c r="BA793" s="215"/>
      <c r="BB793" s="215"/>
      <c r="BC793" s="215"/>
      <c r="BD793" s="215"/>
      <c r="BE793" s="215"/>
      <c r="BF793" s="215"/>
      <c r="BG793" s="215"/>
      <c r="BH793" s="215"/>
      <c r="BI793" s="215"/>
      <c r="BJ793" s="215"/>
      <c r="BK793" s="215"/>
      <c r="BL793" s="215"/>
      <c r="BM793" s="215"/>
      <c r="BN793" s="215"/>
      <c r="BO793" s="215"/>
      <c r="BP793" s="215"/>
      <c r="BQ793" s="215"/>
      <c r="BR793" s="215"/>
      <c r="BS793" s="215"/>
      <c r="BT793" s="215"/>
      <c r="BU793" s="215"/>
      <c r="BV793" s="215"/>
      <c r="BW793" s="215"/>
      <c r="BX793" s="215"/>
      <c r="BY793" s="215"/>
      <c r="BZ793" s="215"/>
    </row>
    <row r="794" spans="1:78" outlineLevel="1" x14ac:dyDescent="0.2">
      <c r="A794" s="9" t="str">
        <f>'Language Index'!A541</f>
        <v>Breakdown of Amounts recognized in Other Comprehensive Income in BS</v>
      </c>
      <c r="B794" s="17"/>
      <c r="C794" s="17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30"/>
      <c r="P794" s="18"/>
      <c r="Q794" s="215"/>
      <c r="R794" s="215"/>
      <c r="S794" s="215"/>
      <c r="T794" s="215"/>
      <c r="U794" s="215"/>
      <c r="V794" s="222"/>
      <c r="W794" s="222"/>
      <c r="X794" s="222"/>
      <c r="Y794" s="215"/>
      <c r="Z794" s="215"/>
      <c r="AA794" s="215"/>
      <c r="AB794" s="215"/>
      <c r="AC794" s="215"/>
      <c r="AD794" s="215"/>
      <c r="AE794" s="215"/>
      <c r="AF794" s="215"/>
      <c r="AG794" s="215"/>
      <c r="AH794" s="215"/>
      <c r="AI794" s="215"/>
      <c r="AJ794" s="215"/>
      <c r="AK794" s="215"/>
      <c r="AL794" s="215"/>
      <c r="AM794" s="215"/>
      <c r="AN794" s="215"/>
      <c r="AO794" s="215"/>
      <c r="AP794" s="215"/>
      <c r="AQ794" s="215"/>
      <c r="AR794" s="215"/>
      <c r="AS794" s="215"/>
      <c r="AT794" s="215"/>
      <c r="AU794" s="215"/>
      <c r="AV794" s="215"/>
      <c r="AW794" s="215"/>
      <c r="AX794" s="215"/>
      <c r="AY794" s="215"/>
      <c r="AZ794" s="215"/>
      <c r="BA794" s="215"/>
      <c r="BB794" s="215"/>
      <c r="BC794" s="215"/>
      <c r="BD794" s="215"/>
      <c r="BE794" s="215"/>
      <c r="BF794" s="215"/>
      <c r="BG794" s="215"/>
      <c r="BH794" s="215"/>
      <c r="BI794" s="215"/>
      <c r="BJ794" s="215"/>
      <c r="BK794" s="215"/>
      <c r="BL794" s="215"/>
      <c r="BM794" s="215"/>
      <c r="BN794" s="215"/>
      <c r="BO794" s="215"/>
      <c r="BP794" s="215"/>
      <c r="BQ794" s="215"/>
      <c r="BR794" s="215"/>
      <c r="BS794" s="215"/>
      <c r="BT794" s="215"/>
      <c r="BU794" s="215"/>
      <c r="BV794" s="215"/>
      <c r="BW794" s="215"/>
      <c r="BX794" s="215"/>
      <c r="BY794" s="215"/>
      <c r="BZ794" s="215"/>
    </row>
    <row r="795" spans="1:78" outlineLevel="1" x14ac:dyDescent="0.2">
      <c r="A795" s="2" t="str">
        <f>'Language Index'!A542</f>
        <v>Net Actuarial Loss/Gain – Compr. Inc.</v>
      </c>
      <c r="B795" s="17"/>
      <c r="C795" s="17"/>
      <c r="D795" s="18">
        <f>_xll.ciqfunctions.udf.CIQ($C$2,"IQ_PENSION_CI_ACT_DOM",D$6,$F$2,,,Ccy,Conv)</f>
        <v>0</v>
      </c>
      <c r="E795" s="18">
        <f>_xll.ciqfunctions.udf.CIQ($C$2,"IQ_PENSION_CI_ACT_DOM",E$6,$F$2,,,Ccy,Conv)</f>
        <v>0</v>
      </c>
      <c r="F795" s="18">
        <f>_xll.ciqfunctions.udf.CIQ($C$2,"IQ_PENSION_CI_ACT_DOM",F$6,$F$2,,,Ccy,Conv)</f>
        <v>9467</v>
      </c>
      <c r="G795" s="18">
        <f>_xll.ciqfunctions.udf.CIQ($C$2,"IQ_PENSION_CI_ACT_DOM",G$6,$F$2,,,Ccy,Conv)</f>
        <v>0</v>
      </c>
      <c r="H795" s="18">
        <f>_xll.ciqfunctions.udf.CIQ($C$2,"IQ_PENSION_CI_ACT_DOM",H$6,$F$2,,,Ccy,Conv)</f>
        <v>0</v>
      </c>
      <c r="I795" s="18">
        <f>_xll.ciqfunctions.udf.CIQ($C$2,"IQ_PENSION_CI_ACT_DOM",I$6,$F$2,,,Ccy,Conv)</f>
        <v>0</v>
      </c>
      <c r="J795" s="18">
        <f>_xll.ciqfunctions.udf.CIQ($C$2,"IQ_PENSION_CI_ACT_DOM",J$6,$F$2,,,Ccy,Conv)</f>
        <v>6153</v>
      </c>
      <c r="K795" s="18">
        <f>_xll.ciqfunctions.udf.CIQ($C$2,"IQ_PENSION_CI_ACT_DOM",K$6,$F$2,,,Ccy,Conv)</f>
        <v>0</v>
      </c>
      <c r="L795" s="18">
        <f>_xll.ciqfunctions.udf.CIQ($C$2,"IQ_PENSION_CI_ACT_DOM",L$6,$F$2,,,Ccy,Conv)</f>
        <v>0</v>
      </c>
      <c r="M795" s="18">
        <f>_xll.ciqfunctions.udf.CIQ($C$2,"IQ_PENSION_CI_ACT_DOM",M$6,$F$2,,,Ccy,Conv)</f>
        <v>0</v>
      </c>
      <c r="N795" s="18">
        <f>_xll.ciqfunctions.udf.CIQ($C$2,"IQ_PENSION_CI_ACT_DOM",N$6,$F$2,,,Ccy,Conv)</f>
        <v>5726</v>
      </c>
      <c r="O795" s="30"/>
      <c r="P795" s="18">
        <f>_xll.ciqfunctions.udf.CIQ($C$2,"IQ_PENSION_CI_ACT_DOM",P$6,$F$2,,,Ccy,Conv)</f>
        <v>5726</v>
      </c>
      <c r="Q795" s="215"/>
      <c r="R795" s="215"/>
      <c r="S795" s="215"/>
      <c r="T795" s="215"/>
      <c r="U795" s="215"/>
      <c r="V795" s="222"/>
      <c r="W795" s="222"/>
      <c r="X795" s="222"/>
      <c r="Y795" s="215"/>
      <c r="Z795" s="215"/>
      <c r="AA795" s="215"/>
      <c r="AB795" s="215"/>
      <c r="AC795" s="215"/>
      <c r="AD795" s="215"/>
      <c r="AE795" s="215"/>
      <c r="AF795" s="215"/>
      <c r="AG795" s="215"/>
      <c r="AH795" s="215"/>
      <c r="AI795" s="215"/>
      <c r="AJ795" s="215"/>
      <c r="AK795" s="215"/>
      <c r="AL795" s="215"/>
      <c r="AM795" s="215"/>
      <c r="AN795" s="215"/>
      <c r="AO795" s="215"/>
      <c r="AP795" s="215"/>
      <c r="AQ795" s="215"/>
      <c r="AR795" s="215"/>
      <c r="AS795" s="215"/>
      <c r="AT795" s="215"/>
      <c r="AU795" s="215"/>
      <c r="AV795" s="215"/>
      <c r="AW795" s="215"/>
      <c r="AX795" s="215"/>
      <c r="AY795" s="215"/>
      <c r="AZ795" s="215"/>
      <c r="BA795" s="215"/>
      <c r="BB795" s="215"/>
      <c r="BC795" s="215"/>
      <c r="BD795" s="215"/>
      <c r="BE795" s="215"/>
      <c r="BF795" s="215"/>
      <c r="BG795" s="215"/>
      <c r="BH795" s="215"/>
      <c r="BI795" s="215"/>
      <c r="BJ795" s="215"/>
      <c r="BK795" s="215"/>
      <c r="BL795" s="215"/>
      <c r="BM795" s="215"/>
      <c r="BN795" s="215"/>
      <c r="BO795" s="215"/>
      <c r="BP795" s="215"/>
      <c r="BQ795" s="215"/>
      <c r="BR795" s="215"/>
      <c r="BS795" s="215"/>
      <c r="BT795" s="215"/>
      <c r="BU795" s="215"/>
      <c r="BV795" s="215"/>
      <c r="BW795" s="215"/>
      <c r="BX795" s="215"/>
      <c r="BY795" s="215"/>
      <c r="BZ795" s="215"/>
    </row>
    <row r="796" spans="1:78" outlineLevel="1" x14ac:dyDescent="0.2">
      <c r="A796" s="2" t="str">
        <f>'Language Index'!A543</f>
        <v>Prior Service Cost/Benefit – Compr. Inc.</v>
      </c>
      <c r="B796" s="17"/>
      <c r="C796" s="17"/>
      <c r="D796" s="18">
        <f>_xll.ciqfunctions.udf.CIQ($C$2,"IQ_PENSION_CI_PRIOR_SERVICE_DOM",D$6,$F$2,,,Ccy,Conv)</f>
        <v>0</v>
      </c>
      <c r="E796" s="18">
        <f>_xll.ciqfunctions.udf.CIQ($C$2,"IQ_PENSION_CI_PRIOR_SERVICE_DOM",E$6,$F$2,,,Ccy,Conv)</f>
        <v>0</v>
      </c>
      <c r="F796" s="18">
        <f>_xll.ciqfunctions.udf.CIQ($C$2,"IQ_PENSION_CI_PRIOR_SERVICE_DOM",F$6,$F$2,,,Ccy,Conv)</f>
        <v>0</v>
      </c>
      <c r="G796" s="18">
        <f>_xll.ciqfunctions.udf.CIQ($C$2,"IQ_PENSION_CI_PRIOR_SERVICE_DOM",G$6,$F$2,,,Ccy,Conv)</f>
        <v>0</v>
      </c>
      <c r="H796" s="18">
        <f>_xll.ciqfunctions.udf.CIQ($C$2,"IQ_PENSION_CI_PRIOR_SERVICE_DOM",H$6,$F$2,,,Ccy,Conv)</f>
        <v>0</v>
      </c>
      <c r="I796" s="18">
        <f>_xll.ciqfunctions.udf.CIQ($C$2,"IQ_PENSION_CI_PRIOR_SERVICE_DOM",I$6,$F$2,,,Ccy,Conv)</f>
        <v>0</v>
      </c>
      <c r="J796" s="18">
        <f>_xll.ciqfunctions.udf.CIQ($C$2,"IQ_PENSION_CI_PRIOR_SERVICE_DOM",J$6,$F$2,,,Ccy,Conv)</f>
        <v>0</v>
      </c>
      <c r="K796" s="18">
        <f>_xll.ciqfunctions.udf.CIQ($C$2,"IQ_PENSION_CI_PRIOR_SERVICE_DOM",K$6,$F$2,,,Ccy,Conv)</f>
        <v>0</v>
      </c>
      <c r="L796" s="18">
        <f>_xll.ciqfunctions.udf.CIQ($C$2,"IQ_PENSION_CI_PRIOR_SERVICE_DOM",L$6,$F$2,,,Ccy,Conv)</f>
        <v>0</v>
      </c>
      <c r="M796" s="18">
        <f>_xll.ciqfunctions.udf.CIQ($C$2,"IQ_PENSION_CI_PRIOR_SERVICE_DOM",M$6,$F$2,,,Ccy,Conv)</f>
        <v>0</v>
      </c>
      <c r="N796" s="18">
        <f>_xll.ciqfunctions.udf.CIQ($C$2,"IQ_PENSION_CI_PRIOR_SERVICE_DOM",N$6,$F$2,,,Ccy,Conv)</f>
        <v>0</v>
      </c>
      <c r="O796" s="30"/>
      <c r="P796" s="18">
        <f>_xll.ciqfunctions.udf.CIQ($C$2,"IQ_PENSION_CI_PRIOR_SERVICE_DOM",P$6,$F$2,,,Ccy,Conv)</f>
        <v>0</v>
      </c>
      <c r="Q796" s="215"/>
      <c r="R796" s="215"/>
      <c r="S796" s="215"/>
      <c r="T796" s="215"/>
      <c r="U796" s="215"/>
      <c r="V796" s="222"/>
      <c r="W796" s="222"/>
      <c r="X796" s="222"/>
      <c r="Y796" s="215"/>
      <c r="Z796" s="215"/>
      <c r="AA796" s="215"/>
      <c r="AB796" s="215"/>
      <c r="AC796" s="215"/>
      <c r="AD796" s="215"/>
      <c r="AE796" s="215"/>
      <c r="AF796" s="215"/>
      <c r="AG796" s="215"/>
      <c r="AH796" s="215"/>
      <c r="AI796" s="215"/>
      <c r="AJ796" s="215"/>
      <c r="AK796" s="215"/>
      <c r="AL796" s="215"/>
      <c r="AM796" s="215"/>
      <c r="AN796" s="215"/>
      <c r="AO796" s="215"/>
      <c r="AP796" s="215"/>
      <c r="AQ796" s="215"/>
      <c r="AR796" s="215"/>
      <c r="AS796" s="215"/>
      <c r="AT796" s="215"/>
      <c r="AU796" s="215"/>
      <c r="AV796" s="215"/>
      <c r="AW796" s="215"/>
      <c r="AX796" s="215"/>
      <c r="AY796" s="215"/>
      <c r="AZ796" s="215"/>
      <c r="BA796" s="215"/>
      <c r="BB796" s="215"/>
      <c r="BC796" s="215"/>
      <c r="BD796" s="215"/>
      <c r="BE796" s="215"/>
      <c r="BF796" s="215"/>
      <c r="BG796" s="215"/>
      <c r="BH796" s="215"/>
      <c r="BI796" s="215"/>
      <c r="BJ796" s="215"/>
      <c r="BK796" s="215"/>
      <c r="BL796" s="215"/>
      <c r="BM796" s="215"/>
      <c r="BN796" s="215"/>
      <c r="BO796" s="215"/>
      <c r="BP796" s="215"/>
      <c r="BQ796" s="215"/>
      <c r="BR796" s="215"/>
      <c r="BS796" s="215"/>
      <c r="BT796" s="215"/>
      <c r="BU796" s="215"/>
      <c r="BV796" s="215"/>
      <c r="BW796" s="215"/>
      <c r="BX796" s="215"/>
      <c r="BY796" s="215"/>
      <c r="BZ796" s="215"/>
    </row>
    <row r="797" spans="1:78" outlineLevel="1" x14ac:dyDescent="0.2">
      <c r="A797" s="2" t="str">
        <f>'Language Index'!A544</f>
        <v>Transition Asset/Obligation – Compr. Inc.</v>
      </c>
      <c r="B797" s="17"/>
      <c r="C797" s="17"/>
      <c r="D797" s="18">
        <f>_xll.ciqfunctions.udf.CIQ($C$2,"IQ_PENSION_CI_TRANSITION_DOM",D$6,$F$2,,,Ccy,Conv)</f>
        <v>0</v>
      </c>
      <c r="E797" s="18">
        <f>_xll.ciqfunctions.udf.CIQ($C$2,"IQ_PENSION_CI_TRANSITION_DOM",E$6,$F$2,,,Ccy,Conv)</f>
        <v>0</v>
      </c>
      <c r="F797" s="18">
        <f>_xll.ciqfunctions.udf.CIQ($C$2,"IQ_PENSION_CI_TRANSITION_DOM",F$6,$F$2,,,Ccy,Conv)</f>
        <v>0</v>
      </c>
      <c r="G797" s="18">
        <f>_xll.ciqfunctions.udf.CIQ($C$2,"IQ_PENSION_CI_TRANSITION_DOM",G$6,$F$2,,,Ccy,Conv)</f>
        <v>0</v>
      </c>
      <c r="H797" s="18">
        <f>_xll.ciqfunctions.udf.CIQ($C$2,"IQ_PENSION_CI_TRANSITION_DOM",H$6,$F$2,,,Ccy,Conv)</f>
        <v>0</v>
      </c>
      <c r="I797" s="18">
        <f>_xll.ciqfunctions.udf.CIQ($C$2,"IQ_PENSION_CI_TRANSITION_DOM",I$6,$F$2,,,Ccy,Conv)</f>
        <v>0</v>
      </c>
      <c r="J797" s="18">
        <f>_xll.ciqfunctions.udf.CIQ($C$2,"IQ_PENSION_CI_TRANSITION_DOM",J$6,$F$2,,,Ccy,Conv)</f>
        <v>0</v>
      </c>
      <c r="K797" s="18">
        <f>_xll.ciqfunctions.udf.CIQ($C$2,"IQ_PENSION_CI_TRANSITION_DOM",K$6,$F$2,,,Ccy,Conv)</f>
        <v>0</v>
      </c>
      <c r="L797" s="18">
        <f>_xll.ciqfunctions.udf.CIQ($C$2,"IQ_PENSION_CI_TRANSITION_DOM",L$6,$F$2,,,Ccy,Conv)</f>
        <v>0</v>
      </c>
      <c r="M797" s="18">
        <f>_xll.ciqfunctions.udf.CIQ($C$2,"IQ_PENSION_CI_TRANSITION_DOM",M$6,$F$2,,,Ccy,Conv)</f>
        <v>0</v>
      </c>
      <c r="N797" s="18">
        <f>_xll.ciqfunctions.udf.CIQ($C$2,"IQ_PENSION_CI_TRANSITION_DOM",N$6,$F$2,,,Ccy,Conv)</f>
        <v>0</v>
      </c>
      <c r="O797" s="30"/>
      <c r="P797" s="18">
        <f>_xll.ciqfunctions.udf.CIQ($C$2,"IQ_PENSION_CI_TRANSITION_DOM",P$6,$F$2,,,Ccy,Conv)</f>
        <v>0</v>
      </c>
      <c r="Q797" s="215"/>
      <c r="R797" s="215"/>
      <c r="S797" s="215"/>
      <c r="T797" s="215"/>
      <c r="U797" s="215"/>
      <c r="V797" s="222"/>
      <c r="W797" s="222"/>
      <c r="X797" s="222"/>
      <c r="Y797" s="215"/>
      <c r="Z797" s="215"/>
      <c r="AA797" s="215"/>
      <c r="AB797" s="215"/>
      <c r="AC797" s="215"/>
      <c r="AD797" s="215"/>
      <c r="AE797" s="215"/>
      <c r="AF797" s="215"/>
      <c r="AG797" s="215"/>
      <c r="AH797" s="215"/>
      <c r="AI797" s="215"/>
      <c r="AJ797" s="215"/>
      <c r="AK797" s="215"/>
      <c r="AL797" s="215"/>
      <c r="AM797" s="215"/>
      <c r="AN797" s="215"/>
      <c r="AO797" s="215"/>
      <c r="AP797" s="215"/>
      <c r="AQ797" s="215"/>
      <c r="AR797" s="215"/>
      <c r="AS797" s="215"/>
      <c r="AT797" s="215"/>
      <c r="AU797" s="215"/>
      <c r="AV797" s="215"/>
      <c r="AW797" s="215"/>
      <c r="AX797" s="215"/>
      <c r="AY797" s="215"/>
      <c r="AZ797" s="215"/>
      <c r="BA797" s="215"/>
      <c r="BB797" s="215"/>
      <c r="BC797" s="215"/>
      <c r="BD797" s="215"/>
      <c r="BE797" s="215"/>
      <c r="BF797" s="215"/>
      <c r="BG797" s="215"/>
      <c r="BH797" s="215"/>
      <c r="BI797" s="215"/>
      <c r="BJ797" s="215"/>
      <c r="BK797" s="215"/>
      <c r="BL797" s="215"/>
      <c r="BM797" s="215"/>
      <c r="BN797" s="215"/>
      <c r="BO797" s="215"/>
      <c r="BP797" s="215"/>
      <c r="BQ797" s="215"/>
      <c r="BR797" s="215"/>
      <c r="BS797" s="215"/>
      <c r="BT797" s="215"/>
      <c r="BU797" s="215"/>
      <c r="BV797" s="215"/>
      <c r="BW797" s="215"/>
      <c r="BX797" s="215"/>
      <c r="BY797" s="215"/>
      <c r="BZ797" s="215"/>
    </row>
    <row r="798" spans="1:78" outlineLevel="1" x14ac:dyDescent="0.2">
      <c r="A798" s="2" t="str">
        <f>'Language Index'!A545</f>
        <v>Other Misc. Adj. – Compr. Inc.</v>
      </c>
      <c r="B798" s="17"/>
      <c r="C798" s="17"/>
      <c r="D798" s="18">
        <f>_xll.ciqfunctions.udf.CIQ($C$2,"IQ_PENSION_CI_OTHER_MISC_ADJ_DOM",D$6,$F$2,,,Ccy,Conv)</f>
        <v>0</v>
      </c>
      <c r="E798" s="18">
        <f>_xll.ciqfunctions.udf.CIQ($C$2,"IQ_PENSION_CI_OTHER_MISC_ADJ_DOM",E$6,$F$2,,,Ccy,Conv)</f>
        <v>0</v>
      </c>
      <c r="F798" s="18">
        <f>_xll.ciqfunctions.udf.CIQ($C$2,"IQ_PENSION_CI_OTHER_MISC_ADJ_DOM",F$6,$F$2,,,Ccy,Conv)</f>
        <v>0</v>
      </c>
      <c r="G798" s="18">
        <f>_xll.ciqfunctions.udf.CIQ($C$2,"IQ_PENSION_CI_OTHER_MISC_ADJ_DOM",G$6,$F$2,,,Ccy,Conv)</f>
        <v>0</v>
      </c>
      <c r="H798" s="18">
        <f>_xll.ciqfunctions.udf.CIQ($C$2,"IQ_PENSION_CI_OTHER_MISC_ADJ_DOM",H$6,$F$2,,,Ccy,Conv)</f>
        <v>0</v>
      </c>
      <c r="I798" s="18">
        <f>_xll.ciqfunctions.udf.CIQ($C$2,"IQ_PENSION_CI_OTHER_MISC_ADJ_DOM",I$6,$F$2,,,Ccy,Conv)</f>
        <v>0</v>
      </c>
      <c r="J798" s="18">
        <f>_xll.ciqfunctions.udf.CIQ($C$2,"IQ_PENSION_CI_OTHER_MISC_ADJ_DOM",J$6,$F$2,,,Ccy,Conv)</f>
        <v>0</v>
      </c>
      <c r="K798" s="18">
        <f>_xll.ciqfunctions.udf.CIQ($C$2,"IQ_PENSION_CI_OTHER_MISC_ADJ_DOM",K$6,$F$2,,,Ccy,Conv)</f>
        <v>0</v>
      </c>
      <c r="L798" s="18">
        <f>_xll.ciqfunctions.udf.CIQ($C$2,"IQ_PENSION_CI_OTHER_MISC_ADJ_DOM",L$6,$F$2,,,Ccy,Conv)</f>
        <v>0</v>
      </c>
      <c r="M798" s="18">
        <f>_xll.ciqfunctions.udf.CIQ($C$2,"IQ_PENSION_CI_OTHER_MISC_ADJ_DOM",M$6,$F$2,,,Ccy,Conv)</f>
        <v>0</v>
      </c>
      <c r="N798" s="18">
        <f>_xll.ciqfunctions.udf.CIQ($C$2,"IQ_PENSION_CI_OTHER_MISC_ADJ_DOM",N$6,$F$2,,,Ccy,Conv)</f>
        <v>0</v>
      </c>
      <c r="O798" s="30"/>
      <c r="P798" s="18">
        <f>_xll.ciqfunctions.udf.CIQ($C$2,"IQ_PENSION_CI_OTHER_MISC_ADJ_DOM",P$6,$F$2,,,Ccy,Conv)</f>
        <v>0</v>
      </c>
      <c r="Q798" s="215"/>
      <c r="R798" s="215"/>
      <c r="S798" s="215"/>
      <c r="T798" s="215"/>
      <c r="U798" s="215"/>
      <c r="V798" s="222"/>
      <c r="W798" s="222"/>
      <c r="X798" s="222"/>
      <c r="Y798" s="215"/>
      <c r="Z798" s="215"/>
      <c r="AA798" s="215"/>
      <c r="AB798" s="215"/>
      <c r="AC798" s="215"/>
      <c r="AD798" s="215"/>
      <c r="AE798" s="215"/>
      <c r="AF798" s="215"/>
      <c r="AG798" s="215"/>
      <c r="AH798" s="215"/>
      <c r="AI798" s="215"/>
      <c r="AJ798" s="215"/>
      <c r="AK798" s="215"/>
      <c r="AL798" s="215"/>
      <c r="AM798" s="215"/>
      <c r="AN798" s="215"/>
      <c r="AO798" s="215"/>
      <c r="AP798" s="215"/>
      <c r="AQ798" s="215"/>
      <c r="AR798" s="215"/>
      <c r="AS798" s="215"/>
      <c r="AT798" s="215"/>
      <c r="AU798" s="215"/>
      <c r="AV798" s="215"/>
      <c r="AW798" s="215"/>
      <c r="AX798" s="215"/>
      <c r="AY798" s="215"/>
      <c r="AZ798" s="215"/>
      <c r="BA798" s="215"/>
      <c r="BB798" s="215"/>
      <c r="BC798" s="215"/>
      <c r="BD798" s="215"/>
      <c r="BE798" s="215"/>
      <c r="BF798" s="215"/>
      <c r="BG798" s="215"/>
      <c r="BH798" s="215"/>
      <c r="BI798" s="215"/>
      <c r="BJ798" s="215"/>
      <c r="BK798" s="215"/>
      <c r="BL798" s="215"/>
      <c r="BM798" s="215"/>
      <c r="BN798" s="215"/>
      <c r="BO798" s="215"/>
      <c r="BP798" s="215"/>
      <c r="BQ798" s="215"/>
      <c r="BR798" s="215"/>
      <c r="BS798" s="215"/>
      <c r="BT798" s="215"/>
      <c r="BU798" s="215"/>
      <c r="BV798" s="215"/>
      <c r="BW798" s="215"/>
      <c r="BX798" s="215"/>
      <c r="BY798" s="215"/>
      <c r="BZ798" s="215"/>
    </row>
    <row r="799" spans="1:78" outlineLevel="1" x14ac:dyDescent="0.2">
      <c r="A799" s="2" t="str">
        <f>'Language Index'!A546</f>
        <v>Net Amount Recognized – Compr. Inc.</v>
      </c>
      <c r="B799" s="17"/>
      <c r="C799" s="17"/>
      <c r="D799" s="18">
        <f>_xll.ciqfunctions.udf.CIQ($C$2,"IQ_PENSION_CI_NET_AMT_RECOG_DOM",D$6,$F$2,,,Ccy,Conv)</f>
        <v>0</v>
      </c>
      <c r="E799" s="18">
        <f>_xll.ciqfunctions.udf.CIQ($C$2,"IQ_PENSION_CI_NET_AMT_RECOG_DOM",E$6,$F$2,,,Ccy,Conv)</f>
        <v>0</v>
      </c>
      <c r="F799" s="18">
        <f>_xll.ciqfunctions.udf.CIQ($C$2,"IQ_PENSION_CI_NET_AMT_RECOG_DOM",F$6,$F$2,,,Ccy,Conv)</f>
        <v>9467</v>
      </c>
      <c r="G799" s="18">
        <f>_xll.ciqfunctions.udf.CIQ($C$2,"IQ_PENSION_CI_NET_AMT_RECOG_DOM",G$6,$F$2,,,Ccy,Conv)</f>
        <v>0</v>
      </c>
      <c r="H799" s="18">
        <f>_xll.ciqfunctions.udf.CIQ($C$2,"IQ_PENSION_CI_NET_AMT_RECOG_DOM",H$6,$F$2,,,Ccy,Conv)</f>
        <v>0</v>
      </c>
      <c r="I799" s="18">
        <f>_xll.ciqfunctions.udf.CIQ($C$2,"IQ_PENSION_CI_NET_AMT_RECOG_DOM",I$6,$F$2,,,Ccy,Conv)</f>
        <v>0</v>
      </c>
      <c r="J799" s="18">
        <f>_xll.ciqfunctions.udf.CIQ($C$2,"IQ_PENSION_CI_NET_AMT_RECOG_DOM",J$6,$F$2,,,Ccy,Conv)</f>
        <v>6153</v>
      </c>
      <c r="K799" s="18">
        <f>_xll.ciqfunctions.udf.CIQ($C$2,"IQ_PENSION_CI_NET_AMT_RECOG_DOM",K$6,$F$2,,,Ccy,Conv)</f>
        <v>0</v>
      </c>
      <c r="L799" s="18">
        <f>_xll.ciqfunctions.udf.CIQ($C$2,"IQ_PENSION_CI_NET_AMT_RECOG_DOM",L$6,$F$2,,,Ccy,Conv)</f>
        <v>0</v>
      </c>
      <c r="M799" s="18">
        <f>_xll.ciqfunctions.udf.CIQ($C$2,"IQ_PENSION_CI_NET_AMT_RECOG_DOM",M$6,$F$2,,,Ccy,Conv)</f>
        <v>0</v>
      </c>
      <c r="N799" s="18">
        <f>_xll.ciqfunctions.udf.CIQ($C$2,"IQ_PENSION_CI_NET_AMT_RECOG_DOM",N$6,$F$2,,,Ccy,Conv)</f>
        <v>5726</v>
      </c>
      <c r="O799" s="30"/>
      <c r="P799" s="18">
        <f>_xll.ciqfunctions.udf.CIQ($C$2,"IQ_PENSION_CI_NET_AMT_RECOG_DOM",P$6,$F$2,,,Ccy,Conv)</f>
        <v>5726</v>
      </c>
      <c r="Q799" s="215"/>
      <c r="R799" s="215"/>
      <c r="S799" s="215"/>
      <c r="T799" s="215"/>
      <c r="U799" s="215"/>
      <c r="V799" s="222"/>
      <c r="W799" s="222"/>
      <c r="X799" s="222"/>
      <c r="Y799" s="215"/>
      <c r="Z799" s="215"/>
      <c r="AA799" s="215"/>
      <c r="AB799" s="215"/>
      <c r="AC799" s="215"/>
      <c r="AD799" s="215"/>
      <c r="AE799" s="215"/>
      <c r="AF799" s="215"/>
      <c r="AG799" s="215"/>
      <c r="AH799" s="215"/>
      <c r="AI799" s="215"/>
      <c r="AJ799" s="215"/>
      <c r="AK799" s="215"/>
      <c r="AL799" s="215"/>
      <c r="AM799" s="215"/>
      <c r="AN799" s="215"/>
      <c r="AO799" s="215"/>
      <c r="AP799" s="215"/>
      <c r="AQ799" s="215"/>
      <c r="AR799" s="215"/>
      <c r="AS799" s="215"/>
      <c r="AT799" s="215"/>
      <c r="AU799" s="215"/>
      <c r="AV799" s="215"/>
      <c r="AW799" s="215"/>
      <c r="AX799" s="215"/>
      <c r="AY799" s="215"/>
      <c r="AZ799" s="215"/>
      <c r="BA799" s="215"/>
      <c r="BB799" s="215"/>
      <c r="BC799" s="215"/>
      <c r="BD799" s="215"/>
      <c r="BE799" s="215"/>
      <c r="BF799" s="215"/>
      <c r="BG799" s="215"/>
      <c r="BH799" s="215"/>
      <c r="BI799" s="215"/>
      <c r="BJ799" s="215"/>
      <c r="BK799" s="215"/>
      <c r="BL799" s="215"/>
      <c r="BM799" s="215"/>
      <c r="BN799" s="215"/>
      <c r="BO799" s="215"/>
      <c r="BP799" s="215"/>
      <c r="BQ799" s="215"/>
      <c r="BR799" s="215"/>
      <c r="BS799" s="215"/>
      <c r="BT799" s="215"/>
      <c r="BU799" s="215"/>
      <c r="BV799" s="215"/>
      <c r="BW799" s="215"/>
      <c r="BX799" s="215"/>
      <c r="BY799" s="215"/>
      <c r="BZ799" s="215"/>
    </row>
    <row r="800" spans="1:78" outlineLevel="1" x14ac:dyDescent="0.2">
      <c r="A800" s="9" t="str">
        <f>'Language Index'!A547</f>
        <v>Expected to be recognized as components of net periodic benefit cost in the next year</v>
      </c>
      <c r="B800" s="17"/>
      <c r="C800" s="17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30"/>
      <c r="P800" s="18"/>
      <c r="Q800" s="215"/>
      <c r="R800" s="215"/>
      <c r="S800" s="215"/>
      <c r="T800" s="215"/>
      <c r="U800" s="215"/>
      <c r="V800" s="222"/>
      <c r="W800" s="222"/>
      <c r="X800" s="222"/>
      <c r="Y800" s="215"/>
      <c r="Z800" s="215"/>
      <c r="AA800" s="215"/>
      <c r="AB800" s="215"/>
      <c r="AC800" s="215"/>
      <c r="AD800" s="215"/>
      <c r="AE800" s="215"/>
      <c r="AF800" s="215"/>
      <c r="AG800" s="215"/>
      <c r="AH800" s="215"/>
      <c r="AI800" s="215"/>
      <c r="AJ800" s="215"/>
      <c r="AK800" s="215"/>
      <c r="AL800" s="215"/>
      <c r="AM800" s="215"/>
      <c r="AN800" s="215"/>
      <c r="AO800" s="215"/>
      <c r="AP800" s="215"/>
      <c r="AQ800" s="215"/>
      <c r="AR800" s="215"/>
      <c r="AS800" s="215"/>
      <c r="AT800" s="215"/>
      <c r="AU800" s="215"/>
      <c r="AV800" s="215"/>
      <c r="AW800" s="215"/>
      <c r="AX800" s="215"/>
      <c r="AY800" s="215"/>
      <c r="AZ800" s="215"/>
      <c r="BA800" s="215"/>
      <c r="BB800" s="215"/>
      <c r="BC800" s="215"/>
      <c r="BD800" s="215"/>
      <c r="BE800" s="215"/>
      <c r="BF800" s="215"/>
      <c r="BG800" s="215"/>
      <c r="BH800" s="215"/>
      <c r="BI800" s="215"/>
      <c r="BJ800" s="215"/>
      <c r="BK800" s="215"/>
      <c r="BL800" s="215"/>
      <c r="BM800" s="215"/>
      <c r="BN800" s="215"/>
      <c r="BO800" s="215"/>
      <c r="BP800" s="215"/>
      <c r="BQ800" s="215"/>
      <c r="BR800" s="215"/>
      <c r="BS800" s="215"/>
      <c r="BT800" s="215"/>
      <c r="BU800" s="215"/>
      <c r="BV800" s="215"/>
      <c r="BW800" s="215"/>
      <c r="BX800" s="215"/>
      <c r="BY800" s="215"/>
      <c r="BZ800" s="215"/>
    </row>
    <row r="801" spans="1:78" outlineLevel="1" x14ac:dyDescent="0.2">
      <c r="A801" s="2" t="str">
        <f>'Language Index'!A548</f>
        <v>Prior Service Cost/Benefit Recog. Next Period</v>
      </c>
      <c r="B801" s="17"/>
      <c r="C801" s="17"/>
      <c r="D801" s="18">
        <f>_xll.ciqfunctions.udf.CIQ($C$2,"IQ_PENSION_PRIOR_SERVICE_NEXT_DOM",D$6,$F$2,,,Ccy,Conv)</f>
        <v>0</v>
      </c>
      <c r="E801" s="18">
        <f>_xll.ciqfunctions.udf.CIQ($C$2,"IQ_PENSION_PRIOR_SERVICE_NEXT_DOM",E$6,$F$2,,,Ccy,Conv)</f>
        <v>0</v>
      </c>
      <c r="F801" s="18">
        <f>_xll.ciqfunctions.udf.CIQ($C$2,"IQ_PENSION_PRIOR_SERVICE_NEXT_DOM",F$6,$F$2,,,Ccy,Conv)</f>
        <v>0</v>
      </c>
      <c r="G801" s="18">
        <f>_xll.ciqfunctions.udf.CIQ($C$2,"IQ_PENSION_PRIOR_SERVICE_NEXT_DOM",G$6,$F$2,,,Ccy,Conv)</f>
        <v>0</v>
      </c>
      <c r="H801" s="18">
        <f>_xll.ciqfunctions.udf.CIQ($C$2,"IQ_PENSION_PRIOR_SERVICE_NEXT_DOM",H$6,$F$2,,,Ccy,Conv)</f>
        <v>0</v>
      </c>
      <c r="I801" s="18">
        <f>_xll.ciqfunctions.udf.CIQ($C$2,"IQ_PENSION_PRIOR_SERVICE_NEXT_DOM",I$6,$F$2,,,Ccy,Conv)</f>
        <v>0</v>
      </c>
      <c r="J801" s="18">
        <f>_xll.ciqfunctions.udf.CIQ($C$2,"IQ_PENSION_PRIOR_SERVICE_NEXT_DOM",J$6,$F$2,,,Ccy,Conv)</f>
        <v>0</v>
      </c>
      <c r="K801" s="18">
        <f>_xll.ciqfunctions.udf.CIQ($C$2,"IQ_PENSION_PRIOR_SERVICE_NEXT_DOM",K$6,$F$2,,,Ccy,Conv)</f>
        <v>0</v>
      </c>
      <c r="L801" s="18">
        <f>_xll.ciqfunctions.udf.CIQ($C$2,"IQ_PENSION_PRIOR_SERVICE_NEXT_DOM",L$6,$F$2,,,Ccy,Conv)</f>
        <v>0</v>
      </c>
      <c r="M801" s="18">
        <f>_xll.ciqfunctions.udf.CIQ($C$2,"IQ_PENSION_PRIOR_SERVICE_NEXT_DOM",M$6,$F$2,,,Ccy,Conv)</f>
        <v>0</v>
      </c>
      <c r="N801" s="18">
        <f>_xll.ciqfunctions.udf.CIQ($C$2,"IQ_PENSION_PRIOR_SERVICE_NEXT_DOM",N$6,$F$2,,,Ccy,Conv)</f>
        <v>0</v>
      </c>
      <c r="O801" s="30"/>
      <c r="P801" s="18">
        <f>_xll.ciqfunctions.udf.CIQ($C$2,"IQ_PENSION_PRIOR_SERVICE_NEXT_DOM",P$6,$F$2,,,Ccy,Conv)</f>
        <v>0</v>
      </c>
      <c r="Q801" s="215"/>
      <c r="R801" s="215"/>
      <c r="S801" s="215"/>
      <c r="T801" s="215"/>
      <c r="U801" s="215"/>
      <c r="V801" s="222"/>
      <c r="W801" s="222"/>
      <c r="X801" s="222"/>
      <c r="Y801" s="215"/>
      <c r="Z801" s="215"/>
      <c r="AA801" s="215"/>
      <c r="AB801" s="215"/>
      <c r="AC801" s="215"/>
      <c r="AD801" s="215"/>
      <c r="AE801" s="215"/>
      <c r="AF801" s="215"/>
      <c r="AG801" s="215"/>
      <c r="AH801" s="215"/>
      <c r="AI801" s="215"/>
      <c r="AJ801" s="215"/>
      <c r="AK801" s="215"/>
      <c r="AL801" s="215"/>
      <c r="AM801" s="215"/>
      <c r="AN801" s="215"/>
      <c r="AO801" s="215"/>
      <c r="AP801" s="215"/>
      <c r="AQ801" s="215"/>
      <c r="AR801" s="215"/>
      <c r="AS801" s="215"/>
      <c r="AT801" s="215"/>
      <c r="AU801" s="215"/>
      <c r="AV801" s="215"/>
      <c r="AW801" s="215"/>
      <c r="AX801" s="215"/>
      <c r="AY801" s="215"/>
      <c r="AZ801" s="215"/>
      <c r="BA801" s="215"/>
      <c r="BB801" s="215"/>
      <c r="BC801" s="215"/>
      <c r="BD801" s="215"/>
      <c r="BE801" s="215"/>
      <c r="BF801" s="215"/>
      <c r="BG801" s="215"/>
      <c r="BH801" s="215"/>
      <c r="BI801" s="215"/>
      <c r="BJ801" s="215"/>
      <c r="BK801" s="215"/>
      <c r="BL801" s="215"/>
      <c r="BM801" s="215"/>
      <c r="BN801" s="215"/>
      <c r="BO801" s="215"/>
      <c r="BP801" s="215"/>
      <c r="BQ801" s="215"/>
      <c r="BR801" s="215"/>
      <c r="BS801" s="215"/>
      <c r="BT801" s="215"/>
      <c r="BU801" s="215"/>
      <c r="BV801" s="215"/>
      <c r="BW801" s="215"/>
      <c r="BX801" s="215"/>
      <c r="BY801" s="215"/>
      <c r="BZ801" s="215"/>
    </row>
    <row r="802" spans="1:78" outlineLevel="1" x14ac:dyDescent="0.2">
      <c r="A802" s="2" t="str">
        <f>'Language Index'!A549</f>
        <v>Net Actuarial Loss/Gain Recog. Next Period</v>
      </c>
      <c r="B802" s="17"/>
      <c r="C802" s="17"/>
      <c r="D802" s="18">
        <f>_xll.ciqfunctions.udf.CIQ($C$2,"IQ_PENSION_ACT_NEXT_DOM",D$6,$F$2,,,Ccy,Conv)</f>
        <v>0</v>
      </c>
      <c r="E802" s="18">
        <f>_xll.ciqfunctions.udf.CIQ($C$2,"IQ_PENSION_ACT_NEXT_DOM",E$6,$F$2,,,Ccy,Conv)</f>
        <v>0</v>
      </c>
      <c r="F802" s="18">
        <f>_xll.ciqfunctions.udf.CIQ($C$2,"IQ_PENSION_ACT_NEXT_DOM",F$6,$F$2,,,Ccy,Conv)</f>
        <v>0</v>
      </c>
      <c r="G802" s="18">
        <f>_xll.ciqfunctions.udf.CIQ($C$2,"IQ_PENSION_ACT_NEXT_DOM",G$6,$F$2,,,Ccy,Conv)</f>
        <v>0</v>
      </c>
      <c r="H802" s="18">
        <f>_xll.ciqfunctions.udf.CIQ($C$2,"IQ_PENSION_ACT_NEXT_DOM",H$6,$F$2,,,Ccy,Conv)</f>
        <v>0</v>
      </c>
      <c r="I802" s="18">
        <f>_xll.ciqfunctions.udf.CIQ($C$2,"IQ_PENSION_ACT_NEXT_DOM",I$6,$F$2,,,Ccy,Conv)</f>
        <v>0</v>
      </c>
      <c r="J802" s="18">
        <f>_xll.ciqfunctions.udf.CIQ($C$2,"IQ_PENSION_ACT_NEXT_DOM",J$6,$F$2,,,Ccy,Conv)</f>
        <v>0</v>
      </c>
      <c r="K802" s="18">
        <f>_xll.ciqfunctions.udf.CIQ($C$2,"IQ_PENSION_ACT_NEXT_DOM",K$6,$F$2,,,Ccy,Conv)</f>
        <v>0</v>
      </c>
      <c r="L802" s="18">
        <f>_xll.ciqfunctions.udf.CIQ($C$2,"IQ_PENSION_ACT_NEXT_DOM",L$6,$F$2,,,Ccy,Conv)</f>
        <v>0</v>
      </c>
      <c r="M802" s="18">
        <f>_xll.ciqfunctions.udf.CIQ($C$2,"IQ_PENSION_ACT_NEXT_DOM",M$6,$F$2,,,Ccy,Conv)</f>
        <v>0</v>
      </c>
      <c r="N802" s="18">
        <f>_xll.ciqfunctions.udf.CIQ($C$2,"IQ_PENSION_ACT_NEXT_DOM",N$6,$F$2,,,Ccy,Conv)</f>
        <v>0</v>
      </c>
      <c r="O802" s="30"/>
      <c r="P802" s="18">
        <f>_xll.ciqfunctions.udf.CIQ($C$2,"IQ_PENSION_ACT_NEXT_DOM",P$6,$F$2,,,Ccy,Conv)</f>
        <v>0</v>
      </c>
      <c r="Q802" s="215"/>
      <c r="R802" s="215"/>
      <c r="S802" s="215"/>
      <c r="T802" s="215"/>
      <c r="U802" s="215"/>
      <c r="V802" s="222"/>
      <c r="W802" s="222"/>
      <c r="X802" s="222"/>
      <c r="Y802" s="215"/>
      <c r="Z802" s="215"/>
      <c r="AA802" s="215"/>
      <c r="AB802" s="215"/>
      <c r="AC802" s="215"/>
      <c r="AD802" s="215"/>
      <c r="AE802" s="215"/>
      <c r="AF802" s="215"/>
      <c r="AG802" s="215"/>
      <c r="AH802" s="215"/>
      <c r="AI802" s="215"/>
      <c r="AJ802" s="215"/>
      <c r="AK802" s="215"/>
      <c r="AL802" s="215"/>
      <c r="AM802" s="215"/>
      <c r="AN802" s="215"/>
      <c r="AO802" s="215"/>
      <c r="AP802" s="215"/>
      <c r="AQ802" s="215"/>
      <c r="AR802" s="215"/>
      <c r="AS802" s="215"/>
      <c r="AT802" s="215"/>
      <c r="AU802" s="215"/>
      <c r="AV802" s="215"/>
      <c r="AW802" s="215"/>
      <c r="AX802" s="215"/>
      <c r="AY802" s="215"/>
      <c r="AZ802" s="215"/>
      <c r="BA802" s="215"/>
      <c r="BB802" s="215"/>
      <c r="BC802" s="215"/>
      <c r="BD802" s="215"/>
      <c r="BE802" s="215"/>
      <c r="BF802" s="215"/>
      <c r="BG802" s="215"/>
      <c r="BH802" s="215"/>
      <c r="BI802" s="215"/>
      <c r="BJ802" s="215"/>
      <c r="BK802" s="215"/>
      <c r="BL802" s="215"/>
      <c r="BM802" s="215"/>
      <c r="BN802" s="215"/>
      <c r="BO802" s="215"/>
      <c r="BP802" s="215"/>
      <c r="BQ802" s="215"/>
      <c r="BR802" s="215"/>
      <c r="BS802" s="215"/>
      <c r="BT802" s="215"/>
      <c r="BU802" s="215"/>
      <c r="BV802" s="215"/>
      <c r="BW802" s="215"/>
      <c r="BX802" s="215"/>
      <c r="BY802" s="215"/>
      <c r="BZ802" s="215"/>
    </row>
    <row r="803" spans="1:78" outlineLevel="1" x14ac:dyDescent="0.2">
      <c r="A803" s="2" t="str">
        <f>'Language Index'!A550</f>
        <v>Transition Asset/Obligation Recog. Next Period</v>
      </c>
      <c r="B803" s="17"/>
      <c r="C803" s="17"/>
      <c r="D803" s="18">
        <f>_xll.ciqfunctions.udf.CIQ($C$2,"IQ_PENSION_TRANSITION_NEXT_DOM",D$6,$F$2,,,Ccy,Conv)</f>
        <v>0</v>
      </c>
      <c r="E803" s="18">
        <f>_xll.ciqfunctions.udf.CIQ($C$2,"IQ_PENSION_TRANSITION_NEXT_DOM",E$6,$F$2,,,Ccy,Conv)</f>
        <v>0</v>
      </c>
      <c r="F803" s="18">
        <f>_xll.ciqfunctions.udf.CIQ($C$2,"IQ_PENSION_TRANSITION_NEXT_DOM",F$6,$F$2,,,Ccy,Conv)</f>
        <v>0</v>
      </c>
      <c r="G803" s="18">
        <f>_xll.ciqfunctions.udf.CIQ($C$2,"IQ_PENSION_TRANSITION_NEXT_DOM",G$6,$F$2,,,Ccy,Conv)</f>
        <v>0</v>
      </c>
      <c r="H803" s="18">
        <f>_xll.ciqfunctions.udf.CIQ($C$2,"IQ_PENSION_TRANSITION_NEXT_DOM",H$6,$F$2,,,Ccy,Conv)</f>
        <v>0</v>
      </c>
      <c r="I803" s="18">
        <f>_xll.ciqfunctions.udf.CIQ($C$2,"IQ_PENSION_TRANSITION_NEXT_DOM",I$6,$F$2,,,Ccy,Conv)</f>
        <v>0</v>
      </c>
      <c r="J803" s="18">
        <f>_xll.ciqfunctions.udf.CIQ($C$2,"IQ_PENSION_TRANSITION_NEXT_DOM",J$6,$F$2,,,Ccy,Conv)</f>
        <v>0</v>
      </c>
      <c r="K803" s="18">
        <f>_xll.ciqfunctions.udf.CIQ($C$2,"IQ_PENSION_TRANSITION_NEXT_DOM",K$6,$F$2,,,Ccy,Conv)</f>
        <v>0</v>
      </c>
      <c r="L803" s="18">
        <f>_xll.ciqfunctions.udf.CIQ($C$2,"IQ_PENSION_TRANSITION_NEXT_DOM",L$6,$F$2,,,Ccy,Conv)</f>
        <v>0</v>
      </c>
      <c r="M803" s="18">
        <f>_xll.ciqfunctions.udf.CIQ($C$2,"IQ_PENSION_TRANSITION_NEXT_DOM",M$6,$F$2,,,Ccy,Conv)</f>
        <v>0</v>
      </c>
      <c r="N803" s="18">
        <f>_xll.ciqfunctions.udf.CIQ($C$2,"IQ_PENSION_TRANSITION_NEXT_DOM",N$6,$F$2,,,Ccy,Conv)</f>
        <v>0</v>
      </c>
      <c r="O803" s="30"/>
      <c r="P803" s="18">
        <f>_xll.ciqfunctions.udf.CIQ($C$2,"IQ_PENSION_TRANSITION_NEXT_DOM",P$6,$F$2,,,Ccy,Conv)</f>
        <v>0</v>
      </c>
      <c r="Q803" s="215"/>
      <c r="R803" s="215"/>
      <c r="S803" s="215"/>
      <c r="T803" s="215"/>
      <c r="U803" s="215"/>
      <c r="V803" s="222"/>
      <c r="W803" s="222"/>
      <c r="X803" s="222"/>
      <c r="Y803" s="215"/>
      <c r="Z803" s="215"/>
      <c r="AA803" s="215"/>
      <c r="AB803" s="215"/>
      <c r="AC803" s="215"/>
      <c r="AD803" s="215"/>
      <c r="AE803" s="215"/>
      <c r="AF803" s="215"/>
      <c r="AG803" s="215"/>
      <c r="AH803" s="215"/>
      <c r="AI803" s="215"/>
      <c r="AJ803" s="215"/>
      <c r="AK803" s="215"/>
      <c r="AL803" s="215"/>
      <c r="AM803" s="215"/>
      <c r="AN803" s="215"/>
      <c r="AO803" s="215"/>
      <c r="AP803" s="215"/>
      <c r="AQ803" s="215"/>
      <c r="AR803" s="215"/>
      <c r="AS803" s="215"/>
      <c r="AT803" s="215"/>
      <c r="AU803" s="215"/>
      <c r="AV803" s="215"/>
      <c r="AW803" s="215"/>
      <c r="AX803" s="215"/>
      <c r="AY803" s="215"/>
      <c r="AZ803" s="215"/>
      <c r="BA803" s="215"/>
      <c r="BB803" s="215"/>
      <c r="BC803" s="215"/>
      <c r="BD803" s="215"/>
      <c r="BE803" s="215"/>
      <c r="BF803" s="215"/>
      <c r="BG803" s="215"/>
      <c r="BH803" s="215"/>
      <c r="BI803" s="215"/>
      <c r="BJ803" s="215"/>
      <c r="BK803" s="215"/>
      <c r="BL803" s="215"/>
      <c r="BM803" s="215"/>
      <c r="BN803" s="215"/>
      <c r="BO803" s="215"/>
      <c r="BP803" s="215"/>
      <c r="BQ803" s="215"/>
      <c r="BR803" s="215"/>
      <c r="BS803" s="215"/>
      <c r="BT803" s="215"/>
      <c r="BU803" s="215"/>
      <c r="BV803" s="215"/>
      <c r="BW803" s="215"/>
      <c r="BX803" s="215"/>
      <c r="BY803" s="215"/>
      <c r="BZ803" s="215"/>
    </row>
    <row r="804" spans="1:78" outlineLevel="1" x14ac:dyDescent="0.2">
      <c r="A804" s="2" t="str">
        <f>'Language Index'!A551</f>
        <v>Total Amount to be Recognized Next Period</v>
      </c>
      <c r="B804" s="17"/>
      <c r="C804" s="17"/>
      <c r="D804" s="18">
        <f>_xll.ciqfunctions.udf.CIQ($C$2,"IQ_PENSION_AMT_RECOG_NEXT_DOM",D$6,$F$2,,,Ccy,Conv)</f>
        <v>0</v>
      </c>
      <c r="E804" s="18">
        <f>_xll.ciqfunctions.udf.CIQ($C$2,"IQ_PENSION_AMT_RECOG_NEXT_DOM",E$6,$F$2,,,Ccy,Conv)</f>
        <v>0</v>
      </c>
      <c r="F804" s="18">
        <f>_xll.ciqfunctions.udf.CIQ($C$2,"IQ_PENSION_AMT_RECOG_NEXT_DOM",F$6,$F$2,,,Ccy,Conv)</f>
        <v>0</v>
      </c>
      <c r="G804" s="18">
        <f>_xll.ciqfunctions.udf.CIQ($C$2,"IQ_PENSION_AMT_RECOG_NEXT_DOM",G$6,$F$2,,,Ccy,Conv)</f>
        <v>0</v>
      </c>
      <c r="H804" s="18">
        <f>_xll.ciqfunctions.udf.CIQ($C$2,"IQ_PENSION_AMT_RECOG_NEXT_DOM",H$6,$F$2,,,Ccy,Conv)</f>
        <v>0</v>
      </c>
      <c r="I804" s="18">
        <f>_xll.ciqfunctions.udf.CIQ($C$2,"IQ_PENSION_AMT_RECOG_NEXT_DOM",I$6,$F$2,,,Ccy,Conv)</f>
        <v>0</v>
      </c>
      <c r="J804" s="18">
        <f>_xll.ciqfunctions.udf.CIQ($C$2,"IQ_PENSION_AMT_RECOG_NEXT_DOM",J$6,$F$2,,,Ccy,Conv)</f>
        <v>0</v>
      </c>
      <c r="K804" s="18">
        <f>_xll.ciqfunctions.udf.CIQ($C$2,"IQ_PENSION_AMT_RECOG_NEXT_DOM",K$6,$F$2,,,Ccy,Conv)</f>
        <v>0</v>
      </c>
      <c r="L804" s="18">
        <f>_xll.ciqfunctions.udf.CIQ($C$2,"IQ_PENSION_AMT_RECOG_NEXT_DOM",L$6,$F$2,,,Ccy,Conv)</f>
        <v>0</v>
      </c>
      <c r="M804" s="18">
        <f>_xll.ciqfunctions.udf.CIQ($C$2,"IQ_PENSION_AMT_RECOG_NEXT_DOM",M$6,$F$2,,,Ccy,Conv)</f>
        <v>0</v>
      </c>
      <c r="N804" s="18">
        <f>_xll.ciqfunctions.udf.CIQ($C$2,"IQ_PENSION_AMT_RECOG_NEXT_DOM",N$6,$F$2,,,Ccy,Conv)</f>
        <v>0</v>
      </c>
      <c r="O804" s="30"/>
      <c r="P804" s="18">
        <f>_xll.ciqfunctions.udf.CIQ($C$2,"IQ_PENSION_AMT_RECOG_NEXT_DOM",P$6,$F$2,,,Ccy,Conv)</f>
        <v>0</v>
      </c>
      <c r="Q804" s="215"/>
      <c r="R804" s="215"/>
      <c r="S804" s="215"/>
      <c r="T804" s="215"/>
      <c r="U804" s="215"/>
      <c r="V804" s="222"/>
      <c r="W804" s="222"/>
      <c r="X804" s="222"/>
      <c r="Y804" s="215"/>
      <c r="Z804" s="215"/>
      <c r="AA804" s="215"/>
      <c r="AB804" s="215"/>
      <c r="AC804" s="215"/>
      <c r="AD804" s="215"/>
      <c r="AE804" s="215"/>
      <c r="AF804" s="215"/>
      <c r="AG804" s="215"/>
      <c r="AH804" s="215"/>
      <c r="AI804" s="215"/>
      <c r="AJ804" s="215"/>
      <c r="AK804" s="215"/>
      <c r="AL804" s="215"/>
      <c r="AM804" s="215"/>
      <c r="AN804" s="215"/>
      <c r="AO804" s="215"/>
      <c r="AP804" s="215"/>
      <c r="AQ804" s="215"/>
      <c r="AR804" s="215"/>
      <c r="AS804" s="215"/>
      <c r="AT804" s="215"/>
      <c r="AU804" s="215"/>
      <c r="AV804" s="215"/>
      <c r="AW804" s="215"/>
      <c r="AX804" s="215"/>
      <c r="AY804" s="215"/>
      <c r="AZ804" s="215"/>
      <c r="BA804" s="215"/>
      <c r="BB804" s="215"/>
      <c r="BC804" s="215"/>
      <c r="BD804" s="215"/>
      <c r="BE804" s="215"/>
      <c r="BF804" s="215"/>
      <c r="BG804" s="215"/>
      <c r="BH804" s="215"/>
      <c r="BI804" s="215"/>
      <c r="BJ804" s="215"/>
      <c r="BK804" s="215"/>
      <c r="BL804" s="215"/>
      <c r="BM804" s="215"/>
      <c r="BN804" s="215"/>
      <c r="BO804" s="215"/>
      <c r="BP804" s="215"/>
      <c r="BQ804" s="215"/>
      <c r="BR804" s="215"/>
      <c r="BS804" s="215"/>
      <c r="BT804" s="215"/>
      <c r="BU804" s="215"/>
      <c r="BV804" s="215"/>
      <c r="BW804" s="215"/>
      <c r="BX804" s="215"/>
      <c r="BY804" s="215"/>
      <c r="BZ804" s="215"/>
    </row>
    <row r="805" spans="1:78" outlineLevel="1" x14ac:dyDescent="0.2">
      <c r="A805" s="9" t="str">
        <f>'Language Index'!A552</f>
        <v>Weighted Avg. Assumptions on Def. Benefit Obligation</v>
      </c>
      <c r="B805" s="17"/>
      <c r="C805" s="17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30"/>
      <c r="P805" s="18"/>
      <c r="Q805" s="245"/>
      <c r="R805" s="215"/>
      <c r="S805" s="215"/>
      <c r="T805" s="215"/>
      <c r="U805" s="215"/>
      <c r="V805" s="222"/>
      <c r="W805" s="222"/>
      <c r="X805" s="222"/>
      <c r="Y805" s="215"/>
      <c r="Z805" s="215"/>
      <c r="AA805" s="215"/>
      <c r="AB805" s="215"/>
      <c r="AC805" s="215"/>
      <c r="AD805" s="215"/>
      <c r="AE805" s="215"/>
      <c r="AF805" s="215"/>
      <c r="AG805" s="215"/>
      <c r="AH805" s="215"/>
      <c r="AI805" s="215"/>
      <c r="AJ805" s="215"/>
      <c r="AK805" s="215"/>
      <c r="AL805" s="215"/>
      <c r="AM805" s="215"/>
      <c r="AN805" s="215"/>
      <c r="AO805" s="215"/>
      <c r="AP805" s="215"/>
      <c r="AQ805" s="215"/>
      <c r="AR805" s="215"/>
      <c r="AS805" s="215"/>
      <c r="AT805" s="215"/>
      <c r="AU805" s="215"/>
      <c r="AV805" s="215"/>
      <c r="AW805" s="215"/>
      <c r="AX805" s="215"/>
      <c r="AY805" s="215"/>
      <c r="AZ805" s="215"/>
      <c r="BA805" s="215"/>
      <c r="BB805" s="215"/>
      <c r="BC805" s="215"/>
      <c r="BD805" s="215"/>
      <c r="BE805" s="215"/>
      <c r="BF805" s="215"/>
      <c r="BG805" s="215"/>
      <c r="BH805" s="215"/>
      <c r="BI805" s="215"/>
      <c r="BJ805" s="215"/>
      <c r="BK805" s="215"/>
      <c r="BL805" s="215"/>
      <c r="BM805" s="215"/>
      <c r="BN805" s="215"/>
      <c r="BO805" s="215"/>
      <c r="BP805" s="215"/>
      <c r="BQ805" s="215"/>
      <c r="BR805" s="215"/>
      <c r="BS805" s="215"/>
      <c r="BT805" s="215"/>
      <c r="BU805" s="215"/>
      <c r="BV805" s="215"/>
      <c r="BW805" s="215"/>
      <c r="BX805" s="215"/>
      <c r="BY805" s="215"/>
      <c r="BZ805" s="215"/>
    </row>
    <row r="806" spans="1:78" outlineLevel="1" x14ac:dyDescent="0.2">
      <c r="A806" s="2" t="str">
        <f>'Language Index'!A553</f>
        <v>PBO Assumed Rate of Return - Min</v>
      </c>
      <c r="B806" s="17"/>
      <c r="C806" s="17"/>
      <c r="D806" s="18">
        <f>_xll.ciqfunctions.udf.CIQ($C$2,"IQ_PENSION_PBO_ASSUMED_RATE_RET_MIN_DOM",D$6,$F$2)</f>
        <v>0</v>
      </c>
      <c r="E806" s="18">
        <f>_xll.ciqfunctions.udf.CIQ($C$2,"IQ_PENSION_PBO_ASSUMED_RATE_RET_MIN_DOM",E$6,$F$2)</f>
        <v>0</v>
      </c>
      <c r="F806" s="18">
        <f>_xll.ciqfunctions.udf.CIQ($C$2,"IQ_PENSION_PBO_ASSUMED_RATE_RET_MIN_DOM",F$6,$F$2)</f>
        <v>5</v>
      </c>
      <c r="G806" s="18">
        <f>_xll.ciqfunctions.udf.CIQ($C$2,"IQ_PENSION_PBO_ASSUMED_RATE_RET_MIN_DOM",G$6,$F$2)</f>
        <v>0</v>
      </c>
      <c r="H806" s="18">
        <f>_xll.ciqfunctions.udf.CIQ($C$2,"IQ_PENSION_PBO_ASSUMED_RATE_RET_MIN_DOM",H$6,$F$2)</f>
        <v>0</v>
      </c>
      <c r="I806" s="18">
        <f>_xll.ciqfunctions.udf.CIQ($C$2,"IQ_PENSION_PBO_ASSUMED_RATE_RET_MIN_DOM",I$6,$F$2)</f>
        <v>0</v>
      </c>
      <c r="J806" s="18">
        <f>_xll.ciqfunctions.udf.CIQ($C$2,"IQ_PENSION_PBO_ASSUMED_RATE_RET_MIN_DOM",J$6,$F$2)</f>
        <v>5.5</v>
      </c>
      <c r="K806" s="18">
        <f>_xll.ciqfunctions.udf.CIQ($C$2,"IQ_PENSION_PBO_ASSUMED_RATE_RET_MIN_DOM",K$6,$F$2)</f>
        <v>0</v>
      </c>
      <c r="L806" s="18">
        <f>_xll.ciqfunctions.udf.CIQ($C$2,"IQ_PENSION_PBO_ASSUMED_RATE_RET_MIN_DOM",L$6,$F$2)</f>
        <v>0</v>
      </c>
      <c r="M806" s="18">
        <f>_xll.ciqfunctions.udf.CIQ($C$2,"IQ_PENSION_PBO_ASSUMED_RATE_RET_MIN_DOM",M$6,$F$2)</f>
        <v>0</v>
      </c>
      <c r="N806" s="18">
        <f>_xll.ciqfunctions.udf.CIQ($C$2,"IQ_PENSION_PBO_ASSUMED_RATE_RET_MIN_DOM",N$6,$F$2)</f>
        <v>5.2</v>
      </c>
      <c r="O806" s="30"/>
      <c r="P806" s="18">
        <f>_xll.ciqfunctions.udf.CIQ($C$2,"IQ_PENSION_PBO_ASSUMED_RATE_RET_MIN_DOM",P$6,$F$2)</f>
        <v>5.2</v>
      </c>
      <c r="Q806" s="245"/>
      <c r="R806" s="215"/>
      <c r="S806" s="215"/>
      <c r="T806" s="215"/>
      <c r="U806" s="215"/>
      <c r="V806" s="222"/>
      <c r="W806" s="222"/>
      <c r="X806" s="222"/>
      <c r="Y806" s="215"/>
      <c r="Z806" s="215"/>
      <c r="AA806" s="215"/>
      <c r="AB806" s="215"/>
      <c r="AC806" s="215"/>
      <c r="AD806" s="215"/>
      <c r="AE806" s="215"/>
      <c r="AF806" s="215"/>
      <c r="AG806" s="215"/>
      <c r="AH806" s="215"/>
      <c r="AI806" s="215"/>
      <c r="AJ806" s="215"/>
      <c r="AK806" s="215"/>
      <c r="AL806" s="215"/>
      <c r="AM806" s="215"/>
      <c r="AN806" s="215"/>
      <c r="AO806" s="215"/>
      <c r="AP806" s="215"/>
      <c r="AQ806" s="215"/>
      <c r="AR806" s="215"/>
      <c r="AS806" s="215"/>
      <c r="AT806" s="215"/>
      <c r="AU806" s="215"/>
      <c r="AV806" s="215"/>
      <c r="AW806" s="215"/>
      <c r="AX806" s="215"/>
      <c r="AY806" s="215"/>
      <c r="AZ806" s="215"/>
      <c r="BA806" s="215"/>
      <c r="BB806" s="215"/>
      <c r="BC806" s="215"/>
      <c r="BD806" s="215"/>
      <c r="BE806" s="215"/>
      <c r="BF806" s="215"/>
      <c r="BG806" s="215"/>
      <c r="BH806" s="215"/>
      <c r="BI806" s="215"/>
      <c r="BJ806" s="215"/>
      <c r="BK806" s="215"/>
      <c r="BL806" s="215"/>
      <c r="BM806" s="215"/>
      <c r="BN806" s="215"/>
      <c r="BO806" s="215"/>
      <c r="BP806" s="215"/>
      <c r="BQ806" s="215"/>
      <c r="BR806" s="215"/>
      <c r="BS806" s="215"/>
      <c r="BT806" s="215"/>
      <c r="BU806" s="215"/>
      <c r="BV806" s="215"/>
      <c r="BW806" s="215"/>
      <c r="BX806" s="215"/>
      <c r="BY806" s="215"/>
      <c r="BZ806" s="215"/>
    </row>
    <row r="807" spans="1:78" outlineLevel="1" x14ac:dyDescent="0.2">
      <c r="A807" s="2" t="str">
        <f>'Language Index'!A554</f>
        <v>PBO Assumed Rate of Return - Max</v>
      </c>
      <c r="B807" s="17"/>
      <c r="C807" s="17"/>
      <c r="D807" s="18">
        <f>_xll.ciqfunctions.udf.CIQ($C$2,"IQ_PENSION_PBO_ASSUMED_RATE_RET_MAX_DOM",D$6,$F$2)</f>
        <v>0</v>
      </c>
      <c r="E807" s="18">
        <f>_xll.ciqfunctions.udf.CIQ($C$2,"IQ_PENSION_PBO_ASSUMED_RATE_RET_MAX_DOM",E$6,$F$2)</f>
        <v>0</v>
      </c>
      <c r="F807" s="18">
        <f>_xll.ciqfunctions.udf.CIQ($C$2,"IQ_PENSION_PBO_ASSUMED_RATE_RET_MAX_DOM",F$6,$F$2)</f>
        <v>5</v>
      </c>
      <c r="G807" s="18">
        <f>_xll.ciqfunctions.udf.CIQ($C$2,"IQ_PENSION_PBO_ASSUMED_RATE_RET_MAX_DOM",G$6,$F$2)</f>
        <v>0</v>
      </c>
      <c r="H807" s="18">
        <f>_xll.ciqfunctions.udf.CIQ($C$2,"IQ_PENSION_PBO_ASSUMED_RATE_RET_MAX_DOM",H$6,$F$2)</f>
        <v>0</v>
      </c>
      <c r="I807" s="18">
        <f>_xll.ciqfunctions.udf.CIQ($C$2,"IQ_PENSION_PBO_ASSUMED_RATE_RET_MAX_DOM",I$6,$F$2)</f>
        <v>0</v>
      </c>
      <c r="J807" s="18">
        <f>_xll.ciqfunctions.udf.CIQ($C$2,"IQ_PENSION_PBO_ASSUMED_RATE_RET_MAX_DOM",J$6,$F$2)</f>
        <v>5.5</v>
      </c>
      <c r="K807" s="18">
        <f>_xll.ciqfunctions.udf.CIQ($C$2,"IQ_PENSION_PBO_ASSUMED_RATE_RET_MAX_DOM",K$6,$F$2)</f>
        <v>0</v>
      </c>
      <c r="L807" s="18">
        <f>_xll.ciqfunctions.udf.CIQ($C$2,"IQ_PENSION_PBO_ASSUMED_RATE_RET_MAX_DOM",L$6,$F$2)</f>
        <v>0</v>
      </c>
      <c r="M807" s="18">
        <f>_xll.ciqfunctions.udf.CIQ($C$2,"IQ_PENSION_PBO_ASSUMED_RATE_RET_MAX_DOM",M$6,$F$2)</f>
        <v>0</v>
      </c>
      <c r="N807" s="18">
        <f>_xll.ciqfunctions.udf.CIQ($C$2,"IQ_PENSION_PBO_ASSUMED_RATE_RET_MAX_DOM",N$6,$F$2)</f>
        <v>5.2</v>
      </c>
      <c r="O807" s="30"/>
      <c r="P807" s="18">
        <f>_xll.ciqfunctions.udf.CIQ($C$2,"IQ_PENSION_PBO_ASSUMED_RATE_RET_MAX_DOM",P$6,$F$2)</f>
        <v>5.2</v>
      </c>
      <c r="Q807" s="245"/>
      <c r="R807" s="215"/>
      <c r="S807" s="215"/>
      <c r="T807" s="215"/>
      <c r="U807" s="215"/>
      <c r="V807" s="222"/>
      <c r="W807" s="222"/>
      <c r="X807" s="222"/>
      <c r="Y807" s="215"/>
      <c r="Z807" s="215"/>
      <c r="AA807" s="215"/>
      <c r="AB807" s="215"/>
      <c r="AC807" s="215"/>
      <c r="AD807" s="215"/>
      <c r="AE807" s="215"/>
      <c r="AF807" s="215"/>
      <c r="AG807" s="215"/>
      <c r="AH807" s="215"/>
      <c r="AI807" s="215"/>
      <c r="AJ807" s="215"/>
      <c r="AK807" s="215"/>
      <c r="AL807" s="215"/>
      <c r="AM807" s="215"/>
      <c r="AN807" s="215"/>
      <c r="AO807" s="215"/>
      <c r="AP807" s="215"/>
      <c r="AQ807" s="215"/>
      <c r="AR807" s="215"/>
      <c r="AS807" s="215"/>
      <c r="AT807" s="215"/>
      <c r="AU807" s="215"/>
      <c r="AV807" s="215"/>
      <c r="AW807" s="215"/>
      <c r="AX807" s="215"/>
      <c r="AY807" s="215"/>
      <c r="AZ807" s="215"/>
      <c r="BA807" s="215"/>
      <c r="BB807" s="215"/>
      <c r="BC807" s="215"/>
      <c r="BD807" s="215"/>
      <c r="BE807" s="215"/>
      <c r="BF807" s="215"/>
      <c r="BG807" s="215"/>
      <c r="BH807" s="215"/>
      <c r="BI807" s="215"/>
      <c r="BJ807" s="215"/>
      <c r="BK807" s="215"/>
      <c r="BL807" s="215"/>
      <c r="BM807" s="215"/>
      <c r="BN807" s="215"/>
      <c r="BO807" s="215"/>
      <c r="BP807" s="215"/>
      <c r="BQ807" s="215"/>
      <c r="BR807" s="215"/>
      <c r="BS807" s="215"/>
      <c r="BT807" s="215"/>
      <c r="BU807" s="215"/>
      <c r="BV807" s="215"/>
      <c r="BW807" s="215"/>
      <c r="BX807" s="215"/>
      <c r="BY807" s="215"/>
      <c r="BZ807" s="215"/>
    </row>
    <row r="808" spans="1:78" outlineLevel="1" x14ac:dyDescent="0.2">
      <c r="A808" s="2" t="str">
        <f>'Language Index'!A555</f>
        <v>Rate of PBO Compensation Increase - Min</v>
      </c>
      <c r="B808" s="17"/>
      <c r="C808" s="17"/>
      <c r="D808" s="18">
        <f>_xll.ciqfunctions.udf.CIQ($C$2,"IQ_PENSION_PBO_RATE_COMP_INCREASE_MIN_DOM",D$6,$F$2)</f>
        <v>0</v>
      </c>
      <c r="E808" s="18">
        <f>_xll.ciqfunctions.udf.CIQ($C$2,"IQ_PENSION_PBO_RATE_COMP_INCREASE_MIN_DOM",E$6,$F$2)</f>
        <v>0</v>
      </c>
      <c r="F808" s="18">
        <f>_xll.ciqfunctions.udf.CIQ($C$2,"IQ_PENSION_PBO_RATE_COMP_INCREASE_MIN_DOM",F$6,$F$2)</f>
        <v>5</v>
      </c>
      <c r="G808" s="18">
        <f>_xll.ciqfunctions.udf.CIQ($C$2,"IQ_PENSION_PBO_RATE_COMP_INCREASE_MIN_DOM",G$6,$F$2)</f>
        <v>0</v>
      </c>
      <c r="H808" s="18">
        <f>_xll.ciqfunctions.udf.CIQ($C$2,"IQ_PENSION_PBO_RATE_COMP_INCREASE_MIN_DOM",H$6,$F$2)</f>
        <v>0</v>
      </c>
      <c r="I808" s="18">
        <f>_xll.ciqfunctions.udf.CIQ($C$2,"IQ_PENSION_PBO_RATE_COMP_INCREASE_MIN_DOM",I$6,$F$2)</f>
        <v>0</v>
      </c>
      <c r="J808" s="18">
        <f>_xll.ciqfunctions.udf.CIQ($C$2,"IQ_PENSION_PBO_RATE_COMP_INCREASE_MIN_DOM",J$6,$F$2)</f>
        <v>4</v>
      </c>
      <c r="K808" s="18">
        <f>_xll.ciqfunctions.udf.CIQ($C$2,"IQ_PENSION_PBO_RATE_COMP_INCREASE_MIN_DOM",K$6,$F$2)</f>
        <v>0</v>
      </c>
      <c r="L808" s="18">
        <f>_xll.ciqfunctions.udf.CIQ($C$2,"IQ_PENSION_PBO_RATE_COMP_INCREASE_MIN_DOM",L$6,$F$2)</f>
        <v>0</v>
      </c>
      <c r="M808" s="18">
        <f>_xll.ciqfunctions.udf.CIQ($C$2,"IQ_PENSION_PBO_RATE_COMP_INCREASE_MIN_DOM",M$6,$F$2)</f>
        <v>0</v>
      </c>
      <c r="N808" s="18">
        <f>_xll.ciqfunctions.udf.CIQ($C$2,"IQ_PENSION_PBO_RATE_COMP_INCREASE_MIN_DOM",N$6,$F$2)</f>
        <v>4</v>
      </c>
      <c r="O808" s="30"/>
      <c r="P808" s="18">
        <f>_xll.ciqfunctions.udf.CIQ($C$2,"IQ_PENSION_PBO_RATE_COMP_INCREASE_MIN_DOM",P$6,$F$2)</f>
        <v>4</v>
      </c>
      <c r="Q808" s="215"/>
      <c r="R808" s="215"/>
      <c r="S808" s="215"/>
      <c r="T808" s="215"/>
      <c r="U808" s="215"/>
      <c r="V808" s="222"/>
      <c r="W808" s="222"/>
      <c r="X808" s="222"/>
      <c r="Y808" s="215"/>
      <c r="Z808" s="215"/>
      <c r="AA808" s="215"/>
      <c r="AB808" s="215"/>
      <c r="AC808" s="215"/>
      <c r="AD808" s="215"/>
      <c r="AE808" s="215"/>
      <c r="AF808" s="215"/>
      <c r="AG808" s="215"/>
      <c r="AH808" s="215"/>
      <c r="AI808" s="215"/>
      <c r="AJ808" s="215"/>
      <c r="AK808" s="215"/>
      <c r="AL808" s="215"/>
      <c r="AM808" s="215"/>
      <c r="AN808" s="215"/>
      <c r="AO808" s="215"/>
      <c r="AP808" s="215"/>
      <c r="AQ808" s="215"/>
      <c r="AR808" s="215"/>
      <c r="AS808" s="215"/>
      <c r="AT808" s="215"/>
      <c r="AU808" s="215"/>
      <c r="AV808" s="215"/>
      <c r="AW808" s="215"/>
      <c r="AX808" s="215"/>
      <c r="AY808" s="215"/>
      <c r="AZ808" s="215"/>
      <c r="BA808" s="215"/>
      <c r="BB808" s="215"/>
      <c r="BC808" s="215"/>
      <c r="BD808" s="215"/>
      <c r="BE808" s="215"/>
      <c r="BF808" s="215"/>
      <c r="BG808" s="215"/>
      <c r="BH808" s="215"/>
      <c r="BI808" s="215"/>
      <c r="BJ808" s="215"/>
      <c r="BK808" s="215"/>
      <c r="BL808" s="215"/>
      <c r="BM808" s="215"/>
      <c r="BN808" s="215"/>
      <c r="BO808" s="215"/>
      <c r="BP808" s="215"/>
      <c r="BQ808" s="215"/>
      <c r="BR808" s="215"/>
      <c r="BS808" s="215"/>
      <c r="BT808" s="215"/>
      <c r="BU808" s="215"/>
      <c r="BV808" s="215"/>
      <c r="BW808" s="215"/>
      <c r="BX808" s="215"/>
      <c r="BY808" s="215"/>
      <c r="BZ808" s="215"/>
    </row>
    <row r="809" spans="1:78" outlineLevel="1" x14ac:dyDescent="0.2">
      <c r="A809" s="2" t="str">
        <f>'Language Index'!A556</f>
        <v>Rate of PBO Compensation Increase - Max</v>
      </c>
      <c r="B809" s="17"/>
      <c r="C809" s="17"/>
      <c r="D809" s="18">
        <f>_xll.ciqfunctions.udf.CIQ($C$2,"IQ_PENSION_PBO_RATE_COMP_INCREASE_MAX_DOM",D$6,$F$2)</f>
        <v>0</v>
      </c>
      <c r="E809" s="18">
        <f>_xll.ciqfunctions.udf.CIQ($C$2,"IQ_PENSION_PBO_RATE_COMP_INCREASE_MAX_DOM",E$6,$F$2)</f>
        <v>0</v>
      </c>
      <c r="F809" s="18">
        <f>_xll.ciqfunctions.udf.CIQ($C$2,"IQ_PENSION_PBO_RATE_COMP_INCREASE_MAX_DOM",F$6,$F$2)</f>
        <v>5</v>
      </c>
      <c r="G809" s="18">
        <f>_xll.ciqfunctions.udf.CIQ($C$2,"IQ_PENSION_PBO_RATE_COMP_INCREASE_MAX_DOM",G$6,$F$2)</f>
        <v>0</v>
      </c>
      <c r="H809" s="18">
        <f>_xll.ciqfunctions.udf.CIQ($C$2,"IQ_PENSION_PBO_RATE_COMP_INCREASE_MAX_DOM",H$6,$F$2)</f>
        <v>0</v>
      </c>
      <c r="I809" s="18">
        <f>_xll.ciqfunctions.udf.CIQ($C$2,"IQ_PENSION_PBO_RATE_COMP_INCREASE_MAX_DOM",I$6,$F$2)</f>
        <v>0</v>
      </c>
      <c r="J809" s="18">
        <f>_xll.ciqfunctions.udf.CIQ($C$2,"IQ_PENSION_PBO_RATE_COMP_INCREASE_MAX_DOM",J$6,$F$2)</f>
        <v>4</v>
      </c>
      <c r="K809" s="18">
        <f>_xll.ciqfunctions.udf.CIQ($C$2,"IQ_PENSION_PBO_RATE_COMP_INCREASE_MAX_DOM",K$6,$F$2)</f>
        <v>0</v>
      </c>
      <c r="L809" s="18">
        <f>_xll.ciqfunctions.udf.CIQ($C$2,"IQ_PENSION_PBO_RATE_COMP_INCREASE_MAX_DOM",L$6,$F$2)</f>
        <v>0</v>
      </c>
      <c r="M809" s="18">
        <f>_xll.ciqfunctions.udf.CIQ($C$2,"IQ_PENSION_PBO_RATE_COMP_INCREASE_MAX_DOM",M$6,$F$2)</f>
        <v>0</v>
      </c>
      <c r="N809" s="18">
        <f>_xll.ciqfunctions.udf.CIQ($C$2,"IQ_PENSION_PBO_RATE_COMP_INCREASE_MAX_DOM",N$6,$F$2)</f>
        <v>4</v>
      </c>
      <c r="O809" s="30"/>
      <c r="P809" s="18">
        <f>_xll.ciqfunctions.udf.CIQ($C$2,"IQ_PENSION_PBO_RATE_COMP_INCREASE_MAX_DOM",P$6,$F$2)</f>
        <v>4</v>
      </c>
      <c r="Q809" s="215"/>
      <c r="R809" s="215"/>
      <c r="S809" s="215"/>
      <c r="T809" s="215"/>
      <c r="U809" s="215"/>
      <c r="V809" s="222"/>
      <c r="W809" s="222"/>
      <c r="X809" s="222"/>
      <c r="Y809" s="215"/>
      <c r="Z809" s="215"/>
      <c r="AA809" s="215"/>
      <c r="AB809" s="215"/>
      <c r="AC809" s="215"/>
      <c r="AD809" s="215"/>
      <c r="AE809" s="215"/>
      <c r="AF809" s="215"/>
      <c r="AG809" s="215"/>
      <c r="AH809" s="215"/>
      <c r="AI809" s="215"/>
      <c r="AJ809" s="215"/>
      <c r="AK809" s="215"/>
      <c r="AL809" s="215"/>
      <c r="AM809" s="215"/>
      <c r="AN809" s="215"/>
      <c r="AO809" s="215"/>
      <c r="AP809" s="215"/>
      <c r="AQ809" s="215"/>
      <c r="AR809" s="215"/>
      <c r="AS809" s="215"/>
      <c r="AT809" s="215"/>
      <c r="AU809" s="215"/>
      <c r="AV809" s="215"/>
      <c r="AW809" s="215"/>
      <c r="AX809" s="215"/>
      <c r="AY809" s="215"/>
      <c r="AZ809" s="215"/>
      <c r="BA809" s="215"/>
      <c r="BB809" s="215"/>
      <c r="BC809" s="215"/>
      <c r="BD809" s="215"/>
      <c r="BE809" s="215"/>
      <c r="BF809" s="215"/>
      <c r="BG809" s="215"/>
      <c r="BH809" s="215"/>
      <c r="BI809" s="215"/>
      <c r="BJ809" s="215"/>
      <c r="BK809" s="215"/>
      <c r="BL809" s="215"/>
      <c r="BM809" s="215"/>
      <c r="BN809" s="215"/>
      <c r="BO809" s="215"/>
      <c r="BP809" s="215"/>
      <c r="BQ809" s="215"/>
      <c r="BR809" s="215"/>
      <c r="BS809" s="215"/>
      <c r="BT809" s="215"/>
      <c r="BU809" s="215"/>
      <c r="BV809" s="215"/>
      <c r="BW809" s="215"/>
      <c r="BX809" s="215"/>
      <c r="BY809" s="215"/>
      <c r="BZ809" s="215"/>
    </row>
    <row r="810" spans="1:78" outlineLevel="1" x14ac:dyDescent="0.2">
      <c r="A810" s="9" t="str">
        <f>'Language Index'!A557</f>
        <v>Estimated Future Benefits Paid</v>
      </c>
      <c r="B810" s="17"/>
      <c r="C810" s="17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30"/>
      <c r="P810" s="18"/>
      <c r="Q810" s="215"/>
      <c r="R810" s="215"/>
      <c r="S810" s="215"/>
      <c r="T810" s="215"/>
      <c r="U810" s="215"/>
      <c r="V810" s="222"/>
      <c r="W810" s="222"/>
      <c r="X810" s="222"/>
      <c r="Y810" s="215"/>
      <c r="Z810" s="215"/>
      <c r="AA810" s="215"/>
      <c r="AB810" s="215"/>
      <c r="AC810" s="215"/>
      <c r="AD810" s="215"/>
      <c r="AE810" s="215"/>
      <c r="AF810" s="215"/>
      <c r="AG810" s="215"/>
      <c r="AH810" s="215"/>
      <c r="AI810" s="215"/>
      <c r="AJ810" s="215"/>
      <c r="AK810" s="215"/>
      <c r="AL810" s="215"/>
      <c r="AM810" s="215"/>
      <c r="AN810" s="215"/>
      <c r="AO810" s="215"/>
      <c r="AP810" s="215"/>
      <c r="AQ810" s="215"/>
      <c r="AR810" s="215"/>
      <c r="AS810" s="215"/>
      <c r="AT810" s="215"/>
      <c r="AU810" s="215"/>
      <c r="AV810" s="215"/>
      <c r="AW810" s="215"/>
      <c r="AX810" s="215"/>
      <c r="AY810" s="215"/>
      <c r="AZ810" s="215"/>
      <c r="BA810" s="215"/>
      <c r="BB810" s="215"/>
      <c r="BC810" s="215"/>
      <c r="BD810" s="215"/>
      <c r="BE810" s="215"/>
      <c r="BF810" s="215"/>
      <c r="BG810" s="215"/>
      <c r="BH810" s="215"/>
      <c r="BI810" s="215"/>
      <c r="BJ810" s="215"/>
      <c r="BK810" s="215"/>
      <c r="BL810" s="215"/>
      <c r="BM810" s="215"/>
      <c r="BN810" s="215"/>
      <c r="BO810" s="215"/>
      <c r="BP810" s="215"/>
      <c r="BQ810" s="215"/>
      <c r="BR810" s="215"/>
      <c r="BS810" s="215"/>
      <c r="BT810" s="215"/>
      <c r="BU810" s="215"/>
      <c r="BV810" s="215"/>
      <c r="BW810" s="215"/>
      <c r="BX810" s="215"/>
      <c r="BY810" s="215"/>
      <c r="BZ810" s="215"/>
    </row>
    <row r="811" spans="1:78" outlineLevel="1" x14ac:dyDescent="0.2">
      <c r="A811" s="2" t="str">
        <f>'Language Index'!A558</f>
        <v>Est. Future Benefits Paid - 1st Yr</v>
      </c>
      <c r="B811" s="17"/>
      <c r="C811" s="17"/>
      <c r="D811" s="18">
        <f>_xll.ciqfunctions.udf.CIQ($C$2,"IQ_PENSION_EST_BENEFIT_1YR_DOM",D$6,$F$2,,,Ccy,Conv)</f>
        <v>0</v>
      </c>
      <c r="E811" s="18">
        <f>_xll.ciqfunctions.udf.CIQ($C$2,"IQ_PENSION_EST_BENEFIT_1YR_DOM",E$6,$F$2,,,Ccy,Conv)</f>
        <v>0</v>
      </c>
      <c r="F811" s="18">
        <f>_xll.ciqfunctions.udf.CIQ($C$2,"IQ_PENSION_EST_BENEFIT_1YR_DOM",F$6,$F$2,,,Ccy,Conv)</f>
        <v>1891</v>
      </c>
      <c r="G811" s="18">
        <f>_xll.ciqfunctions.udf.CIQ($C$2,"IQ_PENSION_EST_BENEFIT_1YR_DOM",G$6,$F$2,,,Ccy,Conv)</f>
        <v>0</v>
      </c>
      <c r="H811" s="18">
        <f>_xll.ciqfunctions.udf.CIQ($C$2,"IQ_PENSION_EST_BENEFIT_1YR_DOM",H$6,$F$2,,,Ccy,Conv)</f>
        <v>0</v>
      </c>
      <c r="I811" s="18">
        <f>_xll.ciqfunctions.udf.CIQ($C$2,"IQ_PENSION_EST_BENEFIT_1YR_DOM",I$6,$F$2,,,Ccy,Conv)</f>
        <v>0</v>
      </c>
      <c r="J811" s="18">
        <f>_xll.ciqfunctions.udf.CIQ($C$2,"IQ_PENSION_EST_BENEFIT_1YR_DOM",J$6,$F$2,,,Ccy,Conv)</f>
        <v>1257</v>
      </c>
      <c r="K811" s="18">
        <f>_xll.ciqfunctions.udf.CIQ($C$2,"IQ_PENSION_EST_BENEFIT_1YR_DOM",K$6,$F$2,,,Ccy,Conv)</f>
        <v>0</v>
      </c>
      <c r="L811" s="18">
        <f>_xll.ciqfunctions.udf.CIQ($C$2,"IQ_PENSION_EST_BENEFIT_1YR_DOM",L$6,$F$2,,,Ccy,Conv)</f>
        <v>0</v>
      </c>
      <c r="M811" s="18">
        <f>_xll.ciqfunctions.udf.CIQ($C$2,"IQ_PENSION_EST_BENEFIT_1YR_DOM",M$6,$F$2,,,Ccy,Conv)</f>
        <v>0</v>
      </c>
      <c r="N811" s="18">
        <f>_xll.ciqfunctions.udf.CIQ($C$2,"IQ_PENSION_EST_BENEFIT_1YR_DOM",N$6,$F$2,,,Ccy,Conv)</f>
        <v>1299</v>
      </c>
      <c r="O811" s="30"/>
      <c r="P811" s="18">
        <f>_xll.ciqfunctions.udf.CIQ($C$2,"IQ_PENSION_EST_BENEFIT_1YR_DOM",P$6,$F$2,,,Ccy,Conv)</f>
        <v>1299</v>
      </c>
      <c r="Q811" s="215"/>
      <c r="R811" s="215"/>
      <c r="S811" s="215"/>
      <c r="T811" s="215"/>
      <c r="U811" s="215"/>
      <c r="V811" s="222"/>
      <c r="W811" s="222"/>
      <c r="X811" s="222"/>
      <c r="Y811" s="215"/>
      <c r="Z811" s="215"/>
      <c r="AA811" s="215"/>
      <c r="AB811" s="215"/>
      <c r="AC811" s="215"/>
      <c r="AD811" s="215"/>
      <c r="AE811" s="215"/>
      <c r="AF811" s="215"/>
      <c r="AG811" s="215"/>
      <c r="AH811" s="215"/>
      <c r="AI811" s="215"/>
      <c r="AJ811" s="215"/>
      <c r="AK811" s="215"/>
      <c r="AL811" s="215"/>
      <c r="AM811" s="215"/>
      <c r="AN811" s="215"/>
      <c r="AO811" s="215"/>
      <c r="AP811" s="215"/>
      <c r="AQ811" s="215"/>
      <c r="AR811" s="215"/>
      <c r="AS811" s="215"/>
      <c r="AT811" s="215"/>
      <c r="AU811" s="215"/>
      <c r="AV811" s="215"/>
      <c r="AW811" s="215"/>
      <c r="AX811" s="215"/>
      <c r="AY811" s="215"/>
      <c r="AZ811" s="215"/>
      <c r="BA811" s="215"/>
      <c r="BB811" s="215"/>
      <c r="BC811" s="215"/>
      <c r="BD811" s="215"/>
      <c r="BE811" s="215"/>
      <c r="BF811" s="215"/>
      <c r="BG811" s="215"/>
      <c r="BH811" s="215"/>
      <c r="BI811" s="215"/>
      <c r="BJ811" s="215"/>
      <c r="BK811" s="215"/>
      <c r="BL811" s="215"/>
      <c r="BM811" s="215"/>
      <c r="BN811" s="215"/>
      <c r="BO811" s="215"/>
      <c r="BP811" s="215"/>
      <c r="BQ811" s="215"/>
      <c r="BR811" s="215"/>
      <c r="BS811" s="215"/>
      <c r="BT811" s="215"/>
      <c r="BU811" s="215"/>
      <c r="BV811" s="215"/>
      <c r="BW811" s="215"/>
      <c r="BX811" s="215"/>
      <c r="BY811" s="215"/>
      <c r="BZ811" s="215"/>
    </row>
    <row r="812" spans="1:78" outlineLevel="1" x14ac:dyDescent="0.2">
      <c r="A812" s="2" t="str">
        <f>'Language Index'!A559</f>
        <v>Est. Future Benefits Paid - 2nd Yr</v>
      </c>
      <c r="B812" s="17"/>
      <c r="C812" s="17"/>
      <c r="D812" s="18">
        <f>_xll.ciqfunctions.udf.CIQ($C$2,"IQ_PENSION_EST_BENEFIT_2YR_DOM",D$6,$F$2,,,Ccy,Conv)</f>
        <v>0</v>
      </c>
      <c r="E812" s="18">
        <f>_xll.ciqfunctions.udf.CIQ($C$2,"IQ_PENSION_EST_BENEFIT_2YR_DOM",E$6,$F$2,,,Ccy,Conv)</f>
        <v>0</v>
      </c>
      <c r="F812" s="18">
        <f>_xll.ciqfunctions.udf.CIQ($C$2,"IQ_PENSION_EST_BENEFIT_2YR_DOM",F$6,$F$2,,,Ccy,Conv)</f>
        <v>1951</v>
      </c>
      <c r="G812" s="18">
        <f>_xll.ciqfunctions.udf.CIQ($C$2,"IQ_PENSION_EST_BENEFIT_2YR_DOM",G$6,$F$2,,,Ccy,Conv)</f>
        <v>0</v>
      </c>
      <c r="H812" s="18">
        <f>_xll.ciqfunctions.udf.CIQ($C$2,"IQ_PENSION_EST_BENEFIT_2YR_DOM",H$6,$F$2,,,Ccy,Conv)</f>
        <v>0</v>
      </c>
      <c r="I812" s="18">
        <f>_xll.ciqfunctions.udf.CIQ($C$2,"IQ_PENSION_EST_BENEFIT_2YR_DOM",I$6,$F$2,,,Ccy,Conv)</f>
        <v>0</v>
      </c>
      <c r="J812" s="18">
        <f>_xll.ciqfunctions.udf.CIQ($C$2,"IQ_PENSION_EST_BENEFIT_2YR_DOM",J$6,$F$2,,,Ccy,Conv)</f>
        <v>1297</v>
      </c>
      <c r="K812" s="18">
        <f>_xll.ciqfunctions.udf.CIQ($C$2,"IQ_PENSION_EST_BENEFIT_2YR_DOM",K$6,$F$2,,,Ccy,Conv)</f>
        <v>0</v>
      </c>
      <c r="L812" s="18">
        <f>_xll.ciqfunctions.udf.CIQ($C$2,"IQ_PENSION_EST_BENEFIT_2YR_DOM",L$6,$F$2,,,Ccy,Conv)</f>
        <v>0</v>
      </c>
      <c r="M812" s="18">
        <f>_xll.ciqfunctions.udf.CIQ($C$2,"IQ_PENSION_EST_BENEFIT_2YR_DOM",M$6,$F$2,,,Ccy,Conv)</f>
        <v>0</v>
      </c>
      <c r="N812" s="18">
        <f>_xll.ciqfunctions.udf.CIQ($C$2,"IQ_PENSION_EST_BENEFIT_2YR_DOM",N$6,$F$2,,,Ccy,Conv)</f>
        <v>1326</v>
      </c>
      <c r="O812" s="30"/>
      <c r="P812" s="18">
        <f>_xll.ciqfunctions.udf.CIQ($C$2,"IQ_PENSION_EST_BENEFIT_2YR_DOM",P$6,$F$2,,,Ccy,Conv)</f>
        <v>1326</v>
      </c>
      <c r="Q812" s="215"/>
      <c r="R812" s="215"/>
      <c r="S812" s="215"/>
      <c r="T812" s="215"/>
      <c r="U812" s="215"/>
      <c r="V812" s="222"/>
      <c r="W812" s="222"/>
      <c r="X812" s="222"/>
      <c r="Y812" s="215"/>
      <c r="Z812" s="215"/>
      <c r="AA812" s="215"/>
      <c r="AB812" s="215"/>
      <c r="AC812" s="215"/>
      <c r="AD812" s="215"/>
      <c r="AE812" s="215"/>
      <c r="AF812" s="215"/>
      <c r="AG812" s="215"/>
      <c r="AH812" s="215"/>
      <c r="AI812" s="215"/>
      <c r="AJ812" s="215"/>
      <c r="AK812" s="215"/>
      <c r="AL812" s="215"/>
      <c r="AM812" s="215"/>
      <c r="AN812" s="215"/>
      <c r="AO812" s="215"/>
      <c r="AP812" s="215"/>
      <c r="AQ812" s="215"/>
      <c r="AR812" s="215"/>
      <c r="AS812" s="215"/>
      <c r="AT812" s="215"/>
      <c r="AU812" s="215"/>
      <c r="AV812" s="215"/>
      <c r="AW812" s="215"/>
      <c r="AX812" s="215"/>
      <c r="AY812" s="215"/>
      <c r="AZ812" s="215"/>
      <c r="BA812" s="215"/>
      <c r="BB812" s="215"/>
      <c r="BC812" s="215"/>
      <c r="BD812" s="215"/>
      <c r="BE812" s="215"/>
      <c r="BF812" s="215"/>
      <c r="BG812" s="215"/>
      <c r="BH812" s="215"/>
      <c r="BI812" s="215"/>
      <c r="BJ812" s="215"/>
      <c r="BK812" s="215"/>
      <c r="BL812" s="215"/>
      <c r="BM812" s="215"/>
      <c r="BN812" s="215"/>
      <c r="BO812" s="215"/>
      <c r="BP812" s="215"/>
      <c r="BQ812" s="215"/>
      <c r="BR812" s="215"/>
      <c r="BS812" s="215"/>
      <c r="BT812" s="215"/>
      <c r="BU812" s="215"/>
      <c r="BV812" s="215"/>
      <c r="BW812" s="215"/>
      <c r="BX812" s="215"/>
      <c r="BY812" s="215"/>
      <c r="BZ812" s="215"/>
    </row>
    <row r="813" spans="1:78" outlineLevel="1" x14ac:dyDescent="0.2">
      <c r="A813" s="2" t="str">
        <f>'Language Index'!A560</f>
        <v>Est. Future Benefits Paid - 3rd Yr</v>
      </c>
      <c r="B813" s="17"/>
      <c r="C813" s="17"/>
      <c r="D813" s="18">
        <f>_xll.ciqfunctions.udf.CIQ($C$2,"IQ_PENSION_EST_BENEFIT_3YR_DOM",D$6,$F$2,,,Ccy,Conv)</f>
        <v>0</v>
      </c>
      <c r="E813" s="18">
        <f>_xll.ciqfunctions.udf.CIQ($C$2,"IQ_PENSION_EST_BENEFIT_3YR_DOM",E$6,$F$2,,,Ccy,Conv)</f>
        <v>0</v>
      </c>
      <c r="F813" s="18">
        <f>_xll.ciqfunctions.udf.CIQ($C$2,"IQ_PENSION_EST_BENEFIT_3YR_DOM",F$6,$F$2,,,Ccy,Conv)</f>
        <v>1967</v>
      </c>
      <c r="G813" s="18">
        <f>_xll.ciqfunctions.udf.CIQ($C$2,"IQ_PENSION_EST_BENEFIT_3YR_DOM",G$6,$F$2,,,Ccy,Conv)</f>
        <v>0</v>
      </c>
      <c r="H813" s="18">
        <f>_xll.ciqfunctions.udf.CIQ($C$2,"IQ_PENSION_EST_BENEFIT_3YR_DOM",H$6,$F$2,,,Ccy,Conv)</f>
        <v>0</v>
      </c>
      <c r="I813" s="18">
        <f>_xll.ciqfunctions.udf.CIQ($C$2,"IQ_PENSION_EST_BENEFIT_3YR_DOM",I$6,$F$2,,,Ccy,Conv)</f>
        <v>0</v>
      </c>
      <c r="J813" s="18">
        <f>_xll.ciqfunctions.udf.CIQ($C$2,"IQ_PENSION_EST_BENEFIT_3YR_DOM",J$6,$F$2,,,Ccy,Conv)</f>
        <v>1330</v>
      </c>
      <c r="K813" s="18">
        <f>_xll.ciqfunctions.udf.CIQ($C$2,"IQ_PENSION_EST_BENEFIT_3YR_DOM",K$6,$F$2,,,Ccy,Conv)</f>
        <v>0</v>
      </c>
      <c r="L813" s="18">
        <f>_xll.ciqfunctions.udf.CIQ($C$2,"IQ_PENSION_EST_BENEFIT_3YR_DOM",L$6,$F$2,,,Ccy,Conv)</f>
        <v>0</v>
      </c>
      <c r="M813" s="18">
        <f>_xll.ciqfunctions.udf.CIQ($C$2,"IQ_PENSION_EST_BENEFIT_3YR_DOM",M$6,$F$2,,,Ccy,Conv)</f>
        <v>0</v>
      </c>
      <c r="N813" s="18">
        <f>_xll.ciqfunctions.udf.CIQ($C$2,"IQ_PENSION_EST_BENEFIT_3YR_DOM",N$6,$F$2,,,Ccy,Conv)</f>
        <v>1338</v>
      </c>
      <c r="O813" s="30"/>
      <c r="P813" s="18">
        <f>_xll.ciqfunctions.udf.CIQ($C$2,"IQ_PENSION_EST_BENEFIT_3YR_DOM",P$6,$F$2,,,Ccy,Conv)</f>
        <v>1338</v>
      </c>
      <c r="Q813" s="215"/>
      <c r="R813" s="215"/>
      <c r="S813" s="215"/>
      <c r="T813" s="215"/>
      <c r="U813" s="215"/>
      <c r="V813" s="222"/>
      <c r="W813" s="222"/>
      <c r="X813" s="222"/>
      <c r="Y813" s="215"/>
      <c r="Z813" s="215"/>
      <c r="AA813" s="215"/>
      <c r="AB813" s="215"/>
      <c r="AC813" s="215"/>
      <c r="AD813" s="215"/>
      <c r="AE813" s="215"/>
      <c r="AF813" s="215"/>
      <c r="AG813" s="215"/>
      <c r="AH813" s="215"/>
      <c r="AI813" s="215"/>
      <c r="AJ813" s="215"/>
      <c r="AK813" s="215"/>
      <c r="AL813" s="215"/>
      <c r="AM813" s="215"/>
      <c r="AN813" s="215"/>
      <c r="AO813" s="215"/>
      <c r="AP813" s="215"/>
      <c r="AQ813" s="215"/>
      <c r="AR813" s="215"/>
      <c r="AS813" s="215"/>
      <c r="AT813" s="215"/>
      <c r="AU813" s="215"/>
      <c r="AV813" s="215"/>
      <c r="AW813" s="215"/>
      <c r="AX813" s="215"/>
      <c r="AY813" s="215"/>
      <c r="AZ813" s="215"/>
      <c r="BA813" s="215"/>
      <c r="BB813" s="215"/>
      <c r="BC813" s="215"/>
      <c r="BD813" s="215"/>
      <c r="BE813" s="215"/>
      <c r="BF813" s="215"/>
      <c r="BG813" s="215"/>
      <c r="BH813" s="215"/>
      <c r="BI813" s="215"/>
      <c r="BJ813" s="215"/>
      <c r="BK813" s="215"/>
      <c r="BL813" s="215"/>
      <c r="BM813" s="215"/>
      <c r="BN813" s="215"/>
      <c r="BO813" s="215"/>
      <c r="BP813" s="215"/>
      <c r="BQ813" s="215"/>
      <c r="BR813" s="215"/>
      <c r="BS813" s="215"/>
      <c r="BT813" s="215"/>
      <c r="BU813" s="215"/>
      <c r="BV813" s="215"/>
      <c r="BW813" s="215"/>
      <c r="BX813" s="215"/>
      <c r="BY813" s="215"/>
      <c r="BZ813" s="215"/>
    </row>
    <row r="814" spans="1:78" outlineLevel="1" x14ac:dyDescent="0.2">
      <c r="A814" s="2" t="str">
        <f>'Language Index'!A561</f>
        <v>Est. Future Benefits Paid - 4th Yr</v>
      </c>
      <c r="B814" s="17"/>
      <c r="C814" s="17"/>
      <c r="D814" s="18">
        <f>_xll.ciqfunctions.udf.CIQ($C$2,"IQ_PENSION_EST_BENEFIT_4YR_DOM",D$6,$F$2,,,Ccy,Conv)</f>
        <v>0</v>
      </c>
      <c r="E814" s="18">
        <f>_xll.ciqfunctions.udf.CIQ($C$2,"IQ_PENSION_EST_BENEFIT_4YR_DOM",E$6,$F$2,,,Ccy,Conv)</f>
        <v>0</v>
      </c>
      <c r="F814" s="18">
        <f>_xll.ciqfunctions.udf.CIQ($C$2,"IQ_PENSION_EST_BENEFIT_4YR_DOM",F$6,$F$2,,,Ccy,Conv)</f>
        <v>1938</v>
      </c>
      <c r="G814" s="18">
        <f>_xll.ciqfunctions.udf.CIQ($C$2,"IQ_PENSION_EST_BENEFIT_4YR_DOM",G$6,$F$2,,,Ccy,Conv)</f>
        <v>0</v>
      </c>
      <c r="H814" s="18">
        <f>_xll.ciqfunctions.udf.CIQ($C$2,"IQ_PENSION_EST_BENEFIT_4YR_DOM",H$6,$F$2,,,Ccy,Conv)</f>
        <v>0</v>
      </c>
      <c r="I814" s="18">
        <f>_xll.ciqfunctions.udf.CIQ($C$2,"IQ_PENSION_EST_BENEFIT_4YR_DOM",I$6,$F$2,,,Ccy,Conv)</f>
        <v>0</v>
      </c>
      <c r="J814" s="18">
        <f>_xll.ciqfunctions.udf.CIQ($C$2,"IQ_PENSION_EST_BENEFIT_4YR_DOM",J$6,$F$2,,,Ccy,Conv)</f>
        <v>1316</v>
      </c>
      <c r="K814" s="18">
        <f>_xll.ciqfunctions.udf.CIQ($C$2,"IQ_PENSION_EST_BENEFIT_4YR_DOM",K$6,$F$2,,,Ccy,Conv)</f>
        <v>0</v>
      </c>
      <c r="L814" s="18">
        <f>_xll.ciqfunctions.udf.CIQ($C$2,"IQ_PENSION_EST_BENEFIT_4YR_DOM",L$6,$F$2,,,Ccy,Conv)</f>
        <v>0</v>
      </c>
      <c r="M814" s="18">
        <f>_xll.ciqfunctions.udf.CIQ($C$2,"IQ_PENSION_EST_BENEFIT_4YR_DOM",M$6,$F$2,,,Ccy,Conv)</f>
        <v>0</v>
      </c>
      <c r="N814" s="18">
        <f>_xll.ciqfunctions.udf.CIQ($C$2,"IQ_PENSION_EST_BENEFIT_4YR_DOM",N$6,$F$2,,,Ccy,Conv)</f>
        <v>1338</v>
      </c>
      <c r="O814" s="30"/>
      <c r="P814" s="18">
        <f>_xll.ciqfunctions.udf.CIQ($C$2,"IQ_PENSION_EST_BENEFIT_4YR_DOM",P$6,$F$2,,,Ccy,Conv)</f>
        <v>1338</v>
      </c>
      <c r="Q814" s="215"/>
      <c r="R814" s="215"/>
      <c r="S814" s="215"/>
      <c r="T814" s="215"/>
      <c r="U814" s="215"/>
      <c r="V814" s="222"/>
      <c r="W814" s="222"/>
      <c r="X814" s="222"/>
      <c r="Y814" s="215"/>
      <c r="Z814" s="215"/>
      <c r="AA814" s="215"/>
      <c r="AB814" s="215"/>
      <c r="AC814" s="215"/>
      <c r="AD814" s="215"/>
      <c r="AE814" s="215"/>
      <c r="AF814" s="215"/>
      <c r="AG814" s="215"/>
      <c r="AH814" s="215"/>
      <c r="AI814" s="215"/>
      <c r="AJ814" s="215"/>
      <c r="AK814" s="215"/>
      <c r="AL814" s="215"/>
      <c r="AM814" s="215"/>
      <c r="AN814" s="215"/>
      <c r="AO814" s="215"/>
      <c r="AP814" s="215"/>
      <c r="AQ814" s="215"/>
      <c r="AR814" s="215"/>
      <c r="AS814" s="215"/>
      <c r="AT814" s="215"/>
      <c r="AU814" s="215"/>
      <c r="AV814" s="215"/>
      <c r="AW814" s="215"/>
      <c r="AX814" s="215"/>
      <c r="AY814" s="215"/>
      <c r="AZ814" s="215"/>
      <c r="BA814" s="215"/>
      <c r="BB814" s="215"/>
      <c r="BC814" s="215"/>
      <c r="BD814" s="215"/>
      <c r="BE814" s="215"/>
      <c r="BF814" s="215"/>
      <c r="BG814" s="215"/>
      <c r="BH814" s="215"/>
      <c r="BI814" s="215"/>
      <c r="BJ814" s="215"/>
      <c r="BK814" s="215"/>
      <c r="BL814" s="215"/>
      <c r="BM814" s="215"/>
      <c r="BN814" s="215"/>
      <c r="BO814" s="215"/>
      <c r="BP814" s="215"/>
      <c r="BQ814" s="215"/>
      <c r="BR814" s="215"/>
      <c r="BS814" s="215"/>
      <c r="BT814" s="215"/>
      <c r="BU814" s="215"/>
      <c r="BV814" s="215"/>
      <c r="BW814" s="215"/>
      <c r="BX814" s="215"/>
      <c r="BY814" s="215"/>
      <c r="BZ814" s="215"/>
    </row>
    <row r="815" spans="1:78" outlineLevel="1" x14ac:dyDescent="0.2">
      <c r="A815" s="2" t="str">
        <f>'Language Index'!A562</f>
        <v>Est. Future Benefits Paid - 5th Yr</v>
      </c>
      <c r="B815" s="17"/>
      <c r="C815" s="17"/>
      <c r="D815" s="18">
        <f>_xll.ciqfunctions.udf.CIQ($C$2,"IQ_PENSION_EST_BENEFIT_5YR_DOM",D$6,$F$2,,,Ccy,Conv)</f>
        <v>0</v>
      </c>
      <c r="E815" s="18">
        <f>_xll.ciqfunctions.udf.CIQ($C$2,"IQ_PENSION_EST_BENEFIT_5YR_DOM",E$6,$F$2,,,Ccy,Conv)</f>
        <v>0</v>
      </c>
      <c r="F815" s="18">
        <f>_xll.ciqfunctions.udf.CIQ($C$2,"IQ_PENSION_EST_BENEFIT_5YR_DOM",F$6,$F$2,,,Ccy,Conv)</f>
        <v>1893</v>
      </c>
      <c r="G815" s="18">
        <f>_xll.ciqfunctions.udf.CIQ($C$2,"IQ_PENSION_EST_BENEFIT_5YR_DOM",G$6,$F$2,,,Ccy,Conv)</f>
        <v>0</v>
      </c>
      <c r="H815" s="18">
        <f>_xll.ciqfunctions.udf.CIQ($C$2,"IQ_PENSION_EST_BENEFIT_5YR_DOM",H$6,$F$2,,,Ccy,Conv)</f>
        <v>0</v>
      </c>
      <c r="I815" s="18">
        <f>_xll.ciqfunctions.udf.CIQ($C$2,"IQ_PENSION_EST_BENEFIT_5YR_DOM",I$6,$F$2,,,Ccy,Conv)</f>
        <v>0</v>
      </c>
      <c r="J815" s="18">
        <f>_xll.ciqfunctions.udf.CIQ($C$2,"IQ_PENSION_EST_BENEFIT_5YR_DOM",J$6,$F$2,,,Ccy,Conv)</f>
        <v>1297</v>
      </c>
      <c r="K815" s="18">
        <f>_xll.ciqfunctions.udf.CIQ($C$2,"IQ_PENSION_EST_BENEFIT_5YR_DOM",K$6,$F$2,,,Ccy,Conv)</f>
        <v>0</v>
      </c>
      <c r="L815" s="18">
        <f>_xll.ciqfunctions.udf.CIQ($C$2,"IQ_PENSION_EST_BENEFIT_5YR_DOM",L$6,$F$2,,,Ccy,Conv)</f>
        <v>0</v>
      </c>
      <c r="M815" s="18">
        <f>_xll.ciqfunctions.udf.CIQ($C$2,"IQ_PENSION_EST_BENEFIT_5YR_DOM",M$6,$F$2,,,Ccy,Conv)</f>
        <v>0</v>
      </c>
      <c r="N815" s="18">
        <f>_xll.ciqfunctions.udf.CIQ($C$2,"IQ_PENSION_EST_BENEFIT_5YR_DOM",N$6,$F$2,,,Ccy,Conv)</f>
        <v>1295</v>
      </c>
      <c r="O815" s="30"/>
      <c r="P815" s="18">
        <f>_xll.ciqfunctions.udf.CIQ($C$2,"IQ_PENSION_EST_BENEFIT_5YR_DOM",P$6,$F$2,,,Ccy,Conv)</f>
        <v>1295</v>
      </c>
      <c r="Q815" s="215"/>
      <c r="R815" s="215"/>
      <c r="S815" s="215"/>
      <c r="T815" s="215"/>
      <c r="U815" s="215"/>
      <c r="V815" s="222"/>
      <c r="W815" s="222"/>
      <c r="X815" s="222"/>
      <c r="Y815" s="215"/>
      <c r="Z815" s="215"/>
      <c r="AA815" s="215"/>
      <c r="AB815" s="215"/>
      <c r="AC815" s="215"/>
      <c r="AD815" s="215"/>
      <c r="AE815" s="215"/>
      <c r="AF815" s="215"/>
      <c r="AG815" s="215"/>
      <c r="AH815" s="215"/>
      <c r="AI815" s="215"/>
      <c r="AJ815" s="215"/>
      <c r="AK815" s="215"/>
      <c r="AL815" s="215"/>
      <c r="AM815" s="215"/>
      <c r="AN815" s="215"/>
      <c r="AO815" s="215"/>
      <c r="AP815" s="215"/>
      <c r="AQ815" s="215"/>
      <c r="AR815" s="215"/>
      <c r="AS815" s="215"/>
      <c r="AT815" s="215"/>
      <c r="AU815" s="215"/>
      <c r="AV815" s="215"/>
      <c r="AW815" s="215"/>
      <c r="AX815" s="215"/>
      <c r="AY815" s="215"/>
      <c r="AZ815" s="215"/>
      <c r="BA815" s="215"/>
      <c r="BB815" s="215"/>
      <c r="BC815" s="215"/>
      <c r="BD815" s="215"/>
      <c r="BE815" s="215"/>
      <c r="BF815" s="215"/>
      <c r="BG815" s="215"/>
      <c r="BH815" s="215"/>
      <c r="BI815" s="215"/>
      <c r="BJ815" s="215"/>
      <c r="BK815" s="215"/>
      <c r="BL815" s="215"/>
      <c r="BM815" s="215"/>
      <c r="BN815" s="215"/>
      <c r="BO815" s="215"/>
      <c r="BP815" s="215"/>
      <c r="BQ815" s="215"/>
      <c r="BR815" s="215"/>
      <c r="BS815" s="215"/>
      <c r="BT815" s="215"/>
      <c r="BU815" s="215"/>
      <c r="BV815" s="215"/>
      <c r="BW815" s="215"/>
      <c r="BX815" s="215"/>
      <c r="BY815" s="215"/>
      <c r="BZ815" s="215"/>
    </row>
    <row r="816" spans="1:78" outlineLevel="1" x14ac:dyDescent="0.2">
      <c r="A816" s="2" t="str">
        <f>'Language Index'!A563</f>
        <v>Est. Future Benefits Paid - Thereafter</v>
      </c>
      <c r="B816" s="17"/>
      <c r="C816" s="17"/>
      <c r="D816" s="18">
        <f>_xll.ciqfunctions.udf.CIQ($C$2,"IQ_PENSION_EST_BENEFIT_AFTER5_DOM",D$6,$F$2,,,Ccy,Conv)</f>
        <v>0</v>
      </c>
      <c r="E816" s="18">
        <f>_xll.ciqfunctions.udf.CIQ($C$2,"IQ_PENSION_EST_BENEFIT_AFTER5_DOM",E$6,$F$2,,,Ccy,Conv)</f>
        <v>0</v>
      </c>
      <c r="F816" s="18">
        <f>_xll.ciqfunctions.udf.CIQ($C$2,"IQ_PENSION_EST_BENEFIT_AFTER5_DOM",F$6,$F$2,,,Ccy,Conv)</f>
        <v>8806</v>
      </c>
      <c r="G816" s="18">
        <f>_xll.ciqfunctions.udf.CIQ($C$2,"IQ_PENSION_EST_BENEFIT_AFTER5_DOM",G$6,$F$2,,,Ccy,Conv)</f>
        <v>0</v>
      </c>
      <c r="H816" s="18">
        <f>_xll.ciqfunctions.udf.CIQ($C$2,"IQ_PENSION_EST_BENEFIT_AFTER5_DOM",H$6,$F$2,,,Ccy,Conv)</f>
        <v>0</v>
      </c>
      <c r="I816" s="18">
        <f>_xll.ciqfunctions.udf.CIQ($C$2,"IQ_PENSION_EST_BENEFIT_AFTER5_DOM",I$6,$F$2,,,Ccy,Conv)</f>
        <v>0</v>
      </c>
      <c r="J816" s="18">
        <f>_xll.ciqfunctions.udf.CIQ($C$2,"IQ_PENSION_EST_BENEFIT_AFTER5_DOM",J$6,$F$2,,,Ccy,Conv)</f>
        <v>6178</v>
      </c>
      <c r="K816" s="18">
        <f>_xll.ciqfunctions.udf.CIQ($C$2,"IQ_PENSION_EST_BENEFIT_AFTER5_DOM",K$6,$F$2,,,Ccy,Conv)</f>
        <v>0</v>
      </c>
      <c r="L816" s="18">
        <f>_xll.ciqfunctions.udf.CIQ($C$2,"IQ_PENSION_EST_BENEFIT_AFTER5_DOM",L$6,$F$2,,,Ccy,Conv)</f>
        <v>0</v>
      </c>
      <c r="M816" s="18">
        <f>_xll.ciqfunctions.udf.CIQ($C$2,"IQ_PENSION_EST_BENEFIT_AFTER5_DOM",M$6,$F$2,,,Ccy,Conv)</f>
        <v>0</v>
      </c>
      <c r="N816" s="18">
        <f>_xll.ciqfunctions.udf.CIQ($C$2,"IQ_PENSION_EST_BENEFIT_AFTER5_DOM",N$6,$F$2,,,Ccy,Conv)</f>
        <v>6076</v>
      </c>
      <c r="O816" s="30"/>
      <c r="P816" s="18">
        <f>_xll.ciqfunctions.udf.CIQ($C$2,"IQ_PENSION_EST_BENEFIT_AFTER5_DOM",P$6,$F$2,,,Ccy,Conv)</f>
        <v>6076</v>
      </c>
      <c r="Q816" s="215"/>
      <c r="R816" s="215"/>
      <c r="S816" s="215"/>
      <c r="T816" s="215"/>
      <c r="U816" s="215"/>
      <c r="V816" s="222"/>
      <c r="W816" s="222"/>
      <c r="X816" s="222"/>
      <c r="Y816" s="215"/>
      <c r="Z816" s="215"/>
      <c r="AA816" s="215"/>
      <c r="AB816" s="215"/>
      <c r="AC816" s="215"/>
      <c r="AD816" s="215"/>
      <c r="AE816" s="215"/>
      <c r="AF816" s="215"/>
      <c r="AG816" s="215"/>
      <c r="AH816" s="215"/>
      <c r="AI816" s="215"/>
      <c r="AJ816" s="215"/>
      <c r="AK816" s="215"/>
      <c r="AL816" s="215"/>
      <c r="AM816" s="215"/>
      <c r="AN816" s="215"/>
      <c r="AO816" s="215"/>
      <c r="AP816" s="215"/>
      <c r="AQ816" s="215"/>
      <c r="AR816" s="215"/>
      <c r="AS816" s="215"/>
      <c r="AT816" s="215"/>
      <c r="AU816" s="215"/>
      <c r="AV816" s="215"/>
      <c r="AW816" s="215"/>
      <c r="AX816" s="215"/>
      <c r="AY816" s="215"/>
      <c r="AZ816" s="215"/>
      <c r="BA816" s="215"/>
      <c r="BB816" s="215"/>
      <c r="BC816" s="215"/>
      <c r="BD816" s="215"/>
      <c r="BE816" s="215"/>
      <c r="BF816" s="215"/>
      <c r="BG816" s="215"/>
      <c r="BH816" s="215"/>
      <c r="BI816" s="215"/>
      <c r="BJ816" s="215"/>
      <c r="BK816" s="215"/>
      <c r="BL816" s="215"/>
      <c r="BM816" s="215"/>
      <c r="BN816" s="215"/>
      <c r="BO816" s="215"/>
      <c r="BP816" s="215"/>
      <c r="BQ816" s="215"/>
      <c r="BR816" s="215"/>
      <c r="BS816" s="215"/>
      <c r="BT816" s="215"/>
      <c r="BU816" s="215"/>
      <c r="BV816" s="215"/>
      <c r="BW816" s="215"/>
      <c r="BX816" s="215"/>
      <c r="BY816" s="215"/>
      <c r="BZ816" s="215"/>
    </row>
    <row r="817" spans="1:78" outlineLevel="1" x14ac:dyDescent="0.2">
      <c r="A817" s="9" t="str">
        <f>'Language Index'!A564</f>
        <v>Balance Sheet Reconciliation Items</v>
      </c>
      <c r="B817" s="17"/>
      <c r="C817" s="17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30"/>
      <c r="P817" s="18"/>
      <c r="Q817" s="215"/>
      <c r="R817" s="215"/>
      <c r="S817" s="215"/>
      <c r="T817" s="215"/>
      <c r="U817" s="215"/>
      <c r="V817" s="222"/>
      <c r="W817" s="222"/>
      <c r="X817" s="222"/>
      <c r="Y817" s="215"/>
      <c r="Z817" s="215"/>
      <c r="AA817" s="215"/>
      <c r="AB817" s="215"/>
      <c r="AC817" s="215"/>
      <c r="AD817" s="215"/>
      <c r="AE817" s="215"/>
      <c r="AF817" s="215"/>
      <c r="AG817" s="215"/>
      <c r="AH817" s="215"/>
      <c r="AI817" s="215"/>
      <c r="AJ817" s="215"/>
      <c r="AK817" s="215"/>
      <c r="AL817" s="215"/>
      <c r="AM817" s="215"/>
      <c r="AN817" s="215"/>
      <c r="AO817" s="215"/>
      <c r="AP817" s="215"/>
      <c r="AQ817" s="215"/>
      <c r="AR817" s="215"/>
      <c r="AS817" s="215"/>
      <c r="AT817" s="215"/>
      <c r="AU817" s="215"/>
      <c r="AV817" s="215"/>
      <c r="AW817" s="215"/>
      <c r="AX817" s="215"/>
      <c r="AY817" s="215"/>
      <c r="AZ817" s="215"/>
      <c r="BA817" s="215"/>
      <c r="BB817" s="215"/>
      <c r="BC817" s="215"/>
      <c r="BD817" s="215"/>
      <c r="BE817" s="215"/>
      <c r="BF817" s="215"/>
      <c r="BG817" s="215"/>
      <c r="BH817" s="215"/>
      <c r="BI817" s="215"/>
      <c r="BJ817" s="215"/>
      <c r="BK817" s="215"/>
      <c r="BL817" s="215"/>
      <c r="BM817" s="215"/>
      <c r="BN817" s="215"/>
      <c r="BO817" s="215"/>
      <c r="BP817" s="215"/>
      <c r="BQ817" s="215"/>
      <c r="BR817" s="215"/>
      <c r="BS817" s="215"/>
      <c r="BT817" s="215"/>
      <c r="BU817" s="215"/>
      <c r="BV817" s="215"/>
      <c r="BW817" s="215"/>
      <c r="BX817" s="215"/>
      <c r="BY817" s="215"/>
      <c r="BZ817" s="215"/>
    </row>
    <row r="818" spans="1:78" outlineLevel="1" x14ac:dyDescent="0.2">
      <c r="A818" s="2" t="str">
        <f>'Language Index'!A565</f>
        <v>Prepaid Benefit Cost</v>
      </c>
      <c r="B818" s="17"/>
      <c r="C818" s="17"/>
      <c r="D818" s="18">
        <f>_xll.ciqfunctions.udf.CIQ($C$2,"IQ_PENSION_PREPAID_COST_DOM",D$6,$F$2,,,Ccy,Conv)</f>
        <v>0</v>
      </c>
      <c r="E818" s="18">
        <f>_xll.ciqfunctions.udf.CIQ($C$2,"IQ_PENSION_PREPAID_COST_DOM",E$6,$F$2,,,Ccy,Conv)</f>
        <v>0</v>
      </c>
      <c r="F818" s="18">
        <f>_xll.ciqfunctions.udf.CIQ($C$2,"IQ_PENSION_PREPAID_COST_DOM",F$6,$F$2,,,Ccy,Conv)</f>
        <v>0</v>
      </c>
      <c r="G818" s="18">
        <f>_xll.ciqfunctions.udf.CIQ($C$2,"IQ_PENSION_PREPAID_COST_DOM",G$6,$F$2,,,Ccy,Conv)</f>
        <v>0</v>
      </c>
      <c r="H818" s="18">
        <f>_xll.ciqfunctions.udf.CIQ($C$2,"IQ_PENSION_PREPAID_COST_DOM",H$6,$F$2,,,Ccy,Conv)</f>
        <v>0</v>
      </c>
      <c r="I818" s="18">
        <f>_xll.ciqfunctions.udf.CIQ($C$2,"IQ_PENSION_PREPAID_COST_DOM",I$6,$F$2,,,Ccy,Conv)</f>
        <v>0</v>
      </c>
      <c r="J818" s="18">
        <f>_xll.ciqfunctions.udf.CIQ($C$2,"IQ_PENSION_PREPAID_COST_DOM",J$6,$F$2,,,Ccy,Conv)</f>
        <v>0</v>
      </c>
      <c r="K818" s="18">
        <f>_xll.ciqfunctions.udf.CIQ($C$2,"IQ_PENSION_PREPAID_COST_DOM",K$6,$F$2,,,Ccy,Conv)</f>
        <v>0</v>
      </c>
      <c r="L818" s="18">
        <f>_xll.ciqfunctions.udf.CIQ($C$2,"IQ_PENSION_PREPAID_COST_DOM",L$6,$F$2,,,Ccy,Conv)</f>
        <v>0</v>
      </c>
      <c r="M818" s="18">
        <f>_xll.ciqfunctions.udf.CIQ($C$2,"IQ_PENSION_PREPAID_COST_DOM",M$6,$F$2,,,Ccy,Conv)</f>
        <v>0</v>
      </c>
      <c r="N818" s="18">
        <f>_xll.ciqfunctions.udf.CIQ($C$2,"IQ_PENSION_PREPAID_COST_DOM",N$6,$F$2,,,Ccy,Conv)</f>
        <v>0</v>
      </c>
      <c r="O818" s="30"/>
      <c r="P818" s="18">
        <f>_xll.ciqfunctions.udf.CIQ($C$2,"IQ_PENSION_PREPAID_COST_DOM",P$6,$F$2,,,Ccy,Conv)</f>
        <v>0</v>
      </c>
      <c r="Q818" s="245"/>
      <c r="R818" s="215"/>
      <c r="S818" s="215"/>
      <c r="T818" s="215"/>
      <c r="U818" s="215"/>
      <c r="V818" s="222"/>
      <c r="W818" s="222"/>
      <c r="X818" s="222"/>
      <c r="Y818" s="215"/>
      <c r="Z818" s="215"/>
      <c r="AA818" s="215"/>
      <c r="AB818" s="215"/>
      <c r="AC818" s="215"/>
      <c r="AD818" s="215"/>
      <c r="AE818" s="215"/>
      <c r="AF818" s="215"/>
      <c r="AG818" s="215"/>
      <c r="AH818" s="215"/>
      <c r="AI818" s="215"/>
      <c r="AJ818" s="215"/>
      <c r="AK818" s="215"/>
      <c r="AL818" s="215"/>
      <c r="AM818" s="215"/>
      <c r="AN818" s="215"/>
      <c r="AO818" s="215"/>
      <c r="AP818" s="215"/>
      <c r="AQ818" s="215"/>
      <c r="AR818" s="215"/>
      <c r="AS818" s="215"/>
      <c r="AT818" s="215"/>
      <c r="AU818" s="215"/>
      <c r="AV818" s="215"/>
      <c r="AW818" s="215"/>
      <c r="AX818" s="215"/>
      <c r="AY818" s="215"/>
      <c r="AZ818" s="215"/>
      <c r="BA818" s="215"/>
      <c r="BB818" s="215"/>
      <c r="BC818" s="215"/>
      <c r="BD818" s="215"/>
      <c r="BE818" s="215"/>
      <c r="BF818" s="215"/>
      <c r="BG818" s="215"/>
      <c r="BH818" s="215"/>
      <c r="BI818" s="215"/>
      <c r="BJ818" s="215"/>
      <c r="BK818" s="215"/>
      <c r="BL818" s="215"/>
      <c r="BM818" s="215"/>
      <c r="BN818" s="215"/>
      <c r="BO818" s="215"/>
      <c r="BP818" s="215"/>
      <c r="BQ818" s="215"/>
      <c r="BR818" s="215"/>
      <c r="BS818" s="215"/>
      <c r="BT818" s="215"/>
      <c r="BU818" s="215"/>
      <c r="BV818" s="215"/>
      <c r="BW818" s="215"/>
      <c r="BX818" s="215"/>
      <c r="BY818" s="215"/>
      <c r="BZ818" s="215"/>
    </row>
    <row r="819" spans="1:78" outlineLevel="1" x14ac:dyDescent="0.2">
      <c r="A819" s="2" t="str">
        <f>'Language Index'!A566</f>
        <v>Accrued Benefit Liability</v>
      </c>
      <c r="B819" s="17"/>
      <c r="C819" s="17"/>
      <c r="D819" s="18">
        <f>_xll.ciqfunctions.udf.CIQ($C$2,"IQ_PENSION_ACCRUED_LIAB_DOM",D$6,$F$2,,,Ccy,Conv)</f>
        <v>0</v>
      </c>
      <c r="E819" s="18">
        <f>_xll.ciqfunctions.udf.CIQ($C$2,"IQ_PENSION_ACCRUED_LIAB_DOM",E$6,$F$2,,,Ccy,Conv)</f>
        <v>0</v>
      </c>
      <c r="F819" s="18">
        <f>_xll.ciqfunctions.udf.CIQ($C$2,"IQ_PENSION_ACCRUED_LIAB_DOM",F$6,$F$2,,,Ccy,Conv)</f>
        <v>0</v>
      </c>
      <c r="G819" s="18">
        <f>_xll.ciqfunctions.udf.CIQ($C$2,"IQ_PENSION_ACCRUED_LIAB_DOM",G$6,$F$2,,,Ccy,Conv)</f>
        <v>0</v>
      </c>
      <c r="H819" s="18">
        <f>_xll.ciqfunctions.udf.CIQ($C$2,"IQ_PENSION_ACCRUED_LIAB_DOM",H$6,$F$2,,,Ccy,Conv)</f>
        <v>0</v>
      </c>
      <c r="I819" s="18">
        <f>_xll.ciqfunctions.udf.CIQ($C$2,"IQ_PENSION_ACCRUED_LIAB_DOM",I$6,$F$2,,,Ccy,Conv)</f>
        <v>0</v>
      </c>
      <c r="J819" s="18">
        <f>_xll.ciqfunctions.udf.CIQ($C$2,"IQ_PENSION_ACCRUED_LIAB_DOM",J$6,$F$2,,,Ccy,Conv)</f>
        <v>0</v>
      </c>
      <c r="K819" s="18">
        <f>_xll.ciqfunctions.udf.CIQ($C$2,"IQ_PENSION_ACCRUED_LIAB_DOM",K$6,$F$2,,,Ccy,Conv)</f>
        <v>0</v>
      </c>
      <c r="L819" s="18">
        <f>_xll.ciqfunctions.udf.CIQ($C$2,"IQ_PENSION_ACCRUED_LIAB_DOM",L$6,$F$2,,,Ccy,Conv)</f>
        <v>0</v>
      </c>
      <c r="M819" s="18">
        <f>_xll.ciqfunctions.udf.CIQ($C$2,"IQ_PENSION_ACCRUED_LIAB_DOM",M$6,$F$2,,,Ccy,Conv)</f>
        <v>0</v>
      </c>
      <c r="N819" s="18">
        <f>_xll.ciqfunctions.udf.CIQ($C$2,"IQ_PENSION_ACCRUED_LIAB_DOM",N$6,$F$2,,,Ccy,Conv)</f>
        <v>0</v>
      </c>
      <c r="O819" s="30"/>
      <c r="P819" s="18">
        <f>_xll.ciqfunctions.udf.CIQ($C$2,"IQ_PENSION_ACCRUED_LIAB_DOM",P$6,$F$2,,,Ccy,Conv)</f>
        <v>0</v>
      </c>
      <c r="Q819" s="215"/>
      <c r="R819" s="215"/>
      <c r="S819" s="215"/>
      <c r="T819" s="215"/>
      <c r="U819" s="215"/>
      <c r="V819" s="222"/>
      <c r="W819" s="222"/>
      <c r="X819" s="222"/>
      <c r="Y819" s="215"/>
      <c r="Z819" s="215"/>
      <c r="AA819" s="215"/>
      <c r="AB819" s="215"/>
      <c r="AC819" s="215"/>
      <c r="AD819" s="215"/>
      <c r="AE819" s="215"/>
      <c r="AF819" s="215"/>
      <c r="AG819" s="215"/>
      <c r="AH819" s="215"/>
      <c r="AI819" s="215"/>
      <c r="AJ819" s="215"/>
      <c r="AK819" s="215"/>
      <c r="AL819" s="215"/>
      <c r="AM819" s="215"/>
      <c r="AN819" s="215"/>
      <c r="AO819" s="215"/>
      <c r="AP819" s="215"/>
      <c r="AQ819" s="215"/>
      <c r="AR819" s="215"/>
      <c r="AS819" s="215"/>
      <c r="AT819" s="215"/>
      <c r="AU819" s="215"/>
      <c r="AV819" s="215"/>
      <c r="AW819" s="215"/>
      <c r="AX819" s="215"/>
      <c r="AY819" s="215"/>
      <c r="AZ819" s="215"/>
      <c r="BA819" s="215"/>
      <c r="BB819" s="215"/>
      <c r="BC819" s="215"/>
      <c r="BD819" s="215"/>
      <c r="BE819" s="215"/>
      <c r="BF819" s="215"/>
      <c r="BG819" s="215"/>
      <c r="BH819" s="215"/>
      <c r="BI819" s="215"/>
      <c r="BJ819" s="215"/>
      <c r="BK819" s="215"/>
      <c r="BL819" s="215"/>
      <c r="BM819" s="215"/>
      <c r="BN819" s="215"/>
      <c r="BO819" s="215"/>
      <c r="BP819" s="215"/>
      <c r="BQ819" s="215"/>
      <c r="BR819" s="215"/>
      <c r="BS819" s="215"/>
      <c r="BT819" s="215"/>
      <c r="BU819" s="215"/>
      <c r="BV819" s="215"/>
      <c r="BW819" s="215"/>
      <c r="BX819" s="215"/>
      <c r="BY819" s="215"/>
      <c r="BZ819" s="215"/>
    </row>
    <row r="820" spans="1:78" outlineLevel="1" x14ac:dyDescent="0.2">
      <c r="A820" s="2" t="str">
        <f>'Language Index'!A567</f>
        <v>Intangible Assets</v>
      </c>
      <c r="B820" s="17"/>
      <c r="C820" s="17"/>
      <c r="D820" s="18">
        <f>_xll.ciqfunctions.udf.CIQ($C$2,"IQ_PENSION_INTAN_ASSETS_DOM",D$6,$F$2,,,Ccy,Conv)</f>
        <v>0</v>
      </c>
      <c r="E820" s="18">
        <f>_xll.ciqfunctions.udf.CIQ($C$2,"IQ_PENSION_INTAN_ASSETS_DOM",E$6,$F$2,,,Ccy,Conv)</f>
        <v>0</v>
      </c>
      <c r="F820" s="18">
        <f>_xll.ciqfunctions.udf.CIQ($C$2,"IQ_PENSION_INTAN_ASSETS_DOM",F$6,$F$2,,,Ccy,Conv)</f>
        <v>0</v>
      </c>
      <c r="G820" s="18">
        <f>_xll.ciqfunctions.udf.CIQ($C$2,"IQ_PENSION_INTAN_ASSETS_DOM",G$6,$F$2,,,Ccy,Conv)</f>
        <v>0</v>
      </c>
      <c r="H820" s="18">
        <f>_xll.ciqfunctions.udf.CIQ($C$2,"IQ_PENSION_INTAN_ASSETS_DOM",H$6,$F$2,,,Ccy,Conv)</f>
        <v>0</v>
      </c>
      <c r="I820" s="18">
        <f>_xll.ciqfunctions.udf.CIQ($C$2,"IQ_PENSION_INTAN_ASSETS_DOM",I$6,$F$2,,,Ccy,Conv)</f>
        <v>0</v>
      </c>
      <c r="J820" s="18">
        <f>_xll.ciqfunctions.udf.CIQ($C$2,"IQ_PENSION_INTAN_ASSETS_DOM",J$6,$F$2,,,Ccy,Conv)</f>
        <v>0</v>
      </c>
      <c r="K820" s="18">
        <f>_xll.ciqfunctions.udf.CIQ($C$2,"IQ_PENSION_INTAN_ASSETS_DOM",K$6,$F$2,,,Ccy,Conv)</f>
        <v>0</v>
      </c>
      <c r="L820" s="18">
        <f>_xll.ciqfunctions.udf.CIQ($C$2,"IQ_PENSION_INTAN_ASSETS_DOM",L$6,$F$2,,,Ccy,Conv)</f>
        <v>0</v>
      </c>
      <c r="M820" s="18">
        <f>_xll.ciqfunctions.udf.CIQ($C$2,"IQ_PENSION_INTAN_ASSETS_DOM",M$6,$F$2,,,Ccy,Conv)</f>
        <v>0</v>
      </c>
      <c r="N820" s="18">
        <f>_xll.ciqfunctions.udf.CIQ($C$2,"IQ_PENSION_INTAN_ASSETS_DOM",N$6,$F$2,,,Ccy,Conv)</f>
        <v>0</v>
      </c>
      <c r="O820" s="30"/>
      <c r="P820" s="18">
        <f>_xll.ciqfunctions.udf.CIQ($C$2,"IQ_PENSION_INTAN_ASSETS_DOM",P$6,$F$2,,,Ccy,Conv)</f>
        <v>0</v>
      </c>
      <c r="Q820" s="215"/>
      <c r="R820" s="215"/>
      <c r="S820" s="215"/>
      <c r="T820" s="215"/>
      <c r="U820" s="215"/>
      <c r="V820" s="222"/>
      <c r="W820" s="222"/>
      <c r="X820" s="222"/>
      <c r="Y820" s="215"/>
      <c r="Z820" s="215"/>
      <c r="AA820" s="215"/>
      <c r="AB820" s="215"/>
      <c r="AC820" s="215"/>
      <c r="AD820" s="215"/>
      <c r="AE820" s="215"/>
      <c r="AF820" s="215"/>
      <c r="AG820" s="215"/>
      <c r="AH820" s="215"/>
      <c r="AI820" s="215"/>
      <c r="AJ820" s="215"/>
      <c r="AK820" s="215"/>
      <c r="AL820" s="215"/>
      <c r="AM820" s="215"/>
      <c r="AN820" s="215"/>
      <c r="AO820" s="215"/>
      <c r="AP820" s="215"/>
      <c r="AQ820" s="215"/>
      <c r="AR820" s="215"/>
      <c r="AS820" s="215"/>
      <c r="AT820" s="215"/>
      <c r="AU820" s="215"/>
      <c r="AV820" s="215"/>
      <c r="AW820" s="215"/>
      <c r="AX820" s="215"/>
      <c r="AY820" s="215"/>
      <c r="AZ820" s="215"/>
      <c r="BA820" s="215"/>
      <c r="BB820" s="215"/>
      <c r="BC820" s="215"/>
      <c r="BD820" s="215"/>
      <c r="BE820" s="215"/>
      <c r="BF820" s="215"/>
      <c r="BG820" s="215"/>
      <c r="BH820" s="215"/>
      <c r="BI820" s="215"/>
      <c r="BJ820" s="215"/>
      <c r="BK820" s="215"/>
      <c r="BL820" s="215"/>
      <c r="BM820" s="215"/>
      <c r="BN820" s="215"/>
      <c r="BO820" s="215"/>
      <c r="BP820" s="215"/>
      <c r="BQ820" s="215"/>
      <c r="BR820" s="215"/>
      <c r="BS820" s="215"/>
      <c r="BT820" s="215"/>
      <c r="BU820" s="215"/>
      <c r="BV820" s="215"/>
      <c r="BW820" s="215"/>
      <c r="BX820" s="215"/>
      <c r="BY820" s="215"/>
      <c r="BZ820" s="215"/>
    </row>
    <row r="821" spans="1:78" outlineLevel="1" x14ac:dyDescent="0.2">
      <c r="A821" s="2" t="str">
        <f>'Language Index'!A568</f>
        <v>Accum. Other Comp. Income</v>
      </c>
      <c r="B821" s="17"/>
      <c r="C821" s="17"/>
      <c r="D821" s="18">
        <f>_xll.ciqfunctions.udf.CIQ($C$2,"IQ_PENSION_ACCUM_OTHER_CI_DOM",D$6,$F$2,,,Ccy,Conv)</f>
        <v>0</v>
      </c>
      <c r="E821" s="18">
        <f>_xll.ciqfunctions.udf.CIQ($C$2,"IQ_PENSION_ACCUM_OTHER_CI_DOM",E$6,$F$2,,,Ccy,Conv)</f>
        <v>0</v>
      </c>
      <c r="F821" s="18">
        <f>_xll.ciqfunctions.udf.CIQ($C$2,"IQ_PENSION_ACCUM_OTHER_CI_DOM",F$6,$F$2,,,Ccy,Conv)</f>
        <v>0</v>
      </c>
      <c r="G821" s="18">
        <f>_xll.ciqfunctions.udf.CIQ($C$2,"IQ_PENSION_ACCUM_OTHER_CI_DOM",G$6,$F$2,,,Ccy,Conv)</f>
        <v>0</v>
      </c>
      <c r="H821" s="18">
        <f>_xll.ciqfunctions.udf.CIQ($C$2,"IQ_PENSION_ACCUM_OTHER_CI_DOM",H$6,$F$2,,,Ccy,Conv)</f>
        <v>0</v>
      </c>
      <c r="I821" s="18">
        <f>_xll.ciqfunctions.udf.CIQ($C$2,"IQ_PENSION_ACCUM_OTHER_CI_DOM",I$6,$F$2,,,Ccy,Conv)</f>
        <v>0</v>
      </c>
      <c r="J821" s="18">
        <f>_xll.ciqfunctions.udf.CIQ($C$2,"IQ_PENSION_ACCUM_OTHER_CI_DOM",J$6,$F$2,,,Ccy,Conv)</f>
        <v>0</v>
      </c>
      <c r="K821" s="18">
        <f>_xll.ciqfunctions.udf.CIQ($C$2,"IQ_PENSION_ACCUM_OTHER_CI_DOM",K$6,$F$2,,,Ccy,Conv)</f>
        <v>0</v>
      </c>
      <c r="L821" s="18">
        <f>_xll.ciqfunctions.udf.CIQ($C$2,"IQ_PENSION_ACCUM_OTHER_CI_DOM",L$6,$F$2,,,Ccy,Conv)</f>
        <v>0</v>
      </c>
      <c r="M821" s="18">
        <f>_xll.ciqfunctions.udf.CIQ($C$2,"IQ_PENSION_ACCUM_OTHER_CI_DOM",M$6,$F$2,,,Ccy,Conv)</f>
        <v>0</v>
      </c>
      <c r="N821" s="18">
        <f>_xll.ciqfunctions.udf.CIQ($C$2,"IQ_PENSION_ACCUM_OTHER_CI_DOM",N$6,$F$2,,,Ccy,Conv)</f>
        <v>0</v>
      </c>
      <c r="O821" s="30"/>
      <c r="P821" s="18">
        <f>_xll.ciqfunctions.udf.CIQ($C$2,"IQ_PENSION_ACCUM_OTHER_CI_DOM",P$6,$F$2,,,Ccy,Conv)</f>
        <v>0</v>
      </c>
      <c r="Q821" s="215"/>
      <c r="R821" s="215"/>
      <c r="S821" s="215"/>
      <c r="T821" s="215"/>
      <c r="U821" s="215"/>
      <c r="V821" s="222"/>
      <c r="W821" s="222"/>
      <c r="X821" s="222"/>
      <c r="Y821" s="215"/>
      <c r="Z821" s="215"/>
      <c r="AA821" s="215"/>
      <c r="AB821" s="215"/>
      <c r="AC821" s="215"/>
      <c r="AD821" s="215"/>
      <c r="AE821" s="215"/>
      <c r="AF821" s="215"/>
      <c r="AG821" s="215"/>
      <c r="AH821" s="215"/>
      <c r="AI821" s="215"/>
      <c r="AJ821" s="215"/>
      <c r="AK821" s="215"/>
      <c r="AL821" s="215"/>
      <c r="AM821" s="215"/>
      <c r="AN821" s="215"/>
      <c r="AO821" s="215"/>
      <c r="AP821" s="215"/>
      <c r="AQ821" s="215"/>
      <c r="AR821" s="215"/>
      <c r="AS821" s="215"/>
      <c r="AT821" s="215"/>
      <c r="AU821" s="215"/>
      <c r="AV821" s="215"/>
      <c r="AW821" s="215"/>
      <c r="AX821" s="215"/>
      <c r="AY821" s="215"/>
      <c r="AZ821" s="215"/>
      <c r="BA821" s="215"/>
      <c r="BB821" s="215"/>
      <c r="BC821" s="215"/>
      <c r="BD821" s="215"/>
      <c r="BE821" s="215"/>
      <c r="BF821" s="215"/>
      <c r="BG821" s="215"/>
      <c r="BH821" s="215"/>
      <c r="BI821" s="215"/>
      <c r="BJ821" s="215"/>
      <c r="BK821" s="215"/>
      <c r="BL821" s="215"/>
      <c r="BM821" s="215"/>
      <c r="BN821" s="215"/>
      <c r="BO821" s="215"/>
      <c r="BP821" s="215"/>
      <c r="BQ821" s="215"/>
      <c r="BR821" s="215"/>
      <c r="BS821" s="215"/>
      <c r="BT821" s="215"/>
      <c r="BU821" s="215"/>
      <c r="BV821" s="215"/>
      <c r="BW821" s="215"/>
      <c r="BX821" s="215"/>
      <c r="BY821" s="215"/>
      <c r="BZ821" s="215"/>
    </row>
    <row r="822" spans="1:78" outlineLevel="1" x14ac:dyDescent="0.2">
      <c r="A822" s="2" t="str">
        <f>'Language Index'!A569</f>
        <v>Long Term Assets</v>
      </c>
      <c r="B822" s="17"/>
      <c r="C822" s="17"/>
      <c r="D822" s="18">
        <f>_xll.ciqfunctions.udf.CIQ($C$2,"IQ_PENSION_LT_ASSETS_DOM",D$6,$F$2,,,Ccy,Conv)</f>
        <v>0</v>
      </c>
      <c r="E822" s="18">
        <f>_xll.ciqfunctions.udf.CIQ($C$2,"IQ_PENSION_LT_ASSETS_DOM",E$6,$F$2,,,Ccy,Conv)</f>
        <v>0</v>
      </c>
      <c r="F822" s="18">
        <f>_xll.ciqfunctions.udf.CIQ($C$2,"IQ_PENSION_LT_ASSETS_DOM",F$6,$F$2,,,Ccy,Conv)</f>
        <v>4584</v>
      </c>
      <c r="G822" s="18">
        <f>_xll.ciqfunctions.udf.CIQ($C$2,"IQ_PENSION_LT_ASSETS_DOM",G$6,$F$2,,,Ccy,Conv)</f>
        <v>0</v>
      </c>
      <c r="H822" s="18">
        <f>_xll.ciqfunctions.udf.CIQ($C$2,"IQ_PENSION_LT_ASSETS_DOM",H$6,$F$2,,,Ccy,Conv)</f>
        <v>0</v>
      </c>
      <c r="I822" s="18">
        <f>_xll.ciqfunctions.udf.CIQ($C$2,"IQ_PENSION_LT_ASSETS_DOM",I$6,$F$2,,,Ccy,Conv)</f>
        <v>0</v>
      </c>
      <c r="J822" s="18">
        <f>_xll.ciqfunctions.udf.CIQ($C$2,"IQ_PENSION_LT_ASSETS_DOM",J$6,$F$2,,,Ccy,Conv)</f>
        <v>4651</v>
      </c>
      <c r="K822" s="18">
        <f>_xll.ciqfunctions.udf.CIQ($C$2,"IQ_PENSION_LT_ASSETS_DOM",K$6,$F$2,,,Ccy,Conv)</f>
        <v>0</v>
      </c>
      <c r="L822" s="18">
        <f>_xll.ciqfunctions.udf.CIQ($C$2,"IQ_PENSION_LT_ASSETS_DOM",L$6,$F$2,,,Ccy,Conv)</f>
        <v>0</v>
      </c>
      <c r="M822" s="18">
        <f>_xll.ciqfunctions.udf.CIQ($C$2,"IQ_PENSION_LT_ASSETS_DOM",M$6,$F$2,,,Ccy,Conv)</f>
        <v>0</v>
      </c>
      <c r="N822" s="18">
        <f>_xll.ciqfunctions.udf.CIQ($C$2,"IQ_PENSION_LT_ASSETS_DOM",N$6,$F$2,,,Ccy,Conv)</f>
        <v>4866</v>
      </c>
      <c r="O822" s="30"/>
      <c r="P822" s="18">
        <f>_xll.ciqfunctions.udf.CIQ($C$2,"IQ_PENSION_LT_ASSETS_DOM",P$6,$F$2,,,Ccy,Conv)</f>
        <v>4866</v>
      </c>
      <c r="Q822" s="215"/>
      <c r="R822" s="215"/>
      <c r="S822" s="215"/>
      <c r="T822" s="215"/>
      <c r="U822" s="215"/>
      <c r="V822" s="222"/>
      <c r="W822" s="222"/>
      <c r="X822" s="222"/>
      <c r="Y822" s="215"/>
      <c r="Z822" s="215"/>
      <c r="AA822" s="215"/>
      <c r="AB822" s="215"/>
      <c r="AC822" s="215"/>
      <c r="AD822" s="215"/>
      <c r="AE822" s="215"/>
      <c r="AF822" s="215"/>
      <c r="AG822" s="215"/>
      <c r="AH822" s="215"/>
      <c r="AI822" s="215"/>
      <c r="AJ822" s="215"/>
      <c r="AK822" s="215"/>
      <c r="AL822" s="215"/>
      <c r="AM822" s="215"/>
      <c r="AN822" s="215"/>
      <c r="AO822" s="215"/>
      <c r="AP822" s="215"/>
      <c r="AQ822" s="215"/>
      <c r="AR822" s="215"/>
      <c r="AS822" s="215"/>
      <c r="AT822" s="215"/>
      <c r="AU822" s="215"/>
      <c r="AV822" s="215"/>
      <c r="AW822" s="215"/>
      <c r="AX822" s="215"/>
      <c r="AY822" s="215"/>
      <c r="AZ822" s="215"/>
      <c r="BA822" s="215"/>
      <c r="BB822" s="215"/>
      <c r="BC822" s="215"/>
      <c r="BD822" s="215"/>
      <c r="BE822" s="215"/>
      <c r="BF822" s="215"/>
      <c r="BG822" s="215"/>
      <c r="BH822" s="215"/>
      <c r="BI822" s="215"/>
      <c r="BJ822" s="215"/>
      <c r="BK822" s="215"/>
      <c r="BL822" s="215"/>
      <c r="BM822" s="215"/>
      <c r="BN822" s="215"/>
      <c r="BO822" s="215"/>
      <c r="BP822" s="215"/>
      <c r="BQ822" s="215"/>
      <c r="BR822" s="215"/>
      <c r="BS822" s="215"/>
      <c r="BT822" s="215"/>
      <c r="BU822" s="215"/>
      <c r="BV822" s="215"/>
      <c r="BW822" s="215"/>
      <c r="BX822" s="215"/>
      <c r="BY822" s="215"/>
      <c r="BZ822" s="215"/>
    </row>
    <row r="823" spans="1:78" outlineLevel="1" x14ac:dyDescent="0.2">
      <c r="A823" s="2" t="str">
        <f>'Language Index'!A570</f>
        <v>Current Liabilities</v>
      </c>
      <c r="B823" s="17"/>
      <c r="C823" s="17"/>
      <c r="D823" s="18">
        <f>_xll.ciqfunctions.udf.CIQ($C$2,"IQ_PENSION_CL_DOM",D$6,$F$2,,,Ccy,Conv)</f>
        <v>0</v>
      </c>
      <c r="E823" s="18">
        <f>_xll.ciqfunctions.udf.CIQ($C$2,"IQ_PENSION_CL_DOM",E$6,$F$2,,,Ccy,Conv)</f>
        <v>0</v>
      </c>
      <c r="F823" s="18">
        <f>_xll.ciqfunctions.udf.CIQ($C$2,"IQ_PENSION_CL_DOM",F$6,$F$2,,,Ccy,Conv)</f>
        <v>-119</v>
      </c>
      <c r="G823" s="18">
        <f>_xll.ciqfunctions.udf.CIQ($C$2,"IQ_PENSION_CL_DOM",G$6,$F$2,,,Ccy,Conv)</f>
        <v>0</v>
      </c>
      <c r="H823" s="18">
        <f>_xll.ciqfunctions.udf.CIQ($C$2,"IQ_PENSION_CL_DOM",H$6,$F$2,,,Ccy,Conv)</f>
        <v>0</v>
      </c>
      <c r="I823" s="18">
        <f>_xll.ciqfunctions.udf.CIQ($C$2,"IQ_PENSION_CL_DOM",I$6,$F$2,,,Ccy,Conv)</f>
        <v>0</v>
      </c>
      <c r="J823" s="18">
        <f>_xll.ciqfunctions.udf.CIQ($C$2,"IQ_PENSION_CL_DOM",J$6,$F$2,,,Ccy,Conv)</f>
        <v>-117</v>
      </c>
      <c r="K823" s="18">
        <f>_xll.ciqfunctions.udf.CIQ($C$2,"IQ_PENSION_CL_DOM",K$6,$F$2,,,Ccy,Conv)</f>
        <v>0</v>
      </c>
      <c r="L823" s="18">
        <f>_xll.ciqfunctions.udf.CIQ($C$2,"IQ_PENSION_CL_DOM",L$6,$F$2,,,Ccy,Conv)</f>
        <v>0</v>
      </c>
      <c r="M823" s="18">
        <f>_xll.ciqfunctions.udf.CIQ($C$2,"IQ_PENSION_CL_DOM",M$6,$F$2,,,Ccy,Conv)</f>
        <v>0</v>
      </c>
      <c r="N823" s="18">
        <f>_xll.ciqfunctions.udf.CIQ($C$2,"IQ_PENSION_CL_DOM",N$6,$F$2,,,Ccy,Conv)</f>
        <v>-116</v>
      </c>
      <c r="O823" s="30"/>
      <c r="P823" s="18">
        <f>_xll.ciqfunctions.udf.CIQ($C$2,"IQ_PENSION_CL_DOM",P$6,$F$2,,,Ccy,Conv)</f>
        <v>-116</v>
      </c>
      <c r="Q823" s="215"/>
      <c r="R823" s="215"/>
      <c r="S823" s="215"/>
      <c r="T823" s="215"/>
      <c r="U823" s="215"/>
      <c r="V823" s="222"/>
      <c r="W823" s="222"/>
      <c r="X823" s="222"/>
      <c r="Y823" s="215"/>
      <c r="Z823" s="215"/>
      <c r="AA823" s="215"/>
      <c r="AB823" s="215"/>
      <c r="AC823" s="215"/>
      <c r="AD823" s="215"/>
      <c r="AE823" s="215"/>
      <c r="AF823" s="215"/>
      <c r="AG823" s="215"/>
      <c r="AH823" s="215"/>
      <c r="AI823" s="215"/>
      <c r="AJ823" s="215"/>
      <c r="AK823" s="215"/>
      <c r="AL823" s="215"/>
      <c r="AM823" s="215"/>
      <c r="AN823" s="215"/>
      <c r="AO823" s="215"/>
      <c r="AP823" s="215"/>
      <c r="AQ823" s="215"/>
      <c r="AR823" s="215"/>
      <c r="AS823" s="215"/>
      <c r="AT823" s="215"/>
      <c r="AU823" s="215"/>
      <c r="AV823" s="215"/>
      <c r="AW823" s="215"/>
      <c r="AX823" s="215"/>
      <c r="AY823" s="215"/>
      <c r="AZ823" s="215"/>
      <c r="BA823" s="215"/>
      <c r="BB823" s="215"/>
      <c r="BC823" s="215"/>
      <c r="BD823" s="215"/>
      <c r="BE823" s="215"/>
      <c r="BF823" s="215"/>
      <c r="BG823" s="215"/>
      <c r="BH823" s="215"/>
      <c r="BI823" s="215"/>
      <c r="BJ823" s="215"/>
      <c r="BK823" s="215"/>
      <c r="BL823" s="215"/>
      <c r="BM823" s="215"/>
      <c r="BN823" s="215"/>
      <c r="BO823" s="215"/>
      <c r="BP823" s="215"/>
      <c r="BQ823" s="215"/>
      <c r="BR823" s="215"/>
      <c r="BS823" s="215"/>
      <c r="BT823" s="215"/>
      <c r="BU823" s="215"/>
      <c r="BV823" s="215"/>
      <c r="BW823" s="215"/>
      <c r="BX823" s="215"/>
      <c r="BY823" s="215"/>
      <c r="BZ823" s="215"/>
    </row>
    <row r="824" spans="1:78" outlineLevel="1" x14ac:dyDescent="0.2">
      <c r="A824" s="2" t="str">
        <f>'Language Index'!A571</f>
        <v>Long Term Liabilities</v>
      </c>
      <c r="B824" s="17"/>
      <c r="C824" s="17"/>
      <c r="D824" s="18">
        <f>_xll.ciqfunctions.udf.CIQ($C$2,"IQ_PENSION_LT_LIAB_DOM",D$6,$F$2,,,Ccy,Conv)</f>
        <v>0</v>
      </c>
      <c r="E824" s="18">
        <f>_xll.ciqfunctions.udf.CIQ($C$2,"IQ_PENSION_LT_LIAB_DOM",E$6,$F$2,,,Ccy,Conv)</f>
        <v>0</v>
      </c>
      <c r="F824" s="18">
        <f>_xll.ciqfunctions.udf.CIQ($C$2,"IQ_PENSION_LT_LIAB_DOM",F$6,$F$2,,,Ccy,Conv)</f>
        <v>-1262</v>
      </c>
      <c r="G824" s="18">
        <f>_xll.ciqfunctions.udf.CIQ($C$2,"IQ_PENSION_LT_LIAB_DOM",G$6,$F$2,,,Ccy,Conv)</f>
        <v>0</v>
      </c>
      <c r="H824" s="18">
        <f>_xll.ciqfunctions.udf.CIQ($C$2,"IQ_PENSION_LT_LIAB_DOM",H$6,$F$2,,,Ccy,Conv)</f>
        <v>0</v>
      </c>
      <c r="I824" s="18">
        <f>_xll.ciqfunctions.udf.CIQ($C$2,"IQ_PENSION_LT_LIAB_DOM",I$6,$F$2,,,Ccy,Conv)</f>
        <v>0</v>
      </c>
      <c r="J824" s="18">
        <f>_xll.ciqfunctions.udf.CIQ($C$2,"IQ_PENSION_LT_LIAB_DOM",J$6,$F$2,,,Ccy,Conv)</f>
        <v>-1160</v>
      </c>
      <c r="K824" s="18">
        <f>_xll.ciqfunctions.udf.CIQ($C$2,"IQ_PENSION_LT_LIAB_DOM",K$6,$F$2,,,Ccy,Conv)</f>
        <v>0</v>
      </c>
      <c r="L824" s="18">
        <f>_xll.ciqfunctions.udf.CIQ($C$2,"IQ_PENSION_LT_LIAB_DOM",L$6,$F$2,,,Ccy,Conv)</f>
        <v>0</v>
      </c>
      <c r="M824" s="18">
        <f>_xll.ciqfunctions.udf.CIQ($C$2,"IQ_PENSION_LT_LIAB_DOM",M$6,$F$2,,,Ccy,Conv)</f>
        <v>0</v>
      </c>
      <c r="N824" s="18">
        <f>_xll.ciqfunctions.udf.CIQ($C$2,"IQ_PENSION_LT_LIAB_DOM",N$6,$F$2,,,Ccy,Conv)</f>
        <v>-1137</v>
      </c>
      <c r="O824" s="30"/>
      <c r="P824" s="18">
        <f>_xll.ciqfunctions.udf.CIQ($C$2,"IQ_PENSION_LT_LIAB_DOM",P$6,$F$2,,,Ccy,Conv)</f>
        <v>-1137</v>
      </c>
      <c r="Q824" s="215"/>
      <c r="R824" s="215"/>
      <c r="S824" s="215"/>
      <c r="T824" s="215"/>
      <c r="U824" s="215"/>
      <c r="V824" s="222"/>
      <c r="W824" s="222"/>
      <c r="X824" s="222"/>
      <c r="Y824" s="215"/>
      <c r="Z824" s="215"/>
      <c r="AA824" s="215"/>
      <c r="AB824" s="215"/>
      <c r="AC824" s="215"/>
      <c r="AD824" s="215"/>
      <c r="AE824" s="215"/>
      <c r="AF824" s="215"/>
      <c r="AG824" s="215"/>
      <c r="AH824" s="215"/>
      <c r="AI824" s="215"/>
      <c r="AJ824" s="215"/>
      <c r="AK824" s="215"/>
      <c r="AL824" s="215"/>
      <c r="AM824" s="215"/>
      <c r="AN824" s="215"/>
      <c r="AO824" s="215"/>
      <c r="AP824" s="215"/>
      <c r="AQ824" s="215"/>
      <c r="AR824" s="215"/>
      <c r="AS824" s="215"/>
      <c r="AT824" s="215"/>
      <c r="AU824" s="215"/>
      <c r="AV824" s="215"/>
      <c r="AW824" s="215"/>
      <c r="AX824" s="215"/>
      <c r="AY824" s="215"/>
      <c r="AZ824" s="215"/>
      <c r="BA824" s="215"/>
      <c r="BB824" s="215"/>
      <c r="BC824" s="215"/>
      <c r="BD824" s="215"/>
      <c r="BE824" s="215"/>
      <c r="BF824" s="215"/>
      <c r="BG824" s="215"/>
      <c r="BH824" s="215"/>
      <c r="BI824" s="215"/>
      <c r="BJ824" s="215"/>
      <c r="BK824" s="215"/>
      <c r="BL824" s="215"/>
      <c r="BM824" s="215"/>
      <c r="BN824" s="215"/>
      <c r="BO824" s="215"/>
      <c r="BP824" s="215"/>
      <c r="BQ824" s="215"/>
      <c r="BR824" s="215"/>
      <c r="BS824" s="215"/>
      <c r="BT824" s="215"/>
      <c r="BU824" s="215"/>
      <c r="BV824" s="215"/>
      <c r="BW824" s="215"/>
      <c r="BX824" s="215"/>
      <c r="BY824" s="215"/>
      <c r="BZ824" s="215"/>
    </row>
    <row r="825" spans="1:78" outlineLevel="1" x14ac:dyDescent="0.2">
      <c r="A825" s="2" t="str">
        <f>'Language Index'!A572</f>
        <v>Other Assets/Liabilities</v>
      </c>
      <c r="B825" s="17"/>
      <c r="C825" s="17"/>
      <c r="D825" s="18">
        <f>_xll.ciqfunctions.udf.CIQ($C$2,"IQ_PENSION_OTHER_DOM",D$6,$F$2,,,Ccy,Conv)</f>
        <v>0</v>
      </c>
      <c r="E825" s="18">
        <f>_xll.ciqfunctions.udf.CIQ($C$2,"IQ_PENSION_OTHER_DOM",E$6,$F$2,,,Ccy,Conv)</f>
        <v>0</v>
      </c>
      <c r="F825" s="18">
        <f>_xll.ciqfunctions.udf.CIQ($C$2,"IQ_PENSION_OTHER_DOM",F$6,$F$2,,,Ccy,Conv)</f>
        <v>0</v>
      </c>
      <c r="G825" s="18">
        <f>_xll.ciqfunctions.udf.CIQ($C$2,"IQ_PENSION_OTHER_DOM",G$6,$F$2,,,Ccy,Conv)</f>
        <v>0</v>
      </c>
      <c r="H825" s="18">
        <f>_xll.ciqfunctions.udf.CIQ($C$2,"IQ_PENSION_OTHER_DOM",H$6,$F$2,,,Ccy,Conv)</f>
        <v>0</v>
      </c>
      <c r="I825" s="18">
        <f>_xll.ciqfunctions.udf.CIQ($C$2,"IQ_PENSION_OTHER_DOM",I$6,$F$2,,,Ccy,Conv)</f>
        <v>0</v>
      </c>
      <c r="J825" s="18">
        <f>_xll.ciqfunctions.udf.CIQ($C$2,"IQ_PENSION_OTHER_DOM",J$6,$F$2,,,Ccy,Conv)</f>
        <v>0</v>
      </c>
      <c r="K825" s="18">
        <f>_xll.ciqfunctions.udf.CIQ($C$2,"IQ_PENSION_OTHER_DOM",K$6,$F$2,,,Ccy,Conv)</f>
        <v>0</v>
      </c>
      <c r="L825" s="18">
        <f>_xll.ciqfunctions.udf.CIQ($C$2,"IQ_PENSION_OTHER_DOM",L$6,$F$2,,,Ccy,Conv)</f>
        <v>0</v>
      </c>
      <c r="M825" s="18">
        <f>_xll.ciqfunctions.udf.CIQ($C$2,"IQ_PENSION_OTHER_DOM",M$6,$F$2,,,Ccy,Conv)</f>
        <v>0</v>
      </c>
      <c r="N825" s="18">
        <f>_xll.ciqfunctions.udf.CIQ($C$2,"IQ_PENSION_OTHER_DOM",N$6,$F$2,,,Ccy,Conv)</f>
        <v>0</v>
      </c>
      <c r="O825" s="30"/>
      <c r="P825" s="18">
        <f>_xll.ciqfunctions.udf.CIQ($C$2,"IQ_PENSION_OTHER_DOM",P$6,$F$2,,,Ccy,Conv)</f>
        <v>0</v>
      </c>
      <c r="Q825" s="215"/>
      <c r="R825" s="215"/>
      <c r="S825" s="215"/>
      <c r="T825" s="215"/>
      <c r="U825" s="215"/>
      <c r="V825" s="222"/>
      <c r="W825" s="222"/>
      <c r="X825" s="222"/>
      <c r="Y825" s="215"/>
      <c r="Z825" s="215"/>
      <c r="AA825" s="215"/>
      <c r="AB825" s="215"/>
      <c r="AC825" s="215"/>
      <c r="AD825" s="215"/>
      <c r="AE825" s="215"/>
      <c r="AF825" s="215"/>
      <c r="AG825" s="215"/>
      <c r="AH825" s="215"/>
      <c r="AI825" s="215"/>
      <c r="AJ825" s="215"/>
      <c r="AK825" s="215"/>
      <c r="AL825" s="215"/>
      <c r="AM825" s="215"/>
      <c r="AN825" s="215"/>
      <c r="AO825" s="215"/>
      <c r="AP825" s="215"/>
      <c r="AQ825" s="215"/>
      <c r="AR825" s="215"/>
      <c r="AS825" s="215"/>
      <c r="AT825" s="215"/>
      <c r="AU825" s="215"/>
      <c r="AV825" s="215"/>
      <c r="AW825" s="215"/>
      <c r="AX825" s="215"/>
      <c r="AY825" s="215"/>
      <c r="AZ825" s="215"/>
      <c r="BA825" s="215"/>
      <c r="BB825" s="215"/>
      <c r="BC825" s="215"/>
      <c r="BD825" s="215"/>
      <c r="BE825" s="215"/>
      <c r="BF825" s="215"/>
      <c r="BG825" s="215"/>
      <c r="BH825" s="215"/>
      <c r="BI825" s="215"/>
      <c r="BJ825" s="215"/>
      <c r="BK825" s="215"/>
      <c r="BL825" s="215"/>
      <c r="BM825" s="215"/>
      <c r="BN825" s="215"/>
      <c r="BO825" s="215"/>
      <c r="BP825" s="215"/>
      <c r="BQ825" s="215"/>
      <c r="BR825" s="215"/>
      <c r="BS825" s="215"/>
      <c r="BT825" s="215"/>
      <c r="BU825" s="215"/>
      <c r="BV825" s="215"/>
      <c r="BW825" s="215"/>
      <c r="BX825" s="215"/>
      <c r="BY825" s="215"/>
      <c r="BZ825" s="215"/>
    </row>
    <row r="826" spans="1:78" outlineLevel="1" x14ac:dyDescent="0.2">
      <c r="A826" s="9" t="str">
        <f>'Language Index'!A573</f>
        <v>Adj. for Liability Recognized on Balance Sheet</v>
      </c>
      <c r="B826" s="17"/>
      <c r="C826" s="17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30"/>
      <c r="P826" s="18"/>
      <c r="Q826" s="215"/>
      <c r="R826" s="215"/>
      <c r="S826" s="215"/>
      <c r="T826" s="215"/>
      <c r="U826" s="215"/>
      <c r="V826" s="222"/>
      <c r="W826" s="222"/>
      <c r="X826" s="222"/>
      <c r="Y826" s="215"/>
      <c r="Z826" s="215"/>
      <c r="AA826" s="215"/>
      <c r="AB826" s="215"/>
      <c r="AC826" s="215"/>
      <c r="AD826" s="215"/>
      <c r="AE826" s="215"/>
      <c r="AF826" s="215"/>
      <c r="AG826" s="215"/>
      <c r="AH826" s="215"/>
      <c r="AI826" s="215"/>
      <c r="AJ826" s="215"/>
      <c r="AK826" s="215"/>
      <c r="AL826" s="215"/>
      <c r="AM826" s="215"/>
      <c r="AN826" s="215"/>
      <c r="AO826" s="215"/>
      <c r="AP826" s="215"/>
      <c r="AQ826" s="215"/>
      <c r="AR826" s="215"/>
      <c r="AS826" s="215"/>
      <c r="AT826" s="215"/>
      <c r="AU826" s="215"/>
      <c r="AV826" s="215"/>
      <c r="AW826" s="215"/>
      <c r="AX826" s="215"/>
      <c r="AY826" s="215"/>
      <c r="AZ826" s="215"/>
      <c r="BA826" s="215"/>
      <c r="BB826" s="215"/>
      <c r="BC826" s="215"/>
      <c r="BD826" s="215"/>
      <c r="BE826" s="215"/>
      <c r="BF826" s="215"/>
      <c r="BG826" s="215"/>
      <c r="BH826" s="215"/>
      <c r="BI826" s="215"/>
      <c r="BJ826" s="215"/>
      <c r="BK826" s="215"/>
      <c r="BL826" s="215"/>
      <c r="BM826" s="215"/>
      <c r="BN826" s="215"/>
      <c r="BO826" s="215"/>
      <c r="BP826" s="215"/>
      <c r="BQ826" s="215"/>
      <c r="BR826" s="215"/>
      <c r="BS826" s="215"/>
      <c r="BT826" s="215"/>
      <c r="BU826" s="215"/>
      <c r="BV826" s="215"/>
      <c r="BW826" s="215"/>
      <c r="BX826" s="215"/>
      <c r="BY826" s="215"/>
      <c r="BZ826" s="215"/>
    </row>
    <row r="827" spans="1:78" outlineLevel="1" x14ac:dyDescent="0.2">
      <c r="A827" s="2" t="str">
        <f>'Language Index'!A574</f>
        <v>Unrecog. Prior Plan Service Cost</v>
      </c>
      <c r="B827" s="17"/>
      <c r="C827" s="17"/>
      <c r="D827" s="18">
        <f>_xll.ciqfunctions.udf.CIQ($C$2,"IQ_PENSION_UNRECOG_PRIOR_DOM",D$6,$F$2,,,Ccy,Conv)</f>
        <v>0</v>
      </c>
      <c r="E827" s="18">
        <f>_xll.ciqfunctions.udf.CIQ($C$2,"IQ_PENSION_UNRECOG_PRIOR_DOM",E$6,$F$2,,,Ccy,Conv)</f>
        <v>0</v>
      </c>
      <c r="F827" s="18">
        <f>_xll.ciqfunctions.udf.CIQ($C$2,"IQ_PENSION_UNRECOG_PRIOR_DOM",F$6,$F$2,,,Ccy,Conv)</f>
        <v>0</v>
      </c>
      <c r="G827" s="18">
        <f>_xll.ciqfunctions.udf.CIQ($C$2,"IQ_PENSION_UNRECOG_PRIOR_DOM",G$6,$F$2,,,Ccy,Conv)</f>
        <v>0</v>
      </c>
      <c r="H827" s="18">
        <f>_xll.ciqfunctions.udf.CIQ($C$2,"IQ_PENSION_UNRECOG_PRIOR_DOM",H$6,$F$2,,,Ccy,Conv)</f>
        <v>0</v>
      </c>
      <c r="I827" s="18">
        <f>_xll.ciqfunctions.udf.CIQ($C$2,"IQ_PENSION_UNRECOG_PRIOR_DOM",I$6,$F$2,,,Ccy,Conv)</f>
        <v>0</v>
      </c>
      <c r="J827" s="18">
        <f>_xll.ciqfunctions.udf.CIQ($C$2,"IQ_PENSION_UNRECOG_PRIOR_DOM",J$6,$F$2,,,Ccy,Conv)</f>
        <v>0</v>
      </c>
      <c r="K827" s="18">
        <f>_xll.ciqfunctions.udf.CIQ($C$2,"IQ_PENSION_UNRECOG_PRIOR_DOM",K$6,$F$2,,,Ccy,Conv)</f>
        <v>0</v>
      </c>
      <c r="L827" s="18">
        <f>_xll.ciqfunctions.udf.CIQ($C$2,"IQ_PENSION_UNRECOG_PRIOR_DOM",L$6,$F$2,,,Ccy,Conv)</f>
        <v>0</v>
      </c>
      <c r="M827" s="18">
        <f>_xll.ciqfunctions.udf.CIQ($C$2,"IQ_PENSION_UNRECOG_PRIOR_DOM",M$6,$F$2,,,Ccy,Conv)</f>
        <v>0</v>
      </c>
      <c r="N827" s="18">
        <f>_xll.ciqfunctions.udf.CIQ($C$2,"IQ_PENSION_UNRECOG_PRIOR_DOM",N$6,$F$2,,,Ccy,Conv)</f>
        <v>0</v>
      </c>
      <c r="O827" s="30"/>
      <c r="P827" s="18">
        <f>_xll.ciqfunctions.udf.CIQ($C$2,"IQ_PENSION_UNRECOG_PRIOR_DOM",P$6,$F$2,,,Ccy,Conv)</f>
        <v>0</v>
      </c>
      <c r="Q827" s="215"/>
      <c r="R827" s="215"/>
      <c r="S827" s="215"/>
      <c r="T827" s="215"/>
      <c r="U827" s="215"/>
      <c r="V827" s="222"/>
      <c r="W827" s="222"/>
      <c r="X827" s="222"/>
      <c r="Y827" s="215"/>
      <c r="Z827" s="215"/>
      <c r="AA827" s="215"/>
      <c r="AB827" s="215"/>
      <c r="AC827" s="215"/>
      <c r="AD827" s="215"/>
      <c r="AE827" s="215"/>
      <c r="AF827" s="215"/>
      <c r="AG827" s="215"/>
      <c r="AH827" s="215"/>
      <c r="AI827" s="215"/>
      <c r="AJ827" s="215"/>
      <c r="AK827" s="215"/>
      <c r="AL827" s="215"/>
      <c r="AM827" s="215"/>
      <c r="AN827" s="215"/>
      <c r="AO827" s="215"/>
      <c r="AP827" s="215"/>
      <c r="AQ827" s="215"/>
      <c r="AR827" s="215"/>
      <c r="AS827" s="215"/>
      <c r="AT827" s="215"/>
      <c r="AU827" s="215"/>
      <c r="AV827" s="215"/>
      <c r="AW827" s="215"/>
      <c r="AX827" s="215"/>
      <c r="AY827" s="215"/>
      <c r="AZ827" s="215"/>
      <c r="BA827" s="215"/>
      <c r="BB827" s="215"/>
      <c r="BC827" s="215"/>
      <c r="BD827" s="215"/>
      <c r="BE827" s="215"/>
      <c r="BF827" s="215"/>
      <c r="BG827" s="215"/>
      <c r="BH827" s="215"/>
      <c r="BI827" s="215"/>
      <c r="BJ827" s="215"/>
      <c r="BK827" s="215"/>
      <c r="BL827" s="215"/>
      <c r="BM827" s="215"/>
      <c r="BN827" s="215"/>
      <c r="BO827" s="215"/>
      <c r="BP827" s="215"/>
      <c r="BQ827" s="215"/>
      <c r="BR827" s="215"/>
      <c r="BS827" s="215"/>
      <c r="BT827" s="215"/>
      <c r="BU827" s="215"/>
      <c r="BV827" s="215"/>
      <c r="BW827" s="215"/>
      <c r="BX827" s="215"/>
      <c r="BY827" s="215"/>
      <c r="BZ827" s="215"/>
    </row>
    <row r="828" spans="1:78" outlineLevel="1" x14ac:dyDescent="0.2">
      <c r="A828" s="2" t="str">
        <f>'Language Index'!A575</f>
        <v>Other Adj. (Net Benefit Asset/Liab.)</v>
      </c>
      <c r="B828" s="17"/>
      <c r="C828" s="17"/>
      <c r="D828" s="18">
        <f>_xll.ciqfunctions.udf.CIQ($C$2,"IQ_PENSION_OTHER_ADJ_DOM",D$6,$F$2,,,Ccy,Conv)</f>
        <v>0</v>
      </c>
      <c r="E828" s="18">
        <f>_xll.ciqfunctions.udf.CIQ($C$2,"IQ_PENSION_OTHER_ADJ_DOM",E$6,$F$2,,,Ccy,Conv)</f>
        <v>0</v>
      </c>
      <c r="F828" s="18">
        <f>_xll.ciqfunctions.udf.CIQ($C$2,"IQ_PENSION_OTHER_ADJ_DOM",F$6,$F$2,,,Ccy,Conv)</f>
        <v>0</v>
      </c>
      <c r="G828" s="18">
        <f>_xll.ciqfunctions.udf.CIQ($C$2,"IQ_PENSION_OTHER_ADJ_DOM",G$6,$F$2,,,Ccy,Conv)</f>
        <v>0</v>
      </c>
      <c r="H828" s="18">
        <f>_xll.ciqfunctions.udf.CIQ($C$2,"IQ_PENSION_OTHER_ADJ_DOM",H$6,$F$2,,,Ccy,Conv)</f>
        <v>0</v>
      </c>
      <c r="I828" s="18">
        <f>_xll.ciqfunctions.udf.CIQ($C$2,"IQ_PENSION_OTHER_ADJ_DOM",I$6,$F$2,,,Ccy,Conv)</f>
        <v>0</v>
      </c>
      <c r="J828" s="18">
        <f>_xll.ciqfunctions.udf.CIQ($C$2,"IQ_PENSION_OTHER_ADJ_DOM",J$6,$F$2,,,Ccy,Conv)</f>
        <v>0</v>
      </c>
      <c r="K828" s="18">
        <f>_xll.ciqfunctions.udf.CIQ($C$2,"IQ_PENSION_OTHER_ADJ_DOM",K$6,$F$2,,,Ccy,Conv)</f>
        <v>0</v>
      </c>
      <c r="L828" s="18">
        <f>_xll.ciqfunctions.udf.CIQ($C$2,"IQ_PENSION_OTHER_ADJ_DOM",L$6,$F$2,,,Ccy,Conv)</f>
        <v>0</v>
      </c>
      <c r="M828" s="18">
        <f>_xll.ciqfunctions.udf.CIQ($C$2,"IQ_PENSION_OTHER_ADJ_DOM",M$6,$F$2,,,Ccy,Conv)</f>
        <v>0</v>
      </c>
      <c r="N828" s="18">
        <f>_xll.ciqfunctions.udf.CIQ($C$2,"IQ_PENSION_OTHER_ADJ_DOM",N$6,$F$2,,,Ccy,Conv)</f>
        <v>0</v>
      </c>
      <c r="O828" s="30"/>
      <c r="P828" s="18">
        <f>_xll.ciqfunctions.udf.CIQ($C$2,"IQ_PENSION_OTHER_ADJ_DOM",P$6,$F$2,,,Ccy,Conv)</f>
        <v>0</v>
      </c>
      <c r="Q828" s="215"/>
      <c r="R828" s="215"/>
      <c r="S828" s="215"/>
      <c r="T828" s="215"/>
      <c r="U828" s="215"/>
      <c r="V828" s="222"/>
      <c r="W828" s="222"/>
      <c r="X828" s="222"/>
      <c r="Y828" s="215"/>
      <c r="Z828" s="215"/>
      <c r="AA828" s="215"/>
      <c r="AB828" s="215"/>
      <c r="AC828" s="215"/>
      <c r="AD828" s="215"/>
      <c r="AE828" s="215"/>
      <c r="AF828" s="215"/>
      <c r="AG828" s="215"/>
      <c r="AH828" s="215"/>
      <c r="AI828" s="215"/>
      <c r="AJ828" s="215"/>
      <c r="AK828" s="215"/>
      <c r="AL828" s="215"/>
      <c r="AM828" s="215"/>
      <c r="AN828" s="215"/>
      <c r="AO828" s="215"/>
      <c r="AP828" s="215"/>
      <c r="AQ828" s="215"/>
      <c r="AR828" s="215"/>
      <c r="AS828" s="215"/>
      <c r="AT828" s="215"/>
      <c r="AU828" s="215"/>
      <c r="AV828" s="215"/>
      <c r="AW828" s="215"/>
      <c r="AX828" s="215"/>
      <c r="AY828" s="215"/>
      <c r="AZ828" s="215"/>
      <c r="BA828" s="215"/>
      <c r="BB828" s="215"/>
      <c r="BC828" s="215"/>
      <c r="BD828" s="215"/>
      <c r="BE828" s="215"/>
      <c r="BF828" s="215"/>
      <c r="BG828" s="215"/>
      <c r="BH828" s="215"/>
      <c r="BI828" s="215"/>
      <c r="BJ828" s="215"/>
      <c r="BK828" s="215"/>
      <c r="BL828" s="215"/>
      <c r="BM828" s="215"/>
      <c r="BN828" s="215"/>
      <c r="BO828" s="215"/>
      <c r="BP828" s="215"/>
      <c r="BQ828" s="215"/>
      <c r="BR828" s="215"/>
      <c r="BS828" s="215"/>
      <c r="BT828" s="215"/>
      <c r="BU828" s="215"/>
      <c r="BV828" s="215"/>
      <c r="BW828" s="215"/>
      <c r="BX828" s="215"/>
      <c r="BY828" s="215"/>
      <c r="BZ828" s="215"/>
    </row>
    <row r="829" spans="1:78" outlineLevel="1" x14ac:dyDescent="0.2">
      <c r="A829" s="2" t="str">
        <f>'Language Index'!A576</f>
        <v>Net Asset/Liability Recognized on Balance Sheet</v>
      </c>
      <c r="B829" s="17"/>
      <c r="C829" s="17"/>
      <c r="D829" s="18">
        <f>_xll.ciqfunctions.udf.CIQ($C$2,"IQ_PENSION_NET_ASSET_RECOG_DOM",D$6,$F$2,,,Ccy,Conv)</f>
        <v>0</v>
      </c>
      <c r="E829" s="18">
        <f>_xll.ciqfunctions.udf.CIQ($C$2,"IQ_PENSION_NET_ASSET_RECOG_DOM",E$6,$F$2,,,Ccy,Conv)</f>
        <v>0</v>
      </c>
      <c r="F829" s="18">
        <f>_xll.ciqfunctions.udf.CIQ($C$2,"IQ_PENSION_NET_ASSET_RECOG_DOM",F$6,$F$2,,,Ccy,Conv)</f>
        <v>3202</v>
      </c>
      <c r="G829" s="18">
        <f>_xll.ciqfunctions.udf.CIQ($C$2,"IQ_PENSION_NET_ASSET_RECOG_DOM",G$6,$F$2,,,Ccy,Conv)</f>
        <v>0</v>
      </c>
      <c r="H829" s="18">
        <f>_xll.ciqfunctions.udf.CIQ($C$2,"IQ_PENSION_NET_ASSET_RECOG_DOM",H$6,$F$2,,,Ccy,Conv)</f>
        <v>0</v>
      </c>
      <c r="I829" s="18">
        <f>_xll.ciqfunctions.udf.CIQ($C$2,"IQ_PENSION_NET_ASSET_RECOG_DOM",I$6,$F$2,,,Ccy,Conv)</f>
        <v>0</v>
      </c>
      <c r="J829" s="18">
        <f>_xll.ciqfunctions.udf.CIQ($C$2,"IQ_PENSION_NET_ASSET_RECOG_DOM",J$6,$F$2,,,Ccy,Conv)</f>
        <v>3373</v>
      </c>
      <c r="K829" s="18">
        <f>_xll.ciqfunctions.udf.CIQ($C$2,"IQ_PENSION_NET_ASSET_RECOG_DOM",K$6,$F$2,,,Ccy,Conv)</f>
        <v>0</v>
      </c>
      <c r="L829" s="18">
        <f>_xll.ciqfunctions.udf.CIQ($C$2,"IQ_PENSION_NET_ASSET_RECOG_DOM",L$6,$F$2,,,Ccy,Conv)</f>
        <v>0</v>
      </c>
      <c r="M829" s="18">
        <f>_xll.ciqfunctions.udf.CIQ($C$2,"IQ_PENSION_NET_ASSET_RECOG_DOM",M$6,$F$2,,,Ccy,Conv)</f>
        <v>0</v>
      </c>
      <c r="N829" s="18">
        <f>_xll.ciqfunctions.udf.CIQ($C$2,"IQ_PENSION_NET_ASSET_RECOG_DOM",N$6,$F$2,,,Ccy,Conv)</f>
        <v>3613</v>
      </c>
      <c r="O829" s="30"/>
      <c r="P829" s="18">
        <f>_xll.ciqfunctions.udf.CIQ($C$2,"IQ_PENSION_NET_ASSET_RECOG_DOM",P$6,$F$2,,,Ccy,Conv)</f>
        <v>3613</v>
      </c>
      <c r="Q829" s="215"/>
      <c r="R829" s="215"/>
      <c r="S829" s="215"/>
      <c r="T829" s="215"/>
      <c r="U829" s="215"/>
      <c r="V829" s="222"/>
      <c r="W829" s="222"/>
      <c r="X829" s="222"/>
      <c r="Y829" s="215"/>
      <c r="Z829" s="215"/>
      <c r="AA829" s="215"/>
      <c r="AB829" s="215"/>
      <c r="AC829" s="215"/>
      <c r="AD829" s="215"/>
      <c r="AE829" s="215"/>
      <c r="AF829" s="215"/>
      <c r="AG829" s="215"/>
      <c r="AH829" s="215"/>
      <c r="AI829" s="215"/>
      <c r="AJ829" s="215"/>
      <c r="AK829" s="215"/>
      <c r="AL829" s="215"/>
      <c r="AM829" s="215"/>
      <c r="AN829" s="215"/>
      <c r="AO829" s="215"/>
      <c r="AP829" s="215"/>
      <c r="AQ829" s="215"/>
      <c r="AR829" s="215"/>
      <c r="AS829" s="215"/>
      <c r="AT829" s="215"/>
      <c r="AU829" s="215"/>
      <c r="AV829" s="215"/>
      <c r="AW829" s="215"/>
      <c r="AX829" s="215"/>
      <c r="AY829" s="215"/>
      <c r="AZ829" s="215"/>
      <c r="BA829" s="215"/>
      <c r="BB829" s="215"/>
      <c r="BC829" s="215"/>
      <c r="BD829" s="215"/>
      <c r="BE829" s="215"/>
      <c r="BF829" s="215"/>
      <c r="BG829" s="215"/>
      <c r="BH829" s="215"/>
      <c r="BI829" s="215"/>
      <c r="BJ829" s="215"/>
      <c r="BK829" s="215"/>
      <c r="BL829" s="215"/>
      <c r="BM829" s="215"/>
      <c r="BN829" s="215"/>
      <c r="BO829" s="215"/>
      <c r="BP829" s="215"/>
      <c r="BQ829" s="215"/>
      <c r="BR829" s="215"/>
      <c r="BS829" s="215"/>
      <c r="BT829" s="215"/>
      <c r="BU829" s="215"/>
      <c r="BV829" s="215"/>
      <c r="BW829" s="215"/>
      <c r="BX829" s="215"/>
      <c r="BY829" s="215"/>
      <c r="BZ829" s="215"/>
    </row>
    <row r="830" spans="1:78" outlineLevel="1" x14ac:dyDescent="0.2">
      <c r="A830" s="9" t="str">
        <f>'Language Index'!A577</f>
        <v>Other Pension Related Items</v>
      </c>
      <c r="B830" s="17"/>
      <c r="C830" s="17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30"/>
      <c r="P830" s="18"/>
      <c r="Q830" s="215"/>
      <c r="R830" s="215"/>
      <c r="S830" s="215"/>
      <c r="T830" s="215"/>
      <c r="U830" s="215"/>
      <c r="V830" s="222"/>
      <c r="W830" s="222"/>
      <c r="X830" s="222"/>
      <c r="Y830" s="215"/>
      <c r="Z830" s="215"/>
      <c r="AA830" s="215"/>
      <c r="AB830" s="215"/>
      <c r="AC830" s="215"/>
      <c r="AD830" s="215"/>
      <c r="AE830" s="215"/>
      <c r="AF830" s="215"/>
      <c r="AG830" s="215"/>
      <c r="AH830" s="215"/>
      <c r="AI830" s="215"/>
      <c r="AJ830" s="215"/>
      <c r="AK830" s="215"/>
      <c r="AL830" s="215"/>
      <c r="AM830" s="215"/>
      <c r="AN830" s="215"/>
      <c r="AO830" s="215"/>
      <c r="AP830" s="215"/>
      <c r="AQ830" s="215"/>
      <c r="AR830" s="215"/>
      <c r="AS830" s="215"/>
      <c r="AT830" s="215"/>
      <c r="AU830" s="215"/>
      <c r="AV830" s="215"/>
      <c r="AW830" s="215"/>
      <c r="AX830" s="215"/>
      <c r="AY830" s="215"/>
      <c r="AZ830" s="215"/>
      <c r="BA830" s="215"/>
      <c r="BB830" s="215"/>
      <c r="BC830" s="215"/>
      <c r="BD830" s="215"/>
      <c r="BE830" s="215"/>
      <c r="BF830" s="215"/>
      <c r="BG830" s="215"/>
      <c r="BH830" s="215"/>
      <c r="BI830" s="215"/>
      <c r="BJ830" s="215"/>
      <c r="BK830" s="215"/>
      <c r="BL830" s="215"/>
      <c r="BM830" s="215"/>
      <c r="BN830" s="215"/>
      <c r="BO830" s="215"/>
      <c r="BP830" s="215"/>
      <c r="BQ830" s="215"/>
      <c r="BR830" s="215"/>
      <c r="BS830" s="215"/>
      <c r="BT830" s="215"/>
      <c r="BU830" s="215"/>
      <c r="BV830" s="215"/>
      <c r="BW830" s="215"/>
      <c r="BX830" s="215"/>
      <c r="BY830" s="215"/>
      <c r="BZ830" s="215"/>
    </row>
    <row r="831" spans="1:78" outlineLevel="1" x14ac:dyDescent="0.2">
      <c r="A831" s="2" t="str">
        <f>'Language Index'!A579</f>
        <v>Est. Contributions - Next Year</v>
      </c>
      <c r="B831" s="17"/>
      <c r="C831" s="17"/>
      <c r="D831" s="18">
        <f>_xll.ciqfunctions.udf.CIQ($C$2,"IQ_PENSION_EST_CONTRIBUTIONS_NEXTYR_DOM",D$6,$F$2,,,Ccy,Conv)</f>
        <v>0</v>
      </c>
      <c r="E831" s="18">
        <f>_xll.ciqfunctions.udf.CIQ($C$2,"IQ_PENSION_EST_CONTRIBUTIONS_NEXTYR_DOM",E$6,$F$2,,,Ccy,Conv)</f>
        <v>0</v>
      </c>
      <c r="F831" s="18">
        <f>_xll.ciqfunctions.udf.CIQ($C$2,"IQ_PENSION_EST_CONTRIBUTIONS_NEXTYR_DOM",F$6,$F$2,,,Ccy,Conv)</f>
        <v>0</v>
      </c>
      <c r="G831" s="18">
        <f>_xll.ciqfunctions.udf.CIQ($C$2,"IQ_PENSION_EST_CONTRIBUTIONS_NEXTYR_DOM",G$6,$F$2,,,Ccy,Conv)</f>
        <v>0</v>
      </c>
      <c r="H831" s="18">
        <f>_xll.ciqfunctions.udf.CIQ($C$2,"IQ_PENSION_EST_CONTRIBUTIONS_NEXTYR_DOM",H$6,$F$2,,,Ccy,Conv)</f>
        <v>0</v>
      </c>
      <c r="I831" s="18">
        <f>_xll.ciqfunctions.udf.CIQ($C$2,"IQ_PENSION_EST_CONTRIBUTIONS_NEXTYR_DOM",I$6,$F$2,,,Ccy,Conv)</f>
        <v>0</v>
      </c>
      <c r="J831" s="18">
        <f>_xll.ciqfunctions.udf.CIQ($C$2,"IQ_PENSION_EST_CONTRIBUTIONS_NEXTYR_DOM",J$6,$F$2,,,Ccy,Conv)</f>
        <v>0</v>
      </c>
      <c r="K831" s="18">
        <f>_xll.ciqfunctions.udf.CIQ($C$2,"IQ_PENSION_EST_CONTRIBUTIONS_NEXTYR_DOM",K$6,$F$2,,,Ccy,Conv)</f>
        <v>0</v>
      </c>
      <c r="L831" s="18">
        <f>_xll.ciqfunctions.udf.CIQ($C$2,"IQ_PENSION_EST_CONTRIBUTIONS_NEXTYR_DOM",L$6,$F$2,,,Ccy,Conv)</f>
        <v>0</v>
      </c>
      <c r="M831" s="18">
        <f>_xll.ciqfunctions.udf.CIQ($C$2,"IQ_PENSION_EST_CONTRIBUTIONS_NEXTYR_DOM",M$6,$F$2,,,Ccy,Conv)</f>
        <v>0</v>
      </c>
      <c r="N831" s="18">
        <f>_xll.ciqfunctions.udf.CIQ($C$2,"IQ_PENSION_EST_CONTRIBUTIONS_NEXTYR_DOM",N$6,$F$2,,,Ccy,Conv)</f>
        <v>0</v>
      </c>
      <c r="O831" s="30"/>
      <c r="P831" s="18">
        <f>_xll.ciqfunctions.udf.CIQ($C$2,"IQ_PENSION_EST_CONTRIBUTIONS_NEXTYR_DOM",P$6,$F$2,,,Ccy,Conv)</f>
        <v>0</v>
      </c>
      <c r="Q831" s="215"/>
      <c r="R831" s="215"/>
      <c r="S831" s="215"/>
      <c r="T831" s="215"/>
      <c r="U831" s="215"/>
      <c r="V831" s="222"/>
      <c r="W831" s="222"/>
      <c r="X831" s="222"/>
      <c r="Y831" s="215"/>
      <c r="Z831" s="215"/>
      <c r="AA831" s="215"/>
      <c r="AB831" s="215"/>
      <c r="AC831" s="215"/>
      <c r="AD831" s="215"/>
      <c r="AE831" s="215"/>
      <c r="AF831" s="215"/>
      <c r="AG831" s="215"/>
      <c r="AH831" s="215"/>
      <c r="AI831" s="215"/>
      <c r="AJ831" s="215"/>
      <c r="AK831" s="215"/>
      <c r="AL831" s="215"/>
      <c r="AM831" s="215"/>
      <c r="AN831" s="215"/>
      <c r="AO831" s="215"/>
      <c r="AP831" s="215"/>
      <c r="AQ831" s="215"/>
      <c r="AR831" s="215"/>
      <c r="AS831" s="215"/>
      <c r="AT831" s="215"/>
      <c r="AU831" s="215"/>
      <c r="AV831" s="215"/>
      <c r="AW831" s="215"/>
      <c r="AX831" s="215"/>
      <c r="AY831" s="215"/>
      <c r="AZ831" s="215"/>
      <c r="BA831" s="215"/>
      <c r="BB831" s="215"/>
      <c r="BC831" s="215"/>
      <c r="BD831" s="215"/>
      <c r="BE831" s="215"/>
      <c r="BF831" s="215"/>
      <c r="BG831" s="215"/>
      <c r="BH831" s="215"/>
      <c r="BI831" s="215"/>
      <c r="BJ831" s="215"/>
      <c r="BK831" s="215"/>
      <c r="BL831" s="215"/>
      <c r="BM831" s="215"/>
      <c r="BN831" s="215"/>
      <c r="BO831" s="215"/>
      <c r="BP831" s="215"/>
      <c r="BQ831" s="215"/>
      <c r="BR831" s="215"/>
      <c r="BS831" s="215"/>
      <c r="BT831" s="215"/>
      <c r="BU831" s="215"/>
      <c r="BV831" s="215"/>
      <c r="BW831" s="215"/>
      <c r="BX831" s="215"/>
      <c r="BY831" s="215"/>
      <c r="BZ831" s="215"/>
    </row>
    <row r="832" spans="1:78" outlineLevel="1" x14ac:dyDescent="0.2">
      <c r="A832" s="2" t="str">
        <f>'Language Index'!A580</f>
        <v>Quarterly Employer Contribution</v>
      </c>
      <c r="B832" s="17"/>
      <c r="C832" s="17"/>
      <c r="D832" s="18">
        <f>_xll.ciqfunctions.udf.CIQ($C$2,"IQ_PENSION_QUART_EMPLOYER_CONTRIBUTIONS_DOM",D$6,$F$2,,,Ccy,Conv)</f>
        <v>0</v>
      </c>
      <c r="E832" s="18">
        <f>_xll.ciqfunctions.udf.CIQ($C$2,"IQ_PENSION_QUART_EMPLOYER_CONTRIBUTIONS_DOM",E$6,$F$2,,,Ccy,Conv)</f>
        <v>0</v>
      </c>
      <c r="F832" s="18">
        <f>_xll.ciqfunctions.udf.CIQ($C$2,"IQ_PENSION_QUART_EMPLOYER_CONTRIBUTIONS_DOM",F$6,$F$2,,,Ccy,Conv)</f>
        <v>0</v>
      </c>
      <c r="G832" s="18">
        <f>_xll.ciqfunctions.udf.CIQ($C$2,"IQ_PENSION_QUART_EMPLOYER_CONTRIBUTIONS_DOM",G$6,$F$2,,,Ccy,Conv)</f>
        <v>0</v>
      </c>
      <c r="H832" s="18">
        <f>_xll.ciqfunctions.udf.CIQ($C$2,"IQ_PENSION_QUART_EMPLOYER_CONTRIBUTIONS_DOM",H$6,$F$2,,,Ccy,Conv)</f>
        <v>0</v>
      </c>
      <c r="I832" s="18">
        <f>_xll.ciqfunctions.udf.CIQ($C$2,"IQ_PENSION_QUART_EMPLOYER_CONTRIBUTIONS_DOM",I$6,$F$2,,,Ccy,Conv)</f>
        <v>0</v>
      </c>
      <c r="J832" s="18">
        <f>_xll.ciqfunctions.udf.CIQ($C$2,"IQ_PENSION_QUART_EMPLOYER_CONTRIBUTIONS_DOM",J$6,$F$2,,,Ccy,Conv)</f>
        <v>0</v>
      </c>
      <c r="K832" s="18">
        <f>_xll.ciqfunctions.udf.CIQ($C$2,"IQ_PENSION_QUART_EMPLOYER_CONTRIBUTIONS_DOM",K$6,$F$2,,,Ccy,Conv)</f>
        <v>0</v>
      </c>
      <c r="L832" s="18">
        <f>_xll.ciqfunctions.udf.CIQ($C$2,"IQ_PENSION_QUART_EMPLOYER_CONTRIBUTIONS_DOM",L$6,$F$2,,,Ccy,Conv)</f>
        <v>0</v>
      </c>
      <c r="M832" s="18">
        <f>_xll.ciqfunctions.udf.CIQ($C$2,"IQ_PENSION_QUART_EMPLOYER_CONTRIBUTIONS_DOM",M$6,$F$2,,,Ccy,Conv)</f>
        <v>0</v>
      </c>
      <c r="N832" s="18">
        <f>_xll.ciqfunctions.udf.CIQ($C$2,"IQ_PENSION_QUART_EMPLOYER_CONTRIBUTIONS_DOM",N$6,$F$2,,,Ccy,Conv)</f>
        <v>0</v>
      </c>
      <c r="O832" s="30"/>
      <c r="P832" s="18">
        <f>_xll.ciqfunctions.udf.CIQ($C$2,"IQ_PENSION_QUART_EMPLOYER_CONTRIBUTIONS_DOM",P$6,$F$2,,,Ccy,Conv)</f>
        <v>0</v>
      </c>
      <c r="Q832" s="215"/>
      <c r="R832" s="215"/>
      <c r="S832" s="215"/>
      <c r="T832" s="215"/>
      <c r="U832" s="215"/>
      <c r="V832" s="222"/>
      <c r="W832" s="222"/>
      <c r="X832" s="222"/>
      <c r="Y832" s="215"/>
      <c r="Z832" s="215"/>
      <c r="AA832" s="215"/>
      <c r="AB832" s="215"/>
      <c r="AC832" s="215"/>
      <c r="AD832" s="215"/>
      <c r="AE832" s="215"/>
      <c r="AF832" s="215"/>
      <c r="AG832" s="215"/>
      <c r="AH832" s="215"/>
      <c r="AI832" s="215"/>
      <c r="AJ832" s="215"/>
      <c r="AK832" s="215"/>
      <c r="AL832" s="215"/>
      <c r="AM832" s="215"/>
      <c r="AN832" s="215"/>
      <c r="AO832" s="215"/>
      <c r="AP832" s="215"/>
      <c r="AQ832" s="215"/>
      <c r="AR832" s="215"/>
      <c r="AS832" s="215"/>
      <c r="AT832" s="215"/>
      <c r="AU832" s="215"/>
      <c r="AV832" s="215"/>
      <c r="AW832" s="215"/>
      <c r="AX832" s="215"/>
      <c r="AY832" s="215"/>
      <c r="AZ832" s="215"/>
      <c r="BA832" s="215"/>
      <c r="BB832" s="215"/>
      <c r="BC832" s="215"/>
      <c r="BD832" s="215"/>
      <c r="BE832" s="215"/>
      <c r="BF832" s="215"/>
      <c r="BG832" s="215"/>
      <c r="BH832" s="215"/>
      <c r="BI832" s="215"/>
      <c r="BJ832" s="215"/>
      <c r="BK832" s="215"/>
      <c r="BL832" s="215"/>
      <c r="BM832" s="215"/>
      <c r="BN832" s="215"/>
      <c r="BO832" s="215"/>
      <c r="BP832" s="215"/>
      <c r="BQ832" s="215"/>
      <c r="BR832" s="215"/>
      <c r="BS832" s="215"/>
      <c r="BT832" s="215"/>
      <c r="BU832" s="215"/>
      <c r="BV832" s="215"/>
      <c r="BW832" s="215"/>
      <c r="BX832" s="215"/>
      <c r="BY832" s="215"/>
      <c r="BZ832" s="215"/>
    </row>
    <row r="833" spans="1:78" outlineLevel="1" x14ac:dyDescent="0.2">
      <c r="A833" s="2" t="str">
        <f>'Language Index'!A581</f>
        <v>Quarterly Additional Contributions Expected</v>
      </c>
      <c r="B833" s="17"/>
      <c r="C833" s="17"/>
      <c r="D833" s="18">
        <f>_xll.ciqfunctions.udf.CIQ($C$2,"IQ_PENSION_QUART_ADDL_CONTRIBUTIONS_EXP_DOM",D$6,$F$2,,,Ccy,Conv)</f>
        <v>0</v>
      </c>
      <c r="E833" s="18">
        <f>_xll.ciqfunctions.udf.CIQ($C$2,"IQ_PENSION_QUART_ADDL_CONTRIBUTIONS_EXP_DOM",E$6,$F$2,,,Ccy,Conv)</f>
        <v>0</v>
      </c>
      <c r="F833" s="18">
        <f>_xll.ciqfunctions.udf.CIQ($C$2,"IQ_PENSION_QUART_ADDL_CONTRIBUTIONS_EXP_DOM",F$6,$F$2,,,Ccy,Conv)</f>
        <v>0</v>
      </c>
      <c r="G833" s="18">
        <f>_xll.ciqfunctions.udf.CIQ($C$2,"IQ_PENSION_QUART_ADDL_CONTRIBUTIONS_EXP_DOM",G$6,$F$2,,,Ccy,Conv)</f>
        <v>0</v>
      </c>
      <c r="H833" s="18">
        <f>_xll.ciqfunctions.udf.CIQ($C$2,"IQ_PENSION_QUART_ADDL_CONTRIBUTIONS_EXP_DOM",H$6,$F$2,,,Ccy,Conv)</f>
        <v>0</v>
      </c>
      <c r="I833" s="18">
        <f>_xll.ciqfunctions.udf.CIQ($C$2,"IQ_PENSION_QUART_ADDL_CONTRIBUTIONS_EXP_DOM",I$6,$F$2,,,Ccy,Conv)</f>
        <v>0</v>
      </c>
      <c r="J833" s="18">
        <f>_xll.ciqfunctions.udf.CIQ($C$2,"IQ_PENSION_QUART_ADDL_CONTRIBUTIONS_EXP_DOM",J$6,$F$2,,,Ccy,Conv)</f>
        <v>0</v>
      </c>
      <c r="K833" s="18">
        <f>_xll.ciqfunctions.udf.CIQ($C$2,"IQ_PENSION_QUART_ADDL_CONTRIBUTIONS_EXP_DOM",K$6,$F$2,,,Ccy,Conv)</f>
        <v>0</v>
      </c>
      <c r="L833" s="18">
        <f>_xll.ciqfunctions.udf.CIQ($C$2,"IQ_PENSION_QUART_ADDL_CONTRIBUTIONS_EXP_DOM",L$6,$F$2,,,Ccy,Conv)</f>
        <v>0</v>
      </c>
      <c r="M833" s="18">
        <f>_xll.ciqfunctions.udf.CIQ($C$2,"IQ_PENSION_QUART_ADDL_CONTRIBUTIONS_EXP_DOM",M$6,$F$2,,,Ccy,Conv)</f>
        <v>0</v>
      </c>
      <c r="N833" s="18">
        <f>_xll.ciqfunctions.udf.CIQ($C$2,"IQ_PENSION_QUART_ADDL_CONTRIBUTIONS_EXP_DOM",N$6,$F$2,,,Ccy,Conv)</f>
        <v>0</v>
      </c>
      <c r="O833" s="30"/>
      <c r="P833" s="18">
        <f>_xll.ciqfunctions.udf.CIQ($C$2,"IQ_PENSION_QUART_ADDL_CONTRIBUTIONS_EXP_DOM",P$6,$F$2,,,Ccy,Conv)</f>
        <v>0</v>
      </c>
      <c r="Q833" s="215"/>
      <c r="R833" s="215"/>
      <c r="S833" s="215"/>
      <c r="T833" s="215"/>
      <c r="U833" s="215"/>
      <c r="V833" s="222"/>
      <c r="W833" s="222"/>
      <c r="X833" s="222"/>
      <c r="Y833" s="215"/>
      <c r="Z833" s="215"/>
      <c r="AA833" s="215"/>
      <c r="AB833" s="215"/>
      <c r="AC833" s="215"/>
      <c r="AD833" s="215"/>
      <c r="AE833" s="215"/>
      <c r="AF833" s="215"/>
      <c r="AG833" s="215"/>
      <c r="AH833" s="215"/>
      <c r="AI833" s="215"/>
      <c r="AJ833" s="215"/>
      <c r="AK833" s="215"/>
      <c r="AL833" s="215"/>
      <c r="AM833" s="215"/>
      <c r="AN833" s="215"/>
      <c r="AO833" s="215"/>
      <c r="AP833" s="215"/>
      <c r="AQ833" s="215"/>
      <c r="AR833" s="215"/>
      <c r="AS833" s="215"/>
      <c r="AT833" s="215"/>
      <c r="AU833" s="215"/>
      <c r="AV833" s="215"/>
      <c r="AW833" s="215"/>
      <c r="AX833" s="215"/>
      <c r="AY833" s="215"/>
      <c r="AZ833" s="215"/>
      <c r="BA833" s="215"/>
      <c r="BB833" s="215"/>
      <c r="BC833" s="215"/>
      <c r="BD833" s="215"/>
      <c r="BE833" s="215"/>
      <c r="BF833" s="215"/>
      <c r="BG833" s="215"/>
      <c r="BH833" s="215"/>
      <c r="BI833" s="215"/>
      <c r="BJ833" s="215"/>
      <c r="BK833" s="215"/>
      <c r="BL833" s="215"/>
      <c r="BM833" s="215"/>
      <c r="BN833" s="215"/>
      <c r="BO833" s="215"/>
      <c r="BP833" s="215"/>
      <c r="BQ833" s="215"/>
      <c r="BR833" s="215"/>
      <c r="BS833" s="215"/>
      <c r="BT833" s="215"/>
      <c r="BU833" s="215"/>
      <c r="BV833" s="215"/>
      <c r="BW833" s="215"/>
      <c r="BX833" s="215"/>
      <c r="BY833" s="215"/>
      <c r="BZ833" s="215"/>
    </row>
    <row r="834" spans="1:78" outlineLevel="1" x14ac:dyDescent="0.2">
      <c r="A834" s="2" t="str">
        <f>'Language Index'!A582</f>
        <v>Unfunded Additional Minimum Liab.</v>
      </c>
      <c r="B834" s="17"/>
      <c r="C834" s="17"/>
      <c r="D834" s="18">
        <f>_xll.ciqfunctions.udf.CIQ($C$2,"IQ_PENSION_UNFUNDED_ADDL_MIN_LIAB_DOM",D$6,$F$2,,,Ccy,Conv)</f>
        <v>0</v>
      </c>
      <c r="E834" s="18">
        <f>_xll.ciqfunctions.udf.CIQ($C$2,"IQ_PENSION_UNFUNDED_ADDL_MIN_LIAB_DOM",E$6,$F$2,,,Ccy,Conv)</f>
        <v>0</v>
      </c>
      <c r="F834" s="18">
        <f>_xll.ciqfunctions.udf.CIQ($C$2,"IQ_PENSION_UNFUNDED_ADDL_MIN_LIAB_DOM",F$6,$F$2,,,Ccy,Conv)</f>
        <v>0</v>
      </c>
      <c r="G834" s="18">
        <f>_xll.ciqfunctions.udf.CIQ($C$2,"IQ_PENSION_UNFUNDED_ADDL_MIN_LIAB_DOM",G$6,$F$2,,,Ccy,Conv)</f>
        <v>0</v>
      </c>
      <c r="H834" s="18">
        <f>_xll.ciqfunctions.udf.CIQ($C$2,"IQ_PENSION_UNFUNDED_ADDL_MIN_LIAB_DOM",H$6,$F$2,,,Ccy,Conv)</f>
        <v>0</v>
      </c>
      <c r="I834" s="18">
        <f>_xll.ciqfunctions.udf.CIQ($C$2,"IQ_PENSION_UNFUNDED_ADDL_MIN_LIAB_DOM",I$6,$F$2,,,Ccy,Conv)</f>
        <v>0</v>
      </c>
      <c r="J834" s="18">
        <f>_xll.ciqfunctions.udf.CIQ($C$2,"IQ_PENSION_UNFUNDED_ADDL_MIN_LIAB_DOM",J$6,$F$2,,,Ccy,Conv)</f>
        <v>0</v>
      </c>
      <c r="K834" s="18">
        <f>_xll.ciqfunctions.udf.CIQ($C$2,"IQ_PENSION_UNFUNDED_ADDL_MIN_LIAB_DOM",K$6,$F$2,,,Ccy,Conv)</f>
        <v>0</v>
      </c>
      <c r="L834" s="18">
        <f>_xll.ciqfunctions.udf.CIQ($C$2,"IQ_PENSION_UNFUNDED_ADDL_MIN_LIAB_DOM",L$6,$F$2,,,Ccy,Conv)</f>
        <v>0</v>
      </c>
      <c r="M834" s="18">
        <f>_xll.ciqfunctions.udf.CIQ($C$2,"IQ_PENSION_UNFUNDED_ADDL_MIN_LIAB_DOM",M$6,$F$2,,,Ccy,Conv)</f>
        <v>0</v>
      </c>
      <c r="N834" s="18">
        <f>_xll.ciqfunctions.udf.CIQ($C$2,"IQ_PENSION_UNFUNDED_ADDL_MIN_LIAB_DOM",N$6,$F$2,,,Ccy,Conv)</f>
        <v>0</v>
      </c>
      <c r="O834" s="30"/>
      <c r="P834" s="18">
        <f>_xll.ciqfunctions.udf.CIQ($C$2,"IQ_PENSION_UNFUNDED_ADDL_MIN_LIAB_DOM",P$6,$F$2,,,Ccy,Conv)</f>
        <v>0</v>
      </c>
      <c r="Q834" s="215"/>
      <c r="R834" s="215"/>
      <c r="S834" s="215"/>
      <c r="T834" s="215"/>
      <c r="U834" s="215"/>
      <c r="V834" s="222"/>
      <c r="W834" s="222"/>
      <c r="X834" s="222"/>
      <c r="Y834" s="215"/>
      <c r="Z834" s="215"/>
      <c r="AA834" s="215"/>
      <c r="AB834" s="215"/>
      <c r="AC834" s="215"/>
      <c r="AD834" s="215"/>
      <c r="AE834" s="215"/>
      <c r="AF834" s="215"/>
      <c r="AG834" s="215"/>
      <c r="AH834" s="215"/>
      <c r="AI834" s="215"/>
      <c r="AJ834" s="215"/>
      <c r="AK834" s="215"/>
      <c r="AL834" s="215"/>
      <c r="AM834" s="215"/>
      <c r="AN834" s="215"/>
      <c r="AO834" s="215"/>
      <c r="AP834" s="215"/>
      <c r="AQ834" s="215"/>
      <c r="AR834" s="215"/>
      <c r="AS834" s="215"/>
      <c r="AT834" s="215"/>
      <c r="AU834" s="215"/>
      <c r="AV834" s="215"/>
      <c r="AW834" s="215"/>
      <c r="AX834" s="215"/>
      <c r="AY834" s="215"/>
      <c r="AZ834" s="215"/>
      <c r="BA834" s="215"/>
      <c r="BB834" s="215"/>
      <c r="BC834" s="215"/>
      <c r="BD834" s="215"/>
      <c r="BE834" s="215"/>
      <c r="BF834" s="215"/>
      <c r="BG834" s="215"/>
      <c r="BH834" s="215"/>
      <c r="BI834" s="215"/>
      <c r="BJ834" s="215"/>
      <c r="BK834" s="215"/>
      <c r="BL834" s="215"/>
      <c r="BM834" s="215"/>
      <c r="BN834" s="215"/>
      <c r="BO834" s="215"/>
      <c r="BP834" s="215"/>
      <c r="BQ834" s="215"/>
      <c r="BR834" s="215"/>
      <c r="BS834" s="215"/>
      <c r="BT834" s="215"/>
      <c r="BU834" s="215"/>
      <c r="BV834" s="215"/>
      <c r="BW834" s="215"/>
      <c r="BX834" s="215"/>
      <c r="BY834" s="215"/>
      <c r="BZ834" s="215"/>
    </row>
    <row r="835" spans="1:78" outlineLevel="1" x14ac:dyDescent="0.2">
      <c r="A835" s="2" t="str">
        <f>'Language Index'!A583</f>
        <v>Benefit Info Date</v>
      </c>
      <c r="B835" s="17"/>
      <c r="C835" s="17"/>
      <c r="D835" s="35" t="str">
        <f>IF(_xll.ciqfunctions.udf.CIQ($C$2,"IQ_PENSION_BENEFIT_INFO_DATE_DOM",D$6,$F$2)=0,"NA ",_xll.ciqfunctions.udf.CIQ($C$2,"IQ_PENSION_BENEFIT_INFO_DATE_DOM",D$6,$F$2))</f>
        <v xml:space="preserve">NA </v>
      </c>
      <c r="E835" s="35" t="str">
        <f>IF(_xll.ciqfunctions.udf.CIQ($C$2,"IQ_PENSION_BENEFIT_INFO_DATE_DOM",E$6,$F$2)=0,"NA ",_xll.ciqfunctions.udf.CIQ($C$2,"IQ_PENSION_BENEFIT_INFO_DATE_DOM",E$6,$F$2))</f>
        <v xml:space="preserve">NA </v>
      </c>
      <c r="F835" s="35">
        <f>IF(_xll.ciqfunctions.udf.CIQ($C$2,"IQ_PENSION_BENEFIT_INFO_DATE_DOM",F$6,$F$2)=0,"NA ",_xll.ciqfunctions.udf.CIQ($C$2,"IQ_PENSION_BENEFIT_INFO_DATE_DOM",F$6,$F$2))</f>
        <v>45291</v>
      </c>
      <c r="G835" s="35" t="str">
        <f>IF(_xll.ciqfunctions.udf.CIQ($C$2,"IQ_PENSION_BENEFIT_INFO_DATE_DOM",G$6,$F$2)=0,"NA ",_xll.ciqfunctions.udf.CIQ($C$2,"IQ_PENSION_BENEFIT_INFO_DATE_DOM",G$6,$F$2))</f>
        <v xml:space="preserve">NA </v>
      </c>
      <c r="H835" s="35" t="str">
        <f>IF(_xll.ciqfunctions.udf.CIQ($C$2,"IQ_PENSION_BENEFIT_INFO_DATE_DOM",H$6,$F$2)=0,"NA ",_xll.ciqfunctions.udf.CIQ($C$2,"IQ_PENSION_BENEFIT_INFO_DATE_DOM",H$6,$F$2))</f>
        <v xml:space="preserve">NA </v>
      </c>
      <c r="I835" s="35" t="str">
        <f>IF(_xll.ciqfunctions.udf.CIQ($C$2,"IQ_PENSION_BENEFIT_INFO_DATE_DOM",I$6,$F$2)=0,"NA ",_xll.ciqfunctions.udf.CIQ($C$2,"IQ_PENSION_BENEFIT_INFO_DATE_DOM",I$6,$F$2))</f>
        <v xml:space="preserve">NA </v>
      </c>
      <c r="J835" s="35">
        <f>IF(_xll.ciqfunctions.udf.CIQ($C$2,"IQ_PENSION_BENEFIT_INFO_DATE_DOM",J$6,$F$2)=0,"NA ",_xll.ciqfunctions.udf.CIQ($C$2,"IQ_PENSION_BENEFIT_INFO_DATE_DOM",J$6,$F$2))</f>
        <v>45657</v>
      </c>
      <c r="K835" s="35" t="str">
        <f>IF(_xll.ciqfunctions.udf.CIQ($C$2,"IQ_PENSION_BENEFIT_INFO_DATE_DOM",K$6,$F$2)=0,"NA ",_xll.ciqfunctions.udf.CIQ($C$2,"IQ_PENSION_BENEFIT_INFO_DATE_DOM",K$6,$F$2))</f>
        <v xml:space="preserve">NA </v>
      </c>
      <c r="L835" s="35" t="str">
        <f>IF(_xll.ciqfunctions.udf.CIQ($C$2,"IQ_PENSION_BENEFIT_INFO_DATE_DOM",L$6,$F$2)=0,"NA ",_xll.ciqfunctions.udf.CIQ($C$2,"IQ_PENSION_BENEFIT_INFO_DATE_DOM",L$6,$F$2))</f>
        <v xml:space="preserve">NA </v>
      </c>
      <c r="M835" s="35" t="str">
        <f>IF(_xll.ciqfunctions.udf.CIQ($C$2,"IQ_PENSION_BENEFIT_INFO_DATE_DOM",M$6,$F$2)=0,"NA ",_xll.ciqfunctions.udf.CIQ($C$2,"IQ_PENSION_BENEFIT_INFO_DATE_DOM",M$6,$F$2))</f>
        <v xml:space="preserve">NA </v>
      </c>
      <c r="N835" s="35">
        <f>IF(_xll.ciqfunctions.udf.CIQ($C$2,"IQ_PENSION_BENEFIT_INFO_DATE_DOM",N$6,$F$2)=0,"NA ",_xll.ciqfunctions.udf.CIQ($C$2,"IQ_PENSION_BENEFIT_INFO_DATE_DOM",N$6,$F$2))</f>
        <v>46022</v>
      </c>
      <c r="O835" s="35"/>
      <c r="P835" s="35">
        <f>IF(_xll.ciqfunctions.udf.CIQ($C$2,"IQ_PENSION_BENEFIT_INFO_DATE_DOM",P$6,$F$2)=0,"NA ",_xll.ciqfunctions.udf.CIQ($C$2,"IQ_PENSION_BENEFIT_INFO_DATE_DOM",P$6,$F$2))</f>
        <v>46022</v>
      </c>
      <c r="Q835" s="215"/>
      <c r="R835" s="215"/>
      <c r="S835" s="215"/>
      <c r="T835" s="215"/>
      <c r="U835" s="215"/>
      <c r="V835" s="222"/>
      <c r="W835" s="222"/>
      <c r="X835" s="222"/>
      <c r="Y835" s="215"/>
      <c r="Z835" s="215"/>
      <c r="AA835" s="215"/>
      <c r="AB835" s="215"/>
      <c r="AC835" s="215"/>
      <c r="AD835" s="215"/>
      <c r="AE835" s="215"/>
      <c r="AF835" s="215"/>
      <c r="AG835" s="215"/>
      <c r="AH835" s="215"/>
      <c r="AI835" s="215"/>
      <c r="AJ835" s="215"/>
      <c r="AK835" s="215"/>
      <c r="AL835" s="215"/>
      <c r="AM835" s="215"/>
      <c r="AN835" s="215"/>
      <c r="AO835" s="215"/>
      <c r="AP835" s="215"/>
      <c r="AQ835" s="215"/>
      <c r="AR835" s="215"/>
      <c r="AS835" s="215"/>
      <c r="AT835" s="215"/>
      <c r="AU835" s="215"/>
      <c r="AV835" s="215"/>
      <c r="AW835" s="215"/>
      <c r="AX835" s="215"/>
      <c r="AY835" s="215"/>
      <c r="AZ835" s="215"/>
      <c r="BA835" s="215"/>
      <c r="BB835" s="215"/>
      <c r="BC835" s="215"/>
      <c r="BD835" s="215"/>
      <c r="BE835" s="215"/>
      <c r="BF835" s="215"/>
      <c r="BG835" s="215"/>
      <c r="BH835" s="215"/>
      <c r="BI835" s="215"/>
      <c r="BJ835" s="215"/>
      <c r="BK835" s="215"/>
      <c r="BL835" s="215"/>
      <c r="BM835" s="215"/>
      <c r="BN835" s="215"/>
      <c r="BO835" s="215"/>
      <c r="BP835" s="215"/>
      <c r="BQ835" s="215"/>
      <c r="BR835" s="215"/>
      <c r="BS835" s="215"/>
      <c r="BT835" s="215"/>
      <c r="BU835" s="215"/>
      <c r="BV835" s="215"/>
      <c r="BW835" s="215"/>
      <c r="BX835" s="215"/>
      <c r="BY835" s="215"/>
      <c r="BZ835" s="215"/>
    </row>
    <row r="836" spans="1:78" outlineLevel="1" x14ac:dyDescent="0.2">
      <c r="A836" s="2"/>
      <c r="B836" s="17"/>
      <c r="C836" s="17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30"/>
      <c r="P836" s="18"/>
      <c r="Q836" s="215"/>
      <c r="R836" s="215"/>
      <c r="S836" s="215"/>
      <c r="T836" s="215"/>
      <c r="U836" s="215"/>
      <c r="V836" s="222"/>
      <c r="W836" s="222"/>
      <c r="X836" s="222"/>
      <c r="Y836" s="215"/>
      <c r="Z836" s="215"/>
      <c r="AA836" s="215"/>
      <c r="AB836" s="215"/>
      <c r="AC836" s="215"/>
      <c r="AD836" s="215"/>
      <c r="AE836" s="215"/>
      <c r="AF836" s="215"/>
      <c r="AG836" s="215"/>
      <c r="AH836" s="215"/>
      <c r="AI836" s="215"/>
      <c r="AJ836" s="215"/>
      <c r="AK836" s="215"/>
      <c r="AL836" s="215"/>
      <c r="AM836" s="215"/>
      <c r="AN836" s="215"/>
      <c r="AO836" s="215"/>
      <c r="AP836" s="215"/>
      <c r="AQ836" s="215"/>
      <c r="AR836" s="215"/>
      <c r="AS836" s="215"/>
      <c r="AT836" s="215"/>
      <c r="AU836" s="215"/>
      <c r="AV836" s="215"/>
      <c r="AW836" s="215"/>
      <c r="AX836" s="215"/>
      <c r="AY836" s="215"/>
      <c r="AZ836" s="215"/>
      <c r="BA836" s="215"/>
      <c r="BB836" s="215"/>
      <c r="BC836" s="215"/>
      <c r="BD836" s="215"/>
      <c r="BE836" s="215"/>
      <c r="BF836" s="215"/>
      <c r="BG836" s="215"/>
      <c r="BH836" s="215"/>
      <c r="BI836" s="215"/>
      <c r="BJ836" s="215"/>
      <c r="BK836" s="215"/>
      <c r="BL836" s="215"/>
      <c r="BM836" s="215"/>
      <c r="BN836" s="215"/>
      <c r="BO836" s="215"/>
      <c r="BP836" s="215"/>
      <c r="BQ836" s="215"/>
      <c r="BR836" s="215"/>
      <c r="BS836" s="215"/>
      <c r="BT836" s="215"/>
      <c r="BU836" s="215"/>
      <c r="BV836" s="215"/>
      <c r="BW836" s="215"/>
      <c r="BX836" s="215"/>
      <c r="BY836" s="215"/>
      <c r="BZ836" s="215"/>
    </row>
    <row r="837" spans="1:78" outlineLevel="1" x14ac:dyDescent="0.2">
      <c r="A837" s="9" t="str">
        <f>'Language Index'!A603</f>
        <v>OPEB - Domestic</v>
      </c>
      <c r="B837" s="17"/>
      <c r="C837" s="17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30"/>
      <c r="P837" s="18"/>
      <c r="Q837" s="215"/>
      <c r="R837" s="215"/>
      <c r="S837" s="215"/>
      <c r="T837" s="215"/>
      <c r="U837" s="215"/>
      <c r="V837" s="222"/>
      <c r="W837" s="222"/>
      <c r="X837" s="222"/>
      <c r="Y837" s="215"/>
      <c r="Z837" s="215"/>
      <c r="AA837" s="215"/>
      <c r="AB837" s="215"/>
      <c r="AC837" s="215"/>
      <c r="AD837" s="215"/>
      <c r="AE837" s="215"/>
      <c r="AF837" s="215"/>
      <c r="AG837" s="215"/>
      <c r="AH837" s="215"/>
      <c r="AI837" s="215"/>
      <c r="AJ837" s="215"/>
      <c r="AK837" s="215"/>
      <c r="AL837" s="215"/>
      <c r="AM837" s="215"/>
      <c r="AN837" s="215"/>
      <c r="AO837" s="215"/>
      <c r="AP837" s="215"/>
      <c r="AQ837" s="215"/>
      <c r="AR837" s="215"/>
      <c r="AS837" s="215"/>
      <c r="AT837" s="215"/>
      <c r="AU837" s="215"/>
      <c r="AV837" s="215"/>
      <c r="AW837" s="215"/>
      <c r="AX837" s="215"/>
      <c r="AY837" s="215"/>
      <c r="AZ837" s="215"/>
      <c r="BA837" s="215"/>
      <c r="BB837" s="215"/>
      <c r="BC837" s="215"/>
      <c r="BD837" s="215"/>
      <c r="BE837" s="215"/>
      <c r="BF837" s="215"/>
      <c r="BG837" s="215"/>
      <c r="BH837" s="215"/>
      <c r="BI837" s="215"/>
      <c r="BJ837" s="215"/>
      <c r="BK837" s="215"/>
      <c r="BL837" s="215"/>
      <c r="BM837" s="215"/>
      <c r="BN837" s="215"/>
      <c r="BO837" s="215"/>
      <c r="BP837" s="215"/>
      <c r="BQ837" s="215"/>
      <c r="BR837" s="215"/>
      <c r="BS837" s="215"/>
      <c r="BT837" s="215"/>
      <c r="BU837" s="215"/>
      <c r="BV837" s="215"/>
      <c r="BW837" s="215"/>
      <c r="BX837" s="215"/>
      <c r="BY837" s="215"/>
      <c r="BZ837" s="215"/>
    </row>
    <row r="838" spans="1:78" outlineLevel="1" x14ac:dyDescent="0.2">
      <c r="A838" s="9" t="str">
        <f>'Language Index'!A494</f>
        <v>Defined Benefit Net Periodic Cost</v>
      </c>
      <c r="B838" s="17"/>
      <c r="C838" s="17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30"/>
      <c r="P838" s="18"/>
      <c r="Q838" s="215"/>
      <c r="R838" s="215"/>
      <c r="S838" s="215"/>
      <c r="T838" s="215"/>
      <c r="U838" s="215"/>
      <c r="V838" s="222"/>
      <c r="W838" s="222"/>
      <c r="X838" s="222"/>
      <c r="Y838" s="215"/>
      <c r="Z838" s="215"/>
      <c r="AA838" s="215"/>
      <c r="AB838" s="215"/>
      <c r="AC838" s="215"/>
      <c r="AD838" s="215"/>
      <c r="AE838" s="215"/>
      <c r="AF838" s="215"/>
      <c r="AG838" s="215"/>
      <c r="AH838" s="215"/>
      <c r="AI838" s="215"/>
      <c r="AJ838" s="215"/>
      <c r="AK838" s="215"/>
      <c r="AL838" s="215"/>
      <c r="AM838" s="215"/>
      <c r="AN838" s="215"/>
      <c r="AO838" s="215"/>
      <c r="AP838" s="215"/>
      <c r="AQ838" s="215"/>
      <c r="AR838" s="215"/>
      <c r="AS838" s="215"/>
      <c r="AT838" s="215"/>
      <c r="AU838" s="215"/>
      <c r="AV838" s="215"/>
      <c r="AW838" s="215"/>
      <c r="AX838" s="215"/>
      <c r="AY838" s="215"/>
      <c r="AZ838" s="215"/>
      <c r="BA838" s="215"/>
      <c r="BB838" s="215"/>
      <c r="BC838" s="215"/>
      <c r="BD838" s="215"/>
      <c r="BE838" s="215"/>
      <c r="BF838" s="215"/>
      <c r="BG838" s="215"/>
      <c r="BH838" s="215"/>
      <c r="BI838" s="215"/>
      <c r="BJ838" s="215"/>
      <c r="BK838" s="215"/>
      <c r="BL838" s="215"/>
      <c r="BM838" s="215"/>
      <c r="BN838" s="215"/>
      <c r="BO838" s="215"/>
      <c r="BP838" s="215"/>
      <c r="BQ838" s="215"/>
      <c r="BR838" s="215"/>
      <c r="BS838" s="215"/>
      <c r="BT838" s="215"/>
      <c r="BU838" s="215"/>
      <c r="BV838" s="215"/>
      <c r="BW838" s="215"/>
      <c r="BX838" s="215"/>
      <c r="BY838" s="215"/>
      <c r="BZ838" s="215"/>
    </row>
    <row r="839" spans="1:78" outlineLevel="1" x14ac:dyDescent="0.2">
      <c r="A839" s="2" t="str">
        <f>'Language Index'!A495</f>
        <v>Def. Benefit Service Cost</v>
      </c>
      <c r="B839" s="17"/>
      <c r="C839" s="17"/>
      <c r="D839" s="18">
        <f>_xll.ciqfunctions.udf.CIQ($C$2,"IQ_OPEB_SERVICE_COST_DOM",D$6,$F$2,,,Ccy,Conv)</f>
        <v>0</v>
      </c>
      <c r="E839" s="18">
        <f>_xll.ciqfunctions.udf.CIQ($C$2,"IQ_OPEB_SERVICE_COST_DOM",E$6,$F$2,,,Ccy,Conv)</f>
        <v>0</v>
      </c>
      <c r="F839" s="18">
        <f>_xll.ciqfunctions.udf.CIQ($C$2,"IQ_OPEB_SERVICE_COST_DOM",F$6,$F$2,,,Ccy,Conv)</f>
        <v>4</v>
      </c>
      <c r="G839" s="18">
        <f>_xll.ciqfunctions.udf.CIQ($C$2,"IQ_OPEB_SERVICE_COST_DOM",G$6,$F$2,,,Ccy,Conv)</f>
        <v>0</v>
      </c>
      <c r="H839" s="18">
        <f>_xll.ciqfunctions.udf.CIQ($C$2,"IQ_OPEB_SERVICE_COST_DOM",H$6,$F$2,,,Ccy,Conv)</f>
        <v>0</v>
      </c>
      <c r="I839" s="18">
        <f>_xll.ciqfunctions.udf.CIQ($C$2,"IQ_OPEB_SERVICE_COST_DOM",I$6,$F$2,,,Ccy,Conv)</f>
        <v>0</v>
      </c>
      <c r="J839" s="18">
        <f>_xll.ciqfunctions.udf.CIQ($C$2,"IQ_OPEB_SERVICE_COST_DOM",J$6,$F$2,,,Ccy,Conv)</f>
        <v>2</v>
      </c>
      <c r="K839" s="18">
        <f>_xll.ciqfunctions.udf.CIQ($C$2,"IQ_OPEB_SERVICE_COST_DOM",K$6,$F$2,,,Ccy,Conv)</f>
        <v>0</v>
      </c>
      <c r="L839" s="18">
        <f>_xll.ciqfunctions.udf.CIQ($C$2,"IQ_OPEB_SERVICE_COST_DOM",L$6,$F$2,,,Ccy,Conv)</f>
        <v>0</v>
      </c>
      <c r="M839" s="18">
        <f>_xll.ciqfunctions.udf.CIQ($C$2,"IQ_OPEB_SERVICE_COST_DOM",M$6,$F$2,,,Ccy,Conv)</f>
        <v>0</v>
      </c>
      <c r="N839" s="18">
        <f>_xll.ciqfunctions.udf.CIQ($C$2,"IQ_OPEB_SERVICE_COST_DOM",N$6,$F$2,,,Ccy,Conv)</f>
        <v>2</v>
      </c>
      <c r="O839" s="30"/>
      <c r="P839" s="18">
        <f>_xll.ciqfunctions.udf.CIQ($C$2,"IQ_OPEB_SERVICE_COST_DOM",P$6,$F$2,,,Ccy,Conv)</f>
        <v>2</v>
      </c>
      <c r="Q839" s="215"/>
      <c r="R839" s="215"/>
      <c r="S839" s="215"/>
      <c r="T839" s="215"/>
      <c r="U839" s="215"/>
      <c r="V839" s="222"/>
      <c r="W839" s="222"/>
      <c r="X839" s="222"/>
      <c r="Y839" s="215"/>
      <c r="Z839" s="215"/>
      <c r="AA839" s="215"/>
      <c r="AB839" s="215"/>
      <c r="AC839" s="215"/>
      <c r="AD839" s="215"/>
      <c r="AE839" s="215"/>
      <c r="AF839" s="215"/>
      <c r="AG839" s="215"/>
      <c r="AH839" s="215"/>
      <c r="AI839" s="215"/>
      <c r="AJ839" s="215"/>
      <c r="AK839" s="215"/>
      <c r="AL839" s="215"/>
      <c r="AM839" s="215"/>
      <c r="AN839" s="215"/>
      <c r="AO839" s="215"/>
      <c r="AP839" s="215"/>
      <c r="AQ839" s="215"/>
      <c r="AR839" s="215"/>
      <c r="AS839" s="215"/>
      <c r="AT839" s="215"/>
      <c r="AU839" s="215"/>
      <c r="AV839" s="215"/>
      <c r="AW839" s="215"/>
      <c r="AX839" s="215"/>
      <c r="AY839" s="215"/>
      <c r="AZ839" s="215"/>
      <c r="BA839" s="215"/>
      <c r="BB839" s="215"/>
      <c r="BC839" s="215"/>
      <c r="BD839" s="215"/>
      <c r="BE839" s="215"/>
      <c r="BF839" s="215"/>
      <c r="BG839" s="215"/>
      <c r="BH839" s="215"/>
      <c r="BI839" s="215"/>
      <c r="BJ839" s="215"/>
      <c r="BK839" s="215"/>
      <c r="BL839" s="215"/>
      <c r="BM839" s="215"/>
      <c r="BN839" s="215"/>
      <c r="BO839" s="215"/>
      <c r="BP839" s="215"/>
      <c r="BQ839" s="215"/>
      <c r="BR839" s="215"/>
      <c r="BS839" s="215"/>
      <c r="BT839" s="215"/>
      <c r="BU839" s="215"/>
      <c r="BV839" s="215"/>
      <c r="BW839" s="215"/>
      <c r="BX839" s="215"/>
      <c r="BY839" s="215"/>
      <c r="BZ839" s="215"/>
    </row>
    <row r="840" spans="1:78" outlineLevel="1" x14ac:dyDescent="0.2">
      <c r="A840" s="2" t="str">
        <f>'Language Index'!A496</f>
        <v>Def. Benefit Interest Cost</v>
      </c>
      <c r="B840" s="17"/>
      <c r="C840" s="17"/>
      <c r="D840" s="18">
        <f>_xll.ciqfunctions.udf.CIQ($C$2,"IQ_OPEB_INTEREST_COST_DOM",D$6,$F$2,,,Ccy,Conv)</f>
        <v>0</v>
      </c>
      <c r="E840" s="18">
        <f>_xll.ciqfunctions.udf.CIQ($C$2,"IQ_OPEB_INTEREST_COST_DOM",E$6,$F$2,,,Ccy,Conv)</f>
        <v>0</v>
      </c>
      <c r="F840" s="18">
        <f>_xll.ciqfunctions.udf.CIQ($C$2,"IQ_OPEB_INTEREST_COST_DOM",F$6,$F$2,,,Ccy,Conv)</f>
        <v>117</v>
      </c>
      <c r="G840" s="18">
        <f>_xll.ciqfunctions.udf.CIQ($C$2,"IQ_OPEB_INTEREST_COST_DOM",G$6,$F$2,,,Ccy,Conv)</f>
        <v>0</v>
      </c>
      <c r="H840" s="18">
        <f>_xll.ciqfunctions.udf.CIQ($C$2,"IQ_OPEB_INTEREST_COST_DOM",H$6,$F$2,,,Ccy,Conv)</f>
        <v>0</v>
      </c>
      <c r="I840" s="18">
        <f>_xll.ciqfunctions.udf.CIQ($C$2,"IQ_OPEB_INTEREST_COST_DOM",I$6,$F$2,,,Ccy,Conv)</f>
        <v>0</v>
      </c>
      <c r="J840" s="18">
        <f>_xll.ciqfunctions.udf.CIQ($C$2,"IQ_OPEB_INTEREST_COST_DOM",J$6,$F$2,,,Ccy,Conv)</f>
        <v>106</v>
      </c>
      <c r="K840" s="18">
        <f>_xll.ciqfunctions.udf.CIQ($C$2,"IQ_OPEB_INTEREST_COST_DOM",K$6,$F$2,,,Ccy,Conv)</f>
        <v>0</v>
      </c>
      <c r="L840" s="18">
        <f>_xll.ciqfunctions.udf.CIQ($C$2,"IQ_OPEB_INTEREST_COST_DOM",L$6,$F$2,,,Ccy,Conv)</f>
        <v>0</v>
      </c>
      <c r="M840" s="18">
        <f>_xll.ciqfunctions.udf.CIQ($C$2,"IQ_OPEB_INTEREST_COST_DOM",M$6,$F$2,,,Ccy,Conv)</f>
        <v>0</v>
      </c>
      <c r="N840" s="18">
        <f>_xll.ciqfunctions.udf.CIQ($C$2,"IQ_OPEB_INTEREST_COST_DOM",N$6,$F$2,,,Ccy,Conv)</f>
        <v>114</v>
      </c>
      <c r="O840" s="30"/>
      <c r="P840" s="18">
        <f>_xll.ciqfunctions.udf.CIQ($C$2,"IQ_OPEB_INTEREST_COST_DOM",P$6,$F$2,,,Ccy,Conv)</f>
        <v>114</v>
      </c>
      <c r="Q840" s="215"/>
      <c r="R840" s="215"/>
      <c r="S840" s="215"/>
      <c r="T840" s="215"/>
      <c r="U840" s="215"/>
      <c r="V840" s="222"/>
      <c r="W840" s="222"/>
      <c r="X840" s="222"/>
      <c r="Y840" s="215"/>
      <c r="Z840" s="215"/>
      <c r="AA840" s="215"/>
      <c r="AB840" s="215"/>
      <c r="AC840" s="215"/>
      <c r="AD840" s="215"/>
      <c r="AE840" s="215"/>
      <c r="AF840" s="215"/>
      <c r="AG840" s="215"/>
      <c r="AH840" s="215"/>
      <c r="AI840" s="215"/>
      <c r="AJ840" s="215"/>
      <c r="AK840" s="215"/>
      <c r="AL840" s="215"/>
      <c r="AM840" s="215"/>
      <c r="AN840" s="215"/>
      <c r="AO840" s="215"/>
      <c r="AP840" s="215"/>
      <c r="AQ840" s="215"/>
      <c r="AR840" s="215"/>
      <c r="AS840" s="215"/>
      <c r="AT840" s="215"/>
      <c r="AU840" s="215"/>
      <c r="AV840" s="215"/>
      <c r="AW840" s="215"/>
      <c r="AX840" s="215"/>
      <c r="AY840" s="215"/>
      <c r="AZ840" s="215"/>
      <c r="BA840" s="215"/>
      <c r="BB840" s="215"/>
      <c r="BC840" s="215"/>
      <c r="BD840" s="215"/>
      <c r="BE840" s="215"/>
      <c r="BF840" s="215"/>
      <c r="BG840" s="215"/>
      <c r="BH840" s="215"/>
      <c r="BI840" s="215"/>
      <c r="BJ840" s="215"/>
      <c r="BK840" s="215"/>
      <c r="BL840" s="215"/>
      <c r="BM840" s="215"/>
      <c r="BN840" s="215"/>
      <c r="BO840" s="215"/>
      <c r="BP840" s="215"/>
      <c r="BQ840" s="215"/>
      <c r="BR840" s="215"/>
      <c r="BS840" s="215"/>
      <c r="BT840" s="215"/>
      <c r="BU840" s="215"/>
      <c r="BV840" s="215"/>
      <c r="BW840" s="215"/>
      <c r="BX840" s="215"/>
      <c r="BY840" s="215"/>
      <c r="BZ840" s="215"/>
    </row>
    <row r="841" spans="1:78" outlineLevel="1" x14ac:dyDescent="0.2">
      <c r="A841" s="2" t="str">
        <f>'Language Index'!A585</f>
        <v>Def. Benefit Expected Return on Assets</v>
      </c>
      <c r="B841" s="17"/>
      <c r="C841" s="17"/>
      <c r="D841" s="18">
        <f>_xll.ciqfunctions.udf.CIQ($C$2,"IQ_OPEB_EXP_RETURN_DOM",D$6,$F$2,,,Ccy,Conv)</f>
        <v>0</v>
      </c>
      <c r="E841" s="18">
        <f>_xll.ciqfunctions.udf.CIQ($C$2,"IQ_OPEB_EXP_RETURN_DOM",E$6,$F$2,,,Ccy,Conv)</f>
        <v>0</v>
      </c>
      <c r="F841" s="18">
        <f>_xll.ciqfunctions.udf.CIQ($C$2,"IQ_OPEB_EXP_RETURN_DOM",F$6,$F$2,,,Ccy,Conv)</f>
        <v>0</v>
      </c>
      <c r="G841" s="18">
        <f>_xll.ciqfunctions.udf.CIQ($C$2,"IQ_OPEB_EXP_RETURN_DOM",G$6,$F$2,,,Ccy,Conv)</f>
        <v>0</v>
      </c>
      <c r="H841" s="18">
        <f>_xll.ciqfunctions.udf.CIQ($C$2,"IQ_OPEB_EXP_RETURN_DOM",H$6,$F$2,,,Ccy,Conv)</f>
        <v>0</v>
      </c>
      <c r="I841" s="18">
        <f>_xll.ciqfunctions.udf.CIQ($C$2,"IQ_OPEB_EXP_RETURN_DOM",I$6,$F$2,,,Ccy,Conv)</f>
        <v>0</v>
      </c>
      <c r="J841" s="18">
        <f>_xll.ciqfunctions.udf.CIQ($C$2,"IQ_OPEB_EXP_RETURN_DOM",J$6,$F$2,,,Ccy,Conv)</f>
        <v>0</v>
      </c>
      <c r="K841" s="18">
        <f>_xll.ciqfunctions.udf.CIQ($C$2,"IQ_OPEB_EXP_RETURN_DOM",K$6,$F$2,,,Ccy,Conv)</f>
        <v>0</v>
      </c>
      <c r="L841" s="18">
        <f>_xll.ciqfunctions.udf.CIQ($C$2,"IQ_OPEB_EXP_RETURN_DOM",L$6,$F$2,,,Ccy,Conv)</f>
        <v>0</v>
      </c>
      <c r="M841" s="18">
        <f>_xll.ciqfunctions.udf.CIQ($C$2,"IQ_OPEB_EXP_RETURN_DOM",M$6,$F$2,,,Ccy,Conv)</f>
        <v>0</v>
      </c>
      <c r="N841" s="18">
        <f>_xll.ciqfunctions.udf.CIQ($C$2,"IQ_OPEB_EXP_RETURN_DOM",N$6,$F$2,,,Ccy,Conv)</f>
        <v>0</v>
      </c>
      <c r="O841" s="30"/>
      <c r="P841" s="18">
        <f>_xll.ciqfunctions.udf.CIQ($C$2,"IQ_OPEB_EXP_RETURN_DOM",P$6,$F$2,,,Ccy,Conv)</f>
        <v>0</v>
      </c>
      <c r="Q841" s="215"/>
      <c r="R841" s="215"/>
      <c r="S841" s="215"/>
      <c r="T841" s="215"/>
      <c r="U841" s="215"/>
      <c r="V841" s="222"/>
      <c r="W841" s="222"/>
      <c r="X841" s="222"/>
      <c r="Y841" s="215"/>
      <c r="Z841" s="215"/>
      <c r="AA841" s="215"/>
      <c r="AB841" s="215"/>
      <c r="AC841" s="215"/>
      <c r="AD841" s="215"/>
      <c r="AE841" s="215"/>
      <c r="AF841" s="215"/>
      <c r="AG841" s="215"/>
      <c r="AH841" s="215"/>
      <c r="AI841" s="215"/>
      <c r="AJ841" s="215"/>
      <c r="AK841" s="215"/>
      <c r="AL841" s="215"/>
      <c r="AM841" s="215"/>
      <c r="AN841" s="215"/>
      <c r="AO841" s="215"/>
      <c r="AP841" s="215"/>
      <c r="AQ841" s="215"/>
      <c r="AR841" s="215"/>
      <c r="AS841" s="215"/>
      <c r="AT841" s="215"/>
      <c r="AU841" s="215"/>
      <c r="AV841" s="215"/>
      <c r="AW841" s="215"/>
      <c r="AX841" s="215"/>
      <c r="AY841" s="215"/>
      <c r="AZ841" s="215"/>
      <c r="BA841" s="215"/>
      <c r="BB841" s="215"/>
      <c r="BC841" s="215"/>
      <c r="BD841" s="215"/>
      <c r="BE841" s="215"/>
      <c r="BF841" s="215"/>
      <c r="BG841" s="215"/>
      <c r="BH841" s="215"/>
      <c r="BI841" s="215"/>
      <c r="BJ841" s="215"/>
      <c r="BK841" s="215"/>
      <c r="BL841" s="215"/>
      <c r="BM841" s="215"/>
      <c r="BN841" s="215"/>
      <c r="BO841" s="215"/>
      <c r="BP841" s="215"/>
      <c r="BQ841" s="215"/>
      <c r="BR841" s="215"/>
      <c r="BS841" s="215"/>
      <c r="BT841" s="215"/>
      <c r="BU841" s="215"/>
      <c r="BV841" s="215"/>
      <c r="BW841" s="215"/>
      <c r="BX841" s="215"/>
      <c r="BY841" s="215"/>
      <c r="BZ841" s="215"/>
    </row>
    <row r="842" spans="1:78" outlineLevel="1" x14ac:dyDescent="0.2">
      <c r="A842" s="2" t="str">
        <f>'Language Index'!A498</f>
        <v>Def. Benefit Other Cost</v>
      </c>
      <c r="B842" s="17"/>
      <c r="C842" s="17"/>
      <c r="D842" s="18">
        <f>_xll.ciqfunctions.udf.CIQ($C$2,"IQ_OPEB_OTHER_COST_DOM",D$6,$F$2,,,Ccy,Conv)</f>
        <v>0</v>
      </c>
      <c r="E842" s="18">
        <f>_xll.ciqfunctions.udf.CIQ($C$2,"IQ_OPEB_OTHER_COST_DOM",E$6,$F$2,,,Ccy,Conv)</f>
        <v>0</v>
      </c>
      <c r="F842" s="18">
        <f>_xll.ciqfunctions.udf.CIQ($C$2,"IQ_OPEB_OTHER_COST_DOM",F$6,$F$2,,,Ccy,Conv)</f>
        <v>-29</v>
      </c>
      <c r="G842" s="18">
        <f>_xll.ciqfunctions.udf.CIQ($C$2,"IQ_OPEB_OTHER_COST_DOM",G$6,$F$2,,,Ccy,Conv)</f>
        <v>0</v>
      </c>
      <c r="H842" s="18">
        <f>_xll.ciqfunctions.udf.CIQ($C$2,"IQ_OPEB_OTHER_COST_DOM",H$6,$F$2,,,Ccy,Conv)</f>
        <v>0</v>
      </c>
      <c r="I842" s="18">
        <f>_xll.ciqfunctions.udf.CIQ($C$2,"IQ_OPEB_OTHER_COST_DOM",I$6,$F$2,,,Ccy,Conv)</f>
        <v>0</v>
      </c>
      <c r="J842" s="18">
        <f>_xll.ciqfunctions.udf.CIQ($C$2,"IQ_OPEB_OTHER_COST_DOM",J$6,$F$2,,,Ccy,Conv)</f>
        <v>-29</v>
      </c>
      <c r="K842" s="18">
        <f>_xll.ciqfunctions.udf.CIQ($C$2,"IQ_OPEB_OTHER_COST_DOM",K$6,$F$2,,,Ccy,Conv)</f>
        <v>0</v>
      </c>
      <c r="L842" s="18">
        <f>_xll.ciqfunctions.udf.CIQ($C$2,"IQ_OPEB_OTHER_COST_DOM",L$6,$F$2,,,Ccy,Conv)</f>
        <v>0</v>
      </c>
      <c r="M842" s="18">
        <f>_xll.ciqfunctions.udf.CIQ($C$2,"IQ_OPEB_OTHER_COST_DOM",M$6,$F$2,,,Ccy,Conv)</f>
        <v>0</v>
      </c>
      <c r="N842" s="18">
        <f>_xll.ciqfunctions.udf.CIQ($C$2,"IQ_OPEB_OTHER_COST_DOM",N$6,$F$2,,,Ccy,Conv)</f>
        <v>-29</v>
      </c>
      <c r="O842" s="30"/>
      <c r="P842" s="18">
        <f>_xll.ciqfunctions.udf.CIQ($C$2,"IQ_OPEB_OTHER_COST_DOM",P$6,$F$2,,,Ccy,Conv)</f>
        <v>-29</v>
      </c>
      <c r="Q842" s="215"/>
      <c r="R842" s="215"/>
      <c r="S842" s="215"/>
      <c r="T842" s="215"/>
      <c r="U842" s="215"/>
      <c r="V842" s="222"/>
      <c r="W842" s="222"/>
      <c r="X842" s="222"/>
      <c r="Y842" s="215"/>
      <c r="Z842" s="215"/>
      <c r="AA842" s="215"/>
      <c r="AB842" s="215"/>
      <c r="AC842" s="215"/>
      <c r="AD842" s="215"/>
      <c r="AE842" s="215"/>
      <c r="AF842" s="215"/>
      <c r="AG842" s="215"/>
      <c r="AH842" s="215"/>
      <c r="AI842" s="215"/>
      <c r="AJ842" s="215"/>
      <c r="AK842" s="215"/>
      <c r="AL842" s="215"/>
      <c r="AM842" s="215"/>
      <c r="AN842" s="215"/>
      <c r="AO842" s="215"/>
      <c r="AP842" s="215"/>
      <c r="AQ842" s="215"/>
      <c r="AR842" s="215"/>
      <c r="AS842" s="215"/>
      <c r="AT842" s="215"/>
      <c r="AU842" s="215"/>
      <c r="AV842" s="215"/>
      <c r="AW842" s="215"/>
      <c r="AX842" s="215"/>
      <c r="AY842" s="215"/>
      <c r="AZ842" s="215"/>
      <c r="BA842" s="215"/>
      <c r="BB842" s="215"/>
      <c r="BC842" s="215"/>
      <c r="BD842" s="215"/>
      <c r="BE842" s="215"/>
      <c r="BF842" s="215"/>
      <c r="BG842" s="215"/>
      <c r="BH842" s="215"/>
      <c r="BI842" s="215"/>
      <c r="BJ842" s="215"/>
      <c r="BK842" s="215"/>
      <c r="BL842" s="215"/>
      <c r="BM842" s="215"/>
      <c r="BN842" s="215"/>
      <c r="BO842" s="215"/>
      <c r="BP842" s="215"/>
      <c r="BQ842" s="215"/>
      <c r="BR842" s="215"/>
      <c r="BS842" s="215"/>
      <c r="BT842" s="215"/>
      <c r="BU842" s="215"/>
      <c r="BV842" s="215"/>
      <c r="BW842" s="215"/>
      <c r="BX842" s="215"/>
      <c r="BY842" s="215"/>
      <c r="BZ842" s="215"/>
    </row>
    <row r="843" spans="1:78" outlineLevel="1" x14ac:dyDescent="0.2">
      <c r="A843" s="2" t="str">
        <f>'Language Index'!A586</f>
        <v>Def. Benefit Benefit Total Cost</v>
      </c>
      <c r="B843" s="17"/>
      <c r="C843" s="17"/>
      <c r="D843" s="18">
        <f>_xll.ciqfunctions.udf.CIQ($C$2,"IQ_OPEB_TOTAL_COST_DOM",D$6,$F$2,,,Ccy,Conv)</f>
        <v>0</v>
      </c>
      <c r="E843" s="18">
        <f>_xll.ciqfunctions.udf.CIQ($C$2,"IQ_OPEB_TOTAL_COST_DOM",E$6,$F$2,,,Ccy,Conv)</f>
        <v>0</v>
      </c>
      <c r="F843" s="18">
        <f>_xll.ciqfunctions.udf.CIQ($C$2,"IQ_OPEB_TOTAL_COST_DOM",F$6,$F$2,,,Ccy,Conv)</f>
        <v>92</v>
      </c>
      <c r="G843" s="18">
        <f>_xll.ciqfunctions.udf.CIQ($C$2,"IQ_OPEB_TOTAL_COST_DOM",G$6,$F$2,,,Ccy,Conv)</f>
        <v>0</v>
      </c>
      <c r="H843" s="18">
        <f>_xll.ciqfunctions.udf.CIQ($C$2,"IQ_OPEB_TOTAL_COST_DOM",H$6,$F$2,,,Ccy,Conv)</f>
        <v>0</v>
      </c>
      <c r="I843" s="18">
        <f>_xll.ciqfunctions.udf.CIQ($C$2,"IQ_OPEB_TOTAL_COST_DOM",I$6,$F$2,,,Ccy,Conv)</f>
        <v>0</v>
      </c>
      <c r="J843" s="18">
        <f>_xll.ciqfunctions.udf.CIQ($C$2,"IQ_OPEB_TOTAL_COST_DOM",J$6,$F$2,,,Ccy,Conv)</f>
        <v>79</v>
      </c>
      <c r="K843" s="18">
        <f>_xll.ciqfunctions.udf.CIQ($C$2,"IQ_OPEB_TOTAL_COST_DOM",K$6,$F$2,,,Ccy,Conv)</f>
        <v>0</v>
      </c>
      <c r="L843" s="18">
        <f>_xll.ciqfunctions.udf.CIQ($C$2,"IQ_OPEB_TOTAL_COST_DOM",L$6,$F$2,,,Ccy,Conv)</f>
        <v>0</v>
      </c>
      <c r="M843" s="18">
        <f>_xll.ciqfunctions.udf.CIQ($C$2,"IQ_OPEB_TOTAL_COST_DOM",M$6,$F$2,,,Ccy,Conv)</f>
        <v>0</v>
      </c>
      <c r="N843" s="18">
        <f>_xll.ciqfunctions.udf.CIQ($C$2,"IQ_OPEB_TOTAL_COST_DOM",N$6,$F$2,,,Ccy,Conv)</f>
        <v>86</v>
      </c>
      <c r="O843" s="30"/>
      <c r="P843" s="18">
        <f>_xll.ciqfunctions.udf.CIQ($C$2,"IQ_OPEB_TOTAL_COST_DOM",P$6,$F$2,,,Ccy,Conv)</f>
        <v>86</v>
      </c>
      <c r="Q843" s="215"/>
      <c r="R843" s="215"/>
      <c r="S843" s="215"/>
      <c r="T843" s="215"/>
      <c r="U843" s="215"/>
      <c r="V843" s="222"/>
      <c r="W843" s="222"/>
      <c r="X843" s="222"/>
      <c r="Y843" s="215"/>
      <c r="Z843" s="215"/>
      <c r="AA843" s="215"/>
      <c r="AB843" s="215"/>
      <c r="AC843" s="215"/>
      <c r="AD843" s="215"/>
      <c r="AE843" s="215"/>
      <c r="AF843" s="215"/>
      <c r="AG843" s="215"/>
      <c r="AH843" s="215"/>
      <c r="AI843" s="215"/>
      <c r="AJ843" s="215"/>
      <c r="AK843" s="215"/>
      <c r="AL843" s="215"/>
      <c r="AM843" s="215"/>
      <c r="AN843" s="215"/>
      <c r="AO843" s="215"/>
      <c r="AP843" s="215"/>
      <c r="AQ843" s="215"/>
      <c r="AR843" s="215"/>
      <c r="AS843" s="215"/>
      <c r="AT843" s="215"/>
      <c r="AU843" s="215"/>
      <c r="AV843" s="215"/>
      <c r="AW843" s="215"/>
      <c r="AX843" s="215"/>
      <c r="AY843" s="215"/>
      <c r="AZ843" s="215"/>
      <c r="BA843" s="215"/>
      <c r="BB843" s="215"/>
      <c r="BC843" s="215"/>
      <c r="BD843" s="215"/>
      <c r="BE843" s="215"/>
      <c r="BF843" s="215"/>
      <c r="BG843" s="215"/>
      <c r="BH843" s="215"/>
      <c r="BI843" s="215"/>
      <c r="BJ843" s="215"/>
      <c r="BK843" s="215"/>
      <c r="BL843" s="215"/>
      <c r="BM843" s="215"/>
      <c r="BN843" s="215"/>
      <c r="BO843" s="215"/>
      <c r="BP843" s="215"/>
      <c r="BQ843" s="215"/>
      <c r="BR843" s="215"/>
      <c r="BS843" s="215"/>
      <c r="BT843" s="215"/>
      <c r="BU843" s="215"/>
      <c r="BV843" s="215"/>
      <c r="BW843" s="215"/>
      <c r="BX843" s="215"/>
      <c r="BY843" s="215"/>
      <c r="BZ843" s="215"/>
    </row>
    <row r="844" spans="1:78" outlineLevel="1" x14ac:dyDescent="0.2">
      <c r="A844" s="2" t="str">
        <f>'Language Index'!A500</f>
        <v>Def. Benefit Total Cost of Supple Plans</v>
      </c>
      <c r="B844" s="17"/>
      <c r="C844" s="17"/>
      <c r="D844" s="18">
        <f>_xll.ciqfunctions.udf.CIQ($C$2,"IQ_OPEB_SUPPLE_PLANS_TOTAL_COST_DOM",D$6,$F$2,,,Ccy,Conv)</f>
        <v>0</v>
      </c>
      <c r="E844" s="18">
        <f>_xll.ciqfunctions.udf.CIQ($C$2,"IQ_OPEB_SUPPLE_PLANS_TOTAL_COST_DOM",E$6,$F$2,,,Ccy,Conv)</f>
        <v>0</v>
      </c>
      <c r="F844" s="18">
        <f>_xll.ciqfunctions.udf.CIQ($C$2,"IQ_OPEB_SUPPLE_PLANS_TOTAL_COST_DOM",F$6,$F$2,,,Ccy,Conv)</f>
        <v>0</v>
      </c>
      <c r="G844" s="18">
        <f>_xll.ciqfunctions.udf.CIQ($C$2,"IQ_OPEB_SUPPLE_PLANS_TOTAL_COST_DOM",G$6,$F$2,,,Ccy,Conv)</f>
        <v>0</v>
      </c>
      <c r="H844" s="18">
        <f>_xll.ciqfunctions.udf.CIQ($C$2,"IQ_OPEB_SUPPLE_PLANS_TOTAL_COST_DOM",H$6,$F$2,,,Ccy,Conv)</f>
        <v>0</v>
      </c>
      <c r="I844" s="18">
        <f>_xll.ciqfunctions.udf.CIQ($C$2,"IQ_OPEB_SUPPLE_PLANS_TOTAL_COST_DOM",I$6,$F$2,,,Ccy,Conv)</f>
        <v>0</v>
      </c>
      <c r="J844" s="18">
        <f>_xll.ciqfunctions.udf.CIQ($C$2,"IQ_OPEB_SUPPLE_PLANS_TOTAL_COST_DOM",J$6,$F$2,,,Ccy,Conv)</f>
        <v>0</v>
      </c>
      <c r="K844" s="18">
        <f>_xll.ciqfunctions.udf.CIQ($C$2,"IQ_OPEB_SUPPLE_PLANS_TOTAL_COST_DOM",K$6,$F$2,,,Ccy,Conv)</f>
        <v>0</v>
      </c>
      <c r="L844" s="18">
        <f>_xll.ciqfunctions.udf.CIQ($C$2,"IQ_OPEB_SUPPLE_PLANS_TOTAL_COST_DOM",L$6,$F$2,,,Ccy,Conv)</f>
        <v>0</v>
      </c>
      <c r="M844" s="18">
        <f>_xll.ciqfunctions.udf.CIQ($C$2,"IQ_OPEB_SUPPLE_PLANS_TOTAL_COST_DOM",M$6,$F$2,,,Ccy,Conv)</f>
        <v>0</v>
      </c>
      <c r="N844" s="18">
        <f>_xll.ciqfunctions.udf.CIQ($C$2,"IQ_OPEB_SUPPLE_PLANS_TOTAL_COST_DOM",N$6,$F$2,,,Ccy,Conv)</f>
        <v>0</v>
      </c>
      <c r="O844" s="30"/>
      <c r="P844" s="18">
        <f>_xll.ciqfunctions.udf.CIQ($C$2,"IQ_OPEB_SUPPLE_PLANS_TOTAL_COST_DOM",P$6,$F$2,,,Ccy,Conv)</f>
        <v>0</v>
      </c>
      <c r="Q844" s="215"/>
      <c r="R844" s="215"/>
      <c r="S844" s="215"/>
      <c r="T844" s="215"/>
      <c r="U844" s="215"/>
      <c r="V844" s="222"/>
      <c r="W844" s="222"/>
      <c r="X844" s="222"/>
      <c r="Y844" s="215"/>
      <c r="Z844" s="215"/>
      <c r="AA844" s="215"/>
      <c r="AB844" s="215"/>
      <c r="AC844" s="215"/>
      <c r="AD844" s="215"/>
      <c r="AE844" s="215"/>
      <c r="AF844" s="215"/>
      <c r="AG844" s="215"/>
      <c r="AH844" s="215"/>
      <c r="AI844" s="215"/>
      <c r="AJ844" s="215"/>
      <c r="AK844" s="215"/>
      <c r="AL844" s="215"/>
      <c r="AM844" s="215"/>
      <c r="AN844" s="215"/>
      <c r="AO844" s="215"/>
      <c r="AP844" s="215"/>
      <c r="AQ844" s="215"/>
      <c r="AR844" s="215"/>
      <c r="AS844" s="215"/>
      <c r="AT844" s="215"/>
      <c r="AU844" s="215"/>
      <c r="AV844" s="215"/>
      <c r="AW844" s="215"/>
      <c r="AX844" s="215"/>
      <c r="AY844" s="215"/>
      <c r="AZ844" s="215"/>
      <c r="BA844" s="215"/>
      <c r="BB844" s="215"/>
      <c r="BC844" s="215"/>
      <c r="BD844" s="215"/>
      <c r="BE844" s="215"/>
      <c r="BF844" s="215"/>
      <c r="BG844" s="215"/>
      <c r="BH844" s="215"/>
      <c r="BI844" s="215"/>
      <c r="BJ844" s="215"/>
      <c r="BK844" s="215"/>
      <c r="BL844" s="215"/>
      <c r="BM844" s="215"/>
      <c r="BN844" s="215"/>
      <c r="BO844" s="215"/>
      <c r="BP844" s="215"/>
      <c r="BQ844" s="215"/>
      <c r="BR844" s="215"/>
      <c r="BS844" s="215"/>
      <c r="BT844" s="215"/>
      <c r="BU844" s="215"/>
      <c r="BV844" s="215"/>
      <c r="BW844" s="215"/>
      <c r="BX844" s="215"/>
      <c r="BY844" s="215"/>
      <c r="BZ844" s="215"/>
    </row>
    <row r="845" spans="1:78" outlineLevel="1" x14ac:dyDescent="0.2">
      <c r="A845" s="2" t="str">
        <f>'Language Index'!A599</f>
        <v>Def. Benefit Total Cost Incl. Supple Plans</v>
      </c>
      <c r="B845" s="17"/>
      <c r="C845" s="17"/>
      <c r="D845" s="18">
        <f>_xll.ciqfunctions.udf.CIQ($C$2,"IQ_OPEB_TOTAL_COST_INCL_SUPPLE_PLANS_DOM",D$6,$F$2,,,Ccy,Conv)</f>
        <v>0</v>
      </c>
      <c r="E845" s="18">
        <f>_xll.ciqfunctions.udf.CIQ($C$2,"IQ_OPEB_TOTAL_COST_INCL_SUPPLE_PLANS_DOM",E$6,$F$2,,,Ccy,Conv)</f>
        <v>0</v>
      </c>
      <c r="F845" s="18">
        <f>_xll.ciqfunctions.udf.CIQ($C$2,"IQ_OPEB_TOTAL_COST_INCL_SUPPLE_PLANS_DOM",F$6,$F$2,,,Ccy,Conv)</f>
        <v>0</v>
      </c>
      <c r="G845" s="18">
        <f>_xll.ciqfunctions.udf.CIQ($C$2,"IQ_OPEB_TOTAL_COST_INCL_SUPPLE_PLANS_DOM",G$6,$F$2,,,Ccy,Conv)</f>
        <v>0</v>
      </c>
      <c r="H845" s="18">
        <f>_xll.ciqfunctions.udf.CIQ($C$2,"IQ_OPEB_TOTAL_COST_INCL_SUPPLE_PLANS_DOM",H$6,$F$2,,,Ccy,Conv)</f>
        <v>0</v>
      </c>
      <c r="I845" s="18">
        <f>_xll.ciqfunctions.udf.CIQ($C$2,"IQ_OPEB_TOTAL_COST_INCL_SUPPLE_PLANS_DOM",I$6,$F$2,,,Ccy,Conv)</f>
        <v>0</v>
      </c>
      <c r="J845" s="18">
        <f>_xll.ciqfunctions.udf.CIQ($C$2,"IQ_OPEB_TOTAL_COST_INCL_SUPPLE_PLANS_DOM",J$6,$F$2,,,Ccy,Conv)</f>
        <v>0</v>
      </c>
      <c r="K845" s="18">
        <f>_xll.ciqfunctions.udf.CIQ($C$2,"IQ_OPEB_TOTAL_COST_INCL_SUPPLE_PLANS_DOM",K$6,$F$2,,,Ccy,Conv)</f>
        <v>0</v>
      </c>
      <c r="L845" s="18">
        <f>_xll.ciqfunctions.udf.CIQ($C$2,"IQ_OPEB_TOTAL_COST_INCL_SUPPLE_PLANS_DOM",L$6,$F$2,,,Ccy,Conv)</f>
        <v>0</v>
      </c>
      <c r="M845" s="18">
        <f>_xll.ciqfunctions.udf.CIQ($C$2,"IQ_OPEB_TOTAL_COST_INCL_SUPPLE_PLANS_DOM",M$6,$F$2,,,Ccy,Conv)</f>
        <v>0</v>
      </c>
      <c r="N845" s="18">
        <f>_xll.ciqfunctions.udf.CIQ($C$2,"IQ_OPEB_TOTAL_COST_INCL_SUPPLE_PLANS_DOM",N$6,$F$2,,,Ccy,Conv)</f>
        <v>0</v>
      </c>
      <c r="O845" s="30"/>
      <c r="P845" s="18">
        <f>_xll.ciqfunctions.udf.CIQ($C$2,"IQ_OPEB_TOTAL_COST_INCL_SUPPLE_PLANS_DOM",P$6,$F$2,,,Ccy,Conv)</f>
        <v>0</v>
      </c>
      <c r="Q845" s="215"/>
      <c r="R845" s="215"/>
      <c r="S845" s="215"/>
      <c r="T845" s="215"/>
      <c r="U845" s="215"/>
      <c r="V845" s="222"/>
      <c r="W845" s="222"/>
      <c r="X845" s="222"/>
      <c r="Y845" s="215"/>
      <c r="Z845" s="215"/>
      <c r="AA845" s="215"/>
      <c r="AB845" s="215"/>
      <c r="AC845" s="215"/>
      <c r="AD845" s="215"/>
      <c r="AE845" s="215"/>
      <c r="AF845" s="215"/>
      <c r="AG845" s="215"/>
      <c r="AH845" s="215"/>
      <c r="AI845" s="215"/>
      <c r="AJ845" s="215"/>
      <c r="AK845" s="215"/>
      <c r="AL845" s="215"/>
      <c r="AM845" s="215"/>
      <c r="AN845" s="215"/>
      <c r="AO845" s="215"/>
      <c r="AP845" s="215"/>
      <c r="AQ845" s="215"/>
      <c r="AR845" s="215"/>
      <c r="AS845" s="215"/>
      <c r="AT845" s="215"/>
      <c r="AU845" s="215"/>
      <c r="AV845" s="215"/>
      <c r="AW845" s="215"/>
      <c r="AX845" s="215"/>
      <c r="AY845" s="215"/>
      <c r="AZ845" s="215"/>
      <c r="BA845" s="215"/>
      <c r="BB845" s="215"/>
      <c r="BC845" s="215"/>
      <c r="BD845" s="215"/>
      <c r="BE845" s="215"/>
      <c r="BF845" s="215"/>
      <c r="BG845" s="215"/>
      <c r="BH845" s="215"/>
      <c r="BI845" s="215"/>
      <c r="BJ845" s="215"/>
      <c r="BK845" s="215"/>
      <c r="BL845" s="215"/>
      <c r="BM845" s="215"/>
      <c r="BN845" s="215"/>
      <c r="BO845" s="215"/>
      <c r="BP845" s="215"/>
      <c r="BQ845" s="215"/>
      <c r="BR845" s="215"/>
      <c r="BS845" s="215"/>
      <c r="BT845" s="215"/>
      <c r="BU845" s="215"/>
      <c r="BV845" s="215"/>
      <c r="BW845" s="215"/>
      <c r="BX845" s="215"/>
      <c r="BY845" s="215"/>
      <c r="BZ845" s="215"/>
    </row>
    <row r="846" spans="1:78" outlineLevel="1" x14ac:dyDescent="0.2">
      <c r="A846" s="9" t="str">
        <f>'Language Index'!A503</f>
        <v>Defined Benefit Obligation</v>
      </c>
      <c r="B846" s="17"/>
      <c r="C846" s="17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30"/>
      <c r="P846" s="18"/>
      <c r="Q846" s="215"/>
      <c r="R846" s="215"/>
      <c r="S846" s="215"/>
      <c r="T846" s="215"/>
      <c r="U846" s="215"/>
      <c r="V846" s="222"/>
      <c r="W846" s="222"/>
      <c r="X846" s="222"/>
      <c r="Y846" s="215"/>
      <c r="Z846" s="215"/>
      <c r="AA846" s="215"/>
      <c r="AB846" s="215"/>
      <c r="AC846" s="215"/>
      <c r="AD846" s="215"/>
      <c r="AE846" s="215"/>
      <c r="AF846" s="215"/>
      <c r="AG846" s="215"/>
      <c r="AH846" s="215"/>
      <c r="AI846" s="215"/>
      <c r="AJ846" s="215"/>
      <c r="AK846" s="215"/>
      <c r="AL846" s="215"/>
      <c r="AM846" s="215"/>
      <c r="AN846" s="215"/>
      <c r="AO846" s="215"/>
      <c r="AP846" s="215"/>
      <c r="AQ846" s="215"/>
      <c r="AR846" s="215"/>
      <c r="AS846" s="215"/>
      <c r="AT846" s="215"/>
      <c r="AU846" s="215"/>
      <c r="AV846" s="215"/>
      <c r="AW846" s="215"/>
      <c r="AX846" s="215"/>
      <c r="AY846" s="215"/>
      <c r="AZ846" s="215"/>
      <c r="BA846" s="215"/>
      <c r="BB846" s="215"/>
      <c r="BC846" s="215"/>
      <c r="BD846" s="215"/>
      <c r="BE846" s="215"/>
      <c r="BF846" s="215"/>
      <c r="BG846" s="215"/>
      <c r="BH846" s="215"/>
      <c r="BI846" s="215"/>
      <c r="BJ846" s="215"/>
      <c r="BK846" s="215"/>
      <c r="BL846" s="215"/>
      <c r="BM846" s="215"/>
      <c r="BN846" s="215"/>
      <c r="BO846" s="215"/>
      <c r="BP846" s="215"/>
      <c r="BQ846" s="215"/>
      <c r="BR846" s="215"/>
      <c r="BS846" s="215"/>
      <c r="BT846" s="215"/>
      <c r="BU846" s="215"/>
      <c r="BV846" s="215"/>
      <c r="BW846" s="215"/>
      <c r="BX846" s="215"/>
      <c r="BY846" s="215"/>
      <c r="BZ846" s="215"/>
    </row>
    <row r="847" spans="1:78" outlineLevel="1" x14ac:dyDescent="0.2">
      <c r="A847" s="2" t="str">
        <f>'Language Index'!A504</f>
        <v>Beg. Def. Benefit Obligation</v>
      </c>
      <c r="B847" s="17"/>
      <c r="C847" s="17"/>
      <c r="D847" s="18">
        <f>_xll.ciqfunctions.udf.CIQ($C$2,"IQ_OPEB_OBLIGATION_BEG_DOM",D$6,$F$2,,,Ccy,Conv)</f>
        <v>0</v>
      </c>
      <c r="E847" s="18">
        <f>_xll.ciqfunctions.udf.CIQ($C$2,"IQ_OPEB_OBLIGATION_BEG_DOM",E$6,$F$2,,,Ccy,Conv)</f>
        <v>0</v>
      </c>
      <c r="F847" s="18">
        <f>_xll.ciqfunctions.udf.CIQ($C$2,"IQ_OPEB_OBLIGATION_BEG_DOM",F$6,$F$2,,,Ccy,Conv)</f>
        <v>2369</v>
      </c>
      <c r="G847" s="18">
        <f>_xll.ciqfunctions.udf.CIQ($C$2,"IQ_OPEB_OBLIGATION_BEG_DOM",G$6,$F$2,,,Ccy,Conv)</f>
        <v>0</v>
      </c>
      <c r="H847" s="18">
        <f>_xll.ciqfunctions.udf.CIQ($C$2,"IQ_OPEB_OBLIGATION_BEG_DOM",H$6,$F$2,,,Ccy,Conv)</f>
        <v>0</v>
      </c>
      <c r="I847" s="18">
        <f>_xll.ciqfunctions.udf.CIQ($C$2,"IQ_OPEB_OBLIGATION_BEG_DOM",I$6,$F$2,,,Ccy,Conv)</f>
        <v>0</v>
      </c>
      <c r="J847" s="18">
        <f>_xll.ciqfunctions.udf.CIQ($C$2,"IQ_OPEB_OBLIGATION_BEG_DOM",J$6,$F$2,,,Ccy,Conv)</f>
        <v>2233</v>
      </c>
      <c r="K847" s="18">
        <f>_xll.ciqfunctions.udf.CIQ($C$2,"IQ_OPEB_OBLIGATION_BEG_DOM",K$6,$F$2,,,Ccy,Conv)</f>
        <v>0</v>
      </c>
      <c r="L847" s="18">
        <f>_xll.ciqfunctions.udf.CIQ($C$2,"IQ_OPEB_OBLIGATION_BEG_DOM",L$6,$F$2,,,Ccy,Conv)</f>
        <v>0</v>
      </c>
      <c r="M847" s="18">
        <f>_xll.ciqfunctions.udf.CIQ($C$2,"IQ_OPEB_OBLIGATION_BEG_DOM",M$6,$F$2,,,Ccy,Conv)</f>
        <v>0</v>
      </c>
      <c r="N847" s="18">
        <f>_xll.ciqfunctions.udf.CIQ($C$2,"IQ_OPEB_OBLIGATION_BEG_DOM",N$6,$F$2,,,Ccy,Conv)</f>
        <v>2257</v>
      </c>
      <c r="O847" s="30"/>
      <c r="P847" s="18">
        <f>_xll.ciqfunctions.udf.CIQ($C$2,"IQ_OPEB_OBLIGATION_BEG_DOM",P$6,$F$2,,,Ccy,Conv)</f>
        <v>2257</v>
      </c>
      <c r="Q847" s="215"/>
      <c r="R847" s="215"/>
      <c r="S847" s="215"/>
      <c r="T847" s="215"/>
      <c r="U847" s="215"/>
      <c r="V847" s="222"/>
      <c r="W847" s="222"/>
      <c r="X847" s="222"/>
      <c r="Y847" s="215"/>
      <c r="Z847" s="215"/>
      <c r="AA847" s="215"/>
      <c r="AB847" s="215"/>
      <c r="AC847" s="215"/>
      <c r="AD847" s="215"/>
      <c r="AE847" s="215"/>
      <c r="AF847" s="215"/>
      <c r="AG847" s="215"/>
      <c r="AH847" s="215"/>
      <c r="AI847" s="215"/>
      <c r="AJ847" s="215"/>
      <c r="AK847" s="215"/>
      <c r="AL847" s="215"/>
      <c r="AM847" s="215"/>
      <c r="AN847" s="215"/>
      <c r="AO847" s="215"/>
      <c r="AP847" s="215"/>
      <c r="AQ847" s="215"/>
      <c r="AR847" s="215"/>
      <c r="AS847" s="215"/>
      <c r="AT847" s="215"/>
      <c r="AU847" s="215"/>
      <c r="AV847" s="215"/>
      <c r="AW847" s="215"/>
      <c r="AX847" s="215"/>
      <c r="AY847" s="215"/>
      <c r="AZ847" s="215"/>
      <c r="BA847" s="215"/>
      <c r="BB847" s="215"/>
      <c r="BC847" s="215"/>
      <c r="BD847" s="215"/>
      <c r="BE847" s="215"/>
      <c r="BF847" s="215"/>
      <c r="BG847" s="215"/>
      <c r="BH847" s="215"/>
      <c r="BI847" s="215"/>
      <c r="BJ847" s="215"/>
      <c r="BK847" s="215"/>
      <c r="BL847" s="215"/>
      <c r="BM847" s="215"/>
      <c r="BN847" s="215"/>
      <c r="BO847" s="215"/>
      <c r="BP847" s="215"/>
      <c r="BQ847" s="215"/>
      <c r="BR847" s="215"/>
      <c r="BS847" s="215"/>
      <c r="BT847" s="215"/>
      <c r="BU847" s="215"/>
      <c r="BV847" s="215"/>
      <c r="BW847" s="215"/>
      <c r="BX847" s="215"/>
      <c r="BY847" s="215"/>
      <c r="BZ847" s="215"/>
    </row>
    <row r="848" spans="1:78" outlineLevel="1" x14ac:dyDescent="0.2">
      <c r="A848" s="2" t="str">
        <f>'Language Index'!A495</f>
        <v>Def. Benefit Service Cost</v>
      </c>
      <c r="B848" s="17"/>
      <c r="C848" s="17"/>
      <c r="D848" s="18">
        <f>_xll.ciqfunctions.udf.CIQ($C$2,"IQ_OPEB_OBLIGATION_SERVICE_COST_DOM",D$6,$F$2,,,Ccy,Conv)</f>
        <v>0</v>
      </c>
      <c r="E848" s="18">
        <f>_xll.ciqfunctions.udf.CIQ($C$2,"IQ_OPEB_OBLIGATION_SERVICE_COST_DOM",E$6,$F$2,,,Ccy,Conv)</f>
        <v>0</v>
      </c>
      <c r="F848" s="18">
        <f>_xll.ciqfunctions.udf.CIQ($C$2,"IQ_OPEB_OBLIGATION_SERVICE_COST_DOM",F$6,$F$2,,,Ccy,Conv)</f>
        <v>4</v>
      </c>
      <c r="G848" s="18">
        <f>_xll.ciqfunctions.udf.CIQ($C$2,"IQ_OPEB_OBLIGATION_SERVICE_COST_DOM",G$6,$F$2,,,Ccy,Conv)</f>
        <v>0</v>
      </c>
      <c r="H848" s="18">
        <f>_xll.ciqfunctions.udf.CIQ($C$2,"IQ_OPEB_OBLIGATION_SERVICE_COST_DOM",H$6,$F$2,,,Ccy,Conv)</f>
        <v>0</v>
      </c>
      <c r="I848" s="18">
        <f>_xll.ciqfunctions.udf.CIQ($C$2,"IQ_OPEB_OBLIGATION_SERVICE_COST_DOM",I$6,$F$2,,,Ccy,Conv)</f>
        <v>0</v>
      </c>
      <c r="J848" s="18">
        <f>_xll.ciqfunctions.udf.CIQ($C$2,"IQ_OPEB_OBLIGATION_SERVICE_COST_DOM",J$6,$F$2,,,Ccy,Conv)</f>
        <v>2</v>
      </c>
      <c r="K848" s="18">
        <f>_xll.ciqfunctions.udf.CIQ($C$2,"IQ_OPEB_OBLIGATION_SERVICE_COST_DOM",K$6,$F$2,,,Ccy,Conv)</f>
        <v>0</v>
      </c>
      <c r="L848" s="18">
        <f>_xll.ciqfunctions.udf.CIQ($C$2,"IQ_OPEB_OBLIGATION_SERVICE_COST_DOM",L$6,$F$2,,,Ccy,Conv)</f>
        <v>0</v>
      </c>
      <c r="M848" s="18">
        <f>_xll.ciqfunctions.udf.CIQ($C$2,"IQ_OPEB_OBLIGATION_SERVICE_COST_DOM",M$6,$F$2,,,Ccy,Conv)</f>
        <v>0</v>
      </c>
      <c r="N848" s="18">
        <f>_xll.ciqfunctions.udf.CIQ($C$2,"IQ_OPEB_OBLIGATION_SERVICE_COST_DOM",N$6,$F$2,,,Ccy,Conv)</f>
        <v>2</v>
      </c>
      <c r="O848" s="30"/>
      <c r="P848" s="18">
        <f>_xll.ciqfunctions.udf.CIQ($C$2,"IQ_OPEB_OBLIGATION_SERVICE_COST_DOM",P$6,$F$2,,,Ccy,Conv)</f>
        <v>2</v>
      </c>
      <c r="Q848" s="215"/>
      <c r="R848" s="215"/>
      <c r="S848" s="215"/>
      <c r="T848" s="215"/>
      <c r="U848" s="215"/>
      <c r="V848" s="222"/>
      <c r="W848" s="222"/>
      <c r="X848" s="222"/>
      <c r="Y848" s="215"/>
      <c r="Z848" s="215"/>
      <c r="AA848" s="215"/>
      <c r="AB848" s="215"/>
      <c r="AC848" s="215"/>
      <c r="AD848" s="215"/>
      <c r="AE848" s="215"/>
      <c r="AF848" s="215"/>
      <c r="AG848" s="215"/>
      <c r="AH848" s="215"/>
      <c r="AI848" s="215"/>
      <c r="AJ848" s="215"/>
      <c r="AK848" s="215"/>
      <c r="AL848" s="215"/>
      <c r="AM848" s="215"/>
      <c r="AN848" s="215"/>
      <c r="AO848" s="215"/>
      <c r="AP848" s="215"/>
      <c r="AQ848" s="215"/>
      <c r="AR848" s="215"/>
      <c r="AS848" s="215"/>
      <c r="AT848" s="215"/>
      <c r="AU848" s="215"/>
      <c r="AV848" s="215"/>
      <c r="AW848" s="215"/>
      <c r="AX848" s="215"/>
      <c r="AY848" s="215"/>
      <c r="AZ848" s="215"/>
      <c r="BA848" s="215"/>
      <c r="BB848" s="215"/>
      <c r="BC848" s="215"/>
      <c r="BD848" s="215"/>
      <c r="BE848" s="215"/>
      <c r="BF848" s="215"/>
      <c r="BG848" s="215"/>
      <c r="BH848" s="215"/>
      <c r="BI848" s="215"/>
      <c r="BJ848" s="215"/>
      <c r="BK848" s="215"/>
      <c r="BL848" s="215"/>
      <c r="BM848" s="215"/>
      <c r="BN848" s="215"/>
      <c r="BO848" s="215"/>
      <c r="BP848" s="215"/>
      <c r="BQ848" s="215"/>
      <c r="BR848" s="215"/>
      <c r="BS848" s="215"/>
      <c r="BT848" s="215"/>
      <c r="BU848" s="215"/>
      <c r="BV848" s="215"/>
      <c r="BW848" s="215"/>
      <c r="BX848" s="215"/>
      <c r="BY848" s="215"/>
      <c r="BZ848" s="215"/>
    </row>
    <row r="849" spans="1:78" outlineLevel="1" x14ac:dyDescent="0.2">
      <c r="A849" s="2" t="str">
        <f>'Language Index'!A496</f>
        <v>Def. Benefit Interest Cost</v>
      </c>
      <c r="B849" s="17"/>
      <c r="C849" s="17"/>
      <c r="D849" s="18">
        <f>_xll.ciqfunctions.udf.CIQ($C$2,"IQ_OPEB_OBLIGATION_INTEREST_COST_DOM",D$6,$F$2,,,Ccy,Conv)</f>
        <v>0</v>
      </c>
      <c r="E849" s="18">
        <f>_xll.ciqfunctions.udf.CIQ($C$2,"IQ_OPEB_OBLIGATION_INTEREST_COST_DOM",E$6,$F$2,,,Ccy,Conv)</f>
        <v>0</v>
      </c>
      <c r="F849" s="18">
        <f>_xll.ciqfunctions.udf.CIQ($C$2,"IQ_OPEB_OBLIGATION_INTEREST_COST_DOM",F$6,$F$2,,,Ccy,Conv)</f>
        <v>117</v>
      </c>
      <c r="G849" s="18">
        <f>_xll.ciqfunctions.udf.CIQ($C$2,"IQ_OPEB_OBLIGATION_INTEREST_COST_DOM",G$6,$F$2,,,Ccy,Conv)</f>
        <v>0</v>
      </c>
      <c r="H849" s="18">
        <f>_xll.ciqfunctions.udf.CIQ($C$2,"IQ_OPEB_OBLIGATION_INTEREST_COST_DOM",H$6,$F$2,,,Ccy,Conv)</f>
        <v>0</v>
      </c>
      <c r="I849" s="18">
        <f>_xll.ciqfunctions.udf.CIQ($C$2,"IQ_OPEB_OBLIGATION_INTEREST_COST_DOM",I$6,$F$2,,,Ccy,Conv)</f>
        <v>0</v>
      </c>
      <c r="J849" s="18">
        <f>_xll.ciqfunctions.udf.CIQ($C$2,"IQ_OPEB_OBLIGATION_INTEREST_COST_DOM",J$6,$F$2,,,Ccy,Conv)</f>
        <v>106</v>
      </c>
      <c r="K849" s="18">
        <f>_xll.ciqfunctions.udf.CIQ($C$2,"IQ_OPEB_OBLIGATION_INTEREST_COST_DOM",K$6,$F$2,,,Ccy,Conv)</f>
        <v>0</v>
      </c>
      <c r="L849" s="18">
        <f>_xll.ciqfunctions.udf.CIQ($C$2,"IQ_OPEB_OBLIGATION_INTEREST_COST_DOM",L$6,$F$2,,,Ccy,Conv)</f>
        <v>0</v>
      </c>
      <c r="M849" s="18">
        <f>_xll.ciqfunctions.udf.CIQ($C$2,"IQ_OPEB_OBLIGATION_INTEREST_COST_DOM",M$6,$F$2,,,Ccy,Conv)</f>
        <v>0</v>
      </c>
      <c r="N849" s="18">
        <f>_xll.ciqfunctions.udf.CIQ($C$2,"IQ_OPEB_OBLIGATION_INTEREST_COST_DOM",N$6,$F$2,,,Ccy,Conv)</f>
        <v>114</v>
      </c>
      <c r="O849" s="30"/>
      <c r="P849" s="18">
        <f>_xll.ciqfunctions.udf.CIQ($C$2,"IQ_OPEB_OBLIGATION_INTEREST_COST_DOM",P$6,$F$2,,,Ccy,Conv)</f>
        <v>114</v>
      </c>
      <c r="Q849" s="215"/>
      <c r="R849" s="215"/>
      <c r="S849" s="215"/>
      <c r="T849" s="215"/>
      <c r="U849" s="215"/>
      <c r="V849" s="222"/>
      <c r="W849" s="222"/>
      <c r="X849" s="222"/>
      <c r="Y849" s="215"/>
      <c r="Z849" s="215"/>
      <c r="AA849" s="215"/>
      <c r="AB849" s="215"/>
      <c r="AC849" s="215"/>
      <c r="AD849" s="215"/>
      <c r="AE849" s="215"/>
      <c r="AF849" s="215"/>
      <c r="AG849" s="215"/>
      <c r="AH849" s="215"/>
      <c r="AI849" s="215"/>
      <c r="AJ849" s="215"/>
      <c r="AK849" s="215"/>
      <c r="AL849" s="215"/>
      <c r="AM849" s="215"/>
      <c r="AN849" s="215"/>
      <c r="AO849" s="215"/>
      <c r="AP849" s="215"/>
      <c r="AQ849" s="215"/>
      <c r="AR849" s="215"/>
      <c r="AS849" s="215"/>
      <c r="AT849" s="215"/>
      <c r="AU849" s="215"/>
      <c r="AV849" s="215"/>
      <c r="AW849" s="215"/>
      <c r="AX849" s="215"/>
      <c r="AY849" s="215"/>
      <c r="AZ849" s="215"/>
      <c r="BA849" s="215"/>
      <c r="BB849" s="215"/>
      <c r="BC849" s="215"/>
      <c r="BD849" s="215"/>
      <c r="BE849" s="215"/>
      <c r="BF849" s="215"/>
      <c r="BG849" s="215"/>
      <c r="BH849" s="215"/>
      <c r="BI849" s="215"/>
      <c r="BJ849" s="215"/>
      <c r="BK849" s="215"/>
      <c r="BL849" s="215"/>
      <c r="BM849" s="215"/>
      <c r="BN849" s="215"/>
      <c r="BO849" s="215"/>
      <c r="BP849" s="215"/>
      <c r="BQ849" s="215"/>
      <c r="BR849" s="215"/>
      <c r="BS849" s="215"/>
      <c r="BT849" s="215"/>
      <c r="BU849" s="215"/>
      <c r="BV849" s="215"/>
      <c r="BW849" s="215"/>
      <c r="BX849" s="215"/>
      <c r="BY849" s="215"/>
      <c r="BZ849" s="215"/>
    </row>
    <row r="850" spans="1:78" outlineLevel="1" x14ac:dyDescent="0.2">
      <c r="A850" s="2" t="str">
        <f>'Language Index'!A505</f>
        <v>Def. Benefit Employee Contributions</v>
      </c>
      <c r="B850" s="17"/>
      <c r="C850" s="17"/>
      <c r="D850" s="18">
        <f>_xll.ciqfunctions.udf.CIQ($C$2,"IQ_OPEB_OBLIGATION_EMPLOYEE_CONTRIBUTIONS_DOM",D$6,$F$2,,,Ccy,Conv)</f>
        <v>0</v>
      </c>
      <c r="E850" s="18">
        <f>_xll.ciqfunctions.udf.CIQ($C$2,"IQ_OPEB_OBLIGATION_EMPLOYEE_CONTRIBUTIONS_DOM",E$6,$F$2,,,Ccy,Conv)</f>
        <v>0</v>
      </c>
      <c r="F850" s="18">
        <f>_xll.ciqfunctions.udf.CIQ($C$2,"IQ_OPEB_OBLIGATION_EMPLOYEE_CONTRIBUTIONS_DOM",F$6,$F$2,,,Ccy,Conv)</f>
        <v>38</v>
      </c>
      <c r="G850" s="18">
        <f>_xll.ciqfunctions.udf.CIQ($C$2,"IQ_OPEB_OBLIGATION_EMPLOYEE_CONTRIBUTIONS_DOM",G$6,$F$2,,,Ccy,Conv)</f>
        <v>0</v>
      </c>
      <c r="H850" s="18">
        <f>_xll.ciqfunctions.udf.CIQ($C$2,"IQ_OPEB_OBLIGATION_EMPLOYEE_CONTRIBUTIONS_DOM",H$6,$F$2,,,Ccy,Conv)</f>
        <v>0</v>
      </c>
      <c r="I850" s="18">
        <f>_xll.ciqfunctions.udf.CIQ($C$2,"IQ_OPEB_OBLIGATION_EMPLOYEE_CONTRIBUTIONS_DOM",I$6,$F$2,,,Ccy,Conv)</f>
        <v>0</v>
      </c>
      <c r="J850" s="18">
        <f>_xll.ciqfunctions.udf.CIQ($C$2,"IQ_OPEB_OBLIGATION_EMPLOYEE_CONTRIBUTIONS_DOM",J$6,$F$2,,,Ccy,Conv)</f>
        <v>33</v>
      </c>
      <c r="K850" s="18">
        <f>_xll.ciqfunctions.udf.CIQ($C$2,"IQ_OPEB_OBLIGATION_EMPLOYEE_CONTRIBUTIONS_DOM",K$6,$F$2,,,Ccy,Conv)</f>
        <v>0</v>
      </c>
      <c r="L850" s="18">
        <f>_xll.ciqfunctions.udf.CIQ($C$2,"IQ_OPEB_OBLIGATION_EMPLOYEE_CONTRIBUTIONS_DOM",L$6,$F$2,,,Ccy,Conv)</f>
        <v>0</v>
      </c>
      <c r="M850" s="18">
        <f>_xll.ciqfunctions.udf.CIQ($C$2,"IQ_OPEB_OBLIGATION_EMPLOYEE_CONTRIBUTIONS_DOM",M$6,$F$2,,,Ccy,Conv)</f>
        <v>0</v>
      </c>
      <c r="N850" s="18">
        <f>_xll.ciqfunctions.udf.CIQ($C$2,"IQ_OPEB_OBLIGATION_EMPLOYEE_CONTRIBUTIONS_DOM",N$6,$F$2,,,Ccy,Conv)</f>
        <v>33</v>
      </c>
      <c r="O850" s="30"/>
      <c r="P850" s="18">
        <f>_xll.ciqfunctions.udf.CIQ($C$2,"IQ_OPEB_OBLIGATION_EMPLOYEE_CONTRIBUTIONS_DOM",P$6,$F$2,,,Ccy,Conv)</f>
        <v>33</v>
      </c>
      <c r="Q850" s="215"/>
      <c r="R850" s="215"/>
      <c r="S850" s="215"/>
      <c r="T850" s="215"/>
      <c r="U850" s="215"/>
      <c r="V850" s="222"/>
      <c r="W850" s="222"/>
      <c r="X850" s="222"/>
      <c r="Y850" s="215"/>
      <c r="Z850" s="215"/>
      <c r="AA850" s="215"/>
      <c r="AB850" s="215"/>
      <c r="AC850" s="215"/>
      <c r="AD850" s="215"/>
      <c r="AE850" s="215"/>
      <c r="AF850" s="215"/>
      <c r="AG850" s="215"/>
      <c r="AH850" s="215"/>
      <c r="AI850" s="215"/>
      <c r="AJ850" s="215"/>
      <c r="AK850" s="215"/>
      <c r="AL850" s="215"/>
      <c r="AM850" s="215"/>
      <c r="AN850" s="215"/>
      <c r="AO850" s="215"/>
      <c r="AP850" s="215"/>
      <c r="AQ850" s="215"/>
      <c r="AR850" s="215"/>
      <c r="AS850" s="215"/>
      <c r="AT850" s="215"/>
      <c r="AU850" s="215"/>
      <c r="AV850" s="215"/>
      <c r="AW850" s="215"/>
      <c r="AX850" s="215"/>
      <c r="AY850" s="215"/>
      <c r="AZ850" s="215"/>
      <c r="BA850" s="215"/>
      <c r="BB850" s="215"/>
      <c r="BC850" s="215"/>
      <c r="BD850" s="215"/>
      <c r="BE850" s="215"/>
      <c r="BF850" s="215"/>
      <c r="BG850" s="215"/>
      <c r="BH850" s="215"/>
      <c r="BI850" s="215"/>
      <c r="BJ850" s="215"/>
      <c r="BK850" s="215"/>
      <c r="BL850" s="215"/>
      <c r="BM850" s="215"/>
      <c r="BN850" s="215"/>
      <c r="BO850" s="215"/>
      <c r="BP850" s="215"/>
      <c r="BQ850" s="215"/>
      <c r="BR850" s="215"/>
      <c r="BS850" s="215"/>
      <c r="BT850" s="215"/>
      <c r="BU850" s="215"/>
      <c r="BV850" s="215"/>
      <c r="BW850" s="215"/>
      <c r="BX850" s="215"/>
      <c r="BY850" s="215"/>
      <c r="BZ850" s="215"/>
    </row>
    <row r="851" spans="1:78" outlineLevel="1" x14ac:dyDescent="0.2">
      <c r="A851" s="2" t="str">
        <f>'Language Index'!A506</f>
        <v>Def. Benefit Actuarial Gain/Losses</v>
      </c>
      <c r="B851" s="17"/>
      <c r="C851" s="17"/>
      <c r="D851" s="18">
        <f>_xll.ciqfunctions.udf.CIQ($C$2,"IQ_OPEB_OBLIGATION_ACTUARIAL_GAIN_LOSS_DOM",D$6,$F$2,,,Ccy,Conv)</f>
        <v>0</v>
      </c>
      <c r="E851" s="18">
        <f>_xll.ciqfunctions.udf.CIQ($C$2,"IQ_OPEB_OBLIGATION_ACTUARIAL_GAIN_LOSS_DOM",E$6,$F$2,,,Ccy,Conv)</f>
        <v>0</v>
      </c>
      <c r="F851" s="18">
        <f>_xll.ciqfunctions.udf.CIQ($C$2,"IQ_OPEB_OBLIGATION_ACTUARIAL_GAIN_LOSS_DOM",F$6,$F$2,,,Ccy,Conv)</f>
        <v>-19</v>
      </c>
      <c r="G851" s="18">
        <f>_xll.ciqfunctions.udf.CIQ($C$2,"IQ_OPEB_OBLIGATION_ACTUARIAL_GAIN_LOSS_DOM",G$6,$F$2,,,Ccy,Conv)</f>
        <v>0</v>
      </c>
      <c r="H851" s="18">
        <f>_xll.ciqfunctions.udf.CIQ($C$2,"IQ_OPEB_OBLIGATION_ACTUARIAL_GAIN_LOSS_DOM",H$6,$F$2,,,Ccy,Conv)</f>
        <v>0</v>
      </c>
      <c r="I851" s="18">
        <f>_xll.ciqfunctions.udf.CIQ($C$2,"IQ_OPEB_OBLIGATION_ACTUARIAL_GAIN_LOSS_DOM",I$6,$F$2,,,Ccy,Conv)</f>
        <v>0</v>
      </c>
      <c r="J851" s="18">
        <f>_xll.ciqfunctions.udf.CIQ($C$2,"IQ_OPEB_OBLIGATION_ACTUARIAL_GAIN_LOSS_DOM",J$6,$F$2,,,Ccy,Conv)</f>
        <v>116</v>
      </c>
      <c r="K851" s="18">
        <f>_xll.ciqfunctions.udf.CIQ($C$2,"IQ_OPEB_OBLIGATION_ACTUARIAL_GAIN_LOSS_DOM",K$6,$F$2,,,Ccy,Conv)</f>
        <v>0</v>
      </c>
      <c r="L851" s="18">
        <f>_xll.ciqfunctions.udf.CIQ($C$2,"IQ_OPEB_OBLIGATION_ACTUARIAL_GAIN_LOSS_DOM",L$6,$F$2,,,Ccy,Conv)</f>
        <v>0</v>
      </c>
      <c r="M851" s="18">
        <f>_xll.ciqfunctions.udf.CIQ($C$2,"IQ_OPEB_OBLIGATION_ACTUARIAL_GAIN_LOSS_DOM",M$6,$F$2,,,Ccy,Conv)</f>
        <v>0</v>
      </c>
      <c r="N851" s="18">
        <f>_xll.ciqfunctions.udf.CIQ($C$2,"IQ_OPEB_OBLIGATION_ACTUARIAL_GAIN_LOSS_DOM",N$6,$F$2,,,Ccy,Conv)</f>
        <v>61</v>
      </c>
      <c r="O851" s="30"/>
      <c r="P851" s="18">
        <f>_xll.ciqfunctions.udf.CIQ($C$2,"IQ_OPEB_OBLIGATION_ACTUARIAL_GAIN_LOSS_DOM",P$6,$F$2,,,Ccy,Conv)</f>
        <v>61</v>
      </c>
      <c r="Q851" s="215"/>
      <c r="R851" s="215"/>
      <c r="S851" s="215"/>
      <c r="T851" s="215"/>
      <c r="U851" s="215"/>
      <c r="V851" s="222"/>
      <c r="W851" s="222"/>
      <c r="X851" s="222"/>
      <c r="Y851" s="215"/>
      <c r="Z851" s="215"/>
      <c r="AA851" s="215"/>
      <c r="AB851" s="215"/>
      <c r="AC851" s="215"/>
      <c r="AD851" s="215"/>
      <c r="AE851" s="215"/>
      <c r="AF851" s="215"/>
      <c r="AG851" s="215"/>
      <c r="AH851" s="215"/>
      <c r="AI851" s="215"/>
      <c r="AJ851" s="215"/>
      <c r="AK851" s="215"/>
      <c r="AL851" s="215"/>
      <c r="AM851" s="215"/>
      <c r="AN851" s="215"/>
      <c r="AO851" s="215"/>
      <c r="AP851" s="215"/>
      <c r="AQ851" s="215"/>
      <c r="AR851" s="215"/>
      <c r="AS851" s="215"/>
      <c r="AT851" s="215"/>
      <c r="AU851" s="215"/>
      <c r="AV851" s="215"/>
      <c r="AW851" s="215"/>
      <c r="AX851" s="215"/>
      <c r="AY851" s="215"/>
      <c r="AZ851" s="215"/>
      <c r="BA851" s="215"/>
      <c r="BB851" s="215"/>
      <c r="BC851" s="215"/>
      <c r="BD851" s="215"/>
      <c r="BE851" s="215"/>
      <c r="BF851" s="215"/>
      <c r="BG851" s="215"/>
      <c r="BH851" s="215"/>
      <c r="BI851" s="215"/>
      <c r="BJ851" s="215"/>
      <c r="BK851" s="215"/>
      <c r="BL851" s="215"/>
      <c r="BM851" s="215"/>
      <c r="BN851" s="215"/>
      <c r="BO851" s="215"/>
      <c r="BP851" s="215"/>
      <c r="BQ851" s="215"/>
      <c r="BR851" s="215"/>
      <c r="BS851" s="215"/>
      <c r="BT851" s="215"/>
      <c r="BU851" s="215"/>
      <c r="BV851" s="215"/>
      <c r="BW851" s="215"/>
      <c r="BX851" s="215"/>
      <c r="BY851" s="215"/>
      <c r="BZ851" s="215"/>
    </row>
    <row r="852" spans="1:78" outlineLevel="1" x14ac:dyDescent="0.2">
      <c r="A852" s="2" t="str">
        <f>'Language Index'!A507</f>
        <v>Def. Benefits Paid</v>
      </c>
      <c r="B852" s="17"/>
      <c r="C852" s="17"/>
      <c r="D852" s="18">
        <f>_xll.ciqfunctions.udf.CIQ($C$2,"IQ_OPEB_OBLIGATION_PAID_DOM",D$6,$F$2,,,Ccy,Conv)</f>
        <v>0</v>
      </c>
      <c r="E852" s="18">
        <f>_xll.ciqfunctions.udf.CIQ($C$2,"IQ_OPEB_OBLIGATION_PAID_DOM",E$6,$F$2,,,Ccy,Conv)</f>
        <v>0</v>
      </c>
      <c r="F852" s="18">
        <f>_xll.ciqfunctions.udf.CIQ($C$2,"IQ_OPEB_OBLIGATION_PAID_DOM",F$6,$F$2,,,Ccy,Conv)</f>
        <v>-277</v>
      </c>
      <c r="G852" s="18">
        <f>_xll.ciqfunctions.udf.CIQ($C$2,"IQ_OPEB_OBLIGATION_PAID_DOM",G$6,$F$2,,,Ccy,Conv)</f>
        <v>0</v>
      </c>
      <c r="H852" s="18">
        <f>_xll.ciqfunctions.udf.CIQ($C$2,"IQ_OPEB_OBLIGATION_PAID_DOM",H$6,$F$2,,,Ccy,Conv)</f>
        <v>0</v>
      </c>
      <c r="I852" s="18">
        <f>_xll.ciqfunctions.udf.CIQ($C$2,"IQ_OPEB_OBLIGATION_PAID_DOM",I$6,$F$2,,,Ccy,Conv)</f>
        <v>0</v>
      </c>
      <c r="J852" s="18">
        <f>_xll.ciqfunctions.udf.CIQ($C$2,"IQ_OPEB_OBLIGATION_PAID_DOM",J$6,$F$2,,,Ccy,Conv)</f>
        <v>-235</v>
      </c>
      <c r="K852" s="18">
        <f>_xll.ciqfunctions.udf.CIQ($C$2,"IQ_OPEB_OBLIGATION_PAID_DOM",K$6,$F$2,,,Ccy,Conv)</f>
        <v>0</v>
      </c>
      <c r="L852" s="18">
        <f>_xll.ciqfunctions.udf.CIQ($C$2,"IQ_OPEB_OBLIGATION_PAID_DOM",L$6,$F$2,,,Ccy,Conv)</f>
        <v>0</v>
      </c>
      <c r="M852" s="18">
        <f>_xll.ciqfunctions.udf.CIQ($C$2,"IQ_OPEB_OBLIGATION_PAID_DOM",M$6,$F$2,,,Ccy,Conv)</f>
        <v>0</v>
      </c>
      <c r="N852" s="18">
        <f>_xll.ciqfunctions.udf.CIQ($C$2,"IQ_OPEB_OBLIGATION_PAID_DOM",N$6,$F$2,,,Ccy,Conv)</f>
        <v>-242</v>
      </c>
      <c r="O852" s="30"/>
      <c r="P852" s="18">
        <f>_xll.ciqfunctions.udf.CIQ($C$2,"IQ_OPEB_OBLIGATION_PAID_DOM",P$6,$F$2,,,Ccy,Conv)</f>
        <v>-242</v>
      </c>
      <c r="Q852" s="215"/>
      <c r="R852" s="215"/>
      <c r="S852" s="215"/>
      <c r="T852" s="215"/>
      <c r="U852" s="215"/>
      <c r="V852" s="222"/>
      <c r="W852" s="222"/>
      <c r="X852" s="222"/>
      <c r="Y852" s="215"/>
      <c r="Z852" s="215"/>
      <c r="AA852" s="215"/>
      <c r="AB852" s="215"/>
      <c r="AC852" s="215"/>
      <c r="AD852" s="215"/>
      <c r="AE852" s="215"/>
      <c r="AF852" s="215"/>
      <c r="AG852" s="215"/>
      <c r="AH852" s="215"/>
      <c r="AI852" s="215"/>
      <c r="AJ852" s="215"/>
      <c r="AK852" s="215"/>
      <c r="AL852" s="215"/>
      <c r="AM852" s="215"/>
      <c r="AN852" s="215"/>
      <c r="AO852" s="215"/>
      <c r="AP852" s="215"/>
      <c r="AQ852" s="215"/>
      <c r="AR852" s="215"/>
      <c r="AS852" s="215"/>
      <c r="AT852" s="215"/>
      <c r="AU852" s="215"/>
      <c r="AV852" s="215"/>
      <c r="AW852" s="215"/>
      <c r="AX852" s="215"/>
      <c r="AY852" s="215"/>
      <c r="AZ852" s="215"/>
      <c r="BA852" s="215"/>
      <c r="BB852" s="215"/>
      <c r="BC852" s="215"/>
      <c r="BD852" s="215"/>
      <c r="BE852" s="215"/>
      <c r="BF852" s="215"/>
      <c r="BG852" s="215"/>
      <c r="BH852" s="215"/>
      <c r="BI852" s="215"/>
      <c r="BJ852" s="215"/>
      <c r="BK852" s="215"/>
      <c r="BL852" s="215"/>
      <c r="BM852" s="215"/>
      <c r="BN852" s="215"/>
      <c r="BO852" s="215"/>
      <c r="BP852" s="215"/>
      <c r="BQ852" s="215"/>
      <c r="BR852" s="215"/>
      <c r="BS852" s="215"/>
      <c r="BT852" s="215"/>
      <c r="BU852" s="215"/>
      <c r="BV852" s="215"/>
      <c r="BW852" s="215"/>
      <c r="BX852" s="215"/>
      <c r="BY852" s="215"/>
      <c r="BZ852" s="215"/>
    </row>
    <row r="853" spans="1:78" outlineLevel="1" x14ac:dyDescent="0.2">
      <c r="A853" s="2" t="str">
        <f>'Language Index'!A508</f>
        <v>Foreign Exchange Adj.</v>
      </c>
      <c r="B853" s="17"/>
      <c r="C853" s="17"/>
      <c r="D853" s="18">
        <f>_xll.ciqfunctions.udf.CIQ($C$2,"IQ_OPEB_OBLIGATION_FX_ADJ_DOM",D$6,$F$2,,,Ccy,Conv)</f>
        <v>0</v>
      </c>
      <c r="E853" s="18">
        <f>_xll.ciqfunctions.udf.CIQ($C$2,"IQ_OPEB_OBLIGATION_FX_ADJ_DOM",E$6,$F$2,,,Ccy,Conv)</f>
        <v>0</v>
      </c>
      <c r="F853" s="18">
        <f>_xll.ciqfunctions.udf.CIQ($C$2,"IQ_OPEB_OBLIGATION_FX_ADJ_DOM",F$6,$F$2,,,Ccy,Conv)</f>
        <v>0</v>
      </c>
      <c r="G853" s="18">
        <f>_xll.ciqfunctions.udf.CIQ($C$2,"IQ_OPEB_OBLIGATION_FX_ADJ_DOM",G$6,$F$2,,,Ccy,Conv)</f>
        <v>0</v>
      </c>
      <c r="H853" s="18">
        <f>_xll.ciqfunctions.udf.CIQ($C$2,"IQ_OPEB_OBLIGATION_FX_ADJ_DOM",H$6,$F$2,,,Ccy,Conv)</f>
        <v>0</v>
      </c>
      <c r="I853" s="18">
        <f>_xll.ciqfunctions.udf.CIQ($C$2,"IQ_OPEB_OBLIGATION_FX_ADJ_DOM",I$6,$F$2,,,Ccy,Conv)</f>
        <v>0</v>
      </c>
      <c r="J853" s="18">
        <f>_xll.ciqfunctions.udf.CIQ($C$2,"IQ_OPEB_OBLIGATION_FX_ADJ_DOM",J$6,$F$2,,,Ccy,Conv)</f>
        <v>0</v>
      </c>
      <c r="K853" s="18">
        <f>_xll.ciqfunctions.udf.CIQ($C$2,"IQ_OPEB_OBLIGATION_FX_ADJ_DOM",K$6,$F$2,,,Ccy,Conv)</f>
        <v>0</v>
      </c>
      <c r="L853" s="18">
        <f>_xll.ciqfunctions.udf.CIQ($C$2,"IQ_OPEB_OBLIGATION_FX_ADJ_DOM",L$6,$F$2,,,Ccy,Conv)</f>
        <v>0</v>
      </c>
      <c r="M853" s="18">
        <f>_xll.ciqfunctions.udf.CIQ($C$2,"IQ_OPEB_OBLIGATION_FX_ADJ_DOM",M$6,$F$2,,,Ccy,Conv)</f>
        <v>0</v>
      </c>
      <c r="N853" s="18">
        <f>_xll.ciqfunctions.udf.CIQ($C$2,"IQ_OPEB_OBLIGATION_FX_ADJ_DOM",N$6,$F$2,,,Ccy,Conv)</f>
        <v>0</v>
      </c>
      <c r="O853" s="30"/>
      <c r="P853" s="18">
        <f>_xll.ciqfunctions.udf.CIQ($C$2,"IQ_OPEB_OBLIGATION_FX_ADJ_DOM",P$6,$F$2,,,Ccy,Conv)</f>
        <v>0</v>
      </c>
      <c r="Q853" s="215"/>
      <c r="R853" s="215"/>
      <c r="S853" s="215"/>
      <c r="T853" s="215"/>
      <c r="U853" s="215"/>
      <c r="V853" s="222"/>
      <c r="W853" s="222"/>
      <c r="X853" s="222"/>
      <c r="Y853" s="215"/>
      <c r="Z853" s="215"/>
      <c r="AA853" s="215"/>
      <c r="AB853" s="215"/>
      <c r="AC853" s="215"/>
      <c r="AD853" s="215"/>
      <c r="AE853" s="215"/>
      <c r="AF853" s="215"/>
      <c r="AG853" s="215"/>
      <c r="AH853" s="215"/>
      <c r="AI853" s="215"/>
      <c r="AJ853" s="215"/>
      <c r="AK853" s="215"/>
      <c r="AL853" s="215"/>
      <c r="AM853" s="215"/>
      <c r="AN853" s="215"/>
      <c r="AO853" s="215"/>
      <c r="AP853" s="215"/>
      <c r="AQ853" s="215"/>
      <c r="AR853" s="215"/>
      <c r="AS853" s="215"/>
      <c r="AT853" s="215"/>
      <c r="AU853" s="215"/>
      <c r="AV853" s="215"/>
      <c r="AW853" s="215"/>
      <c r="AX853" s="215"/>
      <c r="AY853" s="215"/>
      <c r="AZ853" s="215"/>
      <c r="BA853" s="215"/>
      <c r="BB853" s="215"/>
      <c r="BC853" s="215"/>
      <c r="BD853" s="215"/>
      <c r="BE853" s="215"/>
      <c r="BF853" s="215"/>
      <c r="BG853" s="215"/>
      <c r="BH853" s="215"/>
      <c r="BI853" s="215"/>
      <c r="BJ853" s="215"/>
      <c r="BK853" s="215"/>
      <c r="BL853" s="215"/>
      <c r="BM853" s="215"/>
      <c r="BN853" s="215"/>
      <c r="BO853" s="215"/>
      <c r="BP853" s="215"/>
      <c r="BQ853" s="215"/>
      <c r="BR853" s="215"/>
      <c r="BS853" s="215"/>
      <c r="BT853" s="215"/>
      <c r="BU853" s="215"/>
      <c r="BV853" s="215"/>
      <c r="BW853" s="215"/>
      <c r="BX853" s="215"/>
      <c r="BY853" s="215"/>
      <c r="BZ853" s="215"/>
    </row>
    <row r="854" spans="1:78" outlineLevel="1" x14ac:dyDescent="0.2">
      <c r="A854" s="2" t="str">
        <f>'Language Index'!A509</f>
        <v>Acq. Benefit Obligation</v>
      </c>
      <c r="B854" s="17"/>
      <c r="C854" s="17"/>
      <c r="D854" s="18">
        <f>_xll.ciqfunctions.udf.CIQ($C$2,"IQ_OPEB_OBLIGATION_ACQ_DOM",D$6,$F$2,,,Ccy,Conv)</f>
        <v>0</v>
      </c>
      <c r="E854" s="18">
        <f>_xll.ciqfunctions.udf.CIQ($C$2,"IQ_OPEB_OBLIGATION_ACQ_DOM",E$6,$F$2,,,Ccy,Conv)</f>
        <v>0</v>
      </c>
      <c r="F854" s="18">
        <f>_xll.ciqfunctions.udf.CIQ($C$2,"IQ_OPEB_OBLIGATION_ACQ_DOM",F$6,$F$2,,,Ccy,Conv)</f>
        <v>0</v>
      </c>
      <c r="G854" s="18">
        <f>_xll.ciqfunctions.udf.CIQ($C$2,"IQ_OPEB_OBLIGATION_ACQ_DOM",G$6,$F$2,,,Ccy,Conv)</f>
        <v>0</v>
      </c>
      <c r="H854" s="18">
        <f>_xll.ciqfunctions.udf.CIQ($C$2,"IQ_OPEB_OBLIGATION_ACQ_DOM",H$6,$F$2,,,Ccy,Conv)</f>
        <v>0</v>
      </c>
      <c r="I854" s="18">
        <f>_xll.ciqfunctions.udf.CIQ($C$2,"IQ_OPEB_OBLIGATION_ACQ_DOM",I$6,$F$2,,,Ccy,Conv)</f>
        <v>0</v>
      </c>
      <c r="J854" s="18">
        <f>_xll.ciqfunctions.udf.CIQ($C$2,"IQ_OPEB_OBLIGATION_ACQ_DOM",J$6,$F$2,,,Ccy,Conv)</f>
        <v>0</v>
      </c>
      <c r="K854" s="18">
        <f>_xll.ciqfunctions.udf.CIQ($C$2,"IQ_OPEB_OBLIGATION_ACQ_DOM",K$6,$F$2,,,Ccy,Conv)</f>
        <v>0</v>
      </c>
      <c r="L854" s="18">
        <f>_xll.ciqfunctions.udf.CIQ($C$2,"IQ_OPEB_OBLIGATION_ACQ_DOM",L$6,$F$2,,,Ccy,Conv)</f>
        <v>0</v>
      </c>
      <c r="M854" s="18">
        <f>_xll.ciqfunctions.udf.CIQ($C$2,"IQ_OPEB_OBLIGATION_ACQ_DOM",M$6,$F$2,,,Ccy,Conv)</f>
        <v>0</v>
      </c>
      <c r="N854" s="18">
        <f>_xll.ciqfunctions.udf.CIQ($C$2,"IQ_OPEB_OBLIGATION_ACQ_DOM",N$6,$F$2,,,Ccy,Conv)</f>
        <v>0</v>
      </c>
      <c r="O854" s="30"/>
      <c r="P854" s="18">
        <f>_xll.ciqfunctions.udf.CIQ($C$2,"IQ_OPEB_OBLIGATION_ACQ_DOM",P$6,$F$2,,,Ccy,Conv)</f>
        <v>0</v>
      </c>
      <c r="Q854" s="215"/>
      <c r="R854" s="215"/>
      <c r="S854" s="215"/>
      <c r="T854" s="215"/>
      <c r="U854" s="215"/>
      <c r="V854" s="222"/>
      <c r="W854" s="222"/>
      <c r="X854" s="222"/>
      <c r="Y854" s="215"/>
      <c r="Z854" s="215"/>
      <c r="AA854" s="215"/>
      <c r="AB854" s="215"/>
      <c r="AC854" s="215"/>
      <c r="AD854" s="215"/>
      <c r="AE854" s="215"/>
      <c r="AF854" s="215"/>
      <c r="AG854" s="215"/>
      <c r="AH854" s="215"/>
      <c r="AI854" s="215"/>
      <c r="AJ854" s="215"/>
      <c r="AK854" s="215"/>
      <c r="AL854" s="215"/>
      <c r="AM854" s="215"/>
      <c r="AN854" s="215"/>
      <c r="AO854" s="215"/>
      <c r="AP854" s="215"/>
      <c r="AQ854" s="215"/>
      <c r="AR854" s="215"/>
      <c r="AS854" s="215"/>
      <c r="AT854" s="215"/>
      <c r="AU854" s="215"/>
      <c r="AV854" s="215"/>
      <c r="AW854" s="215"/>
      <c r="AX854" s="215"/>
      <c r="AY854" s="215"/>
      <c r="AZ854" s="215"/>
      <c r="BA854" s="215"/>
      <c r="BB854" s="215"/>
      <c r="BC854" s="215"/>
      <c r="BD854" s="215"/>
      <c r="BE854" s="215"/>
      <c r="BF854" s="215"/>
      <c r="BG854" s="215"/>
      <c r="BH854" s="215"/>
      <c r="BI854" s="215"/>
      <c r="BJ854" s="215"/>
      <c r="BK854" s="215"/>
      <c r="BL854" s="215"/>
      <c r="BM854" s="215"/>
      <c r="BN854" s="215"/>
      <c r="BO854" s="215"/>
      <c r="BP854" s="215"/>
      <c r="BQ854" s="215"/>
      <c r="BR854" s="215"/>
      <c r="BS854" s="215"/>
      <c r="BT854" s="215"/>
      <c r="BU854" s="215"/>
      <c r="BV854" s="215"/>
      <c r="BW854" s="215"/>
      <c r="BX854" s="215"/>
      <c r="BY854" s="215"/>
      <c r="BZ854" s="215"/>
    </row>
    <row r="855" spans="1:78" outlineLevel="1" x14ac:dyDescent="0.2">
      <c r="A855" s="2" t="str">
        <f>'Language Index'!A510</f>
        <v>Def. Benefit Settlement/Curtailment</v>
      </c>
      <c r="B855" s="17"/>
      <c r="C855" s="17"/>
      <c r="D855" s="18">
        <f>_xll.ciqfunctions.udf.CIQ($C$2,"IQ_OPEB_OBLIGATION_CURTAIL_DOM",D$6,$F$2,,,Ccy,Conv)</f>
        <v>0</v>
      </c>
      <c r="E855" s="18">
        <f>_xll.ciqfunctions.udf.CIQ($C$2,"IQ_OPEB_OBLIGATION_CURTAIL_DOM",E$6,$F$2,,,Ccy,Conv)</f>
        <v>0</v>
      </c>
      <c r="F855" s="18">
        <f>_xll.ciqfunctions.udf.CIQ($C$2,"IQ_OPEB_OBLIGATION_CURTAIL_DOM",F$6,$F$2,,,Ccy,Conv)</f>
        <v>0</v>
      </c>
      <c r="G855" s="18">
        <f>_xll.ciqfunctions.udf.CIQ($C$2,"IQ_OPEB_OBLIGATION_CURTAIL_DOM",G$6,$F$2,,,Ccy,Conv)</f>
        <v>0</v>
      </c>
      <c r="H855" s="18">
        <f>_xll.ciqfunctions.udf.CIQ($C$2,"IQ_OPEB_OBLIGATION_CURTAIL_DOM",H$6,$F$2,,,Ccy,Conv)</f>
        <v>0</v>
      </c>
      <c r="I855" s="18">
        <f>_xll.ciqfunctions.udf.CIQ($C$2,"IQ_OPEB_OBLIGATION_CURTAIL_DOM",I$6,$F$2,,,Ccy,Conv)</f>
        <v>0</v>
      </c>
      <c r="J855" s="18">
        <f>_xll.ciqfunctions.udf.CIQ($C$2,"IQ_OPEB_OBLIGATION_CURTAIL_DOM",J$6,$F$2,,,Ccy,Conv)</f>
        <v>0</v>
      </c>
      <c r="K855" s="18">
        <f>_xll.ciqfunctions.udf.CIQ($C$2,"IQ_OPEB_OBLIGATION_CURTAIL_DOM",K$6,$F$2,,,Ccy,Conv)</f>
        <v>0</v>
      </c>
      <c r="L855" s="18">
        <f>_xll.ciqfunctions.udf.CIQ($C$2,"IQ_OPEB_OBLIGATION_CURTAIL_DOM",L$6,$F$2,,,Ccy,Conv)</f>
        <v>0</v>
      </c>
      <c r="M855" s="18">
        <f>_xll.ciqfunctions.udf.CIQ($C$2,"IQ_OPEB_OBLIGATION_CURTAIL_DOM",M$6,$F$2,,,Ccy,Conv)</f>
        <v>0</v>
      </c>
      <c r="N855" s="18">
        <f>_xll.ciqfunctions.udf.CIQ($C$2,"IQ_OPEB_OBLIGATION_CURTAIL_DOM",N$6,$F$2,,,Ccy,Conv)</f>
        <v>0</v>
      </c>
      <c r="O855" s="30"/>
      <c r="P855" s="18">
        <f>_xll.ciqfunctions.udf.CIQ($C$2,"IQ_OPEB_OBLIGATION_CURTAIL_DOM",P$6,$F$2,,,Ccy,Conv)</f>
        <v>0</v>
      </c>
      <c r="Q855" s="215"/>
      <c r="R855" s="215"/>
      <c r="S855" s="215"/>
      <c r="T855" s="215"/>
      <c r="U855" s="215"/>
      <c r="V855" s="222"/>
      <c r="W855" s="222"/>
      <c r="X855" s="222"/>
      <c r="Y855" s="215"/>
      <c r="Z855" s="215"/>
      <c r="AA855" s="215"/>
      <c r="AB855" s="215"/>
      <c r="AC855" s="215"/>
      <c r="AD855" s="215"/>
      <c r="AE855" s="215"/>
      <c r="AF855" s="215"/>
      <c r="AG855" s="215"/>
      <c r="AH855" s="215"/>
      <c r="AI855" s="215"/>
      <c r="AJ855" s="215"/>
      <c r="AK855" s="215"/>
      <c r="AL855" s="215"/>
      <c r="AM855" s="215"/>
      <c r="AN855" s="215"/>
      <c r="AO855" s="215"/>
      <c r="AP855" s="215"/>
      <c r="AQ855" s="215"/>
      <c r="AR855" s="215"/>
      <c r="AS855" s="215"/>
      <c r="AT855" s="215"/>
      <c r="AU855" s="215"/>
      <c r="AV855" s="215"/>
      <c r="AW855" s="215"/>
      <c r="AX855" s="215"/>
      <c r="AY855" s="215"/>
      <c r="AZ855" s="215"/>
      <c r="BA855" s="215"/>
      <c r="BB855" s="215"/>
      <c r="BC855" s="215"/>
      <c r="BD855" s="215"/>
      <c r="BE855" s="215"/>
      <c r="BF855" s="215"/>
      <c r="BG855" s="215"/>
      <c r="BH855" s="215"/>
      <c r="BI855" s="215"/>
      <c r="BJ855" s="215"/>
      <c r="BK855" s="215"/>
      <c r="BL855" s="215"/>
      <c r="BM855" s="215"/>
      <c r="BN855" s="215"/>
      <c r="BO855" s="215"/>
      <c r="BP855" s="215"/>
      <c r="BQ855" s="215"/>
      <c r="BR855" s="215"/>
      <c r="BS855" s="215"/>
      <c r="BT855" s="215"/>
      <c r="BU855" s="215"/>
      <c r="BV855" s="215"/>
      <c r="BW855" s="215"/>
      <c r="BX855" s="215"/>
      <c r="BY855" s="215"/>
      <c r="BZ855" s="215"/>
    </row>
    <row r="856" spans="1:78" outlineLevel="1" x14ac:dyDescent="0.2">
      <c r="A856" s="2" t="str">
        <f>'Language Index'!A511</f>
        <v>Other Adj. To Def. Benefit Obligation</v>
      </c>
      <c r="B856" s="17"/>
      <c r="C856" s="17"/>
      <c r="D856" s="18">
        <f>_xll.ciqfunctions.udf.CIQ($C$2,"IQ_OPEB_OBLIGATION_OTHER_PLAN_ADJ_DOM",D$6,$F$2,,,Ccy,Conv)</f>
        <v>0</v>
      </c>
      <c r="E856" s="18">
        <f>_xll.ciqfunctions.udf.CIQ($C$2,"IQ_OPEB_OBLIGATION_OTHER_PLAN_ADJ_DOM",E$6,$F$2,,,Ccy,Conv)</f>
        <v>0</v>
      </c>
      <c r="F856" s="18">
        <f>_xll.ciqfunctions.udf.CIQ($C$2,"IQ_OPEB_OBLIGATION_OTHER_PLAN_ADJ_DOM",F$6,$F$2,,,Ccy,Conv)</f>
        <v>0</v>
      </c>
      <c r="G856" s="18">
        <f>_xll.ciqfunctions.udf.CIQ($C$2,"IQ_OPEB_OBLIGATION_OTHER_PLAN_ADJ_DOM",G$6,$F$2,,,Ccy,Conv)</f>
        <v>0</v>
      </c>
      <c r="H856" s="18">
        <f>_xll.ciqfunctions.udf.CIQ($C$2,"IQ_OPEB_OBLIGATION_OTHER_PLAN_ADJ_DOM",H$6,$F$2,,,Ccy,Conv)</f>
        <v>0</v>
      </c>
      <c r="I856" s="18">
        <f>_xll.ciqfunctions.udf.CIQ($C$2,"IQ_OPEB_OBLIGATION_OTHER_PLAN_ADJ_DOM",I$6,$F$2,,,Ccy,Conv)</f>
        <v>0</v>
      </c>
      <c r="J856" s="18">
        <f>_xll.ciqfunctions.udf.CIQ($C$2,"IQ_OPEB_OBLIGATION_OTHER_PLAN_ADJ_DOM",J$6,$F$2,,,Ccy,Conv)</f>
        <v>0</v>
      </c>
      <c r="K856" s="18">
        <f>_xll.ciqfunctions.udf.CIQ($C$2,"IQ_OPEB_OBLIGATION_OTHER_PLAN_ADJ_DOM",K$6,$F$2,,,Ccy,Conv)</f>
        <v>0</v>
      </c>
      <c r="L856" s="18">
        <f>_xll.ciqfunctions.udf.CIQ($C$2,"IQ_OPEB_OBLIGATION_OTHER_PLAN_ADJ_DOM",L$6,$F$2,,,Ccy,Conv)</f>
        <v>0</v>
      </c>
      <c r="M856" s="18">
        <f>_xll.ciqfunctions.udf.CIQ($C$2,"IQ_OPEB_OBLIGATION_OTHER_PLAN_ADJ_DOM",M$6,$F$2,,,Ccy,Conv)</f>
        <v>0</v>
      </c>
      <c r="N856" s="18">
        <f>_xll.ciqfunctions.udf.CIQ($C$2,"IQ_OPEB_OBLIGATION_OTHER_PLAN_ADJ_DOM",N$6,$F$2,,,Ccy,Conv)</f>
        <v>0</v>
      </c>
      <c r="O856" s="30"/>
      <c r="P856" s="18">
        <f>_xll.ciqfunctions.udf.CIQ($C$2,"IQ_OPEB_OBLIGATION_OTHER_PLAN_ADJ_DOM",P$6,$F$2,,,Ccy,Conv)</f>
        <v>0</v>
      </c>
      <c r="Q856" s="215"/>
      <c r="R856" s="215"/>
      <c r="S856" s="215"/>
      <c r="T856" s="215"/>
      <c r="U856" s="215"/>
      <c r="V856" s="222"/>
      <c r="W856" s="222"/>
      <c r="X856" s="222"/>
      <c r="Y856" s="215"/>
      <c r="Z856" s="215"/>
      <c r="AA856" s="215"/>
      <c r="AB856" s="215"/>
      <c r="AC856" s="215"/>
      <c r="AD856" s="215"/>
      <c r="AE856" s="215"/>
      <c r="AF856" s="215"/>
      <c r="AG856" s="215"/>
      <c r="AH856" s="215"/>
      <c r="AI856" s="215"/>
      <c r="AJ856" s="215"/>
      <c r="AK856" s="215"/>
      <c r="AL856" s="215"/>
      <c r="AM856" s="215"/>
      <c r="AN856" s="215"/>
      <c r="AO856" s="215"/>
      <c r="AP856" s="215"/>
      <c r="AQ856" s="215"/>
      <c r="AR856" s="215"/>
      <c r="AS856" s="215"/>
      <c r="AT856" s="215"/>
      <c r="AU856" s="215"/>
      <c r="AV856" s="215"/>
      <c r="AW856" s="215"/>
      <c r="AX856" s="215"/>
      <c r="AY856" s="215"/>
      <c r="AZ856" s="215"/>
      <c r="BA856" s="215"/>
      <c r="BB856" s="215"/>
      <c r="BC856" s="215"/>
      <c r="BD856" s="215"/>
      <c r="BE856" s="215"/>
      <c r="BF856" s="215"/>
      <c r="BG856" s="215"/>
      <c r="BH856" s="215"/>
      <c r="BI856" s="215"/>
      <c r="BJ856" s="215"/>
      <c r="BK856" s="215"/>
      <c r="BL856" s="215"/>
      <c r="BM856" s="215"/>
      <c r="BN856" s="215"/>
      <c r="BO856" s="215"/>
      <c r="BP856" s="215"/>
      <c r="BQ856" s="215"/>
      <c r="BR856" s="215"/>
      <c r="BS856" s="215"/>
      <c r="BT856" s="215"/>
      <c r="BU856" s="215"/>
      <c r="BV856" s="215"/>
      <c r="BW856" s="215"/>
      <c r="BX856" s="215"/>
      <c r="BY856" s="215"/>
      <c r="BZ856" s="215"/>
    </row>
    <row r="857" spans="1:78" outlineLevel="1" x14ac:dyDescent="0.2">
      <c r="A857" s="2" t="str">
        <f>'Language Index'!A588</f>
        <v>Projected Benefit Obligation</v>
      </c>
      <c r="B857" s="17"/>
      <c r="C857" s="17"/>
      <c r="D857" s="18">
        <f>_xll.ciqfunctions.udf.CIQ($C$2,"IQ_OPEB_OBLIGATION_PROJECTED_DOM",D$6,$F$2,,,Ccy,Conv)</f>
        <v>0</v>
      </c>
      <c r="E857" s="18">
        <f>_xll.ciqfunctions.udf.CIQ($C$2,"IQ_OPEB_OBLIGATION_PROJECTED_DOM",E$6,$F$2,,,Ccy,Conv)</f>
        <v>0</v>
      </c>
      <c r="F857" s="18">
        <f>_xll.ciqfunctions.udf.CIQ($C$2,"IQ_OPEB_OBLIGATION_PROJECTED_DOM",F$6,$F$2,,,Ccy,Conv)</f>
        <v>2233</v>
      </c>
      <c r="G857" s="18">
        <f>_xll.ciqfunctions.udf.CIQ($C$2,"IQ_OPEB_OBLIGATION_PROJECTED_DOM",G$6,$F$2,,,Ccy,Conv)</f>
        <v>0</v>
      </c>
      <c r="H857" s="18">
        <f>_xll.ciqfunctions.udf.CIQ($C$2,"IQ_OPEB_OBLIGATION_PROJECTED_DOM",H$6,$F$2,,,Ccy,Conv)</f>
        <v>0</v>
      </c>
      <c r="I857" s="18">
        <f>_xll.ciqfunctions.udf.CIQ($C$2,"IQ_OPEB_OBLIGATION_PROJECTED_DOM",I$6,$F$2,,,Ccy,Conv)</f>
        <v>0</v>
      </c>
      <c r="J857" s="18">
        <f>_xll.ciqfunctions.udf.CIQ($C$2,"IQ_OPEB_OBLIGATION_PROJECTED_DOM",J$6,$F$2,,,Ccy,Conv)</f>
        <v>2257</v>
      </c>
      <c r="K857" s="18">
        <f>_xll.ciqfunctions.udf.CIQ($C$2,"IQ_OPEB_OBLIGATION_PROJECTED_DOM",K$6,$F$2,,,Ccy,Conv)</f>
        <v>0</v>
      </c>
      <c r="L857" s="18">
        <f>_xll.ciqfunctions.udf.CIQ($C$2,"IQ_OPEB_OBLIGATION_PROJECTED_DOM",L$6,$F$2,,,Ccy,Conv)</f>
        <v>0</v>
      </c>
      <c r="M857" s="18">
        <f>_xll.ciqfunctions.udf.CIQ($C$2,"IQ_OPEB_OBLIGATION_PROJECTED_DOM",M$6,$F$2,,,Ccy,Conv)</f>
        <v>0</v>
      </c>
      <c r="N857" s="18">
        <f>_xll.ciqfunctions.udf.CIQ($C$2,"IQ_OPEB_OBLIGATION_PROJECTED_DOM",N$6,$F$2,,,Ccy,Conv)</f>
        <v>2224</v>
      </c>
      <c r="O857" s="30"/>
      <c r="P857" s="18">
        <f>_xll.ciqfunctions.udf.CIQ($C$2,"IQ_OPEB_OBLIGATION_PROJECTED_DOM",P$6,$F$2,,,Ccy,Conv)</f>
        <v>2224</v>
      </c>
      <c r="Q857" s="215"/>
      <c r="R857" s="215"/>
      <c r="S857" s="215"/>
      <c r="T857" s="215"/>
      <c r="U857" s="215"/>
      <c r="V857" s="222"/>
      <c r="W857" s="222"/>
      <c r="X857" s="222"/>
      <c r="Y857" s="215"/>
      <c r="Z857" s="215"/>
      <c r="AA857" s="215"/>
      <c r="AB857" s="215"/>
      <c r="AC857" s="215"/>
      <c r="AD857" s="215"/>
      <c r="AE857" s="215"/>
      <c r="AF857" s="215"/>
      <c r="AG857" s="215"/>
      <c r="AH857" s="215"/>
      <c r="AI857" s="215"/>
      <c r="AJ857" s="215"/>
      <c r="AK857" s="215"/>
      <c r="AL857" s="215"/>
      <c r="AM857" s="215"/>
      <c r="AN857" s="215"/>
      <c r="AO857" s="215"/>
      <c r="AP857" s="215"/>
      <c r="AQ857" s="215"/>
      <c r="AR857" s="215"/>
      <c r="AS857" s="215"/>
      <c r="AT857" s="215"/>
      <c r="AU857" s="215"/>
      <c r="AV857" s="215"/>
      <c r="AW857" s="215"/>
      <c r="AX857" s="215"/>
      <c r="AY857" s="215"/>
      <c r="AZ857" s="215"/>
      <c r="BA857" s="215"/>
      <c r="BB857" s="215"/>
      <c r="BC857" s="215"/>
      <c r="BD857" s="215"/>
      <c r="BE857" s="215"/>
      <c r="BF857" s="215"/>
      <c r="BG857" s="215"/>
      <c r="BH857" s="215"/>
      <c r="BI857" s="215"/>
      <c r="BJ857" s="215"/>
      <c r="BK857" s="215"/>
      <c r="BL857" s="215"/>
      <c r="BM857" s="215"/>
      <c r="BN857" s="215"/>
      <c r="BO857" s="215"/>
      <c r="BP857" s="215"/>
      <c r="BQ857" s="215"/>
      <c r="BR857" s="215"/>
      <c r="BS857" s="215"/>
      <c r="BT857" s="215"/>
      <c r="BU857" s="215"/>
      <c r="BV857" s="215"/>
      <c r="BW857" s="215"/>
      <c r="BX857" s="215"/>
      <c r="BY857" s="215"/>
      <c r="BZ857" s="215"/>
    </row>
    <row r="858" spans="1:78" outlineLevel="1" x14ac:dyDescent="0.2">
      <c r="A858" s="2" t="str">
        <f>'Language Index'!A589</f>
        <v>Accumulated Benefit Obligation</v>
      </c>
      <c r="B858" s="17"/>
      <c r="C858" s="17"/>
      <c r="D858" s="18">
        <f>_xll.ciqfunctions.udf.CIQ($C$2,"IQ_OPEB_OBLIGATION_ACCUMULATED_DOM",D$6,$F$2,,,Ccy,Conv)</f>
        <v>0</v>
      </c>
      <c r="E858" s="18">
        <f>_xll.ciqfunctions.udf.CIQ($C$2,"IQ_OPEB_OBLIGATION_ACCUMULATED_DOM",E$6,$F$2,,,Ccy,Conv)</f>
        <v>0</v>
      </c>
      <c r="F858" s="18">
        <f>_xll.ciqfunctions.udf.CIQ($C$2,"IQ_OPEB_OBLIGATION_ACCUMULATED_DOM",F$6,$F$2,,,Ccy,Conv)</f>
        <v>0</v>
      </c>
      <c r="G858" s="18">
        <f>_xll.ciqfunctions.udf.CIQ($C$2,"IQ_OPEB_OBLIGATION_ACCUMULATED_DOM",G$6,$F$2,,,Ccy,Conv)</f>
        <v>0</v>
      </c>
      <c r="H858" s="18">
        <f>_xll.ciqfunctions.udf.CIQ($C$2,"IQ_OPEB_OBLIGATION_ACCUMULATED_DOM",H$6,$F$2,,,Ccy,Conv)</f>
        <v>0</v>
      </c>
      <c r="I858" s="18">
        <f>_xll.ciqfunctions.udf.CIQ($C$2,"IQ_OPEB_OBLIGATION_ACCUMULATED_DOM",I$6,$F$2,,,Ccy,Conv)</f>
        <v>0</v>
      </c>
      <c r="J858" s="18">
        <f>_xll.ciqfunctions.udf.CIQ($C$2,"IQ_OPEB_OBLIGATION_ACCUMULATED_DOM",J$6,$F$2,,,Ccy,Conv)</f>
        <v>0</v>
      </c>
      <c r="K858" s="18">
        <f>_xll.ciqfunctions.udf.CIQ($C$2,"IQ_OPEB_OBLIGATION_ACCUMULATED_DOM",K$6,$F$2,,,Ccy,Conv)</f>
        <v>0</v>
      </c>
      <c r="L858" s="18">
        <f>_xll.ciqfunctions.udf.CIQ($C$2,"IQ_OPEB_OBLIGATION_ACCUMULATED_DOM",L$6,$F$2,,,Ccy,Conv)</f>
        <v>0</v>
      </c>
      <c r="M858" s="18">
        <f>_xll.ciqfunctions.udf.CIQ($C$2,"IQ_OPEB_OBLIGATION_ACCUMULATED_DOM",M$6,$F$2,,,Ccy,Conv)</f>
        <v>0</v>
      </c>
      <c r="N858" s="18">
        <f>_xll.ciqfunctions.udf.CIQ($C$2,"IQ_OPEB_OBLIGATION_ACCUMULATED_DOM",N$6,$F$2,,,Ccy,Conv)</f>
        <v>0</v>
      </c>
      <c r="O858" s="30"/>
      <c r="P858" s="18">
        <f>_xll.ciqfunctions.udf.CIQ($C$2,"IQ_OPEB_OBLIGATION_ACCUMULATED_DOM",P$6,$F$2,,,Ccy,Conv)</f>
        <v>0</v>
      </c>
      <c r="Q858" s="215"/>
      <c r="R858" s="215"/>
      <c r="S858" s="215"/>
      <c r="T858" s="215"/>
      <c r="U858" s="215"/>
      <c r="V858" s="222"/>
      <c r="W858" s="222"/>
      <c r="X858" s="222"/>
      <c r="Y858" s="215"/>
      <c r="Z858" s="215"/>
      <c r="AA858" s="215"/>
      <c r="AB858" s="215"/>
      <c r="AC858" s="215"/>
      <c r="AD858" s="215"/>
      <c r="AE858" s="215"/>
      <c r="AF858" s="215"/>
      <c r="AG858" s="215"/>
      <c r="AH858" s="215"/>
      <c r="AI858" s="215"/>
      <c r="AJ858" s="215"/>
      <c r="AK858" s="215"/>
      <c r="AL858" s="215"/>
      <c r="AM858" s="215"/>
      <c r="AN858" s="215"/>
      <c r="AO858" s="215"/>
      <c r="AP858" s="215"/>
      <c r="AQ858" s="215"/>
      <c r="AR858" s="215"/>
      <c r="AS858" s="215"/>
      <c r="AT858" s="215"/>
      <c r="AU858" s="215"/>
      <c r="AV858" s="215"/>
      <c r="AW858" s="215"/>
      <c r="AX858" s="215"/>
      <c r="AY858" s="215"/>
      <c r="AZ858" s="215"/>
      <c r="BA858" s="215"/>
      <c r="BB858" s="215"/>
      <c r="BC858" s="215"/>
      <c r="BD858" s="215"/>
      <c r="BE858" s="215"/>
      <c r="BF858" s="215"/>
      <c r="BG858" s="215"/>
      <c r="BH858" s="215"/>
      <c r="BI858" s="215"/>
      <c r="BJ858" s="215"/>
      <c r="BK858" s="215"/>
      <c r="BL858" s="215"/>
      <c r="BM858" s="215"/>
      <c r="BN858" s="215"/>
      <c r="BO858" s="215"/>
      <c r="BP858" s="215"/>
      <c r="BQ858" s="215"/>
      <c r="BR858" s="215"/>
      <c r="BS858" s="215"/>
      <c r="BT858" s="215"/>
      <c r="BU858" s="215"/>
      <c r="BV858" s="215"/>
      <c r="BW858" s="215"/>
      <c r="BX858" s="215"/>
      <c r="BY858" s="215"/>
      <c r="BZ858" s="215"/>
    </row>
    <row r="859" spans="1:78" outlineLevel="1" x14ac:dyDescent="0.2">
      <c r="A859" s="9" t="str">
        <f>'Language Index'!A514</f>
        <v>Plan Assets</v>
      </c>
      <c r="B859" s="17"/>
      <c r="C859" s="17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30"/>
      <c r="P859" s="18"/>
      <c r="Q859" s="215"/>
      <c r="R859" s="215"/>
      <c r="S859" s="215"/>
      <c r="T859" s="215"/>
      <c r="U859" s="215"/>
      <c r="V859" s="222"/>
      <c r="W859" s="222"/>
      <c r="X859" s="222"/>
      <c r="Y859" s="215"/>
      <c r="Z859" s="215"/>
      <c r="AA859" s="215"/>
      <c r="AB859" s="215"/>
      <c r="AC859" s="215"/>
      <c r="AD859" s="215"/>
      <c r="AE859" s="215"/>
      <c r="AF859" s="215"/>
      <c r="AG859" s="215"/>
      <c r="AH859" s="215"/>
      <c r="AI859" s="215"/>
      <c r="AJ859" s="215"/>
      <c r="AK859" s="215"/>
      <c r="AL859" s="215"/>
      <c r="AM859" s="215"/>
      <c r="AN859" s="215"/>
      <c r="AO859" s="215"/>
      <c r="AP859" s="215"/>
      <c r="AQ859" s="215"/>
      <c r="AR859" s="215"/>
      <c r="AS859" s="215"/>
      <c r="AT859" s="215"/>
      <c r="AU859" s="215"/>
      <c r="AV859" s="215"/>
      <c r="AW859" s="215"/>
      <c r="AX859" s="215"/>
      <c r="AY859" s="215"/>
      <c r="AZ859" s="215"/>
      <c r="BA859" s="215"/>
      <c r="BB859" s="215"/>
      <c r="BC859" s="215"/>
      <c r="BD859" s="215"/>
      <c r="BE859" s="215"/>
      <c r="BF859" s="215"/>
      <c r="BG859" s="215"/>
      <c r="BH859" s="215"/>
      <c r="BI859" s="215"/>
      <c r="BJ859" s="215"/>
      <c r="BK859" s="215"/>
      <c r="BL859" s="215"/>
      <c r="BM859" s="215"/>
      <c r="BN859" s="215"/>
      <c r="BO859" s="215"/>
      <c r="BP859" s="215"/>
      <c r="BQ859" s="215"/>
      <c r="BR859" s="215"/>
      <c r="BS859" s="215"/>
      <c r="BT859" s="215"/>
      <c r="BU859" s="215"/>
      <c r="BV859" s="215"/>
      <c r="BW859" s="215"/>
      <c r="BX859" s="215"/>
      <c r="BY859" s="215"/>
      <c r="BZ859" s="215"/>
    </row>
    <row r="860" spans="1:78" outlineLevel="1" x14ac:dyDescent="0.2">
      <c r="A860" s="2" t="str">
        <f>'Language Index'!A515</f>
        <v>Beg. Plan Assets</v>
      </c>
      <c r="B860" s="17"/>
      <c r="C860" s="17"/>
      <c r="D860" s="18">
        <f>_xll.ciqfunctions.udf.CIQ($C$2,"IQ_OPEB_ASSETS_BEG_DOM",D$6,$F$2,,,Ccy,Conv)</f>
        <v>0</v>
      </c>
      <c r="E860" s="18">
        <f>_xll.ciqfunctions.udf.CIQ($C$2,"IQ_OPEB_ASSETS_BEG_DOM",E$6,$F$2,,,Ccy,Conv)</f>
        <v>0</v>
      </c>
      <c r="F860" s="18">
        <f>_xll.ciqfunctions.udf.CIQ($C$2,"IQ_OPEB_ASSETS_BEG_DOM",F$6,$F$2,,,Ccy,Conv)</f>
        <v>10</v>
      </c>
      <c r="G860" s="18">
        <f>_xll.ciqfunctions.udf.CIQ($C$2,"IQ_OPEB_ASSETS_BEG_DOM",G$6,$F$2,,,Ccy,Conv)</f>
        <v>0</v>
      </c>
      <c r="H860" s="18">
        <f>_xll.ciqfunctions.udf.CIQ($C$2,"IQ_OPEB_ASSETS_BEG_DOM",H$6,$F$2,,,Ccy,Conv)</f>
        <v>0</v>
      </c>
      <c r="I860" s="18">
        <f>_xll.ciqfunctions.udf.CIQ($C$2,"IQ_OPEB_ASSETS_BEG_DOM",I$6,$F$2,,,Ccy,Conv)</f>
        <v>0</v>
      </c>
      <c r="J860" s="18">
        <f>_xll.ciqfunctions.udf.CIQ($C$2,"IQ_OPEB_ASSETS_BEG_DOM",J$6,$F$2,,,Ccy,Conv)</f>
        <v>10</v>
      </c>
      <c r="K860" s="18">
        <f>_xll.ciqfunctions.udf.CIQ($C$2,"IQ_OPEB_ASSETS_BEG_DOM",K$6,$F$2,,,Ccy,Conv)</f>
        <v>0</v>
      </c>
      <c r="L860" s="18">
        <f>_xll.ciqfunctions.udf.CIQ($C$2,"IQ_OPEB_ASSETS_BEG_DOM",L$6,$F$2,,,Ccy,Conv)</f>
        <v>0</v>
      </c>
      <c r="M860" s="18">
        <f>_xll.ciqfunctions.udf.CIQ($C$2,"IQ_OPEB_ASSETS_BEG_DOM",M$6,$F$2,,,Ccy,Conv)</f>
        <v>0</v>
      </c>
      <c r="N860" s="18">
        <f>_xll.ciqfunctions.udf.CIQ($C$2,"IQ_OPEB_ASSETS_BEG_DOM",N$6,$F$2,,,Ccy,Conv)</f>
        <v>6</v>
      </c>
      <c r="O860" s="30"/>
      <c r="P860" s="18">
        <f>_xll.ciqfunctions.udf.CIQ($C$2,"IQ_OPEB_ASSETS_BEG_DOM",P$6,$F$2,,,Ccy,Conv)</f>
        <v>6</v>
      </c>
      <c r="Q860" s="215"/>
      <c r="R860" s="215"/>
      <c r="S860" s="215"/>
      <c r="T860" s="215"/>
      <c r="U860" s="215"/>
      <c r="V860" s="222"/>
      <c r="W860" s="222"/>
      <c r="X860" s="222"/>
      <c r="Y860" s="215"/>
      <c r="Z860" s="215"/>
      <c r="AA860" s="215"/>
      <c r="AB860" s="215"/>
      <c r="AC860" s="215"/>
      <c r="AD860" s="215"/>
      <c r="AE860" s="215"/>
      <c r="AF860" s="215"/>
      <c r="AG860" s="215"/>
      <c r="AH860" s="215"/>
      <c r="AI860" s="215"/>
      <c r="AJ860" s="215"/>
      <c r="AK860" s="215"/>
      <c r="AL860" s="215"/>
      <c r="AM860" s="215"/>
      <c r="AN860" s="215"/>
      <c r="AO860" s="215"/>
      <c r="AP860" s="215"/>
      <c r="AQ860" s="215"/>
      <c r="AR860" s="215"/>
      <c r="AS860" s="215"/>
      <c r="AT860" s="215"/>
      <c r="AU860" s="215"/>
      <c r="AV860" s="215"/>
      <c r="AW860" s="215"/>
      <c r="AX860" s="215"/>
      <c r="AY860" s="215"/>
      <c r="AZ860" s="215"/>
      <c r="BA860" s="215"/>
      <c r="BB860" s="215"/>
      <c r="BC860" s="215"/>
      <c r="BD860" s="215"/>
      <c r="BE860" s="215"/>
      <c r="BF860" s="215"/>
      <c r="BG860" s="215"/>
      <c r="BH860" s="215"/>
      <c r="BI860" s="215"/>
      <c r="BJ860" s="215"/>
      <c r="BK860" s="215"/>
      <c r="BL860" s="215"/>
      <c r="BM860" s="215"/>
      <c r="BN860" s="215"/>
      <c r="BO860" s="215"/>
      <c r="BP860" s="215"/>
      <c r="BQ860" s="215"/>
      <c r="BR860" s="215"/>
      <c r="BS860" s="215"/>
      <c r="BT860" s="215"/>
      <c r="BU860" s="215"/>
      <c r="BV860" s="215"/>
      <c r="BW860" s="215"/>
      <c r="BX860" s="215"/>
      <c r="BY860" s="215"/>
      <c r="BZ860" s="215"/>
    </row>
    <row r="861" spans="1:78" outlineLevel="1" x14ac:dyDescent="0.2">
      <c r="A861" s="2" t="str">
        <f>'Language Index'!A516</f>
        <v>Actual Return on Plan Assets</v>
      </c>
      <c r="B861" s="17"/>
      <c r="C861" s="17"/>
      <c r="D861" s="18">
        <f>_xll.ciqfunctions.udf.CIQ($C$2,"IQ_OPEB_ASSETS_ACTUAL_RETURN_DOM",D$6,$F$2,,,Ccy,Conv)</f>
        <v>0</v>
      </c>
      <c r="E861" s="18">
        <f>_xll.ciqfunctions.udf.CIQ($C$2,"IQ_OPEB_ASSETS_ACTUAL_RETURN_DOM",E$6,$F$2,,,Ccy,Conv)</f>
        <v>0</v>
      </c>
      <c r="F861" s="18">
        <f>_xll.ciqfunctions.udf.CIQ($C$2,"IQ_OPEB_ASSETS_ACTUAL_RETURN_DOM",F$6,$F$2,,,Ccy,Conv)</f>
        <v>0</v>
      </c>
      <c r="G861" s="18">
        <f>_xll.ciqfunctions.udf.CIQ($C$2,"IQ_OPEB_ASSETS_ACTUAL_RETURN_DOM",G$6,$F$2,,,Ccy,Conv)</f>
        <v>0</v>
      </c>
      <c r="H861" s="18">
        <f>_xll.ciqfunctions.udf.CIQ($C$2,"IQ_OPEB_ASSETS_ACTUAL_RETURN_DOM",H$6,$F$2,,,Ccy,Conv)</f>
        <v>0</v>
      </c>
      <c r="I861" s="18">
        <f>_xll.ciqfunctions.udf.CIQ($C$2,"IQ_OPEB_ASSETS_ACTUAL_RETURN_DOM",I$6,$F$2,,,Ccy,Conv)</f>
        <v>0</v>
      </c>
      <c r="J861" s="18">
        <f>_xll.ciqfunctions.udf.CIQ($C$2,"IQ_OPEB_ASSETS_ACTUAL_RETURN_DOM",J$6,$F$2,,,Ccy,Conv)</f>
        <v>0</v>
      </c>
      <c r="K861" s="18">
        <f>_xll.ciqfunctions.udf.CIQ($C$2,"IQ_OPEB_ASSETS_ACTUAL_RETURN_DOM",K$6,$F$2,,,Ccy,Conv)</f>
        <v>0</v>
      </c>
      <c r="L861" s="18">
        <f>_xll.ciqfunctions.udf.CIQ($C$2,"IQ_OPEB_ASSETS_ACTUAL_RETURN_DOM",L$6,$F$2,,,Ccy,Conv)</f>
        <v>0</v>
      </c>
      <c r="M861" s="18">
        <f>_xll.ciqfunctions.udf.CIQ($C$2,"IQ_OPEB_ASSETS_ACTUAL_RETURN_DOM",M$6,$F$2,,,Ccy,Conv)</f>
        <v>0</v>
      </c>
      <c r="N861" s="18">
        <f>_xll.ciqfunctions.udf.CIQ($C$2,"IQ_OPEB_ASSETS_ACTUAL_RETURN_DOM",N$6,$F$2,,,Ccy,Conv)</f>
        <v>1</v>
      </c>
      <c r="O861" s="30"/>
      <c r="P861" s="18">
        <f>_xll.ciqfunctions.udf.CIQ($C$2,"IQ_OPEB_ASSETS_ACTUAL_RETURN_DOM",P$6,$F$2,,,Ccy,Conv)</f>
        <v>1</v>
      </c>
      <c r="Q861" s="215"/>
      <c r="R861" s="215"/>
      <c r="S861" s="215"/>
      <c r="T861" s="215"/>
      <c r="U861" s="215"/>
      <c r="V861" s="222"/>
      <c r="W861" s="222"/>
      <c r="X861" s="222"/>
      <c r="Y861" s="215"/>
      <c r="Z861" s="215"/>
      <c r="AA861" s="215"/>
      <c r="AB861" s="215"/>
      <c r="AC861" s="215"/>
      <c r="AD861" s="215"/>
      <c r="AE861" s="215"/>
      <c r="AF861" s="215"/>
      <c r="AG861" s="215"/>
      <c r="AH861" s="215"/>
      <c r="AI861" s="215"/>
      <c r="AJ861" s="215"/>
      <c r="AK861" s="215"/>
      <c r="AL861" s="215"/>
      <c r="AM861" s="215"/>
      <c r="AN861" s="215"/>
      <c r="AO861" s="215"/>
      <c r="AP861" s="215"/>
      <c r="AQ861" s="215"/>
      <c r="AR861" s="215"/>
      <c r="AS861" s="215"/>
      <c r="AT861" s="215"/>
      <c r="AU861" s="215"/>
      <c r="AV861" s="215"/>
      <c r="AW861" s="215"/>
      <c r="AX861" s="215"/>
      <c r="AY861" s="215"/>
      <c r="AZ861" s="215"/>
      <c r="BA861" s="215"/>
      <c r="BB861" s="215"/>
      <c r="BC861" s="215"/>
      <c r="BD861" s="215"/>
      <c r="BE861" s="215"/>
      <c r="BF861" s="215"/>
      <c r="BG861" s="215"/>
      <c r="BH861" s="215"/>
      <c r="BI861" s="215"/>
      <c r="BJ861" s="215"/>
      <c r="BK861" s="215"/>
      <c r="BL861" s="215"/>
      <c r="BM861" s="215"/>
      <c r="BN861" s="215"/>
      <c r="BO861" s="215"/>
      <c r="BP861" s="215"/>
      <c r="BQ861" s="215"/>
      <c r="BR861" s="215"/>
      <c r="BS861" s="215"/>
      <c r="BT861" s="215"/>
      <c r="BU861" s="215"/>
      <c r="BV861" s="215"/>
      <c r="BW861" s="215"/>
      <c r="BX861" s="215"/>
      <c r="BY861" s="215"/>
      <c r="BZ861" s="215"/>
    </row>
    <row r="862" spans="1:78" outlineLevel="1" x14ac:dyDescent="0.2">
      <c r="A862" s="2" t="str">
        <f>'Language Index'!A517</f>
        <v>Employer Contributions</v>
      </c>
      <c r="B862" s="17"/>
      <c r="C862" s="17"/>
      <c r="D862" s="18">
        <f>_xll.ciqfunctions.udf.CIQ($C$2,"IQ_OPEB_ASSETS_EMPLOYER_CONTRIBUTIONS_DOM",D$6,$F$2,,,Ccy,Conv)</f>
        <v>0</v>
      </c>
      <c r="E862" s="18">
        <f>_xll.ciqfunctions.udf.CIQ($C$2,"IQ_OPEB_ASSETS_EMPLOYER_CONTRIBUTIONS_DOM",E$6,$F$2,,,Ccy,Conv)</f>
        <v>0</v>
      </c>
      <c r="F862" s="18">
        <f>_xll.ciqfunctions.udf.CIQ($C$2,"IQ_OPEB_ASSETS_EMPLOYER_CONTRIBUTIONS_DOM",F$6,$F$2,,,Ccy,Conv)</f>
        <v>233</v>
      </c>
      <c r="G862" s="18">
        <f>_xll.ciqfunctions.udf.CIQ($C$2,"IQ_OPEB_ASSETS_EMPLOYER_CONTRIBUTIONS_DOM",G$6,$F$2,,,Ccy,Conv)</f>
        <v>0</v>
      </c>
      <c r="H862" s="18">
        <f>_xll.ciqfunctions.udf.CIQ($C$2,"IQ_OPEB_ASSETS_EMPLOYER_CONTRIBUTIONS_DOM",H$6,$F$2,,,Ccy,Conv)</f>
        <v>0</v>
      </c>
      <c r="I862" s="18">
        <f>_xll.ciqfunctions.udf.CIQ($C$2,"IQ_OPEB_ASSETS_EMPLOYER_CONTRIBUTIONS_DOM",I$6,$F$2,,,Ccy,Conv)</f>
        <v>0</v>
      </c>
      <c r="J862" s="18">
        <f>_xll.ciqfunctions.udf.CIQ($C$2,"IQ_OPEB_ASSETS_EMPLOYER_CONTRIBUTIONS_DOM",J$6,$F$2,,,Ccy,Conv)</f>
        <v>194</v>
      </c>
      <c r="K862" s="18">
        <f>_xll.ciqfunctions.udf.CIQ($C$2,"IQ_OPEB_ASSETS_EMPLOYER_CONTRIBUTIONS_DOM",K$6,$F$2,,,Ccy,Conv)</f>
        <v>0</v>
      </c>
      <c r="L862" s="18">
        <f>_xll.ciqfunctions.udf.CIQ($C$2,"IQ_OPEB_ASSETS_EMPLOYER_CONTRIBUTIONS_DOM",L$6,$F$2,,,Ccy,Conv)</f>
        <v>0</v>
      </c>
      <c r="M862" s="18">
        <f>_xll.ciqfunctions.udf.CIQ($C$2,"IQ_OPEB_ASSETS_EMPLOYER_CONTRIBUTIONS_DOM",M$6,$F$2,,,Ccy,Conv)</f>
        <v>0</v>
      </c>
      <c r="N862" s="18">
        <f>_xll.ciqfunctions.udf.CIQ($C$2,"IQ_OPEB_ASSETS_EMPLOYER_CONTRIBUTIONS_DOM",N$6,$F$2,,,Ccy,Conv)</f>
        <v>204</v>
      </c>
      <c r="O862" s="30"/>
      <c r="P862" s="18">
        <f>_xll.ciqfunctions.udf.CIQ($C$2,"IQ_OPEB_ASSETS_EMPLOYER_CONTRIBUTIONS_DOM",P$6,$F$2,,,Ccy,Conv)</f>
        <v>204</v>
      </c>
      <c r="Q862" s="215"/>
      <c r="R862" s="215"/>
      <c r="S862" s="215"/>
      <c r="T862" s="215"/>
      <c r="U862" s="215"/>
      <c r="V862" s="222"/>
      <c r="W862" s="222"/>
      <c r="X862" s="222"/>
      <c r="Y862" s="215"/>
      <c r="Z862" s="215"/>
      <c r="AA862" s="215"/>
      <c r="AB862" s="215"/>
      <c r="AC862" s="215"/>
      <c r="AD862" s="215"/>
      <c r="AE862" s="215"/>
      <c r="AF862" s="215"/>
      <c r="AG862" s="215"/>
      <c r="AH862" s="215"/>
      <c r="AI862" s="215"/>
      <c r="AJ862" s="215"/>
      <c r="AK862" s="215"/>
      <c r="AL862" s="215"/>
      <c r="AM862" s="215"/>
      <c r="AN862" s="215"/>
      <c r="AO862" s="215"/>
      <c r="AP862" s="215"/>
      <c r="AQ862" s="215"/>
      <c r="AR862" s="215"/>
      <c r="AS862" s="215"/>
      <c r="AT862" s="215"/>
      <c r="AU862" s="215"/>
      <c r="AV862" s="215"/>
      <c r="AW862" s="215"/>
      <c r="AX862" s="215"/>
      <c r="AY862" s="215"/>
      <c r="AZ862" s="215"/>
      <c r="BA862" s="215"/>
      <c r="BB862" s="215"/>
      <c r="BC862" s="215"/>
      <c r="BD862" s="215"/>
      <c r="BE862" s="215"/>
      <c r="BF862" s="215"/>
      <c r="BG862" s="215"/>
      <c r="BH862" s="215"/>
      <c r="BI862" s="215"/>
      <c r="BJ862" s="215"/>
      <c r="BK862" s="215"/>
      <c r="BL862" s="215"/>
      <c r="BM862" s="215"/>
      <c r="BN862" s="215"/>
      <c r="BO862" s="215"/>
      <c r="BP862" s="215"/>
      <c r="BQ862" s="215"/>
      <c r="BR862" s="215"/>
      <c r="BS862" s="215"/>
      <c r="BT862" s="215"/>
      <c r="BU862" s="215"/>
      <c r="BV862" s="215"/>
      <c r="BW862" s="215"/>
      <c r="BX862" s="215"/>
      <c r="BY862" s="215"/>
      <c r="BZ862" s="215"/>
    </row>
    <row r="863" spans="1:78" outlineLevel="1" x14ac:dyDescent="0.2">
      <c r="A863" s="2" t="str">
        <f>'Language Index'!A518</f>
        <v>Participant Contributions</v>
      </c>
      <c r="B863" s="17"/>
      <c r="C863" s="17"/>
      <c r="D863" s="18">
        <f>_xll.ciqfunctions.udf.CIQ($C$2,"IQ_OPEB_ASSETS_PARTICIP_CONTRIBUTIONS_DOM",D$6,$F$2,,,Ccy,Conv)</f>
        <v>0</v>
      </c>
      <c r="E863" s="18">
        <f>_xll.ciqfunctions.udf.CIQ($C$2,"IQ_OPEB_ASSETS_PARTICIP_CONTRIBUTIONS_DOM",E$6,$F$2,,,Ccy,Conv)</f>
        <v>0</v>
      </c>
      <c r="F863" s="18">
        <f>_xll.ciqfunctions.udf.CIQ($C$2,"IQ_OPEB_ASSETS_PARTICIP_CONTRIBUTIONS_DOM",F$6,$F$2,,,Ccy,Conv)</f>
        <v>38</v>
      </c>
      <c r="G863" s="18">
        <f>_xll.ciqfunctions.udf.CIQ($C$2,"IQ_OPEB_ASSETS_PARTICIP_CONTRIBUTIONS_DOM",G$6,$F$2,,,Ccy,Conv)</f>
        <v>0</v>
      </c>
      <c r="H863" s="18">
        <f>_xll.ciqfunctions.udf.CIQ($C$2,"IQ_OPEB_ASSETS_PARTICIP_CONTRIBUTIONS_DOM",H$6,$F$2,,,Ccy,Conv)</f>
        <v>0</v>
      </c>
      <c r="I863" s="18">
        <f>_xll.ciqfunctions.udf.CIQ($C$2,"IQ_OPEB_ASSETS_PARTICIP_CONTRIBUTIONS_DOM",I$6,$F$2,,,Ccy,Conv)</f>
        <v>0</v>
      </c>
      <c r="J863" s="18">
        <f>_xll.ciqfunctions.udf.CIQ($C$2,"IQ_OPEB_ASSETS_PARTICIP_CONTRIBUTIONS_DOM",J$6,$F$2,,,Ccy,Conv)</f>
        <v>33</v>
      </c>
      <c r="K863" s="18">
        <f>_xll.ciqfunctions.udf.CIQ($C$2,"IQ_OPEB_ASSETS_PARTICIP_CONTRIBUTIONS_DOM",K$6,$F$2,,,Ccy,Conv)</f>
        <v>0</v>
      </c>
      <c r="L863" s="18">
        <f>_xll.ciqfunctions.udf.CIQ($C$2,"IQ_OPEB_ASSETS_PARTICIP_CONTRIBUTIONS_DOM",L$6,$F$2,,,Ccy,Conv)</f>
        <v>0</v>
      </c>
      <c r="M863" s="18">
        <f>_xll.ciqfunctions.udf.CIQ($C$2,"IQ_OPEB_ASSETS_PARTICIP_CONTRIBUTIONS_DOM",M$6,$F$2,,,Ccy,Conv)</f>
        <v>0</v>
      </c>
      <c r="N863" s="18">
        <f>_xll.ciqfunctions.udf.CIQ($C$2,"IQ_OPEB_ASSETS_PARTICIP_CONTRIBUTIONS_DOM",N$6,$F$2,,,Ccy,Conv)</f>
        <v>33</v>
      </c>
      <c r="O863" s="30"/>
      <c r="P863" s="18">
        <f>_xll.ciqfunctions.udf.CIQ($C$2,"IQ_OPEB_ASSETS_PARTICIP_CONTRIBUTIONS_DOM",P$6,$F$2,,,Ccy,Conv)</f>
        <v>33</v>
      </c>
      <c r="Q863" s="215"/>
      <c r="R863" s="215"/>
      <c r="S863" s="215"/>
      <c r="T863" s="215"/>
      <c r="U863" s="215"/>
      <c r="V863" s="222"/>
      <c r="W863" s="222"/>
      <c r="X863" s="222"/>
      <c r="Y863" s="215"/>
      <c r="Z863" s="215"/>
      <c r="AA863" s="215"/>
      <c r="AB863" s="215"/>
      <c r="AC863" s="215"/>
      <c r="AD863" s="215"/>
      <c r="AE863" s="215"/>
      <c r="AF863" s="215"/>
      <c r="AG863" s="215"/>
      <c r="AH863" s="215"/>
      <c r="AI863" s="215"/>
      <c r="AJ863" s="215"/>
      <c r="AK863" s="215"/>
      <c r="AL863" s="215"/>
      <c r="AM863" s="215"/>
      <c r="AN863" s="215"/>
      <c r="AO863" s="215"/>
      <c r="AP863" s="215"/>
      <c r="AQ863" s="215"/>
      <c r="AR863" s="215"/>
      <c r="AS863" s="215"/>
      <c r="AT863" s="215"/>
      <c r="AU863" s="215"/>
      <c r="AV863" s="215"/>
      <c r="AW863" s="215"/>
      <c r="AX863" s="215"/>
      <c r="AY863" s="215"/>
      <c r="AZ863" s="215"/>
      <c r="BA863" s="215"/>
      <c r="BB863" s="215"/>
      <c r="BC863" s="215"/>
      <c r="BD863" s="215"/>
      <c r="BE863" s="215"/>
      <c r="BF863" s="215"/>
      <c r="BG863" s="215"/>
      <c r="BH863" s="215"/>
      <c r="BI863" s="215"/>
      <c r="BJ863" s="215"/>
      <c r="BK863" s="215"/>
      <c r="BL863" s="215"/>
      <c r="BM863" s="215"/>
      <c r="BN863" s="215"/>
      <c r="BO863" s="215"/>
      <c r="BP863" s="215"/>
      <c r="BQ863" s="215"/>
      <c r="BR863" s="215"/>
      <c r="BS863" s="215"/>
      <c r="BT863" s="215"/>
      <c r="BU863" s="215"/>
      <c r="BV863" s="215"/>
      <c r="BW863" s="215"/>
      <c r="BX863" s="215"/>
      <c r="BY863" s="215"/>
      <c r="BZ863" s="215"/>
    </row>
    <row r="864" spans="1:78" outlineLevel="1" x14ac:dyDescent="0.2">
      <c r="A864" s="2" t="str">
        <f>'Language Index'!A519</f>
        <v>Benefits Paid</v>
      </c>
      <c r="B864" s="17"/>
      <c r="C864" s="17"/>
      <c r="D864" s="18">
        <f>_xll.ciqfunctions.udf.CIQ($C$2,"IQ_OPEB_ASSETS_BENEFITS_PAID_DOM",D$6,$F$2,,,Ccy,Conv)</f>
        <v>0</v>
      </c>
      <c r="E864" s="18">
        <f>_xll.ciqfunctions.udf.CIQ($C$2,"IQ_OPEB_ASSETS_BENEFITS_PAID_DOM",E$6,$F$2,,,Ccy,Conv)</f>
        <v>0</v>
      </c>
      <c r="F864" s="18">
        <f>_xll.ciqfunctions.udf.CIQ($C$2,"IQ_OPEB_ASSETS_BENEFITS_PAID_DOM",F$6,$F$2,,,Ccy,Conv)</f>
        <v>-274</v>
      </c>
      <c r="G864" s="18">
        <f>_xll.ciqfunctions.udf.CIQ($C$2,"IQ_OPEB_ASSETS_BENEFITS_PAID_DOM",G$6,$F$2,,,Ccy,Conv)</f>
        <v>0</v>
      </c>
      <c r="H864" s="18">
        <f>_xll.ciqfunctions.udf.CIQ($C$2,"IQ_OPEB_ASSETS_BENEFITS_PAID_DOM",H$6,$F$2,,,Ccy,Conv)</f>
        <v>0</v>
      </c>
      <c r="I864" s="18">
        <f>_xll.ciqfunctions.udf.CIQ($C$2,"IQ_OPEB_ASSETS_BENEFITS_PAID_DOM",I$6,$F$2,,,Ccy,Conv)</f>
        <v>0</v>
      </c>
      <c r="J864" s="18">
        <f>_xll.ciqfunctions.udf.CIQ($C$2,"IQ_OPEB_ASSETS_BENEFITS_PAID_DOM",J$6,$F$2,,,Ccy,Conv)</f>
        <v>-233</v>
      </c>
      <c r="K864" s="18">
        <f>_xll.ciqfunctions.udf.CIQ($C$2,"IQ_OPEB_ASSETS_BENEFITS_PAID_DOM",K$6,$F$2,,,Ccy,Conv)</f>
        <v>0</v>
      </c>
      <c r="L864" s="18">
        <f>_xll.ciqfunctions.udf.CIQ($C$2,"IQ_OPEB_ASSETS_BENEFITS_PAID_DOM",L$6,$F$2,,,Ccy,Conv)</f>
        <v>0</v>
      </c>
      <c r="M864" s="18">
        <f>_xll.ciqfunctions.udf.CIQ($C$2,"IQ_OPEB_ASSETS_BENEFITS_PAID_DOM",M$6,$F$2,,,Ccy,Conv)</f>
        <v>0</v>
      </c>
      <c r="N864" s="18">
        <f>_xll.ciqfunctions.udf.CIQ($C$2,"IQ_OPEB_ASSETS_BENEFITS_PAID_DOM",N$6,$F$2,,,Ccy,Conv)</f>
        <v>-239</v>
      </c>
      <c r="O864" s="30"/>
      <c r="P864" s="18">
        <f>_xll.ciqfunctions.udf.CIQ($C$2,"IQ_OPEB_ASSETS_BENEFITS_PAID_DOM",P$6,$F$2,,,Ccy,Conv)</f>
        <v>-239</v>
      </c>
      <c r="Q864" s="215"/>
      <c r="R864" s="215"/>
      <c r="S864" s="215"/>
      <c r="T864" s="215"/>
      <c r="U864" s="215"/>
      <c r="V864" s="222"/>
      <c r="W864" s="222"/>
      <c r="X864" s="222"/>
      <c r="Y864" s="215"/>
      <c r="Z864" s="215"/>
      <c r="AA864" s="215"/>
      <c r="AB864" s="215"/>
      <c r="AC864" s="215"/>
      <c r="AD864" s="215"/>
      <c r="AE864" s="215"/>
      <c r="AF864" s="215"/>
      <c r="AG864" s="215"/>
      <c r="AH864" s="215"/>
      <c r="AI864" s="215"/>
      <c r="AJ864" s="215"/>
      <c r="AK864" s="215"/>
      <c r="AL864" s="215"/>
      <c r="AM864" s="215"/>
      <c r="AN864" s="215"/>
      <c r="AO864" s="215"/>
      <c r="AP864" s="215"/>
      <c r="AQ864" s="215"/>
      <c r="AR864" s="215"/>
      <c r="AS864" s="215"/>
      <c r="AT864" s="215"/>
      <c r="AU864" s="215"/>
      <c r="AV864" s="215"/>
      <c r="AW864" s="215"/>
      <c r="AX864" s="215"/>
      <c r="AY864" s="215"/>
      <c r="AZ864" s="215"/>
      <c r="BA864" s="215"/>
      <c r="BB864" s="215"/>
      <c r="BC864" s="215"/>
      <c r="BD864" s="215"/>
      <c r="BE864" s="215"/>
      <c r="BF864" s="215"/>
      <c r="BG864" s="215"/>
      <c r="BH864" s="215"/>
      <c r="BI864" s="215"/>
      <c r="BJ864" s="215"/>
      <c r="BK864" s="215"/>
      <c r="BL864" s="215"/>
      <c r="BM864" s="215"/>
      <c r="BN864" s="215"/>
      <c r="BO864" s="215"/>
      <c r="BP864" s="215"/>
      <c r="BQ864" s="215"/>
      <c r="BR864" s="215"/>
      <c r="BS864" s="215"/>
      <c r="BT864" s="215"/>
      <c r="BU864" s="215"/>
      <c r="BV864" s="215"/>
      <c r="BW864" s="215"/>
      <c r="BX864" s="215"/>
      <c r="BY864" s="215"/>
      <c r="BZ864" s="215"/>
    </row>
    <row r="865" spans="1:78" outlineLevel="1" x14ac:dyDescent="0.2">
      <c r="A865" s="2" t="str">
        <f>'Language Index'!A520</f>
        <v>Foreign Exchange Adjustments</v>
      </c>
      <c r="B865" s="17"/>
      <c r="C865" s="17"/>
      <c r="D865" s="18">
        <f>_xll.ciqfunctions.udf.CIQ($C$2,"IQ_OPEB_ASSETS_FX_ADJ_DOM",D$6,$F$2,,,Ccy,Conv)</f>
        <v>0</v>
      </c>
      <c r="E865" s="18">
        <f>_xll.ciqfunctions.udf.CIQ($C$2,"IQ_OPEB_ASSETS_FX_ADJ_DOM",E$6,$F$2,,,Ccy,Conv)</f>
        <v>0</v>
      </c>
      <c r="F865" s="18">
        <f>_xll.ciqfunctions.udf.CIQ($C$2,"IQ_OPEB_ASSETS_FX_ADJ_DOM",F$6,$F$2,,,Ccy,Conv)</f>
        <v>0</v>
      </c>
      <c r="G865" s="18">
        <f>_xll.ciqfunctions.udf.CIQ($C$2,"IQ_OPEB_ASSETS_FX_ADJ_DOM",G$6,$F$2,,,Ccy,Conv)</f>
        <v>0</v>
      </c>
      <c r="H865" s="18">
        <f>_xll.ciqfunctions.udf.CIQ($C$2,"IQ_OPEB_ASSETS_FX_ADJ_DOM",H$6,$F$2,,,Ccy,Conv)</f>
        <v>0</v>
      </c>
      <c r="I865" s="18">
        <f>_xll.ciqfunctions.udf.CIQ($C$2,"IQ_OPEB_ASSETS_FX_ADJ_DOM",I$6,$F$2,,,Ccy,Conv)</f>
        <v>0</v>
      </c>
      <c r="J865" s="18">
        <f>_xll.ciqfunctions.udf.CIQ($C$2,"IQ_OPEB_ASSETS_FX_ADJ_DOM",J$6,$F$2,,,Ccy,Conv)</f>
        <v>0</v>
      </c>
      <c r="K865" s="18">
        <f>_xll.ciqfunctions.udf.CIQ($C$2,"IQ_OPEB_ASSETS_FX_ADJ_DOM",K$6,$F$2,,,Ccy,Conv)</f>
        <v>0</v>
      </c>
      <c r="L865" s="18">
        <f>_xll.ciqfunctions.udf.CIQ($C$2,"IQ_OPEB_ASSETS_FX_ADJ_DOM",L$6,$F$2,,,Ccy,Conv)</f>
        <v>0</v>
      </c>
      <c r="M865" s="18">
        <f>_xll.ciqfunctions.udf.CIQ($C$2,"IQ_OPEB_ASSETS_FX_ADJ_DOM",M$6,$F$2,,,Ccy,Conv)</f>
        <v>0</v>
      </c>
      <c r="N865" s="18">
        <f>_xll.ciqfunctions.udf.CIQ($C$2,"IQ_OPEB_ASSETS_FX_ADJ_DOM",N$6,$F$2,,,Ccy,Conv)</f>
        <v>0</v>
      </c>
      <c r="O865" s="30"/>
      <c r="P865" s="18">
        <f>_xll.ciqfunctions.udf.CIQ($C$2,"IQ_OPEB_ASSETS_FX_ADJ_DOM",P$6,$F$2,,,Ccy,Conv)</f>
        <v>0</v>
      </c>
      <c r="Q865" s="215"/>
      <c r="R865" s="215"/>
      <c r="S865" s="215"/>
      <c r="T865" s="215"/>
      <c r="U865" s="215"/>
      <c r="V865" s="222"/>
      <c r="W865" s="222"/>
      <c r="X865" s="222"/>
      <c r="Y865" s="215"/>
      <c r="Z865" s="215"/>
      <c r="AA865" s="215"/>
      <c r="AB865" s="215"/>
      <c r="AC865" s="215"/>
      <c r="AD865" s="215"/>
      <c r="AE865" s="215"/>
      <c r="AF865" s="215"/>
      <c r="AG865" s="215"/>
      <c r="AH865" s="215"/>
      <c r="AI865" s="215"/>
      <c r="AJ865" s="215"/>
      <c r="AK865" s="215"/>
      <c r="AL865" s="215"/>
      <c r="AM865" s="215"/>
      <c r="AN865" s="215"/>
      <c r="AO865" s="215"/>
      <c r="AP865" s="215"/>
      <c r="AQ865" s="215"/>
      <c r="AR865" s="215"/>
      <c r="AS865" s="215"/>
      <c r="AT865" s="215"/>
      <c r="AU865" s="215"/>
      <c r="AV865" s="215"/>
      <c r="AW865" s="215"/>
      <c r="AX865" s="215"/>
      <c r="AY865" s="215"/>
      <c r="AZ865" s="215"/>
      <c r="BA865" s="215"/>
      <c r="BB865" s="215"/>
      <c r="BC865" s="215"/>
      <c r="BD865" s="215"/>
      <c r="BE865" s="215"/>
      <c r="BF865" s="215"/>
      <c r="BG865" s="215"/>
      <c r="BH865" s="215"/>
      <c r="BI865" s="215"/>
      <c r="BJ865" s="215"/>
      <c r="BK865" s="215"/>
      <c r="BL865" s="215"/>
      <c r="BM865" s="215"/>
      <c r="BN865" s="215"/>
      <c r="BO865" s="215"/>
      <c r="BP865" s="215"/>
      <c r="BQ865" s="215"/>
      <c r="BR865" s="215"/>
      <c r="BS865" s="215"/>
      <c r="BT865" s="215"/>
      <c r="BU865" s="215"/>
      <c r="BV865" s="215"/>
      <c r="BW865" s="215"/>
      <c r="BX865" s="215"/>
      <c r="BY865" s="215"/>
      <c r="BZ865" s="215"/>
    </row>
    <row r="866" spans="1:78" outlineLevel="1" x14ac:dyDescent="0.2">
      <c r="A866" s="2" t="str">
        <f>'Language Index'!A521</f>
        <v>Acquired Plan Assets</v>
      </c>
      <c r="B866" s="17"/>
      <c r="C866" s="17"/>
      <c r="D866" s="18">
        <f>_xll.ciqfunctions.udf.CIQ($C$2,"IQ_OPEB_ASSETS_ACQ_DOM",D$6,$F$2,,,Ccy,Conv)</f>
        <v>0</v>
      </c>
      <c r="E866" s="18">
        <f>_xll.ciqfunctions.udf.CIQ($C$2,"IQ_OPEB_ASSETS_ACQ_DOM",E$6,$F$2,,,Ccy,Conv)</f>
        <v>0</v>
      </c>
      <c r="F866" s="18">
        <f>_xll.ciqfunctions.udf.CIQ($C$2,"IQ_OPEB_ASSETS_ACQ_DOM",F$6,$F$2,,,Ccy,Conv)</f>
        <v>0</v>
      </c>
      <c r="G866" s="18">
        <f>_xll.ciqfunctions.udf.CIQ($C$2,"IQ_OPEB_ASSETS_ACQ_DOM",G$6,$F$2,,,Ccy,Conv)</f>
        <v>0</v>
      </c>
      <c r="H866" s="18">
        <f>_xll.ciqfunctions.udf.CIQ($C$2,"IQ_OPEB_ASSETS_ACQ_DOM",H$6,$F$2,,,Ccy,Conv)</f>
        <v>0</v>
      </c>
      <c r="I866" s="18">
        <f>_xll.ciqfunctions.udf.CIQ($C$2,"IQ_OPEB_ASSETS_ACQ_DOM",I$6,$F$2,,,Ccy,Conv)</f>
        <v>0</v>
      </c>
      <c r="J866" s="18">
        <f>_xll.ciqfunctions.udf.CIQ($C$2,"IQ_OPEB_ASSETS_ACQ_DOM",J$6,$F$2,,,Ccy,Conv)</f>
        <v>0</v>
      </c>
      <c r="K866" s="18">
        <f>_xll.ciqfunctions.udf.CIQ($C$2,"IQ_OPEB_ASSETS_ACQ_DOM",K$6,$F$2,,,Ccy,Conv)</f>
        <v>0</v>
      </c>
      <c r="L866" s="18">
        <f>_xll.ciqfunctions.udf.CIQ($C$2,"IQ_OPEB_ASSETS_ACQ_DOM",L$6,$F$2,,,Ccy,Conv)</f>
        <v>0</v>
      </c>
      <c r="M866" s="18">
        <f>_xll.ciqfunctions.udf.CIQ($C$2,"IQ_OPEB_ASSETS_ACQ_DOM",M$6,$F$2,,,Ccy,Conv)</f>
        <v>0</v>
      </c>
      <c r="N866" s="18">
        <f>_xll.ciqfunctions.udf.CIQ($C$2,"IQ_OPEB_ASSETS_ACQ_DOM",N$6,$F$2,,,Ccy,Conv)</f>
        <v>0</v>
      </c>
      <c r="O866" s="30"/>
      <c r="P866" s="18">
        <f>_xll.ciqfunctions.udf.CIQ($C$2,"IQ_OPEB_ASSETS_ACQ_DOM",P$6,$F$2,,,Ccy,Conv)</f>
        <v>0</v>
      </c>
      <c r="Q866" s="215"/>
      <c r="R866" s="215"/>
      <c r="S866" s="215"/>
      <c r="T866" s="215"/>
      <c r="U866" s="215"/>
      <c r="V866" s="222"/>
      <c r="W866" s="222"/>
      <c r="X866" s="222"/>
      <c r="Y866" s="215"/>
      <c r="Z866" s="215"/>
      <c r="AA866" s="215"/>
      <c r="AB866" s="215"/>
      <c r="AC866" s="215"/>
      <c r="AD866" s="215"/>
      <c r="AE866" s="215"/>
      <c r="AF866" s="215"/>
      <c r="AG866" s="215"/>
      <c r="AH866" s="215"/>
      <c r="AI866" s="215"/>
      <c r="AJ866" s="215"/>
      <c r="AK866" s="215"/>
      <c r="AL866" s="215"/>
      <c r="AM866" s="215"/>
      <c r="AN866" s="215"/>
      <c r="AO866" s="215"/>
      <c r="AP866" s="215"/>
      <c r="AQ866" s="215"/>
      <c r="AR866" s="215"/>
      <c r="AS866" s="215"/>
      <c r="AT866" s="215"/>
      <c r="AU866" s="215"/>
      <c r="AV866" s="215"/>
      <c r="AW866" s="215"/>
      <c r="AX866" s="215"/>
      <c r="AY866" s="215"/>
      <c r="AZ866" s="215"/>
      <c r="BA866" s="215"/>
      <c r="BB866" s="215"/>
      <c r="BC866" s="215"/>
      <c r="BD866" s="215"/>
      <c r="BE866" s="215"/>
      <c r="BF866" s="215"/>
      <c r="BG866" s="215"/>
      <c r="BH866" s="215"/>
      <c r="BI866" s="215"/>
      <c r="BJ866" s="215"/>
      <c r="BK866" s="215"/>
      <c r="BL866" s="215"/>
      <c r="BM866" s="215"/>
      <c r="BN866" s="215"/>
      <c r="BO866" s="215"/>
      <c r="BP866" s="215"/>
      <c r="BQ866" s="215"/>
      <c r="BR866" s="215"/>
      <c r="BS866" s="215"/>
      <c r="BT866" s="215"/>
      <c r="BU866" s="215"/>
      <c r="BV866" s="215"/>
      <c r="BW866" s="215"/>
      <c r="BX866" s="215"/>
      <c r="BY866" s="215"/>
      <c r="BZ866" s="215"/>
    </row>
    <row r="867" spans="1:78" outlineLevel="1" x14ac:dyDescent="0.2">
      <c r="A867" s="2" t="str">
        <f>'Language Index'!A522</f>
        <v>Plan Settlement/Curtailment</v>
      </c>
      <c r="B867" s="17"/>
      <c r="C867" s="17"/>
      <c r="D867" s="18">
        <f>_xll.ciqfunctions.udf.CIQ($C$2,"IQ_OPEB_ASSETS_CURTAIL_DOM",D$6,$F$2,,,Ccy,Conv)</f>
        <v>0</v>
      </c>
      <c r="E867" s="18">
        <f>_xll.ciqfunctions.udf.CIQ($C$2,"IQ_OPEB_ASSETS_CURTAIL_DOM",E$6,$F$2,,,Ccy,Conv)</f>
        <v>0</v>
      </c>
      <c r="F867" s="18">
        <f>_xll.ciqfunctions.udf.CIQ($C$2,"IQ_OPEB_ASSETS_CURTAIL_DOM",F$6,$F$2,,,Ccy,Conv)</f>
        <v>0</v>
      </c>
      <c r="G867" s="18">
        <f>_xll.ciqfunctions.udf.CIQ($C$2,"IQ_OPEB_ASSETS_CURTAIL_DOM",G$6,$F$2,,,Ccy,Conv)</f>
        <v>0</v>
      </c>
      <c r="H867" s="18">
        <f>_xll.ciqfunctions.udf.CIQ($C$2,"IQ_OPEB_ASSETS_CURTAIL_DOM",H$6,$F$2,,,Ccy,Conv)</f>
        <v>0</v>
      </c>
      <c r="I867" s="18">
        <f>_xll.ciqfunctions.udf.CIQ($C$2,"IQ_OPEB_ASSETS_CURTAIL_DOM",I$6,$F$2,,,Ccy,Conv)</f>
        <v>0</v>
      </c>
      <c r="J867" s="18">
        <f>_xll.ciqfunctions.udf.CIQ($C$2,"IQ_OPEB_ASSETS_CURTAIL_DOM",J$6,$F$2,,,Ccy,Conv)</f>
        <v>0</v>
      </c>
      <c r="K867" s="18">
        <f>_xll.ciqfunctions.udf.CIQ($C$2,"IQ_OPEB_ASSETS_CURTAIL_DOM",K$6,$F$2,,,Ccy,Conv)</f>
        <v>0</v>
      </c>
      <c r="L867" s="18">
        <f>_xll.ciqfunctions.udf.CIQ($C$2,"IQ_OPEB_ASSETS_CURTAIL_DOM",L$6,$F$2,,,Ccy,Conv)</f>
        <v>0</v>
      </c>
      <c r="M867" s="18">
        <f>_xll.ciqfunctions.udf.CIQ($C$2,"IQ_OPEB_ASSETS_CURTAIL_DOM",M$6,$F$2,,,Ccy,Conv)</f>
        <v>0</v>
      </c>
      <c r="N867" s="18">
        <f>_xll.ciqfunctions.udf.CIQ($C$2,"IQ_OPEB_ASSETS_CURTAIL_DOM",N$6,$F$2,,,Ccy,Conv)</f>
        <v>0</v>
      </c>
      <c r="O867" s="30"/>
      <c r="P867" s="18">
        <f>_xll.ciqfunctions.udf.CIQ($C$2,"IQ_OPEB_ASSETS_CURTAIL_DOM",P$6,$F$2,,,Ccy,Conv)</f>
        <v>0</v>
      </c>
      <c r="Q867" s="215"/>
      <c r="R867" s="215"/>
      <c r="S867" s="215"/>
      <c r="T867" s="215"/>
      <c r="U867" s="215"/>
      <c r="V867" s="222"/>
      <c r="W867" s="222"/>
      <c r="X867" s="222"/>
      <c r="Y867" s="215"/>
      <c r="Z867" s="215"/>
      <c r="AA867" s="215"/>
      <c r="AB867" s="215"/>
      <c r="AC867" s="215"/>
      <c r="AD867" s="215"/>
      <c r="AE867" s="215"/>
      <c r="AF867" s="215"/>
      <c r="AG867" s="215"/>
      <c r="AH867" s="215"/>
      <c r="AI867" s="215"/>
      <c r="AJ867" s="215"/>
      <c r="AK867" s="215"/>
      <c r="AL867" s="215"/>
      <c r="AM867" s="215"/>
      <c r="AN867" s="215"/>
      <c r="AO867" s="215"/>
      <c r="AP867" s="215"/>
      <c r="AQ867" s="215"/>
      <c r="AR867" s="215"/>
      <c r="AS867" s="215"/>
      <c r="AT867" s="215"/>
      <c r="AU867" s="215"/>
      <c r="AV867" s="215"/>
      <c r="AW867" s="215"/>
      <c r="AX867" s="215"/>
      <c r="AY867" s="215"/>
      <c r="AZ867" s="215"/>
      <c r="BA867" s="215"/>
      <c r="BB867" s="215"/>
      <c r="BC867" s="215"/>
      <c r="BD867" s="215"/>
      <c r="BE867" s="215"/>
      <c r="BF867" s="215"/>
      <c r="BG867" s="215"/>
      <c r="BH867" s="215"/>
      <c r="BI867" s="215"/>
      <c r="BJ867" s="215"/>
      <c r="BK867" s="215"/>
      <c r="BL867" s="215"/>
      <c r="BM867" s="215"/>
      <c r="BN867" s="215"/>
      <c r="BO867" s="215"/>
      <c r="BP867" s="215"/>
      <c r="BQ867" s="215"/>
      <c r="BR867" s="215"/>
      <c r="BS867" s="215"/>
      <c r="BT867" s="215"/>
      <c r="BU867" s="215"/>
      <c r="BV867" s="215"/>
      <c r="BW867" s="215"/>
      <c r="BX867" s="215"/>
      <c r="BY867" s="215"/>
      <c r="BZ867" s="215"/>
    </row>
    <row r="868" spans="1:78" outlineLevel="1" x14ac:dyDescent="0.2">
      <c r="A868" s="2" t="str">
        <f>'Language Index'!A523</f>
        <v>Other Plan Adjustments</v>
      </c>
      <c r="B868" s="17"/>
      <c r="C868" s="17"/>
      <c r="D868" s="18">
        <f>_xll.ciqfunctions.udf.CIQ($C$2,"IQ_OPEB_ASSETS_OTHER_PLAN_ADJ_DOM",D$6,$F$2,,,Ccy,Conv)</f>
        <v>0</v>
      </c>
      <c r="E868" s="18">
        <f>_xll.ciqfunctions.udf.CIQ($C$2,"IQ_OPEB_ASSETS_OTHER_PLAN_ADJ_DOM",E$6,$F$2,,,Ccy,Conv)</f>
        <v>0</v>
      </c>
      <c r="F868" s="18">
        <f>_xll.ciqfunctions.udf.CIQ($C$2,"IQ_OPEB_ASSETS_OTHER_PLAN_ADJ_DOM",F$6,$F$2,,,Ccy,Conv)</f>
        <v>2</v>
      </c>
      <c r="G868" s="18">
        <f>_xll.ciqfunctions.udf.CIQ($C$2,"IQ_OPEB_ASSETS_OTHER_PLAN_ADJ_DOM",G$6,$F$2,,,Ccy,Conv)</f>
        <v>0</v>
      </c>
      <c r="H868" s="18">
        <f>_xll.ciqfunctions.udf.CIQ($C$2,"IQ_OPEB_ASSETS_OTHER_PLAN_ADJ_DOM",H$6,$F$2,,,Ccy,Conv)</f>
        <v>0</v>
      </c>
      <c r="I868" s="18">
        <f>_xll.ciqfunctions.udf.CIQ($C$2,"IQ_OPEB_ASSETS_OTHER_PLAN_ADJ_DOM",I$6,$F$2,,,Ccy,Conv)</f>
        <v>0</v>
      </c>
      <c r="J868" s="18">
        <f>_xll.ciqfunctions.udf.CIQ($C$2,"IQ_OPEB_ASSETS_OTHER_PLAN_ADJ_DOM",J$6,$F$2,,,Ccy,Conv)</f>
        <v>2</v>
      </c>
      <c r="K868" s="18">
        <f>_xll.ciqfunctions.udf.CIQ($C$2,"IQ_OPEB_ASSETS_OTHER_PLAN_ADJ_DOM",K$6,$F$2,,,Ccy,Conv)</f>
        <v>0</v>
      </c>
      <c r="L868" s="18">
        <f>_xll.ciqfunctions.udf.CIQ($C$2,"IQ_OPEB_ASSETS_OTHER_PLAN_ADJ_DOM",L$6,$F$2,,,Ccy,Conv)</f>
        <v>0</v>
      </c>
      <c r="M868" s="18">
        <f>_xll.ciqfunctions.udf.CIQ($C$2,"IQ_OPEB_ASSETS_OTHER_PLAN_ADJ_DOM",M$6,$F$2,,,Ccy,Conv)</f>
        <v>0</v>
      </c>
      <c r="N868" s="18">
        <f>_xll.ciqfunctions.udf.CIQ($C$2,"IQ_OPEB_ASSETS_OTHER_PLAN_ADJ_DOM",N$6,$F$2,,,Ccy,Conv)</f>
        <v>0</v>
      </c>
      <c r="O868" s="30"/>
      <c r="P868" s="18">
        <f>_xll.ciqfunctions.udf.CIQ($C$2,"IQ_OPEB_ASSETS_OTHER_PLAN_ADJ_DOM",P$6,$F$2,,,Ccy,Conv)</f>
        <v>0</v>
      </c>
      <c r="Q868" s="215"/>
      <c r="R868" s="215"/>
      <c r="S868" s="215"/>
      <c r="T868" s="215"/>
      <c r="U868" s="215"/>
      <c r="V868" s="222"/>
      <c r="W868" s="222"/>
      <c r="X868" s="222"/>
      <c r="Y868" s="215"/>
      <c r="Z868" s="215"/>
      <c r="AA868" s="215"/>
      <c r="AB868" s="215"/>
      <c r="AC868" s="215"/>
      <c r="AD868" s="215"/>
      <c r="AE868" s="215"/>
      <c r="AF868" s="215"/>
      <c r="AG868" s="215"/>
      <c r="AH868" s="215"/>
      <c r="AI868" s="215"/>
      <c r="AJ868" s="215"/>
      <c r="AK868" s="215"/>
      <c r="AL868" s="215"/>
      <c r="AM868" s="215"/>
      <c r="AN868" s="215"/>
      <c r="AO868" s="215"/>
      <c r="AP868" s="215"/>
      <c r="AQ868" s="215"/>
      <c r="AR868" s="215"/>
      <c r="AS868" s="215"/>
      <c r="AT868" s="215"/>
      <c r="AU868" s="215"/>
      <c r="AV868" s="215"/>
      <c r="AW868" s="215"/>
      <c r="AX868" s="215"/>
      <c r="AY868" s="215"/>
      <c r="AZ868" s="215"/>
      <c r="BA868" s="215"/>
      <c r="BB868" s="215"/>
      <c r="BC868" s="215"/>
      <c r="BD868" s="215"/>
      <c r="BE868" s="215"/>
      <c r="BF868" s="215"/>
      <c r="BG868" s="215"/>
      <c r="BH868" s="215"/>
      <c r="BI868" s="215"/>
      <c r="BJ868" s="215"/>
      <c r="BK868" s="215"/>
      <c r="BL868" s="215"/>
      <c r="BM868" s="215"/>
      <c r="BN868" s="215"/>
      <c r="BO868" s="215"/>
      <c r="BP868" s="215"/>
      <c r="BQ868" s="215"/>
      <c r="BR868" s="215"/>
      <c r="BS868" s="215"/>
      <c r="BT868" s="215"/>
      <c r="BU868" s="215"/>
      <c r="BV868" s="215"/>
      <c r="BW868" s="215"/>
      <c r="BX868" s="215"/>
      <c r="BY868" s="215"/>
      <c r="BZ868" s="215"/>
    </row>
    <row r="869" spans="1:78" outlineLevel="1" x14ac:dyDescent="0.2">
      <c r="A869" s="2" t="str">
        <f>'Language Index'!A524</f>
        <v>Total Plan Assets</v>
      </c>
      <c r="B869" s="17"/>
      <c r="C869" s="17"/>
      <c r="D869" s="18">
        <f>_xll.ciqfunctions.udf.CIQ($C$2,"IQ_OPEB_ASSETS_DOM",D$6,$F$2,,,Ccy,Conv)</f>
        <v>0</v>
      </c>
      <c r="E869" s="18">
        <f>_xll.ciqfunctions.udf.CIQ($C$2,"IQ_OPEB_ASSETS_DOM",E$6,$F$2,,,Ccy,Conv)</f>
        <v>0</v>
      </c>
      <c r="F869" s="18">
        <f>_xll.ciqfunctions.udf.CIQ($C$2,"IQ_OPEB_ASSETS_DOM",F$6,$F$2,,,Ccy,Conv)</f>
        <v>10</v>
      </c>
      <c r="G869" s="18">
        <f>_xll.ciqfunctions.udf.CIQ($C$2,"IQ_OPEB_ASSETS_DOM",G$6,$F$2,,,Ccy,Conv)</f>
        <v>0</v>
      </c>
      <c r="H869" s="18">
        <f>_xll.ciqfunctions.udf.CIQ($C$2,"IQ_OPEB_ASSETS_DOM",H$6,$F$2,,,Ccy,Conv)</f>
        <v>0</v>
      </c>
      <c r="I869" s="18">
        <f>_xll.ciqfunctions.udf.CIQ($C$2,"IQ_OPEB_ASSETS_DOM",I$6,$F$2,,,Ccy,Conv)</f>
        <v>0</v>
      </c>
      <c r="J869" s="18">
        <f>_xll.ciqfunctions.udf.CIQ($C$2,"IQ_OPEB_ASSETS_DOM",J$6,$F$2,,,Ccy,Conv)</f>
        <v>6</v>
      </c>
      <c r="K869" s="18">
        <f>_xll.ciqfunctions.udf.CIQ($C$2,"IQ_OPEB_ASSETS_DOM",K$6,$F$2,,,Ccy,Conv)</f>
        <v>0</v>
      </c>
      <c r="L869" s="18">
        <f>_xll.ciqfunctions.udf.CIQ($C$2,"IQ_OPEB_ASSETS_DOM",L$6,$F$2,,,Ccy,Conv)</f>
        <v>0</v>
      </c>
      <c r="M869" s="18">
        <f>_xll.ciqfunctions.udf.CIQ($C$2,"IQ_OPEB_ASSETS_DOM",M$6,$F$2,,,Ccy,Conv)</f>
        <v>0</v>
      </c>
      <c r="N869" s="18">
        <f>_xll.ciqfunctions.udf.CIQ($C$2,"IQ_OPEB_ASSETS_DOM",N$6,$F$2,,,Ccy,Conv)</f>
        <v>5</v>
      </c>
      <c r="O869" s="30"/>
      <c r="P869" s="18">
        <f>_xll.ciqfunctions.udf.CIQ($C$2,"IQ_OPEB_ASSETS_DOM",P$6,$F$2,,,Ccy,Conv)</f>
        <v>5</v>
      </c>
      <c r="Q869" s="215"/>
      <c r="R869" s="215"/>
      <c r="S869" s="215"/>
      <c r="T869" s="215"/>
      <c r="U869" s="215"/>
      <c r="V869" s="222"/>
      <c r="W869" s="222"/>
      <c r="X869" s="222"/>
      <c r="Y869" s="215"/>
      <c r="Z869" s="215"/>
      <c r="AA869" s="215"/>
      <c r="AB869" s="215"/>
      <c r="AC869" s="215"/>
      <c r="AD869" s="215"/>
      <c r="AE869" s="215"/>
      <c r="AF869" s="215"/>
      <c r="AG869" s="215"/>
      <c r="AH869" s="215"/>
      <c r="AI869" s="215"/>
      <c r="AJ869" s="215"/>
      <c r="AK869" s="215"/>
      <c r="AL869" s="215"/>
      <c r="AM869" s="215"/>
      <c r="AN869" s="215"/>
      <c r="AO869" s="215"/>
      <c r="AP869" s="215"/>
      <c r="AQ869" s="215"/>
      <c r="AR869" s="215"/>
      <c r="AS869" s="215"/>
      <c r="AT869" s="215"/>
      <c r="AU869" s="215"/>
      <c r="AV869" s="215"/>
      <c r="AW869" s="215"/>
      <c r="AX869" s="215"/>
      <c r="AY869" s="215"/>
      <c r="AZ869" s="215"/>
      <c r="BA869" s="215"/>
      <c r="BB869" s="215"/>
      <c r="BC869" s="215"/>
      <c r="BD869" s="215"/>
      <c r="BE869" s="215"/>
      <c r="BF869" s="215"/>
      <c r="BG869" s="215"/>
      <c r="BH869" s="215"/>
      <c r="BI869" s="215"/>
      <c r="BJ869" s="215"/>
      <c r="BK869" s="215"/>
      <c r="BL869" s="215"/>
      <c r="BM869" s="215"/>
      <c r="BN869" s="215"/>
      <c r="BO869" s="215"/>
      <c r="BP869" s="215"/>
      <c r="BQ869" s="215"/>
      <c r="BR869" s="215"/>
      <c r="BS869" s="215"/>
      <c r="BT869" s="215"/>
      <c r="BU869" s="215"/>
      <c r="BV869" s="215"/>
      <c r="BW869" s="215"/>
      <c r="BX869" s="215"/>
      <c r="BY869" s="215"/>
      <c r="BZ869" s="215"/>
    </row>
    <row r="870" spans="1:78" outlineLevel="1" x14ac:dyDescent="0.2">
      <c r="A870" s="9" t="str">
        <f>'Language Index'!A525</f>
        <v>Weighted Avg. Assumptions on Net Periodic Cost</v>
      </c>
      <c r="B870" s="17"/>
      <c r="C870" s="17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30"/>
      <c r="P870" s="18"/>
      <c r="Q870" s="215"/>
      <c r="R870" s="215"/>
      <c r="S870" s="215"/>
      <c r="T870" s="215"/>
      <c r="U870" s="215"/>
      <c r="V870" s="222"/>
      <c r="W870" s="222"/>
      <c r="X870" s="222"/>
      <c r="Y870" s="215"/>
      <c r="Z870" s="215"/>
      <c r="AA870" s="215"/>
      <c r="AB870" s="215"/>
      <c r="AC870" s="215"/>
      <c r="AD870" s="215"/>
      <c r="AE870" s="215"/>
      <c r="AF870" s="215"/>
      <c r="AG870" s="215"/>
      <c r="AH870" s="215"/>
      <c r="AI870" s="215"/>
      <c r="AJ870" s="215"/>
      <c r="AK870" s="215"/>
      <c r="AL870" s="215"/>
      <c r="AM870" s="215"/>
      <c r="AN870" s="215"/>
      <c r="AO870" s="215"/>
      <c r="AP870" s="215"/>
      <c r="AQ870" s="215"/>
      <c r="AR870" s="215"/>
      <c r="AS870" s="215"/>
      <c r="AT870" s="215"/>
      <c r="AU870" s="215"/>
      <c r="AV870" s="215"/>
      <c r="AW870" s="215"/>
      <c r="AX870" s="215"/>
      <c r="AY870" s="215"/>
      <c r="AZ870" s="215"/>
      <c r="BA870" s="215"/>
      <c r="BB870" s="215"/>
      <c r="BC870" s="215"/>
      <c r="BD870" s="215"/>
      <c r="BE870" s="215"/>
      <c r="BF870" s="215"/>
      <c r="BG870" s="215"/>
      <c r="BH870" s="215"/>
      <c r="BI870" s="215"/>
      <c r="BJ870" s="215"/>
      <c r="BK870" s="215"/>
      <c r="BL870" s="215"/>
      <c r="BM870" s="215"/>
      <c r="BN870" s="215"/>
      <c r="BO870" s="215"/>
      <c r="BP870" s="215"/>
      <c r="BQ870" s="215"/>
      <c r="BR870" s="215"/>
      <c r="BS870" s="215"/>
      <c r="BT870" s="215"/>
      <c r="BU870" s="215"/>
      <c r="BV870" s="215"/>
      <c r="BW870" s="215"/>
      <c r="BX870" s="215"/>
      <c r="BY870" s="215"/>
      <c r="BZ870" s="215"/>
    </row>
    <row r="871" spans="1:78" outlineLevel="1" x14ac:dyDescent="0.2">
      <c r="A871" s="2" t="str">
        <f>'Language Index'!A526</f>
        <v>Net Periodic Cost Disc. Rate - Min</v>
      </c>
      <c r="B871" s="17"/>
      <c r="C871" s="17"/>
      <c r="D871" s="18">
        <f>_xll.ciqfunctions.udf.CIQ($C$2,"IQ_OPEB_DISC_RATE_MIN_DOM",D$6,$F$2)</f>
        <v>0</v>
      </c>
      <c r="E871" s="18">
        <f>_xll.ciqfunctions.udf.CIQ($C$2,"IQ_OPEB_DISC_RATE_MIN_DOM",E$6,$F$2)</f>
        <v>0</v>
      </c>
      <c r="F871" s="18">
        <f>_xll.ciqfunctions.udf.CIQ($C$2,"IQ_OPEB_DISC_RATE_MIN_DOM",F$6,$F$2)</f>
        <v>5.3</v>
      </c>
      <c r="G871" s="18">
        <f>_xll.ciqfunctions.udf.CIQ($C$2,"IQ_OPEB_DISC_RATE_MIN_DOM",G$6,$F$2)</f>
        <v>0</v>
      </c>
      <c r="H871" s="18">
        <f>_xll.ciqfunctions.udf.CIQ($C$2,"IQ_OPEB_DISC_RATE_MIN_DOM",H$6,$F$2)</f>
        <v>0</v>
      </c>
      <c r="I871" s="18">
        <f>_xll.ciqfunctions.udf.CIQ($C$2,"IQ_OPEB_DISC_RATE_MIN_DOM",I$6,$F$2)</f>
        <v>0</v>
      </c>
      <c r="J871" s="18">
        <f>_xll.ciqfunctions.udf.CIQ($C$2,"IQ_OPEB_DISC_RATE_MIN_DOM",J$6,$F$2)</f>
        <v>5</v>
      </c>
      <c r="K871" s="18">
        <f>_xll.ciqfunctions.udf.CIQ($C$2,"IQ_OPEB_DISC_RATE_MIN_DOM",K$6,$F$2)</f>
        <v>0</v>
      </c>
      <c r="L871" s="18">
        <f>_xll.ciqfunctions.udf.CIQ($C$2,"IQ_OPEB_DISC_RATE_MIN_DOM",L$6,$F$2)</f>
        <v>0</v>
      </c>
      <c r="M871" s="18">
        <f>_xll.ciqfunctions.udf.CIQ($C$2,"IQ_OPEB_DISC_RATE_MIN_DOM",M$6,$F$2)</f>
        <v>0</v>
      </c>
      <c r="N871" s="18">
        <f>_xll.ciqfunctions.udf.CIQ($C$2,"IQ_OPEB_DISC_RATE_MIN_DOM",N$6,$F$2)</f>
        <v>5.3</v>
      </c>
      <c r="O871" s="30"/>
      <c r="P871" s="18">
        <f>_xll.ciqfunctions.udf.CIQ($C$2,"IQ_OPEB_DISC_RATE_MIN_DOM",P$6,$F$2)</f>
        <v>5.3</v>
      </c>
      <c r="Q871" s="245"/>
      <c r="R871" s="215"/>
      <c r="S871" s="215"/>
      <c r="T871" s="215"/>
      <c r="U871" s="215"/>
      <c r="V871" s="222"/>
      <c r="W871" s="222"/>
      <c r="X871" s="222"/>
      <c r="Y871" s="215"/>
      <c r="Z871" s="215"/>
      <c r="AA871" s="215"/>
      <c r="AB871" s="215"/>
      <c r="AC871" s="215"/>
      <c r="AD871" s="215"/>
      <c r="AE871" s="215"/>
      <c r="AF871" s="215"/>
      <c r="AG871" s="215"/>
      <c r="AH871" s="215"/>
      <c r="AI871" s="215"/>
      <c r="AJ871" s="215"/>
      <c r="AK871" s="215"/>
      <c r="AL871" s="215"/>
      <c r="AM871" s="215"/>
      <c r="AN871" s="215"/>
      <c r="AO871" s="215"/>
      <c r="AP871" s="215"/>
      <c r="AQ871" s="215"/>
      <c r="AR871" s="215"/>
      <c r="AS871" s="215"/>
      <c r="AT871" s="215"/>
      <c r="AU871" s="215"/>
      <c r="AV871" s="215"/>
      <c r="AW871" s="215"/>
      <c r="AX871" s="215"/>
      <c r="AY871" s="215"/>
      <c r="AZ871" s="215"/>
      <c r="BA871" s="215"/>
      <c r="BB871" s="215"/>
      <c r="BC871" s="215"/>
      <c r="BD871" s="215"/>
      <c r="BE871" s="215"/>
      <c r="BF871" s="215"/>
      <c r="BG871" s="215"/>
      <c r="BH871" s="215"/>
      <c r="BI871" s="215"/>
      <c r="BJ871" s="215"/>
      <c r="BK871" s="215"/>
      <c r="BL871" s="215"/>
      <c r="BM871" s="215"/>
      <c r="BN871" s="215"/>
      <c r="BO871" s="215"/>
      <c r="BP871" s="215"/>
      <c r="BQ871" s="215"/>
      <c r="BR871" s="215"/>
      <c r="BS871" s="215"/>
      <c r="BT871" s="215"/>
      <c r="BU871" s="215"/>
      <c r="BV871" s="215"/>
      <c r="BW871" s="215"/>
      <c r="BX871" s="215"/>
      <c r="BY871" s="215"/>
      <c r="BZ871" s="215"/>
    </row>
    <row r="872" spans="1:78" outlineLevel="1" x14ac:dyDescent="0.2">
      <c r="A872" s="2" t="str">
        <f>'Language Index'!A527</f>
        <v>Net Periodic Cost Disc. Rate - Max</v>
      </c>
      <c r="B872" s="17"/>
      <c r="C872" s="17"/>
      <c r="D872" s="18">
        <f>_xll.ciqfunctions.udf.CIQ($C$2,"IQ_OPEB_DISC_RATE_MAX_DOM",D$6,$F$2)</f>
        <v>0</v>
      </c>
      <c r="E872" s="18">
        <f>_xll.ciqfunctions.udf.CIQ($C$2,"IQ_OPEB_DISC_RATE_MAX_DOM",E$6,$F$2)</f>
        <v>0</v>
      </c>
      <c r="F872" s="18">
        <f>_xll.ciqfunctions.udf.CIQ($C$2,"IQ_OPEB_DISC_RATE_MAX_DOM",F$6,$F$2)</f>
        <v>5.3</v>
      </c>
      <c r="G872" s="18">
        <f>_xll.ciqfunctions.udf.CIQ($C$2,"IQ_OPEB_DISC_RATE_MAX_DOM",G$6,$F$2)</f>
        <v>0</v>
      </c>
      <c r="H872" s="18">
        <f>_xll.ciqfunctions.udf.CIQ($C$2,"IQ_OPEB_DISC_RATE_MAX_DOM",H$6,$F$2)</f>
        <v>0</v>
      </c>
      <c r="I872" s="18">
        <f>_xll.ciqfunctions.udf.CIQ($C$2,"IQ_OPEB_DISC_RATE_MAX_DOM",I$6,$F$2)</f>
        <v>0</v>
      </c>
      <c r="J872" s="18">
        <f>_xll.ciqfunctions.udf.CIQ($C$2,"IQ_OPEB_DISC_RATE_MAX_DOM",J$6,$F$2)</f>
        <v>5</v>
      </c>
      <c r="K872" s="18">
        <f>_xll.ciqfunctions.udf.CIQ($C$2,"IQ_OPEB_DISC_RATE_MAX_DOM",K$6,$F$2)</f>
        <v>0</v>
      </c>
      <c r="L872" s="18">
        <f>_xll.ciqfunctions.udf.CIQ($C$2,"IQ_OPEB_DISC_RATE_MAX_DOM",L$6,$F$2)</f>
        <v>0</v>
      </c>
      <c r="M872" s="18">
        <f>_xll.ciqfunctions.udf.CIQ($C$2,"IQ_OPEB_DISC_RATE_MAX_DOM",M$6,$F$2)</f>
        <v>0</v>
      </c>
      <c r="N872" s="18">
        <f>_xll.ciqfunctions.udf.CIQ($C$2,"IQ_OPEB_DISC_RATE_MAX_DOM",N$6,$F$2)</f>
        <v>5.3</v>
      </c>
      <c r="O872" s="30"/>
      <c r="P872" s="18">
        <f>_xll.ciqfunctions.udf.CIQ($C$2,"IQ_OPEB_DISC_RATE_MAX_DOM",P$6,$F$2)</f>
        <v>5.3</v>
      </c>
      <c r="Q872" s="245"/>
      <c r="R872" s="215"/>
      <c r="S872" s="215"/>
      <c r="T872" s="215"/>
      <c r="U872" s="215"/>
      <c r="V872" s="222"/>
      <c r="W872" s="222"/>
      <c r="X872" s="222"/>
      <c r="Y872" s="215"/>
      <c r="Z872" s="215"/>
      <c r="AA872" s="215"/>
      <c r="AB872" s="215"/>
      <c r="AC872" s="215"/>
      <c r="AD872" s="215"/>
      <c r="AE872" s="215"/>
      <c r="AF872" s="215"/>
      <c r="AG872" s="215"/>
      <c r="AH872" s="215"/>
      <c r="AI872" s="215"/>
      <c r="AJ872" s="215"/>
      <c r="AK872" s="215"/>
      <c r="AL872" s="215"/>
      <c r="AM872" s="215"/>
      <c r="AN872" s="215"/>
      <c r="AO872" s="215"/>
      <c r="AP872" s="215"/>
      <c r="AQ872" s="215"/>
      <c r="AR872" s="215"/>
      <c r="AS872" s="215"/>
      <c r="AT872" s="215"/>
      <c r="AU872" s="215"/>
      <c r="AV872" s="215"/>
      <c r="AW872" s="215"/>
      <c r="AX872" s="215"/>
      <c r="AY872" s="215"/>
      <c r="AZ872" s="215"/>
      <c r="BA872" s="215"/>
      <c r="BB872" s="215"/>
      <c r="BC872" s="215"/>
      <c r="BD872" s="215"/>
      <c r="BE872" s="215"/>
      <c r="BF872" s="215"/>
      <c r="BG872" s="215"/>
      <c r="BH872" s="215"/>
      <c r="BI872" s="215"/>
      <c r="BJ872" s="215"/>
      <c r="BK872" s="215"/>
      <c r="BL872" s="215"/>
      <c r="BM872" s="215"/>
      <c r="BN872" s="215"/>
      <c r="BO872" s="215"/>
      <c r="BP872" s="215"/>
      <c r="BQ872" s="215"/>
      <c r="BR872" s="215"/>
      <c r="BS872" s="215"/>
      <c r="BT872" s="215"/>
      <c r="BU872" s="215"/>
      <c r="BV872" s="215"/>
      <c r="BW872" s="215"/>
      <c r="BX872" s="215"/>
      <c r="BY872" s="215"/>
      <c r="BZ872" s="215"/>
    </row>
    <row r="873" spans="1:78" outlineLevel="1" x14ac:dyDescent="0.2">
      <c r="A873" s="2" t="str">
        <f>'Language Index'!A528</f>
        <v>Rate of Comp. Increase - Min</v>
      </c>
      <c r="B873" s="17"/>
      <c r="C873" s="17"/>
      <c r="D873" s="18">
        <f>_xll.ciqfunctions.udf.CIQ($C$2,"IQ_OPEB_RATE_COMP_INCREASE_MIN_DOM",D$6,$F$2)</f>
        <v>0</v>
      </c>
      <c r="E873" s="18">
        <f>_xll.ciqfunctions.udf.CIQ($C$2,"IQ_OPEB_RATE_COMP_INCREASE_MIN_DOM",E$6,$F$2)</f>
        <v>0</v>
      </c>
      <c r="F873" s="18">
        <f>_xll.ciqfunctions.udf.CIQ($C$2,"IQ_OPEB_RATE_COMP_INCREASE_MIN_DOM",F$6,$F$2)</f>
        <v>0</v>
      </c>
      <c r="G873" s="18">
        <f>_xll.ciqfunctions.udf.CIQ($C$2,"IQ_OPEB_RATE_COMP_INCREASE_MIN_DOM",G$6,$F$2)</f>
        <v>0</v>
      </c>
      <c r="H873" s="18">
        <f>_xll.ciqfunctions.udf.CIQ($C$2,"IQ_OPEB_RATE_COMP_INCREASE_MIN_DOM",H$6,$F$2)</f>
        <v>0</v>
      </c>
      <c r="I873" s="18">
        <f>_xll.ciqfunctions.udf.CIQ($C$2,"IQ_OPEB_RATE_COMP_INCREASE_MIN_DOM",I$6,$F$2)</f>
        <v>0</v>
      </c>
      <c r="J873" s="18">
        <f>_xll.ciqfunctions.udf.CIQ($C$2,"IQ_OPEB_RATE_COMP_INCREASE_MIN_DOM",J$6,$F$2)</f>
        <v>0</v>
      </c>
      <c r="K873" s="18">
        <f>_xll.ciqfunctions.udf.CIQ($C$2,"IQ_OPEB_RATE_COMP_INCREASE_MIN_DOM",K$6,$F$2)</f>
        <v>0</v>
      </c>
      <c r="L873" s="18">
        <f>_xll.ciqfunctions.udf.CIQ($C$2,"IQ_OPEB_RATE_COMP_INCREASE_MIN_DOM",L$6,$F$2)</f>
        <v>0</v>
      </c>
      <c r="M873" s="18">
        <f>_xll.ciqfunctions.udf.CIQ($C$2,"IQ_OPEB_RATE_COMP_INCREASE_MIN_DOM",M$6,$F$2)</f>
        <v>0</v>
      </c>
      <c r="N873" s="18">
        <f>_xll.ciqfunctions.udf.CIQ($C$2,"IQ_OPEB_RATE_COMP_INCREASE_MIN_DOM",N$6,$F$2)</f>
        <v>0</v>
      </c>
      <c r="O873" s="30"/>
      <c r="P873" s="18">
        <f>_xll.ciqfunctions.udf.CIQ($C$2,"IQ_OPEB_RATE_COMP_INCREASE_MIN_DOM",P$6,$F$2)</f>
        <v>0</v>
      </c>
      <c r="Q873" s="245"/>
      <c r="R873" s="215"/>
      <c r="S873" s="215"/>
      <c r="T873" s="215"/>
      <c r="U873" s="215"/>
      <c r="V873" s="222"/>
      <c r="W873" s="222"/>
      <c r="X873" s="222"/>
      <c r="Y873" s="215"/>
      <c r="Z873" s="215"/>
      <c r="AA873" s="215"/>
      <c r="AB873" s="215"/>
      <c r="AC873" s="215"/>
      <c r="AD873" s="215"/>
      <c r="AE873" s="215"/>
      <c r="AF873" s="215"/>
      <c r="AG873" s="215"/>
      <c r="AH873" s="215"/>
      <c r="AI873" s="215"/>
      <c r="AJ873" s="215"/>
      <c r="AK873" s="215"/>
      <c r="AL873" s="215"/>
      <c r="AM873" s="215"/>
      <c r="AN873" s="215"/>
      <c r="AO873" s="215"/>
      <c r="AP873" s="215"/>
      <c r="AQ873" s="215"/>
      <c r="AR873" s="215"/>
      <c r="AS873" s="215"/>
      <c r="AT873" s="215"/>
      <c r="AU873" s="215"/>
      <c r="AV873" s="215"/>
      <c r="AW873" s="215"/>
      <c r="AX873" s="215"/>
      <c r="AY873" s="215"/>
      <c r="AZ873" s="215"/>
      <c r="BA873" s="215"/>
      <c r="BB873" s="215"/>
      <c r="BC873" s="215"/>
      <c r="BD873" s="215"/>
      <c r="BE873" s="215"/>
      <c r="BF873" s="215"/>
      <c r="BG873" s="215"/>
      <c r="BH873" s="215"/>
      <c r="BI873" s="215"/>
      <c r="BJ873" s="215"/>
      <c r="BK873" s="215"/>
      <c r="BL873" s="215"/>
      <c r="BM873" s="215"/>
      <c r="BN873" s="215"/>
      <c r="BO873" s="215"/>
      <c r="BP873" s="215"/>
      <c r="BQ873" s="215"/>
      <c r="BR873" s="215"/>
      <c r="BS873" s="215"/>
      <c r="BT873" s="215"/>
      <c r="BU873" s="215"/>
      <c r="BV873" s="215"/>
      <c r="BW873" s="215"/>
      <c r="BX873" s="215"/>
      <c r="BY873" s="215"/>
      <c r="BZ873" s="215"/>
    </row>
    <row r="874" spans="1:78" outlineLevel="1" x14ac:dyDescent="0.2">
      <c r="A874" s="2" t="str">
        <f>'Language Index'!A529</f>
        <v>Rate of Comp. Increase - Max</v>
      </c>
      <c r="B874" s="17"/>
      <c r="C874" s="17"/>
      <c r="D874" s="18">
        <f>_xll.ciqfunctions.udf.CIQ($C$2,"IQ_OPEB_RATE_COMP_INCREASE_MAX_DOM",D$6,$F$2)</f>
        <v>0</v>
      </c>
      <c r="E874" s="18">
        <f>_xll.ciqfunctions.udf.CIQ($C$2,"IQ_OPEB_RATE_COMP_INCREASE_MAX_DOM",E$6,$F$2)</f>
        <v>0</v>
      </c>
      <c r="F874" s="18">
        <f>_xll.ciqfunctions.udf.CIQ($C$2,"IQ_OPEB_RATE_COMP_INCREASE_MAX_DOM",F$6,$F$2)</f>
        <v>0</v>
      </c>
      <c r="G874" s="18">
        <f>_xll.ciqfunctions.udf.CIQ($C$2,"IQ_OPEB_RATE_COMP_INCREASE_MAX_DOM",G$6,$F$2)</f>
        <v>0</v>
      </c>
      <c r="H874" s="18">
        <f>_xll.ciqfunctions.udf.CIQ($C$2,"IQ_OPEB_RATE_COMP_INCREASE_MAX_DOM",H$6,$F$2)</f>
        <v>0</v>
      </c>
      <c r="I874" s="18">
        <f>_xll.ciqfunctions.udf.CIQ($C$2,"IQ_OPEB_RATE_COMP_INCREASE_MAX_DOM",I$6,$F$2)</f>
        <v>0</v>
      </c>
      <c r="J874" s="18">
        <f>_xll.ciqfunctions.udf.CIQ($C$2,"IQ_OPEB_RATE_COMP_INCREASE_MAX_DOM",J$6,$F$2)</f>
        <v>0</v>
      </c>
      <c r="K874" s="18">
        <f>_xll.ciqfunctions.udf.CIQ($C$2,"IQ_OPEB_RATE_COMP_INCREASE_MAX_DOM",K$6,$F$2)</f>
        <v>0</v>
      </c>
      <c r="L874" s="18">
        <f>_xll.ciqfunctions.udf.CIQ($C$2,"IQ_OPEB_RATE_COMP_INCREASE_MAX_DOM",L$6,$F$2)</f>
        <v>0</v>
      </c>
      <c r="M874" s="18">
        <f>_xll.ciqfunctions.udf.CIQ($C$2,"IQ_OPEB_RATE_COMP_INCREASE_MAX_DOM",M$6,$F$2)</f>
        <v>0</v>
      </c>
      <c r="N874" s="18">
        <f>_xll.ciqfunctions.udf.CIQ($C$2,"IQ_OPEB_RATE_COMP_INCREASE_MAX_DOM",N$6,$F$2)</f>
        <v>0</v>
      </c>
      <c r="O874" s="30"/>
      <c r="P874" s="18">
        <f>_xll.ciqfunctions.udf.CIQ($C$2,"IQ_OPEB_RATE_COMP_INCREASE_MAX_DOM",P$6,$F$2)</f>
        <v>0</v>
      </c>
      <c r="Q874" s="245"/>
      <c r="R874" s="215"/>
      <c r="S874" s="215"/>
      <c r="T874" s="215"/>
      <c r="U874" s="215"/>
      <c r="V874" s="222"/>
      <c r="W874" s="222"/>
      <c r="X874" s="222"/>
      <c r="Y874" s="215"/>
      <c r="Z874" s="215"/>
      <c r="AA874" s="215"/>
      <c r="AB874" s="215"/>
      <c r="AC874" s="215"/>
      <c r="AD874" s="215"/>
      <c r="AE874" s="215"/>
      <c r="AF874" s="215"/>
      <c r="AG874" s="215"/>
      <c r="AH874" s="215"/>
      <c r="AI874" s="215"/>
      <c r="AJ874" s="215"/>
      <c r="AK874" s="215"/>
      <c r="AL874" s="215"/>
      <c r="AM874" s="215"/>
      <c r="AN874" s="215"/>
      <c r="AO874" s="215"/>
      <c r="AP874" s="215"/>
      <c r="AQ874" s="215"/>
      <c r="AR874" s="215"/>
      <c r="AS874" s="215"/>
      <c r="AT874" s="215"/>
      <c r="AU874" s="215"/>
      <c r="AV874" s="215"/>
      <c r="AW874" s="215"/>
      <c r="AX874" s="215"/>
      <c r="AY874" s="215"/>
      <c r="AZ874" s="215"/>
      <c r="BA874" s="215"/>
      <c r="BB874" s="215"/>
      <c r="BC874" s="215"/>
      <c r="BD874" s="215"/>
      <c r="BE874" s="215"/>
      <c r="BF874" s="215"/>
      <c r="BG874" s="215"/>
      <c r="BH874" s="215"/>
      <c r="BI874" s="215"/>
      <c r="BJ874" s="215"/>
      <c r="BK874" s="215"/>
      <c r="BL874" s="215"/>
      <c r="BM874" s="215"/>
      <c r="BN874" s="215"/>
      <c r="BO874" s="215"/>
      <c r="BP874" s="215"/>
      <c r="BQ874" s="215"/>
      <c r="BR874" s="215"/>
      <c r="BS874" s="215"/>
      <c r="BT874" s="215"/>
      <c r="BU874" s="215"/>
      <c r="BV874" s="215"/>
      <c r="BW874" s="215"/>
      <c r="BX874" s="215"/>
      <c r="BY874" s="215"/>
      <c r="BZ874" s="215"/>
    </row>
    <row r="875" spans="1:78" outlineLevel="1" x14ac:dyDescent="0.2">
      <c r="A875" s="2" t="str">
        <f>'Language Index'!A530</f>
        <v>Exp. Long-Term Rate of Return on Assets - Min</v>
      </c>
      <c r="B875" s="17"/>
      <c r="C875" s="17"/>
      <c r="D875" s="18">
        <f>_xll.ciqfunctions.udf.CIQ($C$2,"IQ_OPEB_EXP_RATE_RETURN_MIN_DOM",D$6,$F$2)</f>
        <v>0</v>
      </c>
      <c r="E875" s="18">
        <f>_xll.ciqfunctions.udf.CIQ($C$2,"IQ_OPEB_EXP_RATE_RETURN_MIN_DOM",E$6,$F$2)</f>
        <v>0</v>
      </c>
      <c r="F875" s="18">
        <f>_xll.ciqfunctions.udf.CIQ($C$2,"IQ_OPEB_EXP_RATE_RETURN_MIN_DOM",F$6,$F$2)</f>
        <v>0</v>
      </c>
      <c r="G875" s="18">
        <f>_xll.ciqfunctions.udf.CIQ($C$2,"IQ_OPEB_EXP_RATE_RETURN_MIN_DOM",G$6,$F$2)</f>
        <v>0</v>
      </c>
      <c r="H875" s="18">
        <f>_xll.ciqfunctions.udf.CIQ($C$2,"IQ_OPEB_EXP_RATE_RETURN_MIN_DOM",H$6,$F$2)</f>
        <v>0</v>
      </c>
      <c r="I875" s="18">
        <f>_xll.ciqfunctions.udf.CIQ($C$2,"IQ_OPEB_EXP_RATE_RETURN_MIN_DOM",I$6,$F$2)</f>
        <v>0</v>
      </c>
      <c r="J875" s="18">
        <f>_xll.ciqfunctions.udf.CIQ($C$2,"IQ_OPEB_EXP_RATE_RETURN_MIN_DOM",J$6,$F$2)</f>
        <v>0</v>
      </c>
      <c r="K875" s="18">
        <f>_xll.ciqfunctions.udf.CIQ($C$2,"IQ_OPEB_EXP_RATE_RETURN_MIN_DOM",K$6,$F$2)</f>
        <v>0</v>
      </c>
      <c r="L875" s="18">
        <f>_xll.ciqfunctions.udf.CIQ($C$2,"IQ_OPEB_EXP_RATE_RETURN_MIN_DOM",L$6,$F$2)</f>
        <v>0</v>
      </c>
      <c r="M875" s="18">
        <f>_xll.ciqfunctions.udf.CIQ($C$2,"IQ_OPEB_EXP_RATE_RETURN_MIN_DOM",M$6,$F$2)</f>
        <v>0</v>
      </c>
      <c r="N875" s="18">
        <f>_xll.ciqfunctions.udf.CIQ($C$2,"IQ_OPEB_EXP_RATE_RETURN_MIN_DOM",N$6,$F$2)</f>
        <v>0</v>
      </c>
      <c r="O875" s="30"/>
      <c r="P875" s="18">
        <f>_xll.ciqfunctions.udf.CIQ($C$2,"IQ_OPEB_EXP_RATE_RETURN_MIN_DOM",P$6,$F$2)</f>
        <v>0</v>
      </c>
      <c r="Q875" s="245"/>
      <c r="R875" s="215"/>
      <c r="S875" s="215"/>
      <c r="T875" s="215"/>
      <c r="U875" s="215"/>
      <c r="V875" s="222"/>
      <c r="W875" s="222"/>
      <c r="X875" s="222"/>
      <c r="Y875" s="215"/>
      <c r="Z875" s="215"/>
      <c r="AA875" s="215"/>
      <c r="AB875" s="215"/>
      <c r="AC875" s="215"/>
      <c r="AD875" s="215"/>
      <c r="AE875" s="215"/>
      <c r="AF875" s="215"/>
      <c r="AG875" s="215"/>
      <c r="AH875" s="215"/>
      <c r="AI875" s="215"/>
      <c r="AJ875" s="215"/>
      <c r="AK875" s="215"/>
      <c r="AL875" s="215"/>
      <c r="AM875" s="215"/>
      <c r="AN875" s="215"/>
      <c r="AO875" s="215"/>
      <c r="AP875" s="215"/>
      <c r="AQ875" s="215"/>
      <c r="AR875" s="215"/>
      <c r="AS875" s="215"/>
      <c r="AT875" s="215"/>
      <c r="AU875" s="215"/>
      <c r="AV875" s="215"/>
      <c r="AW875" s="215"/>
      <c r="AX875" s="215"/>
      <c r="AY875" s="215"/>
      <c r="AZ875" s="215"/>
      <c r="BA875" s="215"/>
      <c r="BB875" s="215"/>
      <c r="BC875" s="215"/>
      <c r="BD875" s="215"/>
      <c r="BE875" s="215"/>
      <c r="BF875" s="215"/>
      <c r="BG875" s="215"/>
      <c r="BH875" s="215"/>
      <c r="BI875" s="215"/>
      <c r="BJ875" s="215"/>
      <c r="BK875" s="215"/>
      <c r="BL875" s="215"/>
      <c r="BM875" s="215"/>
      <c r="BN875" s="215"/>
      <c r="BO875" s="215"/>
      <c r="BP875" s="215"/>
      <c r="BQ875" s="215"/>
      <c r="BR875" s="215"/>
      <c r="BS875" s="215"/>
      <c r="BT875" s="215"/>
      <c r="BU875" s="215"/>
      <c r="BV875" s="215"/>
      <c r="BW875" s="215"/>
      <c r="BX875" s="215"/>
      <c r="BY875" s="215"/>
      <c r="BZ875" s="215"/>
    </row>
    <row r="876" spans="1:78" outlineLevel="1" x14ac:dyDescent="0.2">
      <c r="A876" s="2" t="str">
        <f>'Language Index'!A531</f>
        <v>Exp. Long-Term Rate of Return on Assets - Max</v>
      </c>
      <c r="B876" s="17"/>
      <c r="C876" s="17"/>
      <c r="D876" s="18">
        <f>_xll.ciqfunctions.udf.CIQ($C$2,"IQ_OPEB_EXP_RATE_RETURN_MAX_DOM",D$6,$F$2)</f>
        <v>0</v>
      </c>
      <c r="E876" s="18">
        <f>_xll.ciqfunctions.udf.CIQ($C$2,"IQ_OPEB_EXP_RATE_RETURN_MAX_DOM",E$6,$F$2)</f>
        <v>0</v>
      </c>
      <c r="F876" s="18">
        <f>_xll.ciqfunctions.udf.CIQ($C$2,"IQ_OPEB_EXP_RATE_RETURN_MAX_DOM",F$6,$F$2)</f>
        <v>0</v>
      </c>
      <c r="G876" s="18">
        <f>_xll.ciqfunctions.udf.CIQ($C$2,"IQ_OPEB_EXP_RATE_RETURN_MAX_DOM",G$6,$F$2)</f>
        <v>0</v>
      </c>
      <c r="H876" s="18">
        <f>_xll.ciqfunctions.udf.CIQ($C$2,"IQ_OPEB_EXP_RATE_RETURN_MAX_DOM",H$6,$F$2)</f>
        <v>0</v>
      </c>
      <c r="I876" s="18">
        <f>_xll.ciqfunctions.udf.CIQ($C$2,"IQ_OPEB_EXP_RATE_RETURN_MAX_DOM",I$6,$F$2)</f>
        <v>0</v>
      </c>
      <c r="J876" s="18">
        <f>_xll.ciqfunctions.udf.CIQ($C$2,"IQ_OPEB_EXP_RATE_RETURN_MAX_DOM",J$6,$F$2)</f>
        <v>0</v>
      </c>
      <c r="K876" s="18">
        <f>_xll.ciqfunctions.udf.CIQ($C$2,"IQ_OPEB_EXP_RATE_RETURN_MAX_DOM",K$6,$F$2)</f>
        <v>0</v>
      </c>
      <c r="L876" s="18">
        <f>_xll.ciqfunctions.udf.CIQ($C$2,"IQ_OPEB_EXP_RATE_RETURN_MAX_DOM",L$6,$F$2)</f>
        <v>0</v>
      </c>
      <c r="M876" s="18">
        <f>_xll.ciqfunctions.udf.CIQ($C$2,"IQ_OPEB_EXP_RATE_RETURN_MAX_DOM",M$6,$F$2)</f>
        <v>0</v>
      </c>
      <c r="N876" s="18">
        <f>_xll.ciqfunctions.udf.CIQ($C$2,"IQ_OPEB_EXP_RATE_RETURN_MAX_DOM",N$6,$F$2)</f>
        <v>0</v>
      </c>
      <c r="O876" s="30"/>
      <c r="P876" s="18">
        <f>_xll.ciqfunctions.udf.CIQ($C$2,"IQ_OPEB_EXP_RATE_RETURN_MAX_DOM",P$6,$F$2)</f>
        <v>0</v>
      </c>
      <c r="Q876" s="245"/>
      <c r="R876" s="215"/>
      <c r="S876" s="215"/>
      <c r="T876" s="215"/>
      <c r="U876" s="215"/>
      <c r="V876" s="222"/>
      <c r="W876" s="222"/>
      <c r="X876" s="222"/>
      <c r="Y876" s="215"/>
      <c r="Z876" s="215"/>
      <c r="AA876" s="215"/>
      <c r="AB876" s="215"/>
      <c r="AC876" s="215"/>
      <c r="AD876" s="215"/>
      <c r="AE876" s="215"/>
      <c r="AF876" s="215"/>
      <c r="AG876" s="215"/>
      <c r="AH876" s="215"/>
      <c r="AI876" s="215"/>
      <c r="AJ876" s="215"/>
      <c r="AK876" s="215"/>
      <c r="AL876" s="215"/>
      <c r="AM876" s="215"/>
      <c r="AN876" s="215"/>
      <c r="AO876" s="215"/>
      <c r="AP876" s="215"/>
      <c r="AQ876" s="215"/>
      <c r="AR876" s="215"/>
      <c r="AS876" s="215"/>
      <c r="AT876" s="215"/>
      <c r="AU876" s="215"/>
      <c r="AV876" s="215"/>
      <c r="AW876" s="215"/>
      <c r="AX876" s="215"/>
      <c r="AY876" s="215"/>
      <c r="AZ876" s="215"/>
      <c r="BA876" s="215"/>
      <c r="BB876" s="215"/>
      <c r="BC876" s="215"/>
      <c r="BD876" s="215"/>
      <c r="BE876" s="215"/>
      <c r="BF876" s="215"/>
      <c r="BG876" s="215"/>
      <c r="BH876" s="215"/>
      <c r="BI876" s="215"/>
      <c r="BJ876" s="215"/>
      <c r="BK876" s="215"/>
      <c r="BL876" s="215"/>
      <c r="BM876" s="215"/>
      <c r="BN876" s="215"/>
      <c r="BO876" s="215"/>
      <c r="BP876" s="215"/>
      <c r="BQ876" s="215"/>
      <c r="BR876" s="215"/>
      <c r="BS876" s="215"/>
      <c r="BT876" s="215"/>
      <c r="BU876" s="215"/>
      <c r="BV876" s="215"/>
      <c r="BW876" s="215"/>
      <c r="BX876" s="215"/>
      <c r="BY876" s="215"/>
      <c r="BZ876" s="215"/>
    </row>
    <row r="877" spans="1:78" outlineLevel="1" x14ac:dyDescent="0.2">
      <c r="A877" s="9" t="str">
        <f>'Language Index'!A532</f>
        <v>Breakdown of Plan Assets</v>
      </c>
      <c r="B877" s="17"/>
      <c r="C877" s="17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30"/>
      <c r="P877" s="18"/>
      <c r="Q877" s="245"/>
      <c r="R877" s="215"/>
      <c r="S877" s="215"/>
      <c r="T877" s="215"/>
      <c r="U877" s="215"/>
      <c r="V877" s="222"/>
      <c r="W877" s="222"/>
      <c r="X877" s="222"/>
      <c r="Y877" s="215"/>
      <c r="Z877" s="215"/>
      <c r="AA877" s="215"/>
      <c r="AB877" s="215"/>
      <c r="AC877" s="215"/>
      <c r="AD877" s="215"/>
      <c r="AE877" s="215"/>
      <c r="AF877" s="215"/>
      <c r="AG877" s="215"/>
      <c r="AH877" s="215"/>
      <c r="AI877" s="215"/>
      <c r="AJ877" s="215"/>
      <c r="AK877" s="215"/>
      <c r="AL877" s="215"/>
      <c r="AM877" s="215"/>
      <c r="AN877" s="215"/>
      <c r="AO877" s="215"/>
      <c r="AP877" s="215"/>
      <c r="AQ877" s="215"/>
      <c r="AR877" s="215"/>
      <c r="AS877" s="215"/>
      <c r="AT877" s="215"/>
      <c r="AU877" s="215"/>
      <c r="AV877" s="215"/>
      <c r="AW877" s="215"/>
      <c r="AX877" s="215"/>
      <c r="AY877" s="215"/>
      <c r="AZ877" s="215"/>
      <c r="BA877" s="215"/>
      <c r="BB877" s="215"/>
      <c r="BC877" s="215"/>
      <c r="BD877" s="215"/>
      <c r="BE877" s="215"/>
      <c r="BF877" s="215"/>
      <c r="BG877" s="215"/>
      <c r="BH877" s="215"/>
      <c r="BI877" s="215"/>
      <c r="BJ877" s="215"/>
      <c r="BK877" s="215"/>
      <c r="BL877" s="215"/>
      <c r="BM877" s="215"/>
      <c r="BN877" s="215"/>
      <c r="BO877" s="215"/>
      <c r="BP877" s="215"/>
      <c r="BQ877" s="215"/>
      <c r="BR877" s="215"/>
      <c r="BS877" s="215"/>
      <c r="BT877" s="215"/>
      <c r="BU877" s="215"/>
      <c r="BV877" s="215"/>
      <c r="BW877" s="215"/>
      <c r="BX877" s="215"/>
      <c r="BY877" s="215"/>
      <c r="BZ877" s="215"/>
    </row>
    <row r="878" spans="1:78" outlineLevel="1" x14ac:dyDescent="0.2">
      <c r="A878" s="2" t="str">
        <f>'Language Index'!A533</f>
        <v>Plan Assets - Equities (%)</v>
      </c>
      <c r="B878" s="17"/>
      <c r="C878" s="17"/>
      <c r="D878" s="18">
        <f>_xll.ciqfunctions.udf.CIQ($C$2,"IQ_OPEB_BREAKDOWN_PCT_EQ_DOM",D$6,$F$2)</f>
        <v>0</v>
      </c>
      <c r="E878" s="18">
        <f>_xll.ciqfunctions.udf.CIQ($C$2,"IQ_OPEB_BREAKDOWN_PCT_EQ_DOM",E$6,$F$2)</f>
        <v>0</v>
      </c>
      <c r="F878" s="18">
        <f>_xll.ciqfunctions.udf.CIQ($C$2,"IQ_OPEB_BREAKDOWN_PCT_EQ_DOM",F$6,$F$2)</f>
        <v>0</v>
      </c>
      <c r="G878" s="18">
        <f>_xll.ciqfunctions.udf.CIQ($C$2,"IQ_OPEB_BREAKDOWN_PCT_EQ_DOM",G$6,$F$2)</f>
        <v>0</v>
      </c>
      <c r="H878" s="18">
        <f>_xll.ciqfunctions.udf.CIQ($C$2,"IQ_OPEB_BREAKDOWN_PCT_EQ_DOM",H$6,$F$2)</f>
        <v>0</v>
      </c>
      <c r="I878" s="18">
        <f>_xll.ciqfunctions.udf.CIQ($C$2,"IQ_OPEB_BREAKDOWN_PCT_EQ_DOM",I$6,$F$2)</f>
        <v>0</v>
      </c>
      <c r="J878" s="18">
        <f>_xll.ciqfunctions.udf.CIQ($C$2,"IQ_OPEB_BREAKDOWN_PCT_EQ_DOM",J$6,$F$2)</f>
        <v>0</v>
      </c>
      <c r="K878" s="18">
        <f>_xll.ciqfunctions.udf.CIQ($C$2,"IQ_OPEB_BREAKDOWN_PCT_EQ_DOM",K$6,$F$2)</f>
        <v>0</v>
      </c>
      <c r="L878" s="18">
        <f>_xll.ciqfunctions.udf.CIQ($C$2,"IQ_OPEB_BREAKDOWN_PCT_EQ_DOM",L$6,$F$2)</f>
        <v>0</v>
      </c>
      <c r="M878" s="18">
        <f>_xll.ciqfunctions.udf.CIQ($C$2,"IQ_OPEB_BREAKDOWN_PCT_EQ_DOM",M$6,$F$2)</f>
        <v>0</v>
      </c>
      <c r="N878" s="18">
        <f>_xll.ciqfunctions.udf.CIQ($C$2,"IQ_OPEB_BREAKDOWN_PCT_EQ_DOM",N$6,$F$2)</f>
        <v>0</v>
      </c>
      <c r="O878" s="30"/>
      <c r="P878" s="18">
        <f>_xll.ciqfunctions.udf.CIQ($C$2,"IQ_OPEB_BREAKDOWN_PCT_EQ_DOM",P$6,$F$2)</f>
        <v>0</v>
      </c>
      <c r="Q878" s="245"/>
      <c r="R878" s="215"/>
      <c r="S878" s="215"/>
      <c r="T878" s="215"/>
      <c r="U878" s="215"/>
      <c r="V878" s="222"/>
      <c r="W878" s="222"/>
      <c r="X878" s="222"/>
      <c r="Y878" s="215"/>
      <c r="Z878" s="215"/>
      <c r="AA878" s="215"/>
      <c r="AB878" s="215"/>
      <c r="AC878" s="215"/>
      <c r="AD878" s="215"/>
      <c r="AE878" s="215"/>
      <c r="AF878" s="215"/>
      <c r="AG878" s="215"/>
      <c r="AH878" s="215"/>
      <c r="AI878" s="215"/>
      <c r="AJ878" s="215"/>
      <c r="AK878" s="215"/>
      <c r="AL878" s="215"/>
      <c r="AM878" s="215"/>
      <c r="AN878" s="215"/>
      <c r="AO878" s="215"/>
      <c r="AP878" s="215"/>
      <c r="AQ878" s="215"/>
      <c r="AR878" s="215"/>
      <c r="AS878" s="215"/>
      <c r="AT878" s="215"/>
      <c r="AU878" s="215"/>
      <c r="AV878" s="215"/>
      <c r="AW878" s="215"/>
      <c r="AX878" s="215"/>
      <c r="AY878" s="215"/>
      <c r="AZ878" s="215"/>
      <c r="BA878" s="215"/>
      <c r="BB878" s="215"/>
      <c r="BC878" s="215"/>
      <c r="BD878" s="215"/>
      <c r="BE878" s="215"/>
      <c r="BF878" s="215"/>
      <c r="BG878" s="215"/>
      <c r="BH878" s="215"/>
      <c r="BI878" s="215"/>
      <c r="BJ878" s="215"/>
      <c r="BK878" s="215"/>
      <c r="BL878" s="215"/>
      <c r="BM878" s="215"/>
      <c r="BN878" s="215"/>
      <c r="BO878" s="215"/>
      <c r="BP878" s="215"/>
      <c r="BQ878" s="215"/>
      <c r="BR878" s="215"/>
      <c r="BS878" s="215"/>
      <c r="BT878" s="215"/>
      <c r="BU878" s="215"/>
      <c r="BV878" s="215"/>
      <c r="BW878" s="215"/>
      <c r="BX878" s="215"/>
      <c r="BY878" s="215"/>
      <c r="BZ878" s="215"/>
    </row>
    <row r="879" spans="1:78" outlineLevel="1" x14ac:dyDescent="0.2">
      <c r="A879" s="2" t="str">
        <f>'Language Index'!A534</f>
        <v>Plan Assets - Fixed Income (%)</v>
      </c>
      <c r="B879" s="17"/>
      <c r="C879" s="17"/>
      <c r="D879" s="18">
        <f>_xll.ciqfunctions.udf.CIQ($C$2,"IQ_OPEB_BREAKDOWN_PCT_FI_DOM",D$6,$F$2)</f>
        <v>0</v>
      </c>
      <c r="E879" s="18">
        <f>_xll.ciqfunctions.udf.CIQ($C$2,"IQ_OPEB_BREAKDOWN_PCT_FI_DOM",E$6,$F$2)</f>
        <v>0</v>
      </c>
      <c r="F879" s="18">
        <f>_xll.ciqfunctions.udf.CIQ($C$2,"IQ_OPEB_BREAKDOWN_PCT_FI_DOM",F$6,$F$2)</f>
        <v>100</v>
      </c>
      <c r="G879" s="18">
        <f>_xll.ciqfunctions.udf.CIQ($C$2,"IQ_OPEB_BREAKDOWN_PCT_FI_DOM",G$6,$F$2)</f>
        <v>0</v>
      </c>
      <c r="H879" s="18">
        <f>_xll.ciqfunctions.udf.CIQ($C$2,"IQ_OPEB_BREAKDOWN_PCT_FI_DOM",H$6,$F$2)</f>
        <v>0</v>
      </c>
      <c r="I879" s="18">
        <f>_xll.ciqfunctions.udf.CIQ($C$2,"IQ_OPEB_BREAKDOWN_PCT_FI_DOM",I$6,$F$2)</f>
        <v>0</v>
      </c>
      <c r="J879" s="18">
        <f>_xll.ciqfunctions.udf.CIQ($C$2,"IQ_OPEB_BREAKDOWN_PCT_FI_DOM",J$6,$F$2)</f>
        <v>0</v>
      </c>
      <c r="K879" s="18">
        <f>_xll.ciqfunctions.udf.CIQ($C$2,"IQ_OPEB_BREAKDOWN_PCT_FI_DOM",K$6,$F$2)</f>
        <v>0</v>
      </c>
      <c r="L879" s="18">
        <f>_xll.ciqfunctions.udf.CIQ($C$2,"IQ_OPEB_BREAKDOWN_PCT_FI_DOM",L$6,$F$2)</f>
        <v>0</v>
      </c>
      <c r="M879" s="18">
        <f>_xll.ciqfunctions.udf.CIQ($C$2,"IQ_OPEB_BREAKDOWN_PCT_FI_DOM",M$6,$F$2)</f>
        <v>0</v>
      </c>
      <c r="N879" s="18">
        <f>_xll.ciqfunctions.udf.CIQ($C$2,"IQ_OPEB_BREAKDOWN_PCT_FI_DOM",N$6,$F$2)</f>
        <v>0</v>
      </c>
      <c r="O879" s="30"/>
      <c r="P879" s="18">
        <f>_xll.ciqfunctions.udf.CIQ($C$2,"IQ_OPEB_BREAKDOWN_PCT_FI_DOM",P$6,$F$2)</f>
        <v>0</v>
      </c>
      <c r="Q879" s="245"/>
      <c r="R879" s="215"/>
      <c r="S879" s="215"/>
      <c r="T879" s="215"/>
      <c r="U879" s="215"/>
      <c r="V879" s="222"/>
      <c r="W879" s="222"/>
      <c r="X879" s="222"/>
      <c r="Y879" s="215"/>
      <c r="Z879" s="215"/>
      <c r="AA879" s="215"/>
      <c r="AB879" s="215"/>
      <c r="AC879" s="215"/>
      <c r="AD879" s="215"/>
      <c r="AE879" s="215"/>
      <c r="AF879" s="215"/>
      <c r="AG879" s="215"/>
      <c r="AH879" s="215"/>
      <c r="AI879" s="215"/>
      <c r="AJ879" s="215"/>
      <c r="AK879" s="215"/>
      <c r="AL879" s="215"/>
      <c r="AM879" s="215"/>
      <c r="AN879" s="215"/>
      <c r="AO879" s="215"/>
      <c r="AP879" s="215"/>
      <c r="AQ879" s="215"/>
      <c r="AR879" s="215"/>
      <c r="AS879" s="215"/>
      <c r="AT879" s="215"/>
      <c r="AU879" s="215"/>
      <c r="AV879" s="215"/>
      <c r="AW879" s="215"/>
      <c r="AX879" s="215"/>
      <c r="AY879" s="215"/>
      <c r="AZ879" s="215"/>
      <c r="BA879" s="215"/>
      <c r="BB879" s="215"/>
      <c r="BC879" s="215"/>
      <c r="BD879" s="215"/>
      <c r="BE879" s="215"/>
      <c r="BF879" s="215"/>
      <c r="BG879" s="215"/>
      <c r="BH879" s="215"/>
      <c r="BI879" s="215"/>
      <c r="BJ879" s="215"/>
      <c r="BK879" s="215"/>
      <c r="BL879" s="215"/>
      <c r="BM879" s="215"/>
      <c r="BN879" s="215"/>
      <c r="BO879" s="215"/>
      <c r="BP879" s="215"/>
      <c r="BQ879" s="215"/>
      <c r="BR879" s="215"/>
      <c r="BS879" s="215"/>
      <c r="BT879" s="215"/>
      <c r="BU879" s="215"/>
      <c r="BV879" s="215"/>
      <c r="BW879" s="215"/>
      <c r="BX879" s="215"/>
      <c r="BY879" s="215"/>
      <c r="BZ879" s="215"/>
    </row>
    <row r="880" spans="1:78" outlineLevel="1" x14ac:dyDescent="0.2">
      <c r="A880" s="2" t="str">
        <f>'Language Index'!A535</f>
        <v>Plan Assets- Real Estate (%)</v>
      </c>
      <c r="B880" s="17"/>
      <c r="C880" s="17"/>
      <c r="D880" s="18">
        <f>_xll.ciqfunctions.udf.CIQ($C$2,"IQ_OPEB_BREAKDOWN_PCT_RE_DOM",D$6,$F$2)</f>
        <v>0</v>
      </c>
      <c r="E880" s="18">
        <f>_xll.ciqfunctions.udf.CIQ($C$2,"IQ_OPEB_BREAKDOWN_PCT_RE_DOM",E$6,$F$2)</f>
        <v>0</v>
      </c>
      <c r="F880" s="18">
        <f>_xll.ciqfunctions.udf.CIQ($C$2,"IQ_OPEB_BREAKDOWN_PCT_RE_DOM",F$6,$F$2)</f>
        <v>0</v>
      </c>
      <c r="G880" s="18">
        <f>_xll.ciqfunctions.udf.CIQ($C$2,"IQ_OPEB_BREAKDOWN_PCT_RE_DOM",G$6,$F$2)</f>
        <v>0</v>
      </c>
      <c r="H880" s="18">
        <f>_xll.ciqfunctions.udf.CIQ($C$2,"IQ_OPEB_BREAKDOWN_PCT_RE_DOM",H$6,$F$2)</f>
        <v>0</v>
      </c>
      <c r="I880" s="18">
        <f>_xll.ciqfunctions.udf.CIQ($C$2,"IQ_OPEB_BREAKDOWN_PCT_RE_DOM",I$6,$F$2)</f>
        <v>0</v>
      </c>
      <c r="J880" s="18">
        <f>_xll.ciqfunctions.udf.CIQ($C$2,"IQ_OPEB_BREAKDOWN_PCT_RE_DOM",J$6,$F$2)</f>
        <v>0</v>
      </c>
      <c r="K880" s="18">
        <f>_xll.ciqfunctions.udf.CIQ($C$2,"IQ_OPEB_BREAKDOWN_PCT_RE_DOM",K$6,$F$2)</f>
        <v>0</v>
      </c>
      <c r="L880" s="18">
        <f>_xll.ciqfunctions.udf.CIQ($C$2,"IQ_OPEB_BREAKDOWN_PCT_RE_DOM",L$6,$F$2)</f>
        <v>0</v>
      </c>
      <c r="M880" s="18">
        <f>_xll.ciqfunctions.udf.CIQ($C$2,"IQ_OPEB_BREAKDOWN_PCT_RE_DOM",M$6,$F$2)</f>
        <v>0</v>
      </c>
      <c r="N880" s="18">
        <f>_xll.ciqfunctions.udf.CIQ($C$2,"IQ_OPEB_BREAKDOWN_PCT_RE_DOM",N$6,$F$2)</f>
        <v>0</v>
      </c>
      <c r="O880" s="30"/>
      <c r="P880" s="18">
        <f>_xll.ciqfunctions.udf.CIQ($C$2,"IQ_OPEB_BREAKDOWN_PCT_RE_DOM",P$6,$F$2)</f>
        <v>0</v>
      </c>
      <c r="Q880" s="245"/>
      <c r="R880" s="215"/>
      <c r="S880" s="215"/>
      <c r="T880" s="215"/>
      <c r="U880" s="215"/>
      <c r="V880" s="222"/>
      <c r="W880" s="222"/>
      <c r="X880" s="222"/>
      <c r="Y880" s="215"/>
      <c r="Z880" s="215"/>
      <c r="AA880" s="215"/>
      <c r="AB880" s="215"/>
      <c r="AC880" s="215"/>
      <c r="AD880" s="215"/>
      <c r="AE880" s="215"/>
      <c r="AF880" s="215"/>
      <c r="AG880" s="215"/>
      <c r="AH880" s="215"/>
      <c r="AI880" s="215"/>
      <c r="AJ880" s="215"/>
      <c r="AK880" s="215"/>
      <c r="AL880" s="215"/>
      <c r="AM880" s="215"/>
      <c r="AN880" s="215"/>
      <c r="AO880" s="215"/>
      <c r="AP880" s="215"/>
      <c r="AQ880" s="215"/>
      <c r="AR880" s="215"/>
      <c r="AS880" s="215"/>
      <c r="AT880" s="215"/>
      <c r="AU880" s="215"/>
      <c r="AV880" s="215"/>
      <c r="AW880" s="215"/>
      <c r="AX880" s="215"/>
      <c r="AY880" s="215"/>
      <c r="AZ880" s="215"/>
      <c r="BA880" s="215"/>
      <c r="BB880" s="215"/>
      <c r="BC880" s="215"/>
      <c r="BD880" s="215"/>
      <c r="BE880" s="215"/>
      <c r="BF880" s="215"/>
      <c r="BG880" s="215"/>
      <c r="BH880" s="215"/>
      <c r="BI880" s="215"/>
      <c r="BJ880" s="215"/>
      <c r="BK880" s="215"/>
      <c r="BL880" s="215"/>
      <c r="BM880" s="215"/>
      <c r="BN880" s="215"/>
      <c r="BO880" s="215"/>
      <c r="BP880" s="215"/>
      <c r="BQ880" s="215"/>
      <c r="BR880" s="215"/>
      <c r="BS880" s="215"/>
      <c r="BT880" s="215"/>
      <c r="BU880" s="215"/>
      <c r="BV880" s="215"/>
      <c r="BW880" s="215"/>
      <c r="BX880" s="215"/>
      <c r="BY880" s="215"/>
      <c r="BZ880" s="215"/>
    </row>
    <row r="881" spans="1:78" outlineLevel="1" x14ac:dyDescent="0.2">
      <c r="A881" s="2" t="str">
        <f>'Language Index'!A536</f>
        <v>Other Plan Assets (%)</v>
      </c>
      <c r="B881" s="17"/>
      <c r="C881" s="17"/>
      <c r="D881" s="18">
        <f>_xll.ciqfunctions.udf.CIQ($C$2,"IQ_OPEB_BREAKDOWN_PCT_OTHER_DOM",D$6,$F$2)</f>
        <v>0</v>
      </c>
      <c r="E881" s="18">
        <f>_xll.ciqfunctions.udf.CIQ($C$2,"IQ_OPEB_BREAKDOWN_PCT_OTHER_DOM",E$6,$F$2)</f>
        <v>0</v>
      </c>
      <c r="F881" s="18">
        <f>_xll.ciqfunctions.udf.CIQ($C$2,"IQ_OPEB_BREAKDOWN_PCT_OTHER_DOM",F$6,$F$2)</f>
        <v>0</v>
      </c>
      <c r="G881" s="18">
        <f>_xll.ciqfunctions.udf.CIQ($C$2,"IQ_OPEB_BREAKDOWN_PCT_OTHER_DOM",G$6,$F$2)</f>
        <v>0</v>
      </c>
      <c r="H881" s="18">
        <f>_xll.ciqfunctions.udf.CIQ($C$2,"IQ_OPEB_BREAKDOWN_PCT_OTHER_DOM",H$6,$F$2)</f>
        <v>0</v>
      </c>
      <c r="I881" s="18">
        <f>_xll.ciqfunctions.udf.CIQ($C$2,"IQ_OPEB_BREAKDOWN_PCT_OTHER_DOM",I$6,$F$2)</f>
        <v>0</v>
      </c>
      <c r="J881" s="18">
        <f>_xll.ciqfunctions.udf.CIQ($C$2,"IQ_OPEB_BREAKDOWN_PCT_OTHER_DOM",J$6,$F$2)</f>
        <v>0</v>
      </c>
      <c r="K881" s="18">
        <f>_xll.ciqfunctions.udf.CIQ($C$2,"IQ_OPEB_BREAKDOWN_PCT_OTHER_DOM",K$6,$F$2)</f>
        <v>0</v>
      </c>
      <c r="L881" s="18">
        <f>_xll.ciqfunctions.udf.CIQ($C$2,"IQ_OPEB_BREAKDOWN_PCT_OTHER_DOM",L$6,$F$2)</f>
        <v>0</v>
      </c>
      <c r="M881" s="18">
        <f>_xll.ciqfunctions.udf.CIQ($C$2,"IQ_OPEB_BREAKDOWN_PCT_OTHER_DOM",M$6,$F$2)</f>
        <v>0</v>
      </c>
      <c r="N881" s="18">
        <f>_xll.ciqfunctions.udf.CIQ($C$2,"IQ_OPEB_BREAKDOWN_PCT_OTHER_DOM",N$6,$F$2)</f>
        <v>0</v>
      </c>
      <c r="O881" s="30"/>
      <c r="P881" s="18">
        <f>_xll.ciqfunctions.udf.CIQ($C$2,"IQ_OPEB_BREAKDOWN_PCT_OTHER_DOM",P$6,$F$2)</f>
        <v>0</v>
      </c>
      <c r="Q881" s="215"/>
      <c r="R881" s="215"/>
      <c r="S881" s="215"/>
      <c r="T881" s="215"/>
      <c r="U881" s="215"/>
      <c r="V881" s="222"/>
      <c r="W881" s="222"/>
      <c r="X881" s="222"/>
      <c r="Y881" s="215"/>
      <c r="Z881" s="215"/>
      <c r="AA881" s="215"/>
      <c r="AB881" s="215"/>
      <c r="AC881" s="215"/>
      <c r="AD881" s="215"/>
      <c r="AE881" s="215"/>
      <c r="AF881" s="215"/>
      <c r="AG881" s="215"/>
      <c r="AH881" s="215"/>
      <c r="AI881" s="215"/>
      <c r="AJ881" s="215"/>
      <c r="AK881" s="215"/>
      <c r="AL881" s="215"/>
      <c r="AM881" s="215"/>
      <c r="AN881" s="215"/>
      <c r="AO881" s="215"/>
      <c r="AP881" s="215"/>
      <c r="AQ881" s="215"/>
      <c r="AR881" s="215"/>
      <c r="AS881" s="215"/>
      <c r="AT881" s="215"/>
      <c r="AU881" s="215"/>
      <c r="AV881" s="215"/>
      <c r="AW881" s="215"/>
      <c r="AX881" s="215"/>
      <c r="AY881" s="215"/>
      <c r="AZ881" s="215"/>
      <c r="BA881" s="215"/>
      <c r="BB881" s="215"/>
      <c r="BC881" s="215"/>
      <c r="BD881" s="215"/>
      <c r="BE881" s="215"/>
      <c r="BF881" s="215"/>
      <c r="BG881" s="215"/>
      <c r="BH881" s="215"/>
      <c r="BI881" s="215"/>
      <c r="BJ881" s="215"/>
      <c r="BK881" s="215"/>
      <c r="BL881" s="215"/>
      <c r="BM881" s="215"/>
      <c r="BN881" s="215"/>
      <c r="BO881" s="215"/>
      <c r="BP881" s="215"/>
      <c r="BQ881" s="215"/>
      <c r="BR881" s="215"/>
      <c r="BS881" s="215"/>
      <c r="BT881" s="215"/>
      <c r="BU881" s="215"/>
      <c r="BV881" s="215"/>
      <c r="BW881" s="215"/>
      <c r="BX881" s="215"/>
      <c r="BY881" s="215"/>
      <c r="BZ881" s="215"/>
    </row>
    <row r="882" spans="1:78" outlineLevel="1" x14ac:dyDescent="0.2">
      <c r="A882" s="9" t="str">
        <f>'Language Index'!A532</f>
        <v>Breakdown of Plan Assets</v>
      </c>
      <c r="B882" s="17"/>
      <c r="C882" s="17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30"/>
      <c r="P882" s="18"/>
      <c r="Q882" s="215"/>
      <c r="R882" s="215"/>
      <c r="S882" s="215"/>
      <c r="T882" s="215"/>
      <c r="U882" s="215"/>
      <c r="V882" s="222"/>
      <c r="W882" s="222"/>
      <c r="X882" s="222"/>
      <c r="Y882" s="215"/>
      <c r="Z882" s="215"/>
      <c r="AA882" s="215"/>
      <c r="AB882" s="215"/>
      <c r="AC882" s="215"/>
      <c r="AD882" s="215"/>
      <c r="AE882" s="215"/>
      <c r="AF882" s="215"/>
      <c r="AG882" s="215"/>
      <c r="AH882" s="215"/>
      <c r="AI882" s="215"/>
      <c r="AJ882" s="215"/>
      <c r="AK882" s="215"/>
      <c r="AL882" s="215"/>
      <c r="AM882" s="215"/>
      <c r="AN882" s="215"/>
      <c r="AO882" s="215"/>
      <c r="AP882" s="215"/>
      <c r="AQ882" s="215"/>
      <c r="AR882" s="215"/>
      <c r="AS882" s="215"/>
      <c r="AT882" s="215"/>
      <c r="AU882" s="215"/>
      <c r="AV882" s="215"/>
      <c r="AW882" s="215"/>
      <c r="AX882" s="215"/>
      <c r="AY882" s="215"/>
      <c r="AZ882" s="215"/>
      <c r="BA882" s="215"/>
      <c r="BB882" s="215"/>
      <c r="BC882" s="215"/>
      <c r="BD882" s="215"/>
      <c r="BE882" s="215"/>
      <c r="BF882" s="215"/>
      <c r="BG882" s="215"/>
      <c r="BH882" s="215"/>
      <c r="BI882" s="215"/>
      <c r="BJ882" s="215"/>
      <c r="BK882" s="215"/>
      <c r="BL882" s="215"/>
      <c r="BM882" s="215"/>
      <c r="BN882" s="215"/>
      <c r="BO882" s="215"/>
      <c r="BP882" s="215"/>
      <c r="BQ882" s="215"/>
      <c r="BR882" s="215"/>
      <c r="BS882" s="215"/>
      <c r="BT882" s="215"/>
      <c r="BU882" s="215"/>
      <c r="BV882" s="215"/>
      <c r="BW882" s="215"/>
      <c r="BX882" s="215"/>
      <c r="BY882" s="215"/>
      <c r="BZ882" s="215"/>
    </row>
    <row r="883" spans="1:78" outlineLevel="1" x14ac:dyDescent="0.2">
      <c r="A883" s="2" t="str">
        <f>'Language Index'!A537</f>
        <v>Plan Assets - Equities</v>
      </c>
      <c r="B883" s="17"/>
      <c r="C883" s="17"/>
      <c r="D883" s="18">
        <f>_xll.ciqfunctions.udf.CIQ($C$2,"IQ_OPEB_BREAKDOWN_EQ_DOM",D$6,$F$2,,,Ccy,Conv)</f>
        <v>0</v>
      </c>
      <c r="E883" s="18">
        <f>_xll.ciqfunctions.udf.CIQ($C$2,"IQ_OPEB_BREAKDOWN_EQ_DOM",E$6,$F$2,,,Ccy,Conv)</f>
        <v>0</v>
      </c>
      <c r="F883" s="18">
        <f>_xll.ciqfunctions.udf.CIQ($C$2,"IQ_OPEB_BREAKDOWN_EQ_DOM",F$6,$F$2,,,Ccy,Conv)</f>
        <v>0</v>
      </c>
      <c r="G883" s="18">
        <f>_xll.ciqfunctions.udf.CIQ($C$2,"IQ_OPEB_BREAKDOWN_EQ_DOM",G$6,$F$2,,,Ccy,Conv)</f>
        <v>0</v>
      </c>
      <c r="H883" s="18">
        <f>_xll.ciqfunctions.udf.CIQ($C$2,"IQ_OPEB_BREAKDOWN_EQ_DOM",H$6,$F$2,,,Ccy,Conv)</f>
        <v>0</v>
      </c>
      <c r="I883" s="18">
        <f>_xll.ciqfunctions.udf.CIQ($C$2,"IQ_OPEB_BREAKDOWN_EQ_DOM",I$6,$F$2,,,Ccy,Conv)</f>
        <v>0</v>
      </c>
      <c r="J883" s="18">
        <f>_xll.ciqfunctions.udf.CIQ($C$2,"IQ_OPEB_BREAKDOWN_EQ_DOM",J$6,$F$2,,,Ccy,Conv)</f>
        <v>0</v>
      </c>
      <c r="K883" s="18">
        <f>_xll.ciqfunctions.udf.CIQ($C$2,"IQ_OPEB_BREAKDOWN_EQ_DOM",K$6,$F$2,,,Ccy,Conv)</f>
        <v>0</v>
      </c>
      <c r="L883" s="18">
        <f>_xll.ciqfunctions.udf.CIQ($C$2,"IQ_OPEB_BREAKDOWN_EQ_DOM",L$6,$F$2,,,Ccy,Conv)</f>
        <v>0</v>
      </c>
      <c r="M883" s="18">
        <f>_xll.ciqfunctions.udf.CIQ($C$2,"IQ_OPEB_BREAKDOWN_EQ_DOM",M$6,$F$2,,,Ccy,Conv)</f>
        <v>0</v>
      </c>
      <c r="N883" s="18">
        <f>_xll.ciqfunctions.udf.CIQ($C$2,"IQ_OPEB_BREAKDOWN_EQ_DOM",N$6,$F$2,,,Ccy,Conv)</f>
        <v>0</v>
      </c>
      <c r="O883" s="30"/>
      <c r="P883" s="18">
        <f>_xll.ciqfunctions.udf.CIQ($C$2,"IQ_OPEB_BREAKDOWN_EQ_DOM",P$6,$F$2,,,Ccy,Conv)</f>
        <v>0</v>
      </c>
      <c r="Q883" s="215"/>
      <c r="R883" s="215"/>
      <c r="S883" s="215"/>
      <c r="T883" s="215"/>
      <c r="U883" s="215"/>
      <c r="V883" s="222"/>
      <c r="W883" s="222"/>
      <c r="X883" s="222"/>
      <c r="Y883" s="215"/>
      <c r="Z883" s="215"/>
      <c r="AA883" s="215"/>
      <c r="AB883" s="215"/>
      <c r="AC883" s="215"/>
      <c r="AD883" s="215"/>
      <c r="AE883" s="215"/>
      <c r="AF883" s="215"/>
      <c r="AG883" s="215"/>
      <c r="AH883" s="215"/>
      <c r="AI883" s="215"/>
      <c r="AJ883" s="215"/>
      <c r="AK883" s="215"/>
      <c r="AL883" s="215"/>
      <c r="AM883" s="215"/>
      <c r="AN883" s="215"/>
      <c r="AO883" s="215"/>
      <c r="AP883" s="215"/>
      <c r="AQ883" s="215"/>
      <c r="AR883" s="215"/>
      <c r="AS883" s="215"/>
      <c r="AT883" s="215"/>
      <c r="AU883" s="215"/>
      <c r="AV883" s="215"/>
      <c r="AW883" s="215"/>
      <c r="AX883" s="215"/>
      <c r="AY883" s="215"/>
      <c r="AZ883" s="215"/>
      <c r="BA883" s="215"/>
      <c r="BB883" s="215"/>
      <c r="BC883" s="215"/>
      <c r="BD883" s="215"/>
      <c r="BE883" s="215"/>
      <c r="BF883" s="215"/>
      <c r="BG883" s="215"/>
      <c r="BH883" s="215"/>
      <c r="BI883" s="215"/>
      <c r="BJ883" s="215"/>
      <c r="BK883" s="215"/>
      <c r="BL883" s="215"/>
      <c r="BM883" s="215"/>
      <c r="BN883" s="215"/>
      <c r="BO883" s="215"/>
      <c r="BP883" s="215"/>
      <c r="BQ883" s="215"/>
      <c r="BR883" s="215"/>
      <c r="BS883" s="215"/>
      <c r="BT883" s="215"/>
      <c r="BU883" s="215"/>
      <c r="BV883" s="215"/>
      <c r="BW883" s="215"/>
      <c r="BX883" s="215"/>
      <c r="BY883" s="215"/>
      <c r="BZ883" s="215"/>
    </row>
    <row r="884" spans="1:78" outlineLevel="1" x14ac:dyDescent="0.2">
      <c r="A884" s="2" t="str">
        <f>'Language Index'!A538</f>
        <v>Plan Assets - Fixed Income</v>
      </c>
      <c r="B884" s="17"/>
      <c r="C884" s="17"/>
      <c r="D884" s="18">
        <f>_xll.ciqfunctions.udf.CIQ($C$2,"IQ_OPEB_BREAKDOWN_FI_DOM",D$6,$F$2,,,Ccy,Conv)</f>
        <v>0</v>
      </c>
      <c r="E884" s="18">
        <f>_xll.ciqfunctions.udf.CIQ($C$2,"IQ_OPEB_BREAKDOWN_FI_DOM",E$6,$F$2,,,Ccy,Conv)</f>
        <v>0</v>
      </c>
      <c r="F884" s="18">
        <f>_xll.ciqfunctions.udf.CIQ($C$2,"IQ_OPEB_BREAKDOWN_FI_DOM",F$6,$F$2,,,Ccy,Conv)</f>
        <v>10</v>
      </c>
      <c r="G884" s="18">
        <f>_xll.ciqfunctions.udf.CIQ($C$2,"IQ_OPEB_BREAKDOWN_FI_DOM",G$6,$F$2,,,Ccy,Conv)</f>
        <v>0</v>
      </c>
      <c r="H884" s="18">
        <f>_xll.ciqfunctions.udf.CIQ($C$2,"IQ_OPEB_BREAKDOWN_FI_DOM",H$6,$F$2,,,Ccy,Conv)</f>
        <v>0</v>
      </c>
      <c r="I884" s="18">
        <f>_xll.ciqfunctions.udf.CIQ($C$2,"IQ_OPEB_BREAKDOWN_FI_DOM",I$6,$F$2,,,Ccy,Conv)</f>
        <v>0</v>
      </c>
      <c r="J884" s="18">
        <f>_xll.ciqfunctions.udf.CIQ($C$2,"IQ_OPEB_BREAKDOWN_FI_DOM",J$6,$F$2,,,Ccy,Conv)</f>
        <v>0</v>
      </c>
      <c r="K884" s="18">
        <f>_xll.ciqfunctions.udf.CIQ($C$2,"IQ_OPEB_BREAKDOWN_FI_DOM",K$6,$F$2,,,Ccy,Conv)</f>
        <v>0</v>
      </c>
      <c r="L884" s="18">
        <f>_xll.ciqfunctions.udf.CIQ($C$2,"IQ_OPEB_BREAKDOWN_FI_DOM",L$6,$F$2,,,Ccy,Conv)</f>
        <v>0</v>
      </c>
      <c r="M884" s="18">
        <f>_xll.ciqfunctions.udf.CIQ($C$2,"IQ_OPEB_BREAKDOWN_FI_DOM",M$6,$F$2,,,Ccy,Conv)</f>
        <v>0</v>
      </c>
      <c r="N884" s="18">
        <f>_xll.ciqfunctions.udf.CIQ($C$2,"IQ_OPEB_BREAKDOWN_FI_DOM",N$6,$F$2,,,Ccy,Conv)</f>
        <v>0</v>
      </c>
      <c r="O884" s="30"/>
      <c r="P884" s="18">
        <f>_xll.ciqfunctions.udf.CIQ($C$2,"IQ_OPEB_BREAKDOWN_FI_DOM",P$6,$F$2,,,Ccy,Conv)</f>
        <v>0</v>
      </c>
      <c r="Q884" s="215"/>
      <c r="R884" s="215"/>
      <c r="S884" s="215"/>
      <c r="T884" s="215"/>
      <c r="U884" s="215"/>
      <c r="V884" s="222"/>
      <c r="W884" s="222"/>
      <c r="X884" s="222"/>
      <c r="Y884" s="215"/>
      <c r="Z884" s="215"/>
      <c r="AA884" s="215"/>
      <c r="AB884" s="215"/>
      <c r="AC884" s="215"/>
      <c r="AD884" s="215"/>
      <c r="AE884" s="215"/>
      <c r="AF884" s="215"/>
      <c r="AG884" s="215"/>
      <c r="AH884" s="215"/>
      <c r="AI884" s="215"/>
      <c r="AJ884" s="215"/>
      <c r="AK884" s="215"/>
      <c r="AL884" s="215"/>
      <c r="AM884" s="215"/>
      <c r="AN884" s="215"/>
      <c r="AO884" s="215"/>
      <c r="AP884" s="215"/>
      <c r="AQ884" s="215"/>
      <c r="AR884" s="215"/>
      <c r="AS884" s="215"/>
      <c r="AT884" s="215"/>
      <c r="AU884" s="215"/>
      <c r="AV884" s="215"/>
      <c r="AW884" s="215"/>
      <c r="AX884" s="215"/>
      <c r="AY884" s="215"/>
      <c r="AZ884" s="215"/>
      <c r="BA884" s="215"/>
      <c r="BB884" s="215"/>
      <c r="BC884" s="215"/>
      <c r="BD884" s="215"/>
      <c r="BE884" s="215"/>
      <c r="BF884" s="215"/>
      <c r="BG884" s="215"/>
      <c r="BH884" s="215"/>
      <c r="BI884" s="215"/>
      <c r="BJ884" s="215"/>
      <c r="BK884" s="215"/>
      <c r="BL884" s="215"/>
      <c r="BM884" s="215"/>
      <c r="BN884" s="215"/>
      <c r="BO884" s="215"/>
      <c r="BP884" s="215"/>
      <c r="BQ884" s="215"/>
      <c r="BR884" s="215"/>
      <c r="BS884" s="215"/>
      <c r="BT884" s="215"/>
      <c r="BU884" s="215"/>
      <c r="BV884" s="215"/>
      <c r="BW884" s="215"/>
      <c r="BX884" s="215"/>
      <c r="BY884" s="215"/>
      <c r="BZ884" s="215"/>
    </row>
    <row r="885" spans="1:78" outlineLevel="1" x14ac:dyDescent="0.2">
      <c r="A885" s="2" t="str">
        <f>'Language Index'!A539</f>
        <v>Plan Assets- Real Estate</v>
      </c>
      <c r="B885" s="17"/>
      <c r="C885" s="17"/>
      <c r="D885" s="18">
        <f>_xll.ciqfunctions.udf.CIQ($C$2,"IQ_OPEB_BREAKDOWN_RE_DOM",D$6,$F$2,,,Ccy,Conv)</f>
        <v>0</v>
      </c>
      <c r="E885" s="18">
        <f>_xll.ciqfunctions.udf.CIQ($C$2,"IQ_OPEB_BREAKDOWN_RE_DOM",E$6,$F$2,,,Ccy,Conv)</f>
        <v>0</v>
      </c>
      <c r="F885" s="18">
        <f>_xll.ciqfunctions.udf.CIQ($C$2,"IQ_OPEB_BREAKDOWN_RE_DOM",F$6,$F$2,,,Ccy,Conv)</f>
        <v>0</v>
      </c>
      <c r="G885" s="18">
        <f>_xll.ciqfunctions.udf.CIQ($C$2,"IQ_OPEB_BREAKDOWN_RE_DOM",G$6,$F$2,,,Ccy,Conv)</f>
        <v>0</v>
      </c>
      <c r="H885" s="18">
        <f>_xll.ciqfunctions.udf.CIQ($C$2,"IQ_OPEB_BREAKDOWN_RE_DOM",H$6,$F$2,,,Ccy,Conv)</f>
        <v>0</v>
      </c>
      <c r="I885" s="18">
        <f>_xll.ciqfunctions.udf.CIQ($C$2,"IQ_OPEB_BREAKDOWN_RE_DOM",I$6,$F$2,,,Ccy,Conv)</f>
        <v>0</v>
      </c>
      <c r="J885" s="18">
        <f>_xll.ciqfunctions.udf.CIQ($C$2,"IQ_OPEB_BREAKDOWN_RE_DOM",J$6,$F$2,,,Ccy,Conv)</f>
        <v>0</v>
      </c>
      <c r="K885" s="18">
        <f>_xll.ciqfunctions.udf.CIQ($C$2,"IQ_OPEB_BREAKDOWN_RE_DOM",K$6,$F$2,,,Ccy,Conv)</f>
        <v>0</v>
      </c>
      <c r="L885" s="18">
        <f>_xll.ciqfunctions.udf.CIQ($C$2,"IQ_OPEB_BREAKDOWN_RE_DOM",L$6,$F$2,,,Ccy,Conv)</f>
        <v>0</v>
      </c>
      <c r="M885" s="18">
        <f>_xll.ciqfunctions.udf.CIQ($C$2,"IQ_OPEB_BREAKDOWN_RE_DOM",M$6,$F$2,,,Ccy,Conv)</f>
        <v>0</v>
      </c>
      <c r="N885" s="18">
        <f>_xll.ciqfunctions.udf.CIQ($C$2,"IQ_OPEB_BREAKDOWN_RE_DOM",N$6,$F$2,,,Ccy,Conv)</f>
        <v>0</v>
      </c>
      <c r="O885" s="30"/>
      <c r="P885" s="18">
        <f>_xll.ciqfunctions.udf.CIQ($C$2,"IQ_OPEB_BREAKDOWN_RE_DOM",P$6,$F$2,,,Ccy,Conv)</f>
        <v>0</v>
      </c>
      <c r="Q885" s="215"/>
      <c r="R885" s="215"/>
      <c r="S885" s="215"/>
      <c r="T885" s="215"/>
      <c r="U885" s="215"/>
      <c r="V885" s="222"/>
      <c r="W885" s="222"/>
      <c r="X885" s="222"/>
      <c r="Y885" s="215"/>
      <c r="Z885" s="215"/>
      <c r="AA885" s="215"/>
      <c r="AB885" s="215"/>
      <c r="AC885" s="215"/>
      <c r="AD885" s="215"/>
      <c r="AE885" s="215"/>
      <c r="AF885" s="215"/>
      <c r="AG885" s="215"/>
      <c r="AH885" s="215"/>
      <c r="AI885" s="215"/>
      <c r="AJ885" s="215"/>
      <c r="AK885" s="215"/>
      <c r="AL885" s="215"/>
      <c r="AM885" s="215"/>
      <c r="AN885" s="215"/>
      <c r="AO885" s="215"/>
      <c r="AP885" s="215"/>
      <c r="AQ885" s="215"/>
      <c r="AR885" s="215"/>
      <c r="AS885" s="215"/>
      <c r="AT885" s="215"/>
      <c r="AU885" s="215"/>
      <c r="AV885" s="215"/>
      <c r="AW885" s="215"/>
      <c r="AX885" s="215"/>
      <c r="AY885" s="215"/>
      <c r="AZ885" s="215"/>
      <c r="BA885" s="215"/>
      <c r="BB885" s="215"/>
      <c r="BC885" s="215"/>
      <c r="BD885" s="215"/>
      <c r="BE885" s="215"/>
      <c r="BF885" s="215"/>
      <c r="BG885" s="215"/>
      <c r="BH885" s="215"/>
      <c r="BI885" s="215"/>
      <c r="BJ885" s="215"/>
      <c r="BK885" s="215"/>
      <c r="BL885" s="215"/>
      <c r="BM885" s="215"/>
      <c r="BN885" s="215"/>
      <c r="BO885" s="215"/>
      <c r="BP885" s="215"/>
      <c r="BQ885" s="215"/>
      <c r="BR885" s="215"/>
      <c r="BS885" s="215"/>
      <c r="BT885" s="215"/>
      <c r="BU885" s="215"/>
      <c r="BV885" s="215"/>
      <c r="BW885" s="215"/>
      <c r="BX885" s="215"/>
      <c r="BY885" s="215"/>
      <c r="BZ885" s="215"/>
    </row>
    <row r="886" spans="1:78" outlineLevel="1" x14ac:dyDescent="0.2">
      <c r="A886" s="2" t="str">
        <f>'Language Index'!A540</f>
        <v>Other Plan Assets</v>
      </c>
      <c r="B886" s="17"/>
      <c r="C886" s="17"/>
      <c r="D886" s="18">
        <f>_xll.ciqfunctions.udf.CIQ($C$2,"IQ_OPEB_BREAKDOWN_OTHER_DOM",D$6,$F$2,,,Ccy,Conv)</f>
        <v>0</v>
      </c>
      <c r="E886" s="18">
        <f>_xll.ciqfunctions.udf.CIQ($C$2,"IQ_OPEB_BREAKDOWN_OTHER_DOM",E$6,$F$2,,,Ccy,Conv)</f>
        <v>0</v>
      </c>
      <c r="F886" s="18">
        <f>_xll.ciqfunctions.udf.CIQ($C$2,"IQ_OPEB_BREAKDOWN_OTHER_DOM",F$6,$F$2,,,Ccy,Conv)</f>
        <v>0</v>
      </c>
      <c r="G886" s="18">
        <f>_xll.ciqfunctions.udf.CIQ($C$2,"IQ_OPEB_BREAKDOWN_OTHER_DOM",G$6,$F$2,,,Ccy,Conv)</f>
        <v>0</v>
      </c>
      <c r="H886" s="18">
        <f>_xll.ciqfunctions.udf.CIQ($C$2,"IQ_OPEB_BREAKDOWN_OTHER_DOM",H$6,$F$2,,,Ccy,Conv)</f>
        <v>0</v>
      </c>
      <c r="I886" s="18">
        <f>_xll.ciqfunctions.udf.CIQ($C$2,"IQ_OPEB_BREAKDOWN_OTHER_DOM",I$6,$F$2,,,Ccy,Conv)</f>
        <v>0</v>
      </c>
      <c r="J886" s="18">
        <f>_xll.ciqfunctions.udf.CIQ($C$2,"IQ_OPEB_BREAKDOWN_OTHER_DOM",J$6,$F$2,,,Ccy,Conv)</f>
        <v>0</v>
      </c>
      <c r="K886" s="18">
        <f>_xll.ciqfunctions.udf.CIQ($C$2,"IQ_OPEB_BREAKDOWN_OTHER_DOM",K$6,$F$2,,,Ccy,Conv)</f>
        <v>0</v>
      </c>
      <c r="L886" s="18">
        <f>_xll.ciqfunctions.udf.CIQ($C$2,"IQ_OPEB_BREAKDOWN_OTHER_DOM",L$6,$F$2,,,Ccy,Conv)</f>
        <v>0</v>
      </c>
      <c r="M886" s="18">
        <f>_xll.ciqfunctions.udf.CIQ($C$2,"IQ_OPEB_BREAKDOWN_OTHER_DOM",M$6,$F$2,,,Ccy,Conv)</f>
        <v>0</v>
      </c>
      <c r="N886" s="18">
        <f>_xll.ciqfunctions.udf.CIQ($C$2,"IQ_OPEB_BREAKDOWN_OTHER_DOM",N$6,$F$2,,,Ccy,Conv)</f>
        <v>0</v>
      </c>
      <c r="O886" s="30"/>
      <c r="P886" s="18">
        <f>_xll.ciqfunctions.udf.CIQ($C$2,"IQ_OPEB_BREAKDOWN_OTHER_DOM",P$6,$F$2,,,Ccy,Conv)</f>
        <v>0</v>
      </c>
      <c r="Q886" s="215"/>
      <c r="R886" s="215"/>
      <c r="S886" s="215"/>
      <c r="T886" s="215"/>
      <c r="U886" s="215"/>
      <c r="V886" s="222"/>
      <c r="W886" s="222"/>
      <c r="X886" s="222"/>
      <c r="Y886" s="215"/>
      <c r="Z886" s="215"/>
      <c r="AA886" s="215"/>
      <c r="AB886" s="215"/>
      <c r="AC886" s="215"/>
      <c r="AD886" s="215"/>
      <c r="AE886" s="215"/>
      <c r="AF886" s="215"/>
      <c r="AG886" s="215"/>
      <c r="AH886" s="215"/>
      <c r="AI886" s="215"/>
      <c r="AJ886" s="215"/>
      <c r="AK886" s="215"/>
      <c r="AL886" s="215"/>
      <c r="AM886" s="215"/>
      <c r="AN886" s="215"/>
      <c r="AO886" s="215"/>
      <c r="AP886" s="215"/>
      <c r="AQ886" s="215"/>
      <c r="AR886" s="215"/>
      <c r="AS886" s="215"/>
      <c r="AT886" s="215"/>
      <c r="AU886" s="215"/>
      <c r="AV886" s="215"/>
      <c r="AW886" s="215"/>
      <c r="AX886" s="215"/>
      <c r="AY886" s="215"/>
      <c r="AZ886" s="215"/>
      <c r="BA886" s="215"/>
      <c r="BB886" s="215"/>
      <c r="BC886" s="215"/>
      <c r="BD886" s="215"/>
      <c r="BE886" s="215"/>
      <c r="BF886" s="215"/>
      <c r="BG886" s="215"/>
      <c r="BH886" s="215"/>
      <c r="BI886" s="215"/>
      <c r="BJ886" s="215"/>
      <c r="BK886" s="215"/>
      <c r="BL886" s="215"/>
      <c r="BM886" s="215"/>
      <c r="BN886" s="215"/>
      <c r="BO886" s="215"/>
      <c r="BP886" s="215"/>
      <c r="BQ886" s="215"/>
      <c r="BR886" s="215"/>
      <c r="BS886" s="215"/>
      <c r="BT886" s="215"/>
      <c r="BU886" s="215"/>
      <c r="BV886" s="215"/>
      <c r="BW886" s="215"/>
      <c r="BX886" s="215"/>
      <c r="BY886" s="215"/>
      <c r="BZ886" s="215"/>
    </row>
    <row r="887" spans="1:78" outlineLevel="1" x14ac:dyDescent="0.2">
      <c r="A887" s="9" t="str">
        <f>'Language Index'!A541</f>
        <v>Breakdown of Amounts recognized in Other Comprehensive Income in BS</v>
      </c>
      <c r="B887" s="17"/>
      <c r="C887" s="17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30"/>
      <c r="P887" s="18"/>
      <c r="Q887" s="215"/>
      <c r="R887" s="215"/>
      <c r="S887" s="215"/>
      <c r="T887" s="215"/>
      <c r="U887" s="215"/>
      <c r="V887" s="222"/>
      <c r="W887" s="222"/>
      <c r="X887" s="222"/>
      <c r="Y887" s="215"/>
      <c r="Z887" s="215"/>
      <c r="AA887" s="215"/>
      <c r="AB887" s="215"/>
      <c r="AC887" s="215"/>
      <c r="AD887" s="215"/>
      <c r="AE887" s="215"/>
      <c r="AF887" s="215"/>
      <c r="AG887" s="215"/>
      <c r="AH887" s="215"/>
      <c r="AI887" s="215"/>
      <c r="AJ887" s="215"/>
      <c r="AK887" s="215"/>
      <c r="AL887" s="215"/>
      <c r="AM887" s="215"/>
      <c r="AN887" s="215"/>
      <c r="AO887" s="215"/>
      <c r="AP887" s="215"/>
      <c r="AQ887" s="215"/>
      <c r="AR887" s="215"/>
      <c r="AS887" s="215"/>
      <c r="AT887" s="215"/>
      <c r="AU887" s="215"/>
      <c r="AV887" s="215"/>
      <c r="AW887" s="215"/>
      <c r="AX887" s="215"/>
      <c r="AY887" s="215"/>
      <c r="AZ887" s="215"/>
      <c r="BA887" s="215"/>
      <c r="BB887" s="215"/>
      <c r="BC887" s="215"/>
      <c r="BD887" s="215"/>
      <c r="BE887" s="215"/>
      <c r="BF887" s="215"/>
      <c r="BG887" s="215"/>
      <c r="BH887" s="215"/>
      <c r="BI887" s="215"/>
      <c r="BJ887" s="215"/>
      <c r="BK887" s="215"/>
      <c r="BL887" s="215"/>
      <c r="BM887" s="215"/>
      <c r="BN887" s="215"/>
      <c r="BO887" s="215"/>
      <c r="BP887" s="215"/>
      <c r="BQ887" s="215"/>
      <c r="BR887" s="215"/>
      <c r="BS887" s="215"/>
      <c r="BT887" s="215"/>
      <c r="BU887" s="215"/>
      <c r="BV887" s="215"/>
      <c r="BW887" s="215"/>
      <c r="BX887" s="215"/>
      <c r="BY887" s="215"/>
      <c r="BZ887" s="215"/>
    </row>
    <row r="888" spans="1:78" outlineLevel="1" x14ac:dyDescent="0.2">
      <c r="A888" s="2" t="str">
        <f>'Language Index'!A542</f>
        <v>Net Actuarial Loss/Gain – Compr. Inc.</v>
      </c>
      <c r="B888" s="17"/>
      <c r="C888" s="17"/>
      <c r="D888" s="18">
        <f>_xll.ciqfunctions.udf.CIQ($C$2,"IQ_OPEB_CI_ACT_DOM",D$6,$F$2,,,Ccy,Conv)</f>
        <v>0</v>
      </c>
      <c r="E888" s="18">
        <f>_xll.ciqfunctions.udf.CIQ($C$2,"IQ_OPEB_CI_ACT_DOM",E$6,$F$2,,,Ccy,Conv)</f>
        <v>0</v>
      </c>
      <c r="F888" s="18">
        <f>_xll.ciqfunctions.udf.CIQ($C$2,"IQ_OPEB_CI_ACT_DOM",F$6,$F$2,,,Ccy,Conv)</f>
        <v>73</v>
      </c>
      <c r="G888" s="18">
        <f>_xll.ciqfunctions.udf.CIQ($C$2,"IQ_OPEB_CI_ACT_DOM",G$6,$F$2,,,Ccy,Conv)</f>
        <v>0</v>
      </c>
      <c r="H888" s="18">
        <f>_xll.ciqfunctions.udf.CIQ($C$2,"IQ_OPEB_CI_ACT_DOM",H$6,$F$2,,,Ccy,Conv)</f>
        <v>0</v>
      </c>
      <c r="I888" s="18">
        <f>_xll.ciqfunctions.udf.CIQ($C$2,"IQ_OPEB_CI_ACT_DOM",I$6,$F$2,,,Ccy,Conv)</f>
        <v>0</v>
      </c>
      <c r="J888" s="18">
        <f>_xll.ciqfunctions.udf.CIQ($C$2,"IQ_OPEB_CI_ACT_DOM",J$6,$F$2,,,Ccy,Conv)</f>
        <v>188</v>
      </c>
      <c r="K888" s="18">
        <f>_xll.ciqfunctions.udf.CIQ($C$2,"IQ_OPEB_CI_ACT_DOM",K$6,$F$2,,,Ccy,Conv)</f>
        <v>0</v>
      </c>
      <c r="L888" s="18">
        <f>_xll.ciqfunctions.udf.CIQ($C$2,"IQ_OPEB_CI_ACT_DOM",L$6,$F$2,,,Ccy,Conv)</f>
        <v>0</v>
      </c>
      <c r="M888" s="18">
        <f>_xll.ciqfunctions.udf.CIQ($C$2,"IQ_OPEB_CI_ACT_DOM",M$6,$F$2,,,Ccy,Conv)</f>
        <v>0</v>
      </c>
      <c r="N888" s="18">
        <f>_xll.ciqfunctions.udf.CIQ($C$2,"IQ_OPEB_CI_ACT_DOM",N$6,$F$2,,,Ccy,Conv)</f>
        <v>249</v>
      </c>
      <c r="O888" s="30"/>
      <c r="P888" s="18">
        <f>_xll.ciqfunctions.udf.CIQ($C$2,"IQ_OPEB_CI_ACT_DOM",P$6,$F$2,,,Ccy,Conv)</f>
        <v>249</v>
      </c>
      <c r="Q888" s="215"/>
      <c r="R888" s="215"/>
      <c r="S888" s="215"/>
      <c r="T888" s="215"/>
      <c r="U888" s="215"/>
      <c r="V888" s="222"/>
      <c r="W888" s="222"/>
      <c r="X888" s="222"/>
      <c r="Y888" s="215"/>
      <c r="Z888" s="215"/>
      <c r="AA888" s="215"/>
      <c r="AB888" s="215"/>
      <c r="AC888" s="215"/>
      <c r="AD888" s="215"/>
      <c r="AE888" s="215"/>
      <c r="AF888" s="215"/>
      <c r="AG888" s="215"/>
      <c r="AH888" s="215"/>
      <c r="AI888" s="215"/>
      <c r="AJ888" s="215"/>
      <c r="AK888" s="215"/>
      <c r="AL888" s="215"/>
      <c r="AM888" s="215"/>
      <c r="AN888" s="215"/>
      <c r="AO888" s="215"/>
      <c r="AP888" s="215"/>
      <c r="AQ888" s="215"/>
      <c r="AR888" s="215"/>
      <c r="AS888" s="215"/>
      <c r="AT888" s="215"/>
      <c r="AU888" s="215"/>
      <c r="AV888" s="215"/>
      <c r="AW888" s="215"/>
      <c r="AX888" s="215"/>
      <c r="AY888" s="215"/>
      <c r="AZ888" s="215"/>
      <c r="BA888" s="215"/>
      <c r="BB888" s="215"/>
      <c r="BC888" s="215"/>
      <c r="BD888" s="215"/>
      <c r="BE888" s="215"/>
      <c r="BF888" s="215"/>
      <c r="BG888" s="215"/>
      <c r="BH888" s="215"/>
      <c r="BI888" s="215"/>
      <c r="BJ888" s="215"/>
      <c r="BK888" s="215"/>
      <c r="BL888" s="215"/>
      <c r="BM888" s="215"/>
      <c r="BN888" s="215"/>
      <c r="BO888" s="215"/>
      <c r="BP888" s="215"/>
      <c r="BQ888" s="215"/>
      <c r="BR888" s="215"/>
      <c r="BS888" s="215"/>
      <c r="BT888" s="215"/>
      <c r="BU888" s="215"/>
      <c r="BV888" s="215"/>
      <c r="BW888" s="215"/>
      <c r="BX888" s="215"/>
      <c r="BY888" s="215"/>
      <c r="BZ888" s="215"/>
    </row>
    <row r="889" spans="1:78" outlineLevel="1" x14ac:dyDescent="0.2">
      <c r="A889" s="2" t="str">
        <f>'Language Index'!A543</f>
        <v>Prior Service Cost/Benefit – Compr. Inc.</v>
      </c>
      <c r="B889" s="17"/>
      <c r="C889" s="17"/>
      <c r="D889" s="18">
        <f>_xll.ciqfunctions.udf.CIQ($C$2,"IQ_OPEB_CI_PRIOR_SERVICE_DOM",D$6,$F$2,,,Ccy,Conv)</f>
        <v>0</v>
      </c>
      <c r="E889" s="18">
        <f>_xll.ciqfunctions.udf.CIQ($C$2,"IQ_OPEB_CI_PRIOR_SERVICE_DOM",E$6,$F$2,,,Ccy,Conv)</f>
        <v>0</v>
      </c>
      <c r="F889" s="18">
        <f>_xll.ciqfunctions.udf.CIQ($C$2,"IQ_OPEB_CI_PRIOR_SERVICE_DOM",F$6,$F$2,,,Ccy,Conv)</f>
        <v>-350</v>
      </c>
      <c r="G889" s="18">
        <f>_xll.ciqfunctions.udf.CIQ($C$2,"IQ_OPEB_CI_PRIOR_SERVICE_DOM",G$6,$F$2,,,Ccy,Conv)</f>
        <v>0</v>
      </c>
      <c r="H889" s="18">
        <f>_xll.ciqfunctions.udf.CIQ($C$2,"IQ_OPEB_CI_PRIOR_SERVICE_DOM",H$6,$F$2,,,Ccy,Conv)</f>
        <v>0</v>
      </c>
      <c r="I889" s="18">
        <f>_xll.ciqfunctions.udf.CIQ($C$2,"IQ_OPEB_CI_PRIOR_SERVICE_DOM",I$6,$F$2,,,Ccy,Conv)</f>
        <v>0</v>
      </c>
      <c r="J889" s="18">
        <f>_xll.ciqfunctions.udf.CIQ($C$2,"IQ_OPEB_CI_PRIOR_SERVICE_DOM",J$6,$F$2,,,Ccy,Conv)</f>
        <v>-321</v>
      </c>
      <c r="K889" s="18">
        <f>_xll.ciqfunctions.udf.CIQ($C$2,"IQ_OPEB_CI_PRIOR_SERVICE_DOM",K$6,$F$2,,,Ccy,Conv)</f>
        <v>0</v>
      </c>
      <c r="L889" s="18">
        <f>_xll.ciqfunctions.udf.CIQ($C$2,"IQ_OPEB_CI_PRIOR_SERVICE_DOM",L$6,$F$2,,,Ccy,Conv)</f>
        <v>0</v>
      </c>
      <c r="M889" s="18">
        <f>_xll.ciqfunctions.udf.CIQ($C$2,"IQ_OPEB_CI_PRIOR_SERVICE_DOM",M$6,$F$2,,,Ccy,Conv)</f>
        <v>0</v>
      </c>
      <c r="N889" s="18">
        <f>_xll.ciqfunctions.udf.CIQ($C$2,"IQ_OPEB_CI_PRIOR_SERVICE_DOM",N$6,$F$2,,,Ccy,Conv)</f>
        <v>-292</v>
      </c>
      <c r="O889" s="30"/>
      <c r="P889" s="18">
        <f>_xll.ciqfunctions.udf.CIQ($C$2,"IQ_OPEB_CI_PRIOR_SERVICE_DOM",P$6,$F$2,,,Ccy,Conv)</f>
        <v>-292</v>
      </c>
      <c r="Q889" s="215"/>
      <c r="R889" s="215"/>
      <c r="S889" s="215"/>
      <c r="T889" s="215"/>
      <c r="U889" s="215"/>
      <c r="V889" s="222"/>
      <c r="W889" s="222"/>
      <c r="X889" s="222"/>
      <c r="Y889" s="215"/>
      <c r="Z889" s="215"/>
      <c r="AA889" s="215"/>
      <c r="AB889" s="215"/>
      <c r="AC889" s="215"/>
      <c r="AD889" s="215"/>
      <c r="AE889" s="215"/>
      <c r="AF889" s="215"/>
      <c r="AG889" s="215"/>
      <c r="AH889" s="215"/>
      <c r="AI889" s="215"/>
      <c r="AJ889" s="215"/>
      <c r="AK889" s="215"/>
      <c r="AL889" s="215"/>
      <c r="AM889" s="215"/>
      <c r="AN889" s="215"/>
      <c r="AO889" s="215"/>
      <c r="AP889" s="215"/>
      <c r="AQ889" s="215"/>
      <c r="AR889" s="215"/>
      <c r="AS889" s="215"/>
      <c r="AT889" s="215"/>
      <c r="AU889" s="215"/>
      <c r="AV889" s="215"/>
      <c r="AW889" s="215"/>
      <c r="AX889" s="215"/>
      <c r="AY889" s="215"/>
      <c r="AZ889" s="215"/>
      <c r="BA889" s="215"/>
      <c r="BB889" s="215"/>
      <c r="BC889" s="215"/>
      <c r="BD889" s="215"/>
      <c r="BE889" s="215"/>
      <c r="BF889" s="215"/>
      <c r="BG889" s="215"/>
      <c r="BH889" s="215"/>
      <c r="BI889" s="215"/>
      <c r="BJ889" s="215"/>
      <c r="BK889" s="215"/>
      <c r="BL889" s="215"/>
      <c r="BM889" s="215"/>
      <c r="BN889" s="215"/>
      <c r="BO889" s="215"/>
      <c r="BP889" s="215"/>
      <c r="BQ889" s="215"/>
      <c r="BR889" s="215"/>
      <c r="BS889" s="215"/>
      <c r="BT889" s="215"/>
      <c r="BU889" s="215"/>
      <c r="BV889" s="215"/>
      <c r="BW889" s="215"/>
      <c r="BX889" s="215"/>
      <c r="BY889" s="215"/>
      <c r="BZ889" s="215"/>
    </row>
    <row r="890" spans="1:78" outlineLevel="1" x14ac:dyDescent="0.2">
      <c r="A890" s="2" t="str">
        <f>'Language Index'!A544</f>
        <v>Transition Asset/Obligation – Compr. Inc.</v>
      </c>
      <c r="B890" s="17"/>
      <c r="C890" s="17"/>
      <c r="D890" s="18">
        <f>_xll.ciqfunctions.udf.CIQ($C$2,"IQ_OPEB_CI_TRANSITION_DOM",D$6,$F$2,,,Ccy,Conv)</f>
        <v>0</v>
      </c>
      <c r="E890" s="18">
        <f>_xll.ciqfunctions.udf.CIQ($C$2,"IQ_OPEB_CI_TRANSITION_DOM",E$6,$F$2,,,Ccy,Conv)</f>
        <v>0</v>
      </c>
      <c r="F890" s="18">
        <f>_xll.ciqfunctions.udf.CIQ($C$2,"IQ_OPEB_CI_TRANSITION_DOM",F$6,$F$2,,,Ccy,Conv)</f>
        <v>0</v>
      </c>
      <c r="G890" s="18">
        <f>_xll.ciqfunctions.udf.CIQ($C$2,"IQ_OPEB_CI_TRANSITION_DOM",G$6,$F$2,,,Ccy,Conv)</f>
        <v>0</v>
      </c>
      <c r="H890" s="18">
        <f>_xll.ciqfunctions.udf.CIQ($C$2,"IQ_OPEB_CI_TRANSITION_DOM",H$6,$F$2,,,Ccy,Conv)</f>
        <v>0</v>
      </c>
      <c r="I890" s="18">
        <f>_xll.ciqfunctions.udf.CIQ($C$2,"IQ_OPEB_CI_TRANSITION_DOM",I$6,$F$2,,,Ccy,Conv)</f>
        <v>0</v>
      </c>
      <c r="J890" s="18">
        <f>_xll.ciqfunctions.udf.CIQ($C$2,"IQ_OPEB_CI_TRANSITION_DOM",J$6,$F$2,,,Ccy,Conv)</f>
        <v>0</v>
      </c>
      <c r="K890" s="18">
        <f>_xll.ciqfunctions.udf.CIQ($C$2,"IQ_OPEB_CI_TRANSITION_DOM",K$6,$F$2,,,Ccy,Conv)</f>
        <v>0</v>
      </c>
      <c r="L890" s="18">
        <f>_xll.ciqfunctions.udf.CIQ($C$2,"IQ_OPEB_CI_TRANSITION_DOM",L$6,$F$2,,,Ccy,Conv)</f>
        <v>0</v>
      </c>
      <c r="M890" s="18">
        <f>_xll.ciqfunctions.udf.CIQ($C$2,"IQ_OPEB_CI_TRANSITION_DOM",M$6,$F$2,,,Ccy,Conv)</f>
        <v>0</v>
      </c>
      <c r="N890" s="18">
        <f>_xll.ciqfunctions.udf.CIQ($C$2,"IQ_OPEB_CI_TRANSITION_DOM",N$6,$F$2,,,Ccy,Conv)</f>
        <v>0</v>
      </c>
      <c r="O890" s="30"/>
      <c r="P890" s="18">
        <f>_xll.ciqfunctions.udf.CIQ($C$2,"IQ_OPEB_CI_TRANSITION_DOM",P$6,$F$2,,,Ccy,Conv)</f>
        <v>0</v>
      </c>
      <c r="Q890" s="215"/>
      <c r="R890" s="215"/>
      <c r="S890" s="215"/>
      <c r="T890" s="215"/>
      <c r="U890" s="215"/>
      <c r="V890" s="222"/>
      <c r="W890" s="222"/>
      <c r="X890" s="222"/>
      <c r="Y890" s="215"/>
      <c r="Z890" s="215"/>
      <c r="AA890" s="215"/>
      <c r="AB890" s="215"/>
      <c r="AC890" s="215"/>
      <c r="AD890" s="215"/>
      <c r="AE890" s="215"/>
      <c r="AF890" s="215"/>
      <c r="AG890" s="215"/>
      <c r="AH890" s="215"/>
      <c r="AI890" s="215"/>
      <c r="AJ890" s="215"/>
      <c r="AK890" s="215"/>
      <c r="AL890" s="215"/>
      <c r="AM890" s="215"/>
      <c r="AN890" s="215"/>
      <c r="AO890" s="215"/>
      <c r="AP890" s="215"/>
      <c r="AQ890" s="215"/>
      <c r="AR890" s="215"/>
      <c r="AS890" s="215"/>
      <c r="AT890" s="215"/>
      <c r="AU890" s="215"/>
      <c r="AV890" s="215"/>
      <c r="AW890" s="215"/>
      <c r="AX890" s="215"/>
      <c r="AY890" s="215"/>
      <c r="AZ890" s="215"/>
      <c r="BA890" s="215"/>
      <c r="BB890" s="215"/>
      <c r="BC890" s="215"/>
      <c r="BD890" s="215"/>
      <c r="BE890" s="215"/>
      <c r="BF890" s="215"/>
      <c r="BG890" s="215"/>
      <c r="BH890" s="215"/>
      <c r="BI890" s="215"/>
      <c r="BJ890" s="215"/>
      <c r="BK890" s="215"/>
      <c r="BL890" s="215"/>
      <c r="BM890" s="215"/>
      <c r="BN890" s="215"/>
      <c r="BO890" s="215"/>
      <c r="BP890" s="215"/>
      <c r="BQ890" s="215"/>
      <c r="BR890" s="215"/>
      <c r="BS890" s="215"/>
      <c r="BT890" s="215"/>
      <c r="BU890" s="215"/>
      <c r="BV890" s="215"/>
      <c r="BW890" s="215"/>
      <c r="BX890" s="215"/>
      <c r="BY890" s="215"/>
      <c r="BZ890" s="215"/>
    </row>
    <row r="891" spans="1:78" outlineLevel="1" x14ac:dyDescent="0.2">
      <c r="A891" s="2" t="str">
        <f>'Language Index'!A545</f>
        <v>Other Misc. Adj. – Compr. Inc.</v>
      </c>
      <c r="B891" s="17"/>
      <c r="C891" s="17"/>
      <c r="D891" s="18">
        <f>_xll.ciqfunctions.udf.CIQ($C$2,"IQ_OPEB_CI_OTHER_MISC_ADJ_DOM",D$6,$F$2,,,Ccy,Conv)</f>
        <v>0</v>
      </c>
      <c r="E891" s="18">
        <f>_xll.ciqfunctions.udf.CIQ($C$2,"IQ_OPEB_CI_OTHER_MISC_ADJ_DOM",E$6,$F$2,,,Ccy,Conv)</f>
        <v>0</v>
      </c>
      <c r="F891" s="18">
        <f>_xll.ciqfunctions.udf.CIQ($C$2,"IQ_OPEB_CI_OTHER_MISC_ADJ_DOM",F$6,$F$2,,,Ccy,Conv)</f>
        <v>0</v>
      </c>
      <c r="G891" s="18">
        <f>_xll.ciqfunctions.udf.CIQ($C$2,"IQ_OPEB_CI_OTHER_MISC_ADJ_DOM",G$6,$F$2,,,Ccy,Conv)</f>
        <v>0</v>
      </c>
      <c r="H891" s="18">
        <f>_xll.ciqfunctions.udf.CIQ($C$2,"IQ_OPEB_CI_OTHER_MISC_ADJ_DOM",H$6,$F$2,,,Ccy,Conv)</f>
        <v>0</v>
      </c>
      <c r="I891" s="18">
        <f>_xll.ciqfunctions.udf.CIQ($C$2,"IQ_OPEB_CI_OTHER_MISC_ADJ_DOM",I$6,$F$2,,,Ccy,Conv)</f>
        <v>0</v>
      </c>
      <c r="J891" s="18">
        <f>_xll.ciqfunctions.udf.CIQ($C$2,"IQ_OPEB_CI_OTHER_MISC_ADJ_DOM",J$6,$F$2,,,Ccy,Conv)</f>
        <v>0</v>
      </c>
      <c r="K891" s="18">
        <f>_xll.ciqfunctions.udf.CIQ($C$2,"IQ_OPEB_CI_OTHER_MISC_ADJ_DOM",K$6,$F$2,,,Ccy,Conv)</f>
        <v>0</v>
      </c>
      <c r="L891" s="18">
        <f>_xll.ciqfunctions.udf.CIQ($C$2,"IQ_OPEB_CI_OTHER_MISC_ADJ_DOM",L$6,$F$2,,,Ccy,Conv)</f>
        <v>0</v>
      </c>
      <c r="M891" s="18">
        <f>_xll.ciqfunctions.udf.CIQ($C$2,"IQ_OPEB_CI_OTHER_MISC_ADJ_DOM",M$6,$F$2,,,Ccy,Conv)</f>
        <v>0</v>
      </c>
      <c r="N891" s="18">
        <f>_xll.ciqfunctions.udf.CIQ($C$2,"IQ_OPEB_CI_OTHER_MISC_ADJ_DOM",N$6,$F$2,,,Ccy,Conv)</f>
        <v>0</v>
      </c>
      <c r="O891" s="30"/>
      <c r="P891" s="18">
        <f>_xll.ciqfunctions.udf.CIQ($C$2,"IQ_OPEB_CI_OTHER_MISC_ADJ_DOM",P$6,$F$2,,,Ccy,Conv)</f>
        <v>0</v>
      </c>
      <c r="Q891" s="215"/>
      <c r="R891" s="215"/>
      <c r="S891" s="215"/>
      <c r="T891" s="215"/>
      <c r="U891" s="215"/>
      <c r="V891" s="222"/>
      <c r="W891" s="222"/>
      <c r="X891" s="222"/>
      <c r="Y891" s="215"/>
      <c r="Z891" s="215"/>
      <c r="AA891" s="215"/>
      <c r="AB891" s="215"/>
      <c r="AC891" s="215"/>
      <c r="AD891" s="215"/>
      <c r="AE891" s="215"/>
      <c r="AF891" s="215"/>
      <c r="AG891" s="215"/>
      <c r="AH891" s="215"/>
      <c r="AI891" s="215"/>
      <c r="AJ891" s="215"/>
      <c r="AK891" s="215"/>
      <c r="AL891" s="215"/>
      <c r="AM891" s="215"/>
      <c r="AN891" s="215"/>
      <c r="AO891" s="215"/>
      <c r="AP891" s="215"/>
      <c r="AQ891" s="215"/>
      <c r="AR891" s="215"/>
      <c r="AS891" s="215"/>
      <c r="AT891" s="215"/>
      <c r="AU891" s="215"/>
      <c r="AV891" s="215"/>
      <c r="AW891" s="215"/>
      <c r="AX891" s="215"/>
      <c r="AY891" s="215"/>
      <c r="AZ891" s="215"/>
      <c r="BA891" s="215"/>
      <c r="BB891" s="215"/>
      <c r="BC891" s="215"/>
      <c r="BD891" s="215"/>
      <c r="BE891" s="215"/>
      <c r="BF891" s="215"/>
      <c r="BG891" s="215"/>
      <c r="BH891" s="215"/>
      <c r="BI891" s="215"/>
      <c r="BJ891" s="215"/>
      <c r="BK891" s="215"/>
      <c r="BL891" s="215"/>
      <c r="BM891" s="215"/>
      <c r="BN891" s="215"/>
      <c r="BO891" s="215"/>
      <c r="BP891" s="215"/>
      <c r="BQ891" s="215"/>
      <c r="BR891" s="215"/>
      <c r="BS891" s="215"/>
      <c r="BT891" s="215"/>
      <c r="BU891" s="215"/>
      <c r="BV891" s="215"/>
      <c r="BW891" s="215"/>
      <c r="BX891" s="215"/>
      <c r="BY891" s="215"/>
      <c r="BZ891" s="215"/>
    </row>
    <row r="892" spans="1:78" outlineLevel="1" x14ac:dyDescent="0.2">
      <c r="A892" s="2" t="str">
        <f>'Language Index'!A546</f>
        <v>Net Amount Recognized – Compr. Inc.</v>
      </c>
      <c r="B892" s="17"/>
      <c r="C892" s="17"/>
      <c r="D892" s="18">
        <f>_xll.ciqfunctions.udf.CIQ($C$2,"IQ_OPEB_CI_NET_AMT_RECOG_DOM",D$6,$F$2,,,Ccy,Conv)</f>
        <v>0</v>
      </c>
      <c r="E892" s="18">
        <f>_xll.ciqfunctions.udf.CIQ($C$2,"IQ_OPEB_CI_NET_AMT_RECOG_DOM",E$6,$F$2,,,Ccy,Conv)</f>
        <v>0</v>
      </c>
      <c r="F892" s="18">
        <f>_xll.ciqfunctions.udf.CIQ($C$2,"IQ_OPEB_CI_NET_AMT_RECOG_DOM",F$6,$F$2,,,Ccy,Conv)</f>
        <v>-276</v>
      </c>
      <c r="G892" s="18">
        <f>_xll.ciqfunctions.udf.CIQ($C$2,"IQ_OPEB_CI_NET_AMT_RECOG_DOM",G$6,$F$2,,,Ccy,Conv)</f>
        <v>0</v>
      </c>
      <c r="H892" s="18">
        <f>_xll.ciqfunctions.udf.CIQ($C$2,"IQ_OPEB_CI_NET_AMT_RECOG_DOM",H$6,$F$2,,,Ccy,Conv)</f>
        <v>0</v>
      </c>
      <c r="I892" s="18">
        <f>_xll.ciqfunctions.udf.CIQ($C$2,"IQ_OPEB_CI_NET_AMT_RECOG_DOM",I$6,$F$2,,,Ccy,Conv)</f>
        <v>0</v>
      </c>
      <c r="J892" s="18">
        <f>_xll.ciqfunctions.udf.CIQ($C$2,"IQ_OPEB_CI_NET_AMT_RECOG_DOM",J$6,$F$2,,,Ccy,Conv)</f>
        <v>-133</v>
      </c>
      <c r="K892" s="18">
        <f>_xll.ciqfunctions.udf.CIQ($C$2,"IQ_OPEB_CI_NET_AMT_RECOG_DOM",K$6,$F$2,,,Ccy,Conv)</f>
        <v>0</v>
      </c>
      <c r="L892" s="18">
        <f>_xll.ciqfunctions.udf.CIQ($C$2,"IQ_OPEB_CI_NET_AMT_RECOG_DOM",L$6,$F$2,,,Ccy,Conv)</f>
        <v>0</v>
      </c>
      <c r="M892" s="18">
        <f>_xll.ciqfunctions.udf.CIQ($C$2,"IQ_OPEB_CI_NET_AMT_RECOG_DOM",M$6,$F$2,,,Ccy,Conv)</f>
        <v>0</v>
      </c>
      <c r="N892" s="18">
        <f>_xll.ciqfunctions.udf.CIQ($C$2,"IQ_OPEB_CI_NET_AMT_RECOG_DOM",N$6,$F$2,,,Ccy,Conv)</f>
        <v>-43</v>
      </c>
      <c r="O892" s="30"/>
      <c r="P892" s="18">
        <f>_xll.ciqfunctions.udf.CIQ($C$2,"IQ_OPEB_CI_NET_AMT_RECOG_DOM",P$6,$F$2,,,Ccy,Conv)</f>
        <v>-43</v>
      </c>
      <c r="Q892" s="215"/>
      <c r="R892" s="215"/>
      <c r="S892" s="215"/>
      <c r="T892" s="215"/>
      <c r="U892" s="215"/>
      <c r="V892" s="222"/>
      <c r="W892" s="222"/>
      <c r="X892" s="222"/>
      <c r="Y892" s="215"/>
      <c r="Z892" s="215"/>
      <c r="AA892" s="215"/>
      <c r="AB892" s="215"/>
      <c r="AC892" s="215"/>
      <c r="AD892" s="215"/>
      <c r="AE892" s="215"/>
      <c r="AF892" s="215"/>
      <c r="AG892" s="215"/>
      <c r="AH892" s="215"/>
      <c r="AI892" s="215"/>
      <c r="AJ892" s="215"/>
      <c r="AK892" s="215"/>
      <c r="AL892" s="215"/>
      <c r="AM892" s="215"/>
      <c r="AN892" s="215"/>
      <c r="AO892" s="215"/>
      <c r="AP892" s="215"/>
      <c r="AQ892" s="215"/>
      <c r="AR892" s="215"/>
      <c r="AS892" s="215"/>
      <c r="AT892" s="215"/>
      <c r="AU892" s="215"/>
      <c r="AV892" s="215"/>
      <c r="AW892" s="215"/>
      <c r="AX892" s="215"/>
      <c r="AY892" s="215"/>
      <c r="AZ892" s="215"/>
      <c r="BA892" s="215"/>
      <c r="BB892" s="215"/>
      <c r="BC892" s="215"/>
      <c r="BD892" s="215"/>
      <c r="BE892" s="215"/>
      <c r="BF892" s="215"/>
      <c r="BG892" s="215"/>
      <c r="BH892" s="215"/>
      <c r="BI892" s="215"/>
      <c r="BJ892" s="215"/>
      <c r="BK892" s="215"/>
      <c r="BL892" s="215"/>
      <c r="BM892" s="215"/>
      <c r="BN892" s="215"/>
      <c r="BO892" s="215"/>
      <c r="BP892" s="215"/>
      <c r="BQ892" s="215"/>
      <c r="BR892" s="215"/>
      <c r="BS892" s="215"/>
      <c r="BT892" s="215"/>
      <c r="BU892" s="215"/>
      <c r="BV892" s="215"/>
      <c r="BW892" s="215"/>
      <c r="BX892" s="215"/>
      <c r="BY892" s="215"/>
      <c r="BZ892" s="215"/>
    </row>
    <row r="893" spans="1:78" outlineLevel="1" x14ac:dyDescent="0.2">
      <c r="A893" s="9" t="str">
        <f>'Language Index'!A547</f>
        <v>Expected to be recognized as components of net periodic benefit cost in the next year</v>
      </c>
      <c r="B893" s="17"/>
      <c r="C893" s="17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30"/>
      <c r="P893" s="18"/>
      <c r="Q893" s="215"/>
      <c r="R893" s="215"/>
      <c r="S893" s="215"/>
      <c r="T893" s="215"/>
      <c r="U893" s="215"/>
      <c r="V893" s="222"/>
      <c r="W893" s="222"/>
      <c r="X893" s="222"/>
      <c r="Y893" s="215"/>
      <c r="Z893" s="215"/>
      <c r="AA893" s="215"/>
      <c r="AB893" s="215"/>
      <c r="AC893" s="215"/>
      <c r="AD893" s="215"/>
      <c r="AE893" s="215"/>
      <c r="AF893" s="215"/>
      <c r="AG893" s="215"/>
      <c r="AH893" s="215"/>
      <c r="AI893" s="215"/>
      <c r="AJ893" s="215"/>
      <c r="AK893" s="215"/>
      <c r="AL893" s="215"/>
      <c r="AM893" s="215"/>
      <c r="AN893" s="215"/>
      <c r="AO893" s="215"/>
      <c r="AP893" s="215"/>
      <c r="AQ893" s="215"/>
      <c r="AR893" s="215"/>
      <c r="AS893" s="215"/>
      <c r="AT893" s="215"/>
      <c r="AU893" s="215"/>
      <c r="AV893" s="215"/>
      <c r="AW893" s="215"/>
      <c r="AX893" s="215"/>
      <c r="AY893" s="215"/>
      <c r="AZ893" s="215"/>
      <c r="BA893" s="215"/>
      <c r="BB893" s="215"/>
      <c r="BC893" s="215"/>
      <c r="BD893" s="215"/>
      <c r="BE893" s="215"/>
      <c r="BF893" s="215"/>
      <c r="BG893" s="215"/>
      <c r="BH893" s="215"/>
      <c r="BI893" s="215"/>
      <c r="BJ893" s="215"/>
      <c r="BK893" s="215"/>
      <c r="BL893" s="215"/>
      <c r="BM893" s="215"/>
      <c r="BN893" s="215"/>
      <c r="BO893" s="215"/>
      <c r="BP893" s="215"/>
      <c r="BQ893" s="215"/>
      <c r="BR893" s="215"/>
      <c r="BS893" s="215"/>
      <c r="BT893" s="215"/>
      <c r="BU893" s="215"/>
      <c r="BV893" s="215"/>
      <c r="BW893" s="215"/>
      <c r="BX893" s="215"/>
      <c r="BY893" s="215"/>
      <c r="BZ893" s="215"/>
    </row>
    <row r="894" spans="1:78" outlineLevel="1" x14ac:dyDescent="0.2">
      <c r="A894" s="2" t="str">
        <f>'Language Index'!A548</f>
        <v>Prior Service Cost/Benefit Recog. Next Period</v>
      </c>
      <c r="B894" s="17"/>
      <c r="C894" s="17"/>
      <c r="D894" s="18">
        <f>_xll.ciqfunctions.udf.CIQ($C$2,"IQ_OPEB_PRIOR_SERVICE_NEXT_DOM",D$6,$F$2,,,Ccy,Conv)</f>
        <v>0</v>
      </c>
      <c r="E894" s="18">
        <f>_xll.ciqfunctions.udf.CIQ($C$2,"IQ_OPEB_PRIOR_SERVICE_NEXT_DOM",E$6,$F$2,,,Ccy,Conv)</f>
        <v>0</v>
      </c>
      <c r="F894" s="18">
        <f>_xll.ciqfunctions.udf.CIQ($C$2,"IQ_OPEB_PRIOR_SERVICE_NEXT_DOM",F$6,$F$2,,,Ccy,Conv)</f>
        <v>0</v>
      </c>
      <c r="G894" s="18">
        <f>_xll.ciqfunctions.udf.CIQ($C$2,"IQ_OPEB_PRIOR_SERVICE_NEXT_DOM",G$6,$F$2,,,Ccy,Conv)</f>
        <v>0</v>
      </c>
      <c r="H894" s="18">
        <f>_xll.ciqfunctions.udf.CIQ($C$2,"IQ_OPEB_PRIOR_SERVICE_NEXT_DOM",H$6,$F$2,,,Ccy,Conv)</f>
        <v>0</v>
      </c>
      <c r="I894" s="18">
        <f>_xll.ciqfunctions.udf.CIQ($C$2,"IQ_OPEB_PRIOR_SERVICE_NEXT_DOM",I$6,$F$2,,,Ccy,Conv)</f>
        <v>0</v>
      </c>
      <c r="J894" s="18">
        <f>_xll.ciqfunctions.udf.CIQ($C$2,"IQ_OPEB_PRIOR_SERVICE_NEXT_DOM",J$6,$F$2,,,Ccy,Conv)</f>
        <v>0</v>
      </c>
      <c r="K894" s="18">
        <f>_xll.ciqfunctions.udf.CIQ($C$2,"IQ_OPEB_PRIOR_SERVICE_NEXT_DOM",K$6,$F$2,,,Ccy,Conv)</f>
        <v>0</v>
      </c>
      <c r="L894" s="18">
        <f>_xll.ciqfunctions.udf.CIQ($C$2,"IQ_OPEB_PRIOR_SERVICE_NEXT_DOM",L$6,$F$2,,,Ccy,Conv)</f>
        <v>0</v>
      </c>
      <c r="M894" s="18">
        <f>_xll.ciqfunctions.udf.CIQ($C$2,"IQ_OPEB_PRIOR_SERVICE_NEXT_DOM",M$6,$F$2,,,Ccy,Conv)</f>
        <v>0</v>
      </c>
      <c r="N894" s="18">
        <f>_xll.ciqfunctions.udf.CIQ($C$2,"IQ_OPEB_PRIOR_SERVICE_NEXT_DOM",N$6,$F$2,,,Ccy,Conv)</f>
        <v>0</v>
      </c>
      <c r="O894" s="30"/>
      <c r="P894" s="18">
        <f>_xll.ciqfunctions.udf.CIQ($C$2,"IQ_OPEB_PRIOR_SERVICE_NEXT_DOM",P$6,$F$2,,,Ccy,Conv)</f>
        <v>0</v>
      </c>
      <c r="Q894" s="215"/>
      <c r="R894" s="215"/>
      <c r="S894" s="215"/>
      <c r="T894" s="215"/>
      <c r="U894" s="215"/>
      <c r="V894" s="222"/>
      <c r="W894" s="222"/>
      <c r="X894" s="222"/>
      <c r="Y894" s="215"/>
      <c r="Z894" s="215"/>
      <c r="AA894" s="215"/>
      <c r="AB894" s="215"/>
      <c r="AC894" s="215"/>
      <c r="AD894" s="215"/>
      <c r="AE894" s="215"/>
      <c r="AF894" s="215"/>
      <c r="AG894" s="215"/>
      <c r="AH894" s="215"/>
      <c r="AI894" s="215"/>
      <c r="AJ894" s="215"/>
      <c r="AK894" s="215"/>
      <c r="AL894" s="215"/>
      <c r="AM894" s="215"/>
      <c r="AN894" s="215"/>
      <c r="AO894" s="215"/>
      <c r="AP894" s="215"/>
      <c r="AQ894" s="215"/>
      <c r="AR894" s="215"/>
      <c r="AS894" s="215"/>
      <c r="AT894" s="215"/>
      <c r="AU894" s="215"/>
      <c r="AV894" s="215"/>
      <c r="AW894" s="215"/>
      <c r="AX894" s="215"/>
      <c r="AY894" s="215"/>
      <c r="AZ894" s="215"/>
      <c r="BA894" s="215"/>
      <c r="BB894" s="215"/>
      <c r="BC894" s="215"/>
      <c r="BD894" s="215"/>
      <c r="BE894" s="215"/>
      <c r="BF894" s="215"/>
      <c r="BG894" s="215"/>
      <c r="BH894" s="215"/>
      <c r="BI894" s="215"/>
      <c r="BJ894" s="215"/>
      <c r="BK894" s="215"/>
      <c r="BL894" s="215"/>
      <c r="BM894" s="215"/>
      <c r="BN894" s="215"/>
      <c r="BO894" s="215"/>
      <c r="BP894" s="215"/>
      <c r="BQ894" s="215"/>
      <c r="BR894" s="215"/>
      <c r="BS894" s="215"/>
      <c r="BT894" s="215"/>
      <c r="BU894" s="215"/>
      <c r="BV894" s="215"/>
      <c r="BW894" s="215"/>
      <c r="BX894" s="215"/>
      <c r="BY894" s="215"/>
      <c r="BZ894" s="215"/>
    </row>
    <row r="895" spans="1:78" outlineLevel="1" x14ac:dyDescent="0.2">
      <c r="A895" s="2" t="str">
        <f>'Language Index'!A549</f>
        <v>Net Actuarial Loss/Gain Recog. Next Period</v>
      </c>
      <c r="B895" s="17"/>
      <c r="C895" s="17"/>
      <c r="D895" s="18">
        <f>_xll.ciqfunctions.udf.CIQ($C$2,"IQ_OPEB_ACT_NEXT_DOM",D$6,$F$2,,,Ccy,Conv)</f>
        <v>0</v>
      </c>
      <c r="E895" s="18">
        <f>_xll.ciqfunctions.udf.CIQ($C$2,"IQ_OPEB_ACT_NEXT_DOM",E$6,$F$2,,,Ccy,Conv)</f>
        <v>0</v>
      </c>
      <c r="F895" s="18">
        <f>_xll.ciqfunctions.udf.CIQ($C$2,"IQ_OPEB_ACT_NEXT_DOM",F$6,$F$2,,,Ccy,Conv)</f>
        <v>0</v>
      </c>
      <c r="G895" s="18">
        <f>_xll.ciqfunctions.udf.CIQ($C$2,"IQ_OPEB_ACT_NEXT_DOM",G$6,$F$2,,,Ccy,Conv)</f>
        <v>0</v>
      </c>
      <c r="H895" s="18">
        <f>_xll.ciqfunctions.udf.CIQ($C$2,"IQ_OPEB_ACT_NEXT_DOM",H$6,$F$2,,,Ccy,Conv)</f>
        <v>0</v>
      </c>
      <c r="I895" s="18">
        <f>_xll.ciqfunctions.udf.CIQ($C$2,"IQ_OPEB_ACT_NEXT_DOM",I$6,$F$2,,,Ccy,Conv)</f>
        <v>0</v>
      </c>
      <c r="J895" s="18">
        <f>_xll.ciqfunctions.udf.CIQ($C$2,"IQ_OPEB_ACT_NEXT_DOM",J$6,$F$2,,,Ccy,Conv)</f>
        <v>0</v>
      </c>
      <c r="K895" s="18">
        <f>_xll.ciqfunctions.udf.CIQ($C$2,"IQ_OPEB_ACT_NEXT_DOM",K$6,$F$2,,,Ccy,Conv)</f>
        <v>0</v>
      </c>
      <c r="L895" s="18">
        <f>_xll.ciqfunctions.udf.CIQ($C$2,"IQ_OPEB_ACT_NEXT_DOM",L$6,$F$2,,,Ccy,Conv)</f>
        <v>0</v>
      </c>
      <c r="M895" s="18">
        <f>_xll.ciqfunctions.udf.CIQ($C$2,"IQ_OPEB_ACT_NEXT_DOM",M$6,$F$2,,,Ccy,Conv)</f>
        <v>0</v>
      </c>
      <c r="N895" s="18">
        <f>_xll.ciqfunctions.udf.CIQ($C$2,"IQ_OPEB_ACT_NEXT_DOM",N$6,$F$2,,,Ccy,Conv)</f>
        <v>0</v>
      </c>
      <c r="O895" s="30"/>
      <c r="P895" s="18">
        <f>_xll.ciqfunctions.udf.CIQ($C$2,"IQ_OPEB_ACT_NEXT_DOM",P$6,$F$2,,,Ccy,Conv)</f>
        <v>0</v>
      </c>
      <c r="Q895" s="215"/>
      <c r="R895" s="215"/>
      <c r="S895" s="215"/>
      <c r="T895" s="215"/>
      <c r="U895" s="215"/>
      <c r="V895" s="222"/>
      <c r="W895" s="222"/>
      <c r="X895" s="222"/>
      <c r="Y895" s="215"/>
      <c r="Z895" s="215"/>
      <c r="AA895" s="215"/>
      <c r="AB895" s="215"/>
      <c r="AC895" s="215"/>
      <c r="AD895" s="215"/>
      <c r="AE895" s="215"/>
      <c r="AF895" s="215"/>
      <c r="AG895" s="215"/>
      <c r="AH895" s="215"/>
      <c r="AI895" s="215"/>
      <c r="AJ895" s="215"/>
      <c r="AK895" s="215"/>
      <c r="AL895" s="215"/>
      <c r="AM895" s="215"/>
      <c r="AN895" s="215"/>
      <c r="AO895" s="215"/>
      <c r="AP895" s="215"/>
      <c r="AQ895" s="215"/>
      <c r="AR895" s="215"/>
      <c r="AS895" s="215"/>
      <c r="AT895" s="215"/>
      <c r="AU895" s="215"/>
      <c r="AV895" s="215"/>
      <c r="AW895" s="215"/>
      <c r="AX895" s="215"/>
      <c r="AY895" s="215"/>
      <c r="AZ895" s="215"/>
      <c r="BA895" s="215"/>
      <c r="BB895" s="215"/>
      <c r="BC895" s="215"/>
      <c r="BD895" s="215"/>
      <c r="BE895" s="215"/>
      <c r="BF895" s="215"/>
      <c r="BG895" s="215"/>
      <c r="BH895" s="215"/>
      <c r="BI895" s="215"/>
      <c r="BJ895" s="215"/>
      <c r="BK895" s="215"/>
      <c r="BL895" s="215"/>
      <c r="BM895" s="215"/>
      <c r="BN895" s="215"/>
      <c r="BO895" s="215"/>
      <c r="BP895" s="215"/>
      <c r="BQ895" s="215"/>
      <c r="BR895" s="215"/>
      <c r="BS895" s="215"/>
      <c r="BT895" s="215"/>
      <c r="BU895" s="215"/>
      <c r="BV895" s="215"/>
      <c r="BW895" s="215"/>
      <c r="BX895" s="215"/>
      <c r="BY895" s="215"/>
      <c r="BZ895" s="215"/>
    </row>
    <row r="896" spans="1:78" outlineLevel="1" x14ac:dyDescent="0.2">
      <c r="A896" s="2" t="str">
        <f>'Language Index'!A550</f>
        <v>Transition Asset/Obligation Recog. Next Period</v>
      </c>
      <c r="B896" s="17"/>
      <c r="C896" s="17"/>
      <c r="D896" s="18">
        <f>_xll.ciqfunctions.udf.CIQ($C$2,"IQ_OPEB_TRANSITION_NEXT_DOM",D$6,$F$2,,,Ccy,Conv)</f>
        <v>0</v>
      </c>
      <c r="E896" s="18">
        <f>_xll.ciqfunctions.udf.CIQ($C$2,"IQ_OPEB_TRANSITION_NEXT_DOM",E$6,$F$2,,,Ccy,Conv)</f>
        <v>0</v>
      </c>
      <c r="F896" s="18">
        <f>_xll.ciqfunctions.udf.CIQ($C$2,"IQ_OPEB_TRANSITION_NEXT_DOM",F$6,$F$2,,,Ccy,Conv)</f>
        <v>0</v>
      </c>
      <c r="G896" s="18">
        <f>_xll.ciqfunctions.udf.CIQ($C$2,"IQ_OPEB_TRANSITION_NEXT_DOM",G$6,$F$2,,,Ccy,Conv)</f>
        <v>0</v>
      </c>
      <c r="H896" s="18">
        <f>_xll.ciqfunctions.udf.CIQ($C$2,"IQ_OPEB_TRANSITION_NEXT_DOM",H$6,$F$2,,,Ccy,Conv)</f>
        <v>0</v>
      </c>
      <c r="I896" s="18">
        <f>_xll.ciqfunctions.udf.CIQ($C$2,"IQ_OPEB_TRANSITION_NEXT_DOM",I$6,$F$2,,,Ccy,Conv)</f>
        <v>0</v>
      </c>
      <c r="J896" s="18">
        <f>_xll.ciqfunctions.udf.CIQ($C$2,"IQ_OPEB_TRANSITION_NEXT_DOM",J$6,$F$2,,,Ccy,Conv)</f>
        <v>0</v>
      </c>
      <c r="K896" s="18">
        <f>_xll.ciqfunctions.udf.CIQ($C$2,"IQ_OPEB_TRANSITION_NEXT_DOM",K$6,$F$2,,,Ccy,Conv)</f>
        <v>0</v>
      </c>
      <c r="L896" s="18">
        <f>_xll.ciqfunctions.udf.CIQ($C$2,"IQ_OPEB_TRANSITION_NEXT_DOM",L$6,$F$2,,,Ccy,Conv)</f>
        <v>0</v>
      </c>
      <c r="M896" s="18">
        <f>_xll.ciqfunctions.udf.CIQ($C$2,"IQ_OPEB_TRANSITION_NEXT_DOM",M$6,$F$2,,,Ccy,Conv)</f>
        <v>0</v>
      </c>
      <c r="N896" s="18">
        <f>_xll.ciqfunctions.udf.CIQ($C$2,"IQ_OPEB_TRANSITION_NEXT_DOM",N$6,$F$2,,,Ccy,Conv)</f>
        <v>0</v>
      </c>
      <c r="O896" s="30"/>
      <c r="P896" s="18">
        <f>_xll.ciqfunctions.udf.CIQ($C$2,"IQ_OPEB_TRANSITION_NEXT_DOM",P$6,$F$2,,,Ccy,Conv)</f>
        <v>0</v>
      </c>
      <c r="Q896" s="215"/>
      <c r="R896" s="215"/>
      <c r="S896" s="215"/>
      <c r="T896" s="215"/>
      <c r="U896" s="215"/>
      <c r="V896" s="222"/>
      <c r="W896" s="222"/>
      <c r="X896" s="222"/>
      <c r="Y896" s="215"/>
      <c r="Z896" s="215"/>
      <c r="AA896" s="215"/>
      <c r="AB896" s="215"/>
      <c r="AC896" s="215"/>
      <c r="AD896" s="215"/>
      <c r="AE896" s="215"/>
      <c r="AF896" s="215"/>
      <c r="AG896" s="215"/>
      <c r="AH896" s="215"/>
      <c r="AI896" s="215"/>
      <c r="AJ896" s="215"/>
      <c r="AK896" s="215"/>
      <c r="AL896" s="215"/>
      <c r="AM896" s="215"/>
      <c r="AN896" s="215"/>
      <c r="AO896" s="215"/>
      <c r="AP896" s="215"/>
      <c r="AQ896" s="215"/>
      <c r="AR896" s="215"/>
      <c r="AS896" s="215"/>
      <c r="AT896" s="215"/>
      <c r="AU896" s="215"/>
      <c r="AV896" s="215"/>
      <c r="AW896" s="215"/>
      <c r="AX896" s="215"/>
      <c r="AY896" s="215"/>
      <c r="AZ896" s="215"/>
      <c r="BA896" s="215"/>
      <c r="BB896" s="215"/>
      <c r="BC896" s="215"/>
      <c r="BD896" s="215"/>
      <c r="BE896" s="215"/>
      <c r="BF896" s="215"/>
      <c r="BG896" s="215"/>
      <c r="BH896" s="215"/>
      <c r="BI896" s="215"/>
      <c r="BJ896" s="215"/>
      <c r="BK896" s="215"/>
      <c r="BL896" s="215"/>
      <c r="BM896" s="215"/>
      <c r="BN896" s="215"/>
      <c r="BO896" s="215"/>
      <c r="BP896" s="215"/>
      <c r="BQ896" s="215"/>
      <c r="BR896" s="215"/>
      <c r="BS896" s="215"/>
      <c r="BT896" s="215"/>
      <c r="BU896" s="215"/>
      <c r="BV896" s="215"/>
      <c r="BW896" s="215"/>
      <c r="BX896" s="215"/>
      <c r="BY896" s="215"/>
      <c r="BZ896" s="215"/>
    </row>
    <row r="897" spans="1:78" outlineLevel="1" x14ac:dyDescent="0.2">
      <c r="A897" s="2" t="str">
        <f>'Language Index'!A551</f>
        <v>Total Amount to be Recognized Next Period</v>
      </c>
      <c r="B897" s="17"/>
      <c r="C897" s="17"/>
      <c r="D897" s="18">
        <f>_xll.ciqfunctions.udf.CIQ($C$2,"IQ_OPEB_AMT_RECOG_NEXT_DOM",D$6,$F$2,,,Ccy,Conv)</f>
        <v>0</v>
      </c>
      <c r="E897" s="18">
        <f>_xll.ciqfunctions.udf.CIQ($C$2,"IQ_OPEB_AMT_RECOG_NEXT_DOM",E$6,$F$2,,,Ccy,Conv)</f>
        <v>0</v>
      </c>
      <c r="F897" s="18">
        <f>_xll.ciqfunctions.udf.CIQ($C$2,"IQ_OPEB_AMT_RECOG_NEXT_DOM",F$6,$F$2,,,Ccy,Conv)</f>
        <v>0</v>
      </c>
      <c r="G897" s="18">
        <f>_xll.ciqfunctions.udf.CIQ($C$2,"IQ_OPEB_AMT_RECOG_NEXT_DOM",G$6,$F$2,,,Ccy,Conv)</f>
        <v>0</v>
      </c>
      <c r="H897" s="18">
        <f>_xll.ciqfunctions.udf.CIQ($C$2,"IQ_OPEB_AMT_RECOG_NEXT_DOM",H$6,$F$2,,,Ccy,Conv)</f>
        <v>0</v>
      </c>
      <c r="I897" s="18">
        <f>_xll.ciqfunctions.udf.CIQ($C$2,"IQ_OPEB_AMT_RECOG_NEXT_DOM",I$6,$F$2,,,Ccy,Conv)</f>
        <v>0</v>
      </c>
      <c r="J897" s="18">
        <f>_xll.ciqfunctions.udf.CIQ($C$2,"IQ_OPEB_AMT_RECOG_NEXT_DOM",J$6,$F$2,,,Ccy,Conv)</f>
        <v>0</v>
      </c>
      <c r="K897" s="18">
        <f>_xll.ciqfunctions.udf.CIQ($C$2,"IQ_OPEB_AMT_RECOG_NEXT_DOM",K$6,$F$2,,,Ccy,Conv)</f>
        <v>0</v>
      </c>
      <c r="L897" s="18">
        <f>_xll.ciqfunctions.udf.CIQ($C$2,"IQ_OPEB_AMT_RECOG_NEXT_DOM",L$6,$F$2,,,Ccy,Conv)</f>
        <v>0</v>
      </c>
      <c r="M897" s="18">
        <f>_xll.ciqfunctions.udf.CIQ($C$2,"IQ_OPEB_AMT_RECOG_NEXT_DOM",M$6,$F$2,,,Ccy,Conv)</f>
        <v>0</v>
      </c>
      <c r="N897" s="18">
        <f>_xll.ciqfunctions.udf.CIQ($C$2,"IQ_OPEB_AMT_RECOG_NEXT_DOM",N$6,$F$2,,,Ccy,Conv)</f>
        <v>0</v>
      </c>
      <c r="O897" s="30"/>
      <c r="P897" s="18">
        <f>_xll.ciqfunctions.udf.CIQ($C$2,"IQ_OPEB_AMT_RECOG_NEXT_DOM",P$6,$F$2,,,Ccy,Conv)</f>
        <v>0</v>
      </c>
      <c r="Q897" s="215"/>
      <c r="R897" s="215"/>
      <c r="S897" s="215"/>
      <c r="T897" s="215"/>
      <c r="U897" s="215"/>
      <c r="V897" s="222"/>
      <c r="W897" s="222"/>
      <c r="X897" s="222"/>
      <c r="Y897" s="215"/>
      <c r="Z897" s="215"/>
      <c r="AA897" s="215"/>
      <c r="AB897" s="215"/>
      <c r="AC897" s="215"/>
      <c r="AD897" s="215"/>
      <c r="AE897" s="215"/>
      <c r="AF897" s="215"/>
      <c r="AG897" s="215"/>
      <c r="AH897" s="215"/>
      <c r="AI897" s="215"/>
      <c r="AJ897" s="215"/>
      <c r="AK897" s="215"/>
      <c r="AL897" s="215"/>
      <c r="AM897" s="215"/>
      <c r="AN897" s="215"/>
      <c r="AO897" s="215"/>
      <c r="AP897" s="215"/>
      <c r="AQ897" s="215"/>
      <c r="AR897" s="215"/>
      <c r="AS897" s="215"/>
      <c r="AT897" s="215"/>
      <c r="AU897" s="215"/>
      <c r="AV897" s="215"/>
      <c r="AW897" s="215"/>
      <c r="AX897" s="215"/>
      <c r="AY897" s="215"/>
      <c r="AZ897" s="215"/>
      <c r="BA897" s="215"/>
      <c r="BB897" s="215"/>
      <c r="BC897" s="215"/>
      <c r="BD897" s="215"/>
      <c r="BE897" s="215"/>
      <c r="BF897" s="215"/>
      <c r="BG897" s="215"/>
      <c r="BH897" s="215"/>
      <c r="BI897" s="215"/>
      <c r="BJ897" s="215"/>
      <c r="BK897" s="215"/>
      <c r="BL897" s="215"/>
      <c r="BM897" s="215"/>
      <c r="BN897" s="215"/>
      <c r="BO897" s="215"/>
      <c r="BP897" s="215"/>
      <c r="BQ897" s="215"/>
      <c r="BR897" s="215"/>
      <c r="BS897" s="215"/>
      <c r="BT897" s="215"/>
      <c r="BU897" s="215"/>
      <c r="BV897" s="215"/>
      <c r="BW897" s="215"/>
      <c r="BX897" s="215"/>
      <c r="BY897" s="215"/>
      <c r="BZ897" s="215"/>
    </row>
    <row r="898" spans="1:78" outlineLevel="1" x14ac:dyDescent="0.2">
      <c r="A898" s="9" t="str">
        <f>'Language Index'!A552</f>
        <v>Weighted Avg. Assumptions on Def. Benefit Obligation</v>
      </c>
      <c r="B898" s="17"/>
      <c r="C898" s="17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30"/>
      <c r="P898" s="18"/>
      <c r="Q898" s="245"/>
      <c r="R898" s="215"/>
      <c r="S898" s="215"/>
      <c r="T898" s="215"/>
      <c r="U898" s="215"/>
      <c r="V898" s="222"/>
      <c r="W898" s="222"/>
      <c r="X898" s="222"/>
      <c r="Y898" s="215"/>
      <c r="Z898" s="215"/>
      <c r="AA898" s="215"/>
      <c r="AB898" s="215"/>
      <c r="AC898" s="215"/>
      <c r="AD898" s="215"/>
      <c r="AE898" s="215"/>
      <c r="AF898" s="215"/>
      <c r="AG898" s="215"/>
      <c r="AH898" s="215"/>
      <c r="AI898" s="215"/>
      <c r="AJ898" s="215"/>
      <c r="AK898" s="215"/>
      <c r="AL898" s="215"/>
      <c r="AM898" s="215"/>
      <c r="AN898" s="215"/>
      <c r="AO898" s="215"/>
      <c r="AP898" s="215"/>
      <c r="AQ898" s="215"/>
      <c r="AR898" s="215"/>
      <c r="AS898" s="215"/>
      <c r="AT898" s="215"/>
      <c r="AU898" s="215"/>
      <c r="AV898" s="215"/>
      <c r="AW898" s="215"/>
      <c r="AX898" s="215"/>
      <c r="AY898" s="215"/>
      <c r="AZ898" s="215"/>
      <c r="BA898" s="215"/>
      <c r="BB898" s="215"/>
      <c r="BC898" s="215"/>
      <c r="BD898" s="215"/>
      <c r="BE898" s="215"/>
      <c r="BF898" s="215"/>
      <c r="BG898" s="215"/>
      <c r="BH898" s="215"/>
      <c r="BI898" s="215"/>
      <c r="BJ898" s="215"/>
      <c r="BK898" s="215"/>
      <c r="BL898" s="215"/>
      <c r="BM898" s="215"/>
      <c r="BN898" s="215"/>
      <c r="BO898" s="215"/>
      <c r="BP898" s="215"/>
      <c r="BQ898" s="215"/>
      <c r="BR898" s="215"/>
      <c r="BS898" s="215"/>
      <c r="BT898" s="215"/>
      <c r="BU898" s="215"/>
      <c r="BV898" s="215"/>
      <c r="BW898" s="215"/>
      <c r="BX898" s="215"/>
      <c r="BY898" s="215"/>
      <c r="BZ898" s="215"/>
    </row>
    <row r="899" spans="1:78" outlineLevel="1" x14ac:dyDescent="0.2">
      <c r="A899" s="2" t="str">
        <f>'Language Index'!A553</f>
        <v>PBO Assumed Rate of Return - Min</v>
      </c>
      <c r="B899" s="17"/>
      <c r="C899" s="17"/>
      <c r="D899" s="18">
        <f>_xll.ciqfunctions.udf.CIQ($C$2,"IQ_OPEB_PBO_ASSUMED_RATE_RET_MIN_DOM",D$6,$F$2)</f>
        <v>0</v>
      </c>
      <c r="E899" s="18">
        <f>_xll.ciqfunctions.udf.CIQ($C$2,"IQ_OPEB_PBO_ASSUMED_RATE_RET_MIN_DOM",E$6,$F$2)</f>
        <v>0</v>
      </c>
      <c r="F899" s="18">
        <f>_xll.ciqfunctions.udf.CIQ($C$2,"IQ_OPEB_PBO_ASSUMED_RATE_RET_MIN_DOM",F$6,$F$2)</f>
        <v>5</v>
      </c>
      <c r="G899" s="18">
        <f>_xll.ciqfunctions.udf.CIQ($C$2,"IQ_OPEB_PBO_ASSUMED_RATE_RET_MIN_DOM",G$6,$F$2)</f>
        <v>0</v>
      </c>
      <c r="H899" s="18">
        <f>_xll.ciqfunctions.udf.CIQ($C$2,"IQ_OPEB_PBO_ASSUMED_RATE_RET_MIN_DOM",H$6,$F$2)</f>
        <v>0</v>
      </c>
      <c r="I899" s="18">
        <f>_xll.ciqfunctions.udf.CIQ($C$2,"IQ_OPEB_PBO_ASSUMED_RATE_RET_MIN_DOM",I$6,$F$2)</f>
        <v>0</v>
      </c>
      <c r="J899" s="18">
        <f>_xll.ciqfunctions.udf.CIQ($C$2,"IQ_OPEB_PBO_ASSUMED_RATE_RET_MIN_DOM",J$6,$F$2)</f>
        <v>5.3</v>
      </c>
      <c r="K899" s="18">
        <f>_xll.ciqfunctions.udf.CIQ($C$2,"IQ_OPEB_PBO_ASSUMED_RATE_RET_MIN_DOM",K$6,$F$2)</f>
        <v>0</v>
      </c>
      <c r="L899" s="18">
        <f>_xll.ciqfunctions.udf.CIQ($C$2,"IQ_OPEB_PBO_ASSUMED_RATE_RET_MIN_DOM",L$6,$F$2)</f>
        <v>0</v>
      </c>
      <c r="M899" s="18">
        <f>_xll.ciqfunctions.udf.CIQ($C$2,"IQ_OPEB_PBO_ASSUMED_RATE_RET_MIN_DOM",M$6,$F$2)</f>
        <v>0</v>
      </c>
      <c r="N899" s="18">
        <f>_xll.ciqfunctions.udf.CIQ($C$2,"IQ_OPEB_PBO_ASSUMED_RATE_RET_MIN_DOM",N$6,$F$2)</f>
        <v>4.8</v>
      </c>
      <c r="O899" s="30"/>
      <c r="P899" s="18">
        <f>_xll.ciqfunctions.udf.CIQ($C$2,"IQ_OPEB_PBO_ASSUMED_RATE_RET_MIN_DOM",P$6,$F$2)</f>
        <v>4.8</v>
      </c>
      <c r="Q899" s="245"/>
      <c r="R899" s="215"/>
      <c r="S899" s="215"/>
      <c r="T899" s="215"/>
      <c r="U899" s="215"/>
      <c r="V899" s="222"/>
      <c r="W899" s="222"/>
      <c r="X899" s="222"/>
      <c r="Y899" s="215"/>
      <c r="Z899" s="215"/>
      <c r="AA899" s="215"/>
      <c r="AB899" s="215"/>
      <c r="AC899" s="215"/>
      <c r="AD899" s="215"/>
      <c r="AE899" s="215"/>
      <c r="AF899" s="215"/>
      <c r="AG899" s="215"/>
      <c r="AH899" s="215"/>
      <c r="AI899" s="215"/>
      <c r="AJ899" s="215"/>
      <c r="AK899" s="215"/>
      <c r="AL899" s="215"/>
      <c r="AM899" s="215"/>
      <c r="AN899" s="215"/>
      <c r="AO899" s="215"/>
      <c r="AP899" s="215"/>
      <c r="AQ899" s="215"/>
      <c r="AR899" s="215"/>
      <c r="AS899" s="215"/>
      <c r="AT899" s="215"/>
      <c r="AU899" s="215"/>
      <c r="AV899" s="215"/>
      <c r="AW899" s="215"/>
      <c r="AX899" s="215"/>
      <c r="AY899" s="215"/>
      <c r="AZ899" s="215"/>
      <c r="BA899" s="215"/>
      <c r="BB899" s="215"/>
      <c r="BC899" s="215"/>
      <c r="BD899" s="215"/>
      <c r="BE899" s="215"/>
      <c r="BF899" s="215"/>
      <c r="BG899" s="215"/>
      <c r="BH899" s="215"/>
      <c r="BI899" s="215"/>
      <c r="BJ899" s="215"/>
      <c r="BK899" s="215"/>
      <c r="BL899" s="215"/>
      <c r="BM899" s="215"/>
      <c r="BN899" s="215"/>
      <c r="BO899" s="215"/>
      <c r="BP899" s="215"/>
      <c r="BQ899" s="215"/>
      <c r="BR899" s="215"/>
      <c r="BS899" s="215"/>
      <c r="BT899" s="215"/>
      <c r="BU899" s="215"/>
      <c r="BV899" s="215"/>
      <c r="BW899" s="215"/>
      <c r="BX899" s="215"/>
      <c r="BY899" s="215"/>
      <c r="BZ899" s="215"/>
    </row>
    <row r="900" spans="1:78" outlineLevel="1" x14ac:dyDescent="0.2">
      <c r="A900" s="2" t="str">
        <f>'Language Index'!A554</f>
        <v>PBO Assumed Rate of Return - Max</v>
      </c>
      <c r="B900" s="17"/>
      <c r="C900" s="17"/>
      <c r="D900" s="18">
        <f>_xll.ciqfunctions.udf.CIQ($C$2,"IQ_OPEB_PBO_ASSUMED_RATE_RET_MAX_DOM",D$6,$F$2)</f>
        <v>0</v>
      </c>
      <c r="E900" s="18">
        <f>_xll.ciqfunctions.udf.CIQ($C$2,"IQ_OPEB_PBO_ASSUMED_RATE_RET_MAX_DOM",E$6,$F$2)</f>
        <v>0</v>
      </c>
      <c r="F900" s="18">
        <f>_xll.ciqfunctions.udf.CIQ($C$2,"IQ_OPEB_PBO_ASSUMED_RATE_RET_MAX_DOM",F$6,$F$2)</f>
        <v>5</v>
      </c>
      <c r="G900" s="18">
        <f>_xll.ciqfunctions.udf.CIQ($C$2,"IQ_OPEB_PBO_ASSUMED_RATE_RET_MAX_DOM",G$6,$F$2)</f>
        <v>0</v>
      </c>
      <c r="H900" s="18">
        <f>_xll.ciqfunctions.udf.CIQ($C$2,"IQ_OPEB_PBO_ASSUMED_RATE_RET_MAX_DOM",H$6,$F$2)</f>
        <v>0</v>
      </c>
      <c r="I900" s="18">
        <f>_xll.ciqfunctions.udf.CIQ($C$2,"IQ_OPEB_PBO_ASSUMED_RATE_RET_MAX_DOM",I$6,$F$2)</f>
        <v>0</v>
      </c>
      <c r="J900" s="18">
        <f>_xll.ciqfunctions.udf.CIQ($C$2,"IQ_OPEB_PBO_ASSUMED_RATE_RET_MAX_DOM",J$6,$F$2)</f>
        <v>5.3</v>
      </c>
      <c r="K900" s="18">
        <f>_xll.ciqfunctions.udf.CIQ($C$2,"IQ_OPEB_PBO_ASSUMED_RATE_RET_MAX_DOM",K$6,$F$2)</f>
        <v>0</v>
      </c>
      <c r="L900" s="18">
        <f>_xll.ciqfunctions.udf.CIQ($C$2,"IQ_OPEB_PBO_ASSUMED_RATE_RET_MAX_DOM",L$6,$F$2)</f>
        <v>0</v>
      </c>
      <c r="M900" s="18">
        <f>_xll.ciqfunctions.udf.CIQ($C$2,"IQ_OPEB_PBO_ASSUMED_RATE_RET_MAX_DOM",M$6,$F$2)</f>
        <v>0</v>
      </c>
      <c r="N900" s="18">
        <f>_xll.ciqfunctions.udf.CIQ($C$2,"IQ_OPEB_PBO_ASSUMED_RATE_RET_MAX_DOM",N$6,$F$2)</f>
        <v>4.8</v>
      </c>
      <c r="O900" s="30"/>
      <c r="P900" s="18">
        <f>_xll.ciqfunctions.udf.CIQ($C$2,"IQ_OPEB_PBO_ASSUMED_RATE_RET_MAX_DOM",P$6,$F$2)</f>
        <v>4.8</v>
      </c>
      <c r="Q900" s="245"/>
      <c r="R900" s="215"/>
      <c r="S900" s="215"/>
      <c r="T900" s="215"/>
      <c r="U900" s="215"/>
      <c r="V900" s="222"/>
      <c r="W900" s="222"/>
      <c r="X900" s="222"/>
      <c r="Y900" s="215"/>
      <c r="Z900" s="215"/>
      <c r="AA900" s="215"/>
      <c r="AB900" s="215"/>
      <c r="AC900" s="215"/>
      <c r="AD900" s="215"/>
      <c r="AE900" s="215"/>
      <c r="AF900" s="215"/>
      <c r="AG900" s="215"/>
      <c r="AH900" s="215"/>
      <c r="AI900" s="215"/>
      <c r="AJ900" s="215"/>
      <c r="AK900" s="215"/>
      <c r="AL900" s="215"/>
      <c r="AM900" s="215"/>
      <c r="AN900" s="215"/>
      <c r="AO900" s="215"/>
      <c r="AP900" s="215"/>
      <c r="AQ900" s="215"/>
      <c r="AR900" s="215"/>
      <c r="AS900" s="215"/>
      <c r="AT900" s="215"/>
      <c r="AU900" s="215"/>
      <c r="AV900" s="215"/>
      <c r="AW900" s="215"/>
      <c r="AX900" s="215"/>
      <c r="AY900" s="215"/>
      <c r="AZ900" s="215"/>
      <c r="BA900" s="215"/>
      <c r="BB900" s="215"/>
      <c r="BC900" s="215"/>
      <c r="BD900" s="215"/>
      <c r="BE900" s="215"/>
      <c r="BF900" s="215"/>
      <c r="BG900" s="215"/>
      <c r="BH900" s="215"/>
      <c r="BI900" s="215"/>
      <c r="BJ900" s="215"/>
      <c r="BK900" s="215"/>
      <c r="BL900" s="215"/>
      <c r="BM900" s="215"/>
      <c r="BN900" s="215"/>
      <c r="BO900" s="215"/>
      <c r="BP900" s="215"/>
      <c r="BQ900" s="215"/>
      <c r="BR900" s="215"/>
      <c r="BS900" s="215"/>
      <c r="BT900" s="215"/>
      <c r="BU900" s="215"/>
      <c r="BV900" s="215"/>
      <c r="BW900" s="215"/>
      <c r="BX900" s="215"/>
      <c r="BY900" s="215"/>
      <c r="BZ900" s="215"/>
    </row>
    <row r="901" spans="1:78" outlineLevel="1" x14ac:dyDescent="0.2">
      <c r="A901" s="2" t="str">
        <f>'Language Index'!A555</f>
        <v>Rate of PBO Compensation Increase - Min</v>
      </c>
      <c r="B901" s="17"/>
      <c r="C901" s="17"/>
      <c r="D901" s="18">
        <f>_xll.ciqfunctions.udf.CIQ($C$2,"IQ_OPEB_PBO_RATE_COMP_INCREASE_MIN_DOM",D$6,$F$2)</f>
        <v>0</v>
      </c>
      <c r="E901" s="18">
        <f>_xll.ciqfunctions.udf.CIQ($C$2,"IQ_OPEB_PBO_RATE_COMP_INCREASE_MIN_DOM",E$6,$F$2)</f>
        <v>0</v>
      </c>
      <c r="F901" s="18">
        <f>_xll.ciqfunctions.udf.CIQ($C$2,"IQ_OPEB_PBO_RATE_COMP_INCREASE_MIN_DOM",F$6,$F$2)</f>
        <v>0</v>
      </c>
      <c r="G901" s="18">
        <f>_xll.ciqfunctions.udf.CIQ($C$2,"IQ_OPEB_PBO_RATE_COMP_INCREASE_MIN_DOM",G$6,$F$2)</f>
        <v>0</v>
      </c>
      <c r="H901" s="18">
        <f>_xll.ciqfunctions.udf.CIQ($C$2,"IQ_OPEB_PBO_RATE_COMP_INCREASE_MIN_DOM",H$6,$F$2)</f>
        <v>0</v>
      </c>
      <c r="I901" s="18">
        <f>_xll.ciqfunctions.udf.CIQ($C$2,"IQ_OPEB_PBO_RATE_COMP_INCREASE_MIN_DOM",I$6,$F$2)</f>
        <v>0</v>
      </c>
      <c r="J901" s="18">
        <f>_xll.ciqfunctions.udf.CIQ($C$2,"IQ_OPEB_PBO_RATE_COMP_INCREASE_MIN_DOM",J$6,$F$2)</f>
        <v>0</v>
      </c>
      <c r="K901" s="18">
        <f>_xll.ciqfunctions.udf.CIQ($C$2,"IQ_OPEB_PBO_RATE_COMP_INCREASE_MIN_DOM",K$6,$F$2)</f>
        <v>0</v>
      </c>
      <c r="L901" s="18">
        <f>_xll.ciqfunctions.udf.CIQ($C$2,"IQ_OPEB_PBO_RATE_COMP_INCREASE_MIN_DOM",L$6,$F$2)</f>
        <v>0</v>
      </c>
      <c r="M901" s="18">
        <f>_xll.ciqfunctions.udf.CIQ($C$2,"IQ_OPEB_PBO_RATE_COMP_INCREASE_MIN_DOM",M$6,$F$2)</f>
        <v>0</v>
      </c>
      <c r="N901" s="18">
        <f>_xll.ciqfunctions.udf.CIQ($C$2,"IQ_OPEB_PBO_RATE_COMP_INCREASE_MIN_DOM",N$6,$F$2)</f>
        <v>0</v>
      </c>
      <c r="O901" s="30"/>
      <c r="P901" s="18">
        <f>_xll.ciqfunctions.udf.CIQ($C$2,"IQ_OPEB_PBO_RATE_COMP_INCREASE_MIN_DOM",P$6,$F$2)</f>
        <v>0</v>
      </c>
      <c r="Q901" s="215"/>
      <c r="R901" s="215"/>
      <c r="S901" s="215"/>
      <c r="T901" s="215"/>
      <c r="U901" s="215"/>
      <c r="V901" s="222"/>
      <c r="W901" s="222"/>
      <c r="X901" s="222"/>
      <c r="Y901" s="215"/>
      <c r="Z901" s="215"/>
      <c r="AA901" s="215"/>
      <c r="AB901" s="215"/>
      <c r="AC901" s="215"/>
      <c r="AD901" s="215"/>
      <c r="AE901" s="215"/>
      <c r="AF901" s="215"/>
      <c r="AG901" s="215"/>
      <c r="AH901" s="215"/>
      <c r="AI901" s="215"/>
      <c r="AJ901" s="215"/>
      <c r="AK901" s="215"/>
      <c r="AL901" s="215"/>
      <c r="AM901" s="215"/>
      <c r="AN901" s="215"/>
      <c r="AO901" s="215"/>
      <c r="AP901" s="215"/>
      <c r="AQ901" s="215"/>
      <c r="AR901" s="215"/>
      <c r="AS901" s="215"/>
      <c r="AT901" s="215"/>
      <c r="AU901" s="215"/>
      <c r="AV901" s="215"/>
      <c r="AW901" s="215"/>
      <c r="AX901" s="215"/>
      <c r="AY901" s="215"/>
      <c r="AZ901" s="215"/>
      <c r="BA901" s="215"/>
      <c r="BB901" s="215"/>
      <c r="BC901" s="215"/>
      <c r="BD901" s="215"/>
      <c r="BE901" s="215"/>
      <c r="BF901" s="215"/>
      <c r="BG901" s="215"/>
      <c r="BH901" s="215"/>
      <c r="BI901" s="215"/>
      <c r="BJ901" s="215"/>
      <c r="BK901" s="215"/>
      <c r="BL901" s="215"/>
      <c r="BM901" s="215"/>
      <c r="BN901" s="215"/>
      <c r="BO901" s="215"/>
      <c r="BP901" s="215"/>
      <c r="BQ901" s="215"/>
      <c r="BR901" s="215"/>
      <c r="BS901" s="215"/>
      <c r="BT901" s="215"/>
      <c r="BU901" s="215"/>
      <c r="BV901" s="215"/>
      <c r="BW901" s="215"/>
      <c r="BX901" s="215"/>
      <c r="BY901" s="215"/>
      <c r="BZ901" s="215"/>
    </row>
    <row r="902" spans="1:78" outlineLevel="1" x14ac:dyDescent="0.2">
      <c r="A902" s="2" t="str">
        <f>'Language Index'!A556</f>
        <v>Rate of PBO Compensation Increase - Max</v>
      </c>
      <c r="B902" s="17"/>
      <c r="C902" s="17"/>
      <c r="D902" s="18">
        <f>_xll.ciqfunctions.udf.CIQ($C$2,"IQ_OPEB_PBO_RATE_COMP_INCREASE_MAX_DOM",D$6,$F$2)</f>
        <v>0</v>
      </c>
      <c r="E902" s="18">
        <f>_xll.ciqfunctions.udf.CIQ($C$2,"IQ_OPEB_PBO_RATE_COMP_INCREASE_MAX_DOM",E$6,$F$2)</f>
        <v>0</v>
      </c>
      <c r="F902" s="18">
        <f>_xll.ciqfunctions.udf.CIQ($C$2,"IQ_OPEB_PBO_RATE_COMP_INCREASE_MAX_DOM",F$6,$F$2)</f>
        <v>0</v>
      </c>
      <c r="G902" s="18">
        <f>_xll.ciqfunctions.udf.CIQ($C$2,"IQ_OPEB_PBO_RATE_COMP_INCREASE_MAX_DOM",G$6,$F$2)</f>
        <v>0</v>
      </c>
      <c r="H902" s="18">
        <f>_xll.ciqfunctions.udf.CIQ($C$2,"IQ_OPEB_PBO_RATE_COMP_INCREASE_MAX_DOM",H$6,$F$2)</f>
        <v>0</v>
      </c>
      <c r="I902" s="18">
        <f>_xll.ciqfunctions.udf.CIQ($C$2,"IQ_OPEB_PBO_RATE_COMP_INCREASE_MAX_DOM",I$6,$F$2)</f>
        <v>0</v>
      </c>
      <c r="J902" s="18">
        <f>_xll.ciqfunctions.udf.CIQ($C$2,"IQ_OPEB_PBO_RATE_COMP_INCREASE_MAX_DOM",J$6,$F$2)</f>
        <v>0</v>
      </c>
      <c r="K902" s="18">
        <f>_xll.ciqfunctions.udf.CIQ($C$2,"IQ_OPEB_PBO_RATE_COMP_INCREASE_MAX_DOM",K$6,$F$2)</f>
        <v>0</v>
      </c>
      <c r="L902" s="18">
        <f>_xll.ciqfunctions.udf.CIQ($C$2,"IQ_OPEB_PBO_RATE_COMP_INCREASE_MAX_DOM",L$6,$F$2)</f>
        <v>0</v>
      </c>
      <c r="M902" s="18">
        <f>_xll.ciqfunctions.udf.CIQ($C$2,"IQ_OPEB_PBO_RATE_COMP_INCREASE_MAX_DOM",M$6,$F$2)</f>
        <v>0</v>
      </c>
      <c r="N902" s="18">
        <f>_xll.ciqfunctions.udf.CIQ($C$2,"IQ_OPEB_PBO_RATE_COMP_INCREASE_MAX_DOM",N$6,$F$2)</f>
        <v>0</v>
      </c>
      <c r="O902" s="30"/>
      <c r="P902" s="18">
        <f>_xll.ciqfunctions.udf.CIQ($C$2,"IQ_OPEB_PBO_RATE_COMP_INCREASE_MAX_DOM",P$6,$F$2)</f>
        <v>0</v>
      </c>
      <c r="Q902" s="215"/>
      <c r="R902" s="215"/>
      <c r="S902" s="215"/>
      <c r="T902" s="215"/>
      <c r="U902" s="215"/>
      <c r="V902" s="222"/>
      <c r="W902" s="222"/>
      <c r="X902" s="222"/>
      <c r="Y902" s="215"/>
      <c r="Z902" s="215"/>
      <c r="AA902" s="215"/>
      <c r="AB902" s="215"/>
      <c r="AC902" s="215"/>
      <c r="AD902" s="215"/>
      <c r="AE902" s="215"/>
      <c r="AF902" s="215"/>
      <c r="AG902" s="215"/>
      <c r="AH902" s="215"/>
      <c r="AI902" s="215"/>
      <c r="AJ902" s="215"/>
      <c r="AK902" s="215"/>
      <c r="AL902" s="215"/>
      <c r="AM902" s="215"/>
      <c r="AN902" s="215"/>
      <c r="AO902" s="215"/>
      <c r="AP902" s="215"/>
      <c r="AQ902" s="215"/>
      <c r="AR902" s="215"/>
      <c r="AS902" s="215"/>
      <c r="AT902" s="215"/>
      <c r="AU902" s="215"/>
      <c r="AV902" s="215"/>
      <c r="AW902" s="215"/>
      <c r="AX902" s="215"/>
      <c r="AY902" s="215"/>
      <c r="AZ902" s="215"/>
      <c r="BA902" s="215"/>
      <c r="BB902" s="215"/>
      <c r="BC902" s="215"/>
      <c r="BD902" s="215"/>
      <c r="BE902" s="215"/>
      <c r="BF902" s="215"/>
      <c r="BG902" s="215"/>
      <c r="BH902" s="215"/>
      <c r="BI902" s="215"/>
      <c r="BJ902" s="215"/>
      <c r="BK902" s="215"/>
      <c r="BL902" s="215"/>
      <c r="BM902" s="215"/>
      <c r="BN902" s="215"/>
      <c r="BO902" s="215"/>
      <c r="BP902" s="215"/>
      <c r="BQ902" s="215"/>
      <c r="BR902" s="215"/>
      <c r="BS902" s="215"/>
      <c r="BT902" s="215"/>
      <c r="BU902" s="215"/>
      <c r="BV902" s="215"/>
      <c r="BW902" s="215"/>
      <c r="BX902" s="215"/>
      <c r="BY902" s="215"/>
      <c r="BZ902" s="215"/>
    </row>
    <row r="903" spans="1:78" outlineLevel="1" x14ac:dyDescent="0.2">
      <c r="A903" s="9" t="str">
        <f>'Language Index'!A557</f>
        <v>Estimated Future Benefits Paid</v>
      </c>
      <c r="B903" s="17"/>
      <c r="C903" s="17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30"/>
      <c r="P903" s="18"/>
      <c r="Q903" s="215"/>
      <c r="R903" s="215"/>
      <c r="S903" s="215"/>
      <c r="T903" s="215"/>
      <c r="U903" s="215"/>
      <c r="V903" s="222"/>
      <c r="W903" s="222"/>
      <c r="X903" s="222"/>
      <c r="Y903" s="215"/>
      <c r="Z903" s="215"/>
      <c r="AA903" s="215"/>
      <c r="AB903" s="215"/>
      <c r="AC903" s="215"/>
      <c r="AD903" s="215"/>
      <c r="AE903" s="215"/>
      <c r="AF903" s="215"/>
      <c r="AG903" s="215"/>
      <c r="AH903" s="215"/>
      <c r="AI903" s="215"/>
      <c r="AJ903" s="215"/>
      <c r="AK903" s="215"/>
      <c r="AL903" s="215"/>
      <c r="AM903" s="215"/>
      <c r="AN903" s="215"/>
      <c r="AO903" s="215"/>
      <c r="AP903" s="215"/>
      <c r="AQ903" s="215"/>
      <c r="AR903" s="215"/>
      <c r="AS903" s="215"/>
      <c r="AT903" s="215"/>
      <c r="AU903" s="215"/>
      <c r="AV903" s="215"/>
      <c r="AW903" s="215"/>
      <c r="AX903" s="215"/>
      <c r="AY903" s="215"/>
      <c r="AZ903" s="215"/>
      <c r="BA903" s="215"/>
      <c r="BB903" s="215"/>
      <c r="BC903" s="215"/>
      <c r="BD903" s="215"/>
      <c r="BE903" s="215"/>
      <c r="BF903" s="215"/>
      <c r="BG903" s="215"/>
      <c r="BH903" s="215"/>
      <c r="BI903" s="215"/>
      <c r="BJ903" s="215"/>
      <c r="BK903" s="215"/>
      <c r="BL903" s="215"/>
      <c r="BM903" s="215"/>
      <c r="BN903" s="215"/>
      <c r="BO903" s="215"/>
      <c r="BP903" s="215"/>
      <c r="BQ903" s="215"/>
      <c r="BR903" s="215"/>
      <c r="BS903" s="215"/>
      <c r="BT903" s="215"/>
      <c r="BU903" s="215"/>
      <c r="BV903" s="215"/>
      <c r="BW903" s="215"/>
      <c r="BX903" s="215"/>
      <c r="BY903" s="215"/>
      <c r="BZ903" s="215"/>
    </row>
    <row r="904" spans="1:78" outlineLevel="1" x14ac:dyDescent="0.2">
      <c r="A904" s="2" t="str">
        <f>'Language Index'!A558</f>
        <v>Est. Future Benefits Paid - 1st Yr</v>
      </c>
      <c r="B904" s="17"/>
      <c r="C904" s="17"/>
      <c r="D904" s="18">
        <f>_xll.ciqfunctions.udf.CIQ($C$2,"IQ_OPEB_EST_BENEFIT_1YR_DOM",D$6,$F$2,,,Ccy,Conv)</f>
        <v>0</v>
      </c>
      <c r="E904" s="18">
        <f>_xll.ciqfunctions.udf.CIQ($C$2,"IQ_OPEB_EST_BENEFIT_1YR_DOM",E$6,$F$2,,,Ccy,Conv)</f>
        <v>0</v>
      </c>
      <c r="F904" s="18">
        <f>_xll.ciqfunctions.udf.CIQ($C$2,"IQ_OPEB_EST_BENEFIT_1YR_DOM",F$6,$F$2,,,Ccy,Conv)</f>
        <v>217</v>
      </c>
      <c r="G904" s="18">
        <f>_xll.ciqfunctions.udf.CIQ($C$2,"IQ_OPEB_EST_BENEFIT_1YR_DOM",G$6,$F$2,,,Ccy,Conv)</f>
        <v>0</v>
      </c>
      <c r="H904" s="18">
        <f>_xll.ciqfunctions.udf.CIQ($C$2,"IQ_OPEB_EST_BENEFIT_1YR_DOM",H$6,$F$2,,,Ccy,Conv)</f>
        <v>0</v>
      </c>
      <c r="I904" s="18">
        <f>_xll.ciqfunctions.udf.CIQ($C$2,"IQ_OPEB_EST_BENEFIT_1YR_DOM",I$6,$F$2,,,Ccy,Conv)</f>
        <v>0</v>
      </c>
      <c r="J904" s="18">
        <f>_xll.ciqfunctions.udf.CIQ($C$2,"IQ_OPEB_EST_BENEFIT_1YR_DOM",J$6,$F$2,,,Ccy,Conv)</f>
        <v>230</v>
      </c>
      <c r="K904" s="18">
        <f>_xll.ciqfunctions.udf.CIQ($C$2,"IQ_OPEB_EST_BENEFIT_1YR_DOM",K$6,$F$2,,,Ccy,Conv)</f>
        <v>0</v>
      </c>
      <c r="L904" s="18">
        <f>_xll.ciqfunctions.udf.CIQ($C$2,"IQ_OPEB_EST_BENEFIT_1YR_DOM",L$6,$F$2,,,Ccy,Conv)</f>
        <v>0</v>
      </c>
      <c r="M904" s="18">
        <f>_xll.ciqfunctions.udf.CIQ($C$2,"IQ_OPEB_EST_BENEFIT_1YR_DOM",M$6,$F$2,,,Ccy,Conv)</f>
        <v>0</v>
      </c>
      <c r="N904" s="18">
        <f>_xll.ciqfunctions.udf.CIQ($C$2,"IQ_OPEB_EST_BENEFIT_1YR_DOM",N$6,$F$2,,,Ccy,Conv)</f>
        <v>265</v>
      </c>
      <c r="O904" s="30"/>
      <c r="P904" s="18">
        <f>_xll.ciqfunctions.udf.CIQ($C$2,"IQ_OPEB_EST_BENEFIT_1YR_DOM",P$6,$F$2,,,Ccy,Conv)</f>
        <v>265</v>
      </c>
      <c r="Q904" s="215"/>
      <c r="R904" s="215"/>
      <c r="S904" s="215"/>
      <c r="T904" s="215"/>
      <c r="U904" s="215"/>
      <c r="V904" s="222"/>
      <c r="W904" s="222"/>
      <c r="X904" s="222"/>
      <c r="Y904" s="215"/>
      <c r="Z904" s="215"/>
      <c r="AA904" s="215"/>
      <c r="AB904" s="215"/>
      <c r="AC904" s="215"/>
      <c r="AD904" s="215"/>
      <c r="AE904" s="215"/>
      <c r="AF904" s="215"/>
      <c r="AG904" s="215"/>
      <c r="AH904" s="215"/>
      <c r="AI904" s="215"/>
      <c r="AJ904" s="215"/>
      <c r="AK904" s="215"/>
      <c r="AL904" s="215"/>
      <c r="AM904" s="215"/>
      <c r="AN904" s="215"/>
      <c r="AO904" s="215"/>
      <c r="AP904" s="215"/>
      <c r="AQ904" s="215"/>
      <c r="AR904" s="215"/>
      <c r="AS904" s="215"/>
      <c r="AT904" s="215"/>
      <c r="AU904" s="215"/>
      <c r="AV904" s="215"/>
      <c r="AW904" s="215"/>
      <c r="AX904" s="215"/>
      <c r="AY904" s="215"/>
      <c r="AZ904" s="215"/>
      <c r="BA904" s="215"/>
      <c r="BB904" s="215"/>
      <c r="BC904" s="215"/>
      <c r="BD904" s="215"/>
      <c r="BE904" s="215"/>
      <c r="BF904" s="215"/>
      <c r="BG904" s="215"/>
      <c r="BH904" s="215"/>
      <c r="BI904" s="215"/>
      <c r="BJ904" s="215"/>
      <c r="BK904" s="215"/>
      <c r="BL904" s="215"/>
      <c r="BM904" s="215"/>
      <c r="BN904" s="215"/>
      <c r="BO904" s="215"/>
      <c r="BP904" s="215"/>
      <c r="BQ904" s="215"/>
      <c r="BR904" s="215"/>
      <c r="BS904" s="215"/>
      <c r="BT904" s="215"/>
      <c r="BU904" s="215"/>
      <c r="BV904" s="215"/>
      <c r="BW904" s="215"/>
      <c r="BX904" s="215"/>
      <c r="BY904" s="215"/>
      <c r="BZ904" s="215"/>
    </row>
    <row r="905" spans="1:78" outlineLevel="1" x14ac:dyDescent="0.2">
      <c r="A905" s="2" t="str">
        <f>'Language Index'!A559</f>
        <v>Est. Future Benefits Paid - 2nd Yr</v>
      </c>
      <c r="B905" s="17"/>
      <c r="C905" s="17"/>
      <c r="D905" s="18">
        <f>_xll.ciqfunctions.udf.CIQ($C$2,"IQ_OPEB_EST_BENEFIT_2YR_DOM",D$6,$F$2,,,Ccy,Conv)</f>
        <v>0</v>
      </c>
      <c r="E905" s="18">
        <f>_xll.ciqfunctions.udf.CIQ($C$2,"IQ_OPEB_EST_BENEFIT_2YR_DOM",E$6,$F$2,,,Ccy,Conv)</f>
        <v>0</v>
      </c>
      <c r="F905" s="18">
        <f>_xll.ciqfunctions.udf.CIQ($C$2,"IQ_OPEB_EST_BENEFIT_2YR_DOM",F$6,$F$2,,,Ccy,Conv)</f>
        <v>215</v>
      </c>
      <c r="G905" s="18">
        <f>_xll.ciqfunctions.udf.CIQ($C$2,"IQ_OPEB_EST_BENEFIT_2YR_DOM",G$6,$F$2,,,Ccy,Conv)</f>
        <v>0</v>
      </c>
      <c r="H905" s="18">
        <f>_xll.ciqfunctions.udf.CIQ($C$2,"IQ_OPEB_EST_BENEFIT_2YR_DOM",H$6,$F$2,,,Ccy,Conv)</f>
        <v>0</v>
      </c>
      <c r="I905" s="18">
        <f>_xll.ciqfunctions.udf.CIQ($C$2,"IQ_OPEB_EST_BENEFIT_2YR_DOM",I$6,$F$2,,,Ccy,Conv)</f>
        <v>0</v>
      </c>
      <c r="J905" s="18">
        <f>_xll.ciqfunctions.udf.CIQ($C$2,"IQ_OPEB_EST_BENEFIT_2YR_DOM",J$6,$F$2,,,Ccy,Conv)</f>
        <v>237</v>
      </c>
      <c r="K905" s="18">
        <f>_xll.ciqfunctions.udf.CIQ($C$2,"IQ_OPEB_EST_BENEFIT_2YR_DOM",K$6,$F$2,,,Ccy,Conv)</f>
        <v>0</v>
      </c>
      <c r="L905" s="18">
        <f>_xll.ciqfunctions.udf.CIQ($C$2,"IQ_OPEB_EST_BENEFIT_2YR_DOM",L$6,$F$2,,,Ccy,Conv)</f>
        <v>0</v>
      </c>
      <c r="M905" s="18">
        <f>_xll.ciqfunctions.udf.CIQ($C$2,"IQ_OPEB_EST_BENEFIT_2YR_DOM",M$6,$F$2,,,Ccy,Conv)</f>
        <v>0</v>
      </c>
      <c r="N905" s="18">
        <f>_xll.ciqfunctions.udf.CIQ($C$2,"IQ_OPEB_EST_BENEFIT_2YR_DOM",N$6,$F$2,,,Ccy,Conv)</f>
        <v>262</v>
      </c>
      <c r="O905" s="30"/>
      <c r="P905" s="18">
        <f>_xll.ciqfunctions.udf.CIQ($C$2,"IQ_OPEB_EST_BENEFIT_2YR_DOM",P$6,$F$2,,,Ccy,Conv)</f>
        <v>262</v>
      </c>
      <c r="Q905" s="215"/>
      <c r="R905" s="215"/>
      <c r="S905" s="215"/>
      <c r="T905" s="215"/>
      <c r="U905" s="215"/>
      <c r="V905" s="222"/>
      <c r="W905" s="222"/>
      <c r="X905" s="222"/>
      <c r="Y905" s="215"/>
      <c r="Z905" s="215"/>
      <c r="AA905" s="215"/>
      <c r="AB905" s="215"/>
      <c r="AC905" s="215"/>
      <c r="AD905" s="215"/>
      <c r="AE905" s="215"/>
      <c r="AF905" s="215"/>
      <c r="AG905" s="215"/>
      <c r="AH905" s="215"/>
      <c r="AI905" s="215"/>
      <c r="AJ905" s="215"/>
      <c r="AK905" s="215"/>
      <c r="AL905" s="215"/>
      <c r="AM905" s="215"/>
      <c r="AN905" s="215"/>
      <c r="AO905" s="215"/>
      <c r="AP905" s="215"/>
      <c r="AQ905" s="215"/>
      <c r="AR905" s="215"/>
      <c r="AS905" s="215"/>
      <c r="AT905" s="215"/>
      <c r="AU905" s="215"/>
      <c r="AV905" s="215"/>
      <c r="AW905" s="215"/>
      <c r="AX905" s="215"/>
      <c r="AY905" s="215"/>
      <c r="AZ905" s="215"/>
      <c r="BA905" s="215"/>
      <c r="BB905" s="215"/>
      <c r="BC905" s="215"/>
      <c r="BD905" s="215"/>
      <c r="BE905" s="215"/>
      <c r="BF905" s="215"/>
      <c r="BG905" s="215"/>
      <c r="BH905" s="215"/>
      <c r="BI905" s="215"/>
      <c r="BJ905" s="215"/>
      <c r="BK905" s="215"/>
      <c r="BL905" s="215"/>
      <c r="BM905" s="215"/>
      <c r="BN905" s="215"/>
      <c r="BO905" s="215"/>
      <c r="BP905" s="215"/>
      <c r="BQ905" s="215"/>
      <c r="BR905" s="215"/>
      <c r="BS905" s="215"/>
      <c r="BT905" s="215"/>
      <c r="BU905" s="215"/>
      <c r="BV905" s="215"/>
      <c r="BW905" s="215"/>
      <c r="BX905" s="215"/>
      <c r="BY905" s="215"/>
      <c r="BZ905" s="215"/>
    </row>
    <row r="906" spans="1:78" outlineLevel="1" x14ac:dyDescent="0.2">
      <c r="A906" s="2" t="str">
        <f>'Language Index'!A560</f>
        <v>Est. Future Benefits Paid - 3rd Yr</v>
      </c>
      <c r="B906" s="17"/>
      <c r="C906" s="17"/>
      <c r="D906" s="18">
        <f>_xll.ciqfunctions.udf.CIQ($C$2,"IQ_OPEB_EST_BENEFIT_3YR_DOM",D$6,$F$2,,,Ccy,Conv)</f>
        <v>0</v>
      </c>
      <c r="E906" s="18">
        <f>_xll.ciqfunctions.udf.CIQ($C$2,"IQ_OPEB_EST_BENEFIT_3YR_DOM",E$6,$F$2,,,Ccy,Conv)</f>
        <v>0</v>
      </c>
      <c r="F906" s="18">
        <f>_xll.ciqfunctions.udf.CIQ($C$2,"IQ_OPEB_EST_BENEFIT_3YR_DOM",F$6,$F$2,,,Ccy,Conv)</f>
        <v>213</v>
      </c>
      <c r="G906" s="18">
        <f>_xll.ciqfunctions.udf.CIQ($C$2,"IQ_OPEB_EST_BENEFIT_3YR_DOM",G$6,$F$2,,,Ccy,Conv)</f>
        <v>0</v>
      </c>
      <c r="H906" s="18">
        <f>_xll.ciqfunctions.udf.CIQ($C$2,"IQ_OPEB_EST_BENEFIT_3YR_DOM",H$6,$F$2,,,Ccy,Conv)</f>
        <v>0</v>
      </c>
      <c r="I906" s="18">
        <f>_xll.ciqfunctions.udf.CIQ($C$2,"IQ_OPEB_EST_BENEFIT_3YR_DOM",I$6,$F$2,,,Ccy,Conv)</f>
        <v>0</v>
      </c>
      <c r="J906" s="18">
        <f>_xll.ciqfunctions.udf.CIQ($C$2,"IQ_OPEB_EST_BENEFIT_3YR_DOM",J$6,$F$2,,,Ccy,Conv)</f>
        <v>249</v>
      </c>
      <c r="K906" s="18">
        <f>_xll.ciqfunctions.udf.CIQ($C$2,"IQ_OPEB_EST_BENEFIT_3YR_DOM",K$6,$F$2,,,Ccy,Conv)</f>
        <v>0</v>
      </c>
      <c r="L906" s="18">
        <f>_xll.ciqfunctions.udf.CIQ($C$2,"IQ_OPEB_EST_BENEFIT_3YR_DOM",L$6,$F$2,,,Ccy,Conv)</f>
        <v>0</v>
      </c>
      <c r="M906" s="18">
        <f>_xll.ciqfunctions.udf.CIQ($C$2,"IQ_OPEB_EST_BENEFIT_3YR_DOM",M$6,$F$2,,,Ccy,Conv)</f>
        <v>0</v>
      </c>
      <c r="N906" s="18">
        <f>_xll.ciqfunctions.udf.CIQ($C$2,"IQ_OPEB_EST_BENEFIT_3YR_DOM",N$6,$F$2,,,Ccy,Conv)</f>
        <v>256</v>
      </c>
      <c r="O906" s="30"/>
      <c r="P906" s="18">
        <f>_xll.ciqfunctions.udf.CIQ($C$2,"IQ_OPEB_EST_BENEFIT_3YR_DOM",P$6,$F$2,,,Ccy,Conv)</f>
        <v>256</v>
      </c>
      <c r="Q906" s="215"/>
      <c r="R906" s="215"/>
      <c r="S906" s="215"/>
      <c r="T906" s="215"/>
      <c r="U906" s="215"/>
      <c r="V906" s="222"/>
      <c r="W906" s="222"/>
      <c r="X906" s="222"/>
      <c r="Y906" s="215"/>
      <c r="Z906" s="215"/>
      <c r="AA906" s="215"/>
      <c r="AB906" s="215"/>
      <c r="AC906" s="215"/>
      <c r="AD906" s="215"/>
      <c r="AE906" s="215"/>
      <c r="AF906" s="215"/>
      <c r="AG906" s="215"/>
      <c r="AH906" s="215"/>
      <c r="AI906" s="215"/>
      <c r="AJ906" s="215"/>
      <c r="AK906" s="215"/>
      <c r="AL906" s="215"/>
      <c r="AM906" s="215"/>
      <c r="AN906" s="215"/>
      <c r="AO906" s="215"/>
      <c r="AP906" s="215"/>
      <c r="AQ906" s="215"/>
      <c r="AR906" s="215"/>
      <c r="AS906" s="215"/>
      <c r="AT906" s="215"/>
      <c r="AU906" s="215"/>
      <c r="AV906" s="215"/>
      <c r="AW906" s="215"/>
      <c r="AX906" s="215"/>
      <c r="AY906" s="215"/>
      <c r="AZ906" s="215"/>
      <c r="BA906" s="215"/>
      <c r="BB906" s="215"/>
      <c r="BC906" s="215"/>
      <c r="BD906" s="215"/>
      <c r="BE906" s="215"/>
      <c r="BF906" s="215"/>
      <c r="BG906" s="215"/>
      <c r="BH906" s="215"/>
      <c r="BI906" s="215"/>
      <c r="BJ906" s="215"/>
      <c r="BK906" s="215"/>
      <c r="BL906" s="215"/>
      <c r="BM906" s="215"/>
      <c r="BN906" s="215"/>
      <c r="BO906" s="215"/>
      <c r="BP906" s="215"/>
      <c r="BQ906" s="215"/>
      <c r="BR906" s="215"/>
      <c r="BS906" s="215"/>
      <c r="BT906" s="215"/>
      <c r="BU906" s="215"/>
      <c r="BV906" s="215"/>
      <c r="BW906" s="215"/>
      <c r="BX906" s="215"/>
      <c r="BY906" s="215"/>
      <c r="BZ906" s="215"/>
    </row>
    <row r="907" spans="1:78" outlineLevel="1" x14ac:dyDescent="0.2">
      <c r="A907" s="2" t="str">
        <f>'Language Index'!A561</f>
        <v>Est. Future Benefits Paid - 4th Yr</v>
      </c>
      <c r="B907" s="17"/>
      <c r="C907" s="17"/>
      <c r="D907" s="18">
        <f>_xll.ciqfunctions.udf.CIQ($C$2,"IQ_OPEB_EST_BENEFIT_4YR_DOM",D$6,$F$2,,,Ccy,Conv)</f>
        <v>0</v>
      </c>
      <c r="E907" s="18">
        <f>_xll.ciqfunctions.udf.CIQ($C$2,"IQ_OPEB_EST_BENEFIT_4YR_DOM",E$6,$F$2,,,Ccy,Conv)</f>
        <v>0</v>
      </c>
      <c r="F907" s="18">
        <f>_xll.ciqfunctions.udf.CIQ($C$2,"IQ_OPEB_EST_BENEFIT_4YR_DOM",F$6,$F$2,,,Ccy,Conv)</f>
        <v>208</v>
      </c>
      <c r="G907" s="18">
        <f>_xll.ciqfunctions.udf.CIQ($C$2,"IQ_OPEB_EST_BENEFIT_4YR_DOM",G$6,$F$2,,,Ccy,Conv)</f>
        <v>0</v>
      </c>
      <c r="H907" s="18">
        <f>_xll.ciqfunctions.udf.CIQ($C$2,"IQ_OPEB_EST_BENEFIT_4YR_DOM",H$6,$F$2,,,Ccy,Conv)</f>
        <v>0</v>
      </c>
      <c r="I907" s="18">
        <f>_xll.ciqfunctions.udf.CIQ($C$2,"IQ_OPEB_EST_BENEFIT_4YR_DOM",I$6,$F$2,,,Ccy,Conv)</f>
        <v>0</v>
      </c>
      <c r="J907" s="18">
        <f>_xll.ciqfunctions.udf.CIQ($C$2,"IQ_OPEB_EST_BENEFIT_4YR_DOM",J$6,$F$2,,,Ccy,Conv)</f>
        <v>253</v>
      </c>
      <c r="K907" s="18">
        <f>_xll.ciqfunctions.udf.CIQ($C$2,"IQ_OPEB_EST_BENEFIT_4YR_DOM",K$6,$F$2,,,Ccy,Conv)</f>
        <v>0</v>
      </c>
      <c r="L907" s="18">
        <f>_xll.ciqfunctions.udf.CIQ($C$2,"IQ_OPEB_EST_BENEFIT_4YR_DOM",L$6,$F$2,,,Ccy,Conv)</f>
        <v>0</v>
      </c>
      <c r="M907" s="18">
        <f>_xll.ciqfunctions.udf.CIQ($C$2,"IQ_OPEB_EST_BENEFIT_4YR_DOM",M$6,$F$2,,,Ccy,Conv)</f>
        <v>0</v>
      </c>
      <c r="N907" s="18">
        <f>_xll.ciqfunctions.udf.CIQ($C$2,"IQ_OPEB_EST_BENEFIT_4YR_DOM",N$6,$F$2,,,Ccy,Conv)</f>
        <v>248</v>
      </c>
      <c r="O907" s="30"/>
      <c r="P907" s="18">
        <f>_xll.ciqfunctions.udf.CIQ($C$2,"IQ_OPEB_EST_BENEFIT_4YR_DOM",P$6,$F$2,,,Ccy,Conv)</f>
        <v>248</v>
      </c>
      <c r="Q907" s="215"/>
      <c r="R907" s="215"/>
      <c r="S907" s="215"/>
      <c r="T907" s="215"/>
      <c r="U907" s="215"/>
      <c r="V907" s="222"/>
      <c r="W907" s="222"/>
      <c r="X907" s="222"/>
      <c r="Y907" s="215"/>
      <c r="Z907" s="215"/>
      <c r="AA907" s="215"/>
      <c r="AB907" s="215"/>
      <c r="AC907" s="215"/>
      <c r="AD907" s="215"/>
      <c r="AE907" s="215"/>
      <c r="AF907" s="215"/>
      <c r="AG907" s="215"/>
      <c r="AH907" s="215"/>
      <c r="AI907" s="215"/>
      <c r="AJ907" s="215"/>
      <c r="AK907" s="215"/>
      <c r="AL907" s="215"/>
      <c r="AM907" s="215"/>
      <c r="AN907" s="215"/>
      <c r="AO907" s="215"/>
      <c r="AP907" s="215"/>
      <c r="AQ907" s="215"/>
      <c r="AR907" s="215"/>
      <c r="AS907" s="215"/>
      <c r="AT907" s="215"/>
      <c r="AU907" s="215"/>
      <c r="AV907" s="215"/>
      <c r="AW907" s="215"/>
      <c r="AX907" s="215"/>
      <c r="AY907" s="215"/>
      <c r="AZ907" s="215"/>
      <c r="BA907" s="215"/>
      <c r="BB907" s="215"/>
      <c r="BC907" s="215"/>
      <c r="BD907" s="215"/>
      <c r="BE907" s="215"/>
      <c r="BF907" s="215"/>
      <c r="BG907" s="215"/>
      <c r="BH907" s="215"/>
      <c r="BI907" s="215"/>
      <c r="BJ907" s="215"/>
      <c r="BK907" s="215"/>
      <c r="BL907" s="215"/>
      <c r="BM907" s="215"/>
      <c r="BN907" s="215"/>
      <c r="BO907" s="215"/>
      <c r="BP907" s="215"/>
      <c r="BQ907" s="215"/>
      <c r="BR907" s="215"/>
      <c r="BS907" s="215"/>
      <c r="BT907" s="215"/>
      <c r="BU907" s="215"/>
      <c r="BV907" s="215"/>
      <c r="BW907" s="215"/>
      <c r="BX907" s="215"/>
      <c r="BY907" s="215"/>
      <c r="BZ907" s="215"/>
    </row>
    <row r="908" spans="1:78" outlineLevel="1" x14ac:dyDescent="0.2">
      <c r="A908" s="2" t="str">
        <f>'Language Index'!A562</f>
        <v>Est. Future Benefits Paid - 5th Yr</v>
      </c>
      <c r="B908" s="17"/>
      <c r="C908" s="17"/>
      <c r="D908" s="18">
        <f>_xll.ciqfunctions.udf.CIQ($C$2,"IQ_OPEB_EST_BENEFIT_5YR_DOM",D$6,$F$2,,,Ccy,Conv)</f>
        <v>0</v>
      </c>
      <c r="E908" s="18">
        <f>_xll.ciqfunctions.udf.CIQ($C$2,"IQ_OPEB_EST_BENEFIT_5YR_DOM",E$6,$F$2,,,Ccy,Conv)</f>
        <v>0</v>
      </c>
      <c r="F908" s="18">
        <f>_xll.ciqfunctions.udf.CIQ($C$2,"IQ_OPEB_EST_BENEFIT_5YR_DOM",F$6,$F$2,,,Ccy,Conv)</f>
        <v>233</v>
      </c>
      <c r="G908" s="18">
        <f>_xll.ciqfunctions.udf.CIQ($C$2,"IQ_OPEB_EST_BENEFIT_5YR_DOM",G$6,$F$2,,,Ccy,Conv)</f>
        <v>0</v>
      </c>
      <c r="H908" s="18">
        <f>_xll.ciqfunctions.udf.CIQ($C$2,"IQ_OPEB_EST_BENEFIT_5YR_DOM",H$6,$F$2,,,Ccy,Conv)</f>
        <v>0</v>
      </c>
      <c r="I908" s="18">
        <f>_xll.ciqfunctions.udf.CIQ($C$2,"IQ_OPEB_EST_BENEFIT_5YR_DOM",I$6,$F$2,,,Ccy,Conv)</f>
        <v>0</v>
      </c>
      <c r="J908" s="18">
        <f>_xll.ciqfunctions.udf.CIQ($C$2,"IQ_OPEB_EST_BENEFIT_5YR_DOM",J$6,$F$2,,,Ccy,Conv)</f>
        <v>246</v>
      </c>
      <c r="K908" s="18">
        <f>_xll.ciqfunctions.udf.CIQ($C$2,"IQ_OPEB_EST_BENEFIT_5YR_DOM",K$6,$F$2,,,Ccy,Conv)</f>
        <v>0</v>
      </c>
      <c r="L908" s="18">
        <f>_xll.ciqfunctions.udf.CIQ($C$2,"IQ_OPEB_EST_BENEFIT_5YR_DOM",L$6,$F$2,,,Ccy,Conv)</f>
        <v>0</v>
      </c>
      <c r="M908" s="18">
        <f>_xll.ciqfunctions.udf.CIQ($C$2,"IQ_OPEB_EST_BENEFIT_5YR_DOM",M$6,$F$2,,,Ccy,Conv)</f>
        <v>0</v>
      </c>
      <c r="N908" s="18">
        <f>_xll.ciqfunctions.udf.CIQ($C$2,"IQ_OPEB_EST_BENEFIT_5YR_DOM",N$6,$F$2,,,Ccy,Conv)</f>
        <v>239</v>
      </c>
      <c r="O908" s="30"/>
      <c r="P908" s="18">
        <f>_xll.ciqfunctions.udf.CIQ($C$2,"IQ_OPEB_EST_BENEFIT_5YR_DOM",P$6,$F$2,,,Ccy,Conv)</f>
        <v>239</v>
      </c>
      <c r="Q908" s="215"/>
      <c r="R908" s="215"/>
      <c r="S908" s="215"/>
      <c r="T908" s="215"/>
      <c r="U908" s="215"/>
      <c r="V908" s="222"/>
      <c r="W908" s="222"/>
      <c r="X908" s="222"/>
      <c r="Y908" s="215"/>
      <c r="Z908" s="215"/>
      <c r="AA908" s="215"/>
      <c r="AB908" s="215"/>
      <c r="AC908" s="215"/>
      <c r="AD908" s="215"/>
      <c r="AE908" s="215"/>
      <c r="AF908" s="215"/>
      <c r="AG908" s="215"/>
      <c r="AH908" s="215"/>
      <c r="AI908" s="215"/>
      <c r="AJ908" s="215"/>
      <c r="AK908" s="215"/>
      <c r="AL908" s="215"/>
      <c r="AM908" s="215"/>
      <c r="AN908" s="215"/>
      <c r="AO908" s="215"/>
      <c r="AP908" s="215"/>
      <c r="AQ908" s="215"/>
      <c r="AR908" s="215"/>
      <c r="AS908" s="215"/>
      <c r="AT908" s="215"/>
      <c r="AU908" s="215"/>
      <c r="AV908" s="215"/>
      <c r="AW908" s="215"/>
      <c r="AX908" s="215"/>
      <c r="AY908" s="215"/>
      <c r="AZ908" s="215"/>
      <c r="BA908" s="215"/>
      <c r="BB908" s="215"/>
      <c r="BC908" s="215"/>
      <c r="BD908" s="215"/>
      <c r="BE908" s="215"/>
      <c r="BF908" s="215"/>
      <c r="BG908" s="215"/>
      <c r="BH908" s="215"/>
      <c r="BI908" s="215"/>
      <c r="BJ908" s="215"/>
      <c r="BK908" s="215"/>
      <c r="BL908" s="215"/>
      <c r="BM908" s="215"/>
      <c r="BN908" s="215"/>
      <c r="BO908" s="215"/>
      <c r="BP908" s="215"/>
      <c r="BQ908" s="215"/>
      <c r="BR908" s="215"/>
      <c r="BS908" s="215"/>
      <c r="BT908" s="215"/>
      <c r="BU908" s="215"/>
      <c r="BV908" s="215"/>
      <c r="BW908" s="215"/>
      <c r="BX908" s="215"/>
      <c r="BY908" s="215"/>
      <c r="BZ908" s="215"/>
    </row>
    <row r="909" spans="1:78" outlineLevel="1" x14ac:dyDescent="0.2">
      <c r="A909" s="2" t="str">
        <f>'Language Index'!A563</f>
        <v>Est. Future Benefits Paid - Thereafter</v>
      </c>
      <c r="B909" s="17"/>
      <c r="C909" s="17"/>
      <c r="D909" s="18">
        <f>_xll.ciqfunctions.udf.CIQ($C$2,"IQ_OPEB_EST_BENEFIT_AFTER5_DOM",D$6,$F$2,,,Ccy,Conv)</f>
        <v>0</v>
      </c>
      <c r="E909" s="18">
        <f>_xll.ciqfunctions.udf.CIQ($C$2,"IQ_OPEB_EST_BENEFIT_AFTER5_DOM",E$6,$F$2,,,Ccy,Conv)</f>
        <v>0</v>
      </c>
      <c r="F909" s="18">
        <f>_xll.ciqfunctions.udf.CIQ($C$2,"IQ_OPEB_EST_BENEFIT_AFTER5_DOM",F$6,$F$2,,,Ccy,Conv)</f>
        <v>1085</v>
      </c>
      <c r="G909" s="18">
        <f>_xll.ciqfunctions.udf.CIQ($C$2,"IQ_OPEB_EST_BENEFIT_AFTER5_DOM",G$6,$F$2,,,Ccy,Conv)</f>
        <v>0</v>
      </c>
      <c r="H909" s="18">
        <f>_xll.ciqfunctions.udf.CIQ($C$2,"IQ_OPEB_EST_BENEFIT_AFTER5_DOM",H$6,$F$2,,,Ccy,Conv)</f>
        <v>0</v>
      </c>
      <c r="I909" s="18">
        <f>_xll.ciqfunctions.udf.CIQ($C$2,"IQ_OPEB_EST_BENEFIT_AFTER5_DOM",I$6,$F$2,,,Ccy,Conv)</f>
        <v>0</v>
      </c>
      <c r="J909" s="18">
        <f>_xll.ciqfunctions.udf.CIQ($C$2,"IQ_OPEB_EST_BENEFIT_AFTER5_DOM",J$6,$F$2,,,Ccy,Conv)</f>
        <v>1090</v>
      </c>
      <c r="K909" s="18">
        <f>_xll.ciqfunctions.udf.CIQ($C$2,"IQ_OPEB_EST_BENEFIT_AFTER5_DOM",K$6,$F$2,,,Ccy,Conv)</f>
        <v>0</v>
      </c>
      <c r="L909" s="18">
        <f>_xll.ciqfunctions.udf.CIQ($C$2,"IQ_OPEB_EST_BENEFIT_AFTER5_DOM",L$6,$F$2,,,Ccy,Conv)</f>
        <v>0</v>
      </c>
      <c r="M909" s="18">
        <f>_xll.ciqfunctions.udf.CIQ($C$2,"IQ_OPEB_EST_BENEFIT_AFTER5_DOM",M$6,$F$2,,,Ccy,Conv)</f>
        <v>0</v>
      </c>
      <c r="N909" s="18">
        <f>_xll.ciqfunctions.udf.CIQ($C$2,"IQ_OPEB_EST_BENEFIT_AFTER5_DOM",N$6,$F$2,,,Ccy,Conv)</f>
        <v>1002</v>
      </c>
      <c r="O909" s="30"/>
      <c r="P909" s="18">
        <f>_xll.ciqfunctions.udf.CIQ($C$2,"IQ_OPEB_EST_BENEFIT_AFTER5_DOM",P$6,$F$2,,,Ccy,Conv)</f>
        <v>1002</v>
      </c>
      <c r="Q909" s="215"/>
      <c r="R909" s="215"/>
      <c r="S909" s="215"/>
      <c r="T909" s="215"/>
      <c r="U909" s="215"/>
      <c r="V909" s="222"/>
      <c r="W909" s="222"/>
      <c r="X909" s="222"/>
      <c r="Y909" s="215"/>
      <c r="Z909" s="215"/>
      <c r="AA909" s="215"/>
      <c r="AB909" s="215"/>
      <c r="AC909" s="215"/>
      <c r="AD909" s="215"/>
      <c r="AE909" s="215"/>
      <c r="AF909" s="215"/>
      <c r="AG909" s="215"/>
      <c r="AH909" s="215"/>
      <c r="AI909" s="215"/>
      <c r="AJ909" s="215"/>
      <c r="AK909" s="215"/>
      <c r="AL909" s="215"/>
      <c r="AM909" s="215"/>
      <c r="AN909" s="215"/>
      <c r="AO909" s="215"/>
      <c r="AP909" s="215"/>
      <c r="AQ909" s="215"/>
      <c r="AR909" s="215"/>
      <c r="AS909" s="215"/>
      <c r="AT909" s="215"/>
      <c r="AU909" s="215"/>
      <c r="AV909" s="215"/>
      <c r="AW909" s="215"/>
      <c r="AX909" s="215"/>
      <c r="AY909" s="215"/>
      <c r="AZ909" s="215"/>
      <c r="BA909" s="215"/>
      <c r="BB909" s="215"/>
      <c r="BC909" s="215"/>
      <c r="BD909" s="215"/>
      <c r="BE909" s="215"/>
      <c r="BF909" s="215"/>
      <c r="BG909" s="215"/>
      <c r="BH909" s="215"/>
      <c r="BI909" s="215"/>
      <c r="BJ909" s="215"/>
      <c r="BK909" s="215"/>
      <c r="BL909" s="215"/>
      <c r="BM909" s="215"/>
      <c r="BN909" s="215"/>
      <c r="BO909" s="215"/>
      <c r="BP909" s="215"/>
      <c r="BQ909" s="215"/>
      <c r="BR909" s="215"/>
      <c r="BS909" s="215"/>
      <c r="BT909" s="215"/>
      <c r="BU909" s="215"/>
      <c r="BV909" s="215"/>
      <c r="BW909" s="215"/>
      <c r="BX909" s="215"/>
      <c r="BY909" s="215"/>
      <c r="BZ909" s="215"/>
    </row>
    <row r="910" spans="1:78" outlineLevel="1" x14ac:dyDescent="0.2">
      <c r="A910" s="9" t="str">
        <f>'Language Index'!A564</f>
        <v>Balance Sheet Reconciliation Items</v>
      </c>
      <c r="B910" s="17"/>
      <c r="C910" s="17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30"/>
      <c r="P910" s="18"/>
      <c r="Q910" s="215"/>
      <c r="R910" s="215"/>
      <c r="S910" s="215"/>
      <c r="T910" s="215"/>
      <c r="U910" s="215"/>
      <c r="V910" s="222"/>
      <c r="W910" s="222"/>
      <c r="X910" s="222"/>
      <c r="Y910" s="215"/>
      <c r="Z910" s="215"/>
      <c r="AA910" s="215"/>
      <c r="AB910" s="215"/>
      <c r="AC910" s="215"/>
      <c r="AD910" s="215"/>
      <c r="AE910" s="215"/>
      <c r="AF910" s="215"/>
      <c r="AG910" s="215"/>
      <c r="AH910" s="215"/>
      <c r="AI910" s="215"/>
      <c r="AJ910" s="215"/>
      <c r="AK910" s="215"/>
      <c r="AL910" s="215"/>
      <c r="AM910" s="215"/>
      <c r="AN910" s="215"/>
      <c r="AO910" s="215"/>
      <c r="AP910" s="215"/>
      <c r="AQ910" s="215"/>
      <c r="AR910" s="215"/>
      <c r="AS910" s="215"/>
      <c r="AT910" s="215"/>
      <c r="AU910" s="215"/>
      <c r="AV910" s="215"/>
      <c r="AW910" s="215"/>
      <c r="AX910" s="215"/>
      <c r="AY910" s="215"/>
      <c r="AZ910" s="215"/>
      <c r="BA910" s="215"/>
      <c r="BB910" s="215"/>
      <c r="BC910" s="215"/>
      <c r="BD910" s="215"/>
      <c r="BE910" s="215"/>
      <c r="BF910" s="215"/>
      <c r="BG910" s="215"/>
      <c r="BH910" s="215"/>
      <c r="BI910" s="215"/>
      <c r="BJ910" s="215"/>
      <c r="BK910" s="215"/>
      <c r="BL910" s="215"/>
      <c r="BM910" s="215"/>
      <c r="BN910" s="215"/>
      <c r="BO910" s="215"/>
      <c r="BP910" s="215"/>
      <c r="BQ910" s="215"/>
      <c r="BR910" s="215"/>
      <c r="BS910" s="215"/>
      <c r="BT910" s="215"/>
      <c r="BU910" s="215"/>
      <c r="BV910" s="215"/>
      <c r="BW910" s="215"/>
      <c r="BX910" s="215"/>
      <c r="BY910" s="215"/>
      <c r="BZ910" s="215"/>
    </row>
    <row r="911" spans="1:78" outlineLevel="1" x14ac:dyDescent="0.2">
      <c r="A911" s="2" t="str">
        <f>'Language Index'!A565</f>
        <v>Prepaid Benefit Cost</v>
      </c>
      <c r="B911" s="17"/>
      <c r="C911" s="17"/>
      <c r="D911" s="18">
        <f>_xll.ciqfunctions.udf.CIQ($C$2,"IQ_OPEB_PREPAID_COST_DOM",D$6,$F$2,,,Ccy,Conv)</f>
        <v>0</v>
      </c>
      <c r="E911" s="18">
        <f>_xll.ciqfunctions.udf.CIQ($C$2,"IQ_OPEB_PREPAID_COST_DOM",E$6,$F$2,,,Ccy,Conv)</f>
        <v>0</v>
      </c>
      <c r="F911" s="18">
        <f>_xll.ciqfunctions.udf.CIQ($C$2,"IQ_OPEB_PREPAID_COST_DOM",F$6,$F$2,,,Ccy,Conv)</f>
        <v>0</v>
      </c>
      <c r="G911" s="18">
        <f>_xll.ciqfunctions.udf.CIQ($C$2,"IQ_OPEB_PREPAID_COST_DOM",G$6,$F$2,,,Ccy,Conv)</f>
        <v>0</v>
      </c>
      <c r="H911" s="18">
        <f>_xll.ciqfunctions.udf.CIQ($C$2,"IQ_OPEB_PREPAID_COST_DOM",H$6,$F$2,,,Ccy,Conv)</f>
        <v>0</v>
      </c>
      <c r="I911" s="18">
        <f>_xll.ciqfunctions.udf.CIQ($C$2,"IQ_OPEB_PREPAID_COST_DOM",I$6,$F$2,,,Ccy,Conv)</f>
        <v>0</v>
      </c>
      <c r="J911" s="18">
        <f>_xll.ciqfunctions.udf.CIQ($C$2,"IQ_OPEB_PREPAID_COST_DOM",J$6,$F$2,,,Ccy,Conv)</f>
        <v>0</v>
      </c>
      <c r="K911" s="18">
        <f>_xll.ciqfunctions.udf.CIQ($C$2,"IQ_OPEB_PREPAID_COST_DOM",K$6,$F$2,,,Ccy,Conv)</f>
        <v>0</v>
      </c>
      <c r="L911" s="18">
        <f>_xll.ciqfunctions.udf.CIQ($C$2,"IQ_OPEB_PREPAID_COST_DOM",L$6,$F$2,,,Ccy,Conv)</f>
        <v>0</v>
      </c>
      <c r="M911" s="18">
        <f>_xll.ciqfunctions.udf.CIQ($C$2,"IQ_OPEB_PREPAID_COST_DOM",M$6,$F$2,,,Ccy,Conv)</f>
        <v>0</v>
      </c>
      <c r="N911" s="18">
        <f>_xll.ciqfunctions.udf.CIQ($C$2,"IQ_OPEB_PREPAID_COST_DOM",N$6,$F$2,,,Ccy,Conv)</f>
        <v>0</v>
      </c>
      <c r="O911" s="30"/>
      <c r="P911" s="18">
        <f>_xll.ciqfunctions.udf.CIQ($C$2,"IQ_OPEB_PREPAID_COST_DOM",P$6,$F$2,,,Ccy,Conv)</f>
        <v>0</v>
      </c>
      <c r="Q911" s="215"/>
      <c r="R911" s="215"/>
      <c r="S911" s="215"/>
      <c r="T911" s="215"/>
      <c r="U911" s="215"/>
      <c r="V911" s="222"/>
      <c r="W911" s="222"/>
      <c r="X911" s="222"/>
      <c r="Y911" s="215"/>
      <c r="Z911" s="215"/>
      <c r="AA911" s="215"/>
      <c r="AB911" s="215"/>
      <c r="AC911" s="215"/>
      <c r="AD911" s="215"/>
      <c r="AE911" s="215"/>
      <c r="AF911" s="215"/>
      <c r="AG911" s="215"/>
      <c r="AH911" s="215"/>
      <c r="AI911" s="215"/>
      <c r="AJ911" s="215"/>
      <c r="AK911" s="215"/>
      <c r="AL911" s="215"/>
      <c r="AM911" s="215"/>
      <c r="AN911" s="215"/>
      <c r="AO911" s="215"/>
      <c r="AP911" s="215"/>
      <c r="AQ911" s="215"/>
      <c r="AR911" s="215"/>
      <c r="AS911" s="215"/>
      <c r="AT911" s="215"/>
      <c r="AU911" s="215"/>
      <c r="AV911" s="215"/>
      <c r="AW911" s="215"/>
      <c r="AX911" s="215"/>
      <c r="AY911" s="215"/>
      <c r="AZ911" s="215"/>
      <c r="BA911" s="215"/>
      <c r="BB911" s="215"/>
      <c r="BC911" s="215"/>
      <c r="BD911" s="215"/>
      <c r="BE911" s="215"/>
      <c r="BF911" s="215"/>
      <c r="BG911" s="215"/>
      <c r="BH911" s="215"/>
      <c r="BI911" s="215"/>
      <c r="BJ911" s="215"/>
      <c r="BK911" s="215"/>
      <c r="BL911" s="215"/>
      <c r="BM911" s="215"/>
      <c r="BN911" s="215"/>
      <c r="BO911" s="215"/>
      <c r="BP911" s="215"/>
      <c r="BQ911" s="215"/>
      <c r="BR911" s="215"/>
      <c r="BS911" s="215"/>
      <c r="BT911" s="215"/>
      <c r="BU911" s="215"/>
      <c r="BV911" s="215"/>
      <c r="BW911" s="215"/>
      <c r="BX911" s="215"/>
      <c r="BY911" s="215"/>
      <c r="BZ911" s="215"/>
    </row>
    <row r="912" spans="1:78" outlineLevel="1" x14ac:dyDescent="0.2">
      <c r="A912" s="2" t="str">
        <f>'Language Index'!A566</f>
        <v>Accrued Benefit Liability</v>
      </c>
      <c r="B912" s="17"/>
      <c r="C912" s="17"/>
      <c r="D912" s="18">
        <f>_xll.ciqfunctions.udf.CIQ($C$2,"IQ_OPEB_ACCRUED_LIAB_DOM",D$6,$F$2,,,Ccy,Conv)</f>
        <v>0</v>
      </c>
      <c r="E912" s="18">
        <f>_xll.ciqfunctions.udf.CIQ($C$2,"IQ_OPEB_ACCRUED_LIAB_DOM",E$6,$F$2,,,Ccy,Conv)</f>
        <v>0</v>
      </c>
      <c r="F912" s="18">
        <f>_xll.ciqfunctions.udf.CIQ($C$2,"IQ_OPEB_ACCRUED_LIAB_DOM",F$6,$F$2,,,Ccy,Conv)</f>
        <v>0</v>
      </c>
      <c r="G912" s="18">
        <f>_xll.ciqfunctions.udf.CIQ($C$2,"IQ_OPEB_ACCRUED_LIAB_DOM",G$6,$F$2,,,Ccy,Conv)</f>
        <v>0</v>
      </c>
      <c r="H912" s="18">
        <f>_xll.ciqfunctions.udf.CIQ($C$2,"IQ_OPEB_ACCRUED_LIAB_DOM",H$6,$F$2,,,Ccy,Conv)</f>
        <v>0</v>
      </c>
      <c r="I912" s="18">
        <f>_xll.ciqfunctions.udf.CIQ($C$2,"IQ_OPEB_ACCRUED_LIAB_DOM",I$6,$F$2,,,Ccy,Conv)</f>
        <v>0</v>
      </c>
      <c r="J912" s="18">
        <f>_xll.ciqfunctions.udf.CIQ($C$2,"IQ_OPEB_ACCRUED_LIAB_DOM",J$6,$F$2,,,Ccy,Conv)</f>
        <v>0</v>
      </c>
      <c r="K912" s="18">
        <f>_xll.ciqfunctions.udf.CIQ($C$2,"IQ_OPEB_ACCRUED_LIAB_DOM",K$6,$F$2,,,Ccy,Conv)</f>
        <v>0</v>
      </c>
      <c r="L912" s="18">
        <f>_xll.ciqfunctions.udf.CIQ($C$2,"IQ_OPEB_ACCRUED_LIAB_DOM",L$6,$F$2,,,Ccy,Conv)</f>
        <v>0</v>
      </c>
      <c r="M912" s="18">
        <f>_xll.ciqfunctions.udf.CIQ($C$2,"IQ_OPEB_ACCRUED_LIAB_DOM",M$6,$F$2,,,Ccy,Conv)</f>
        <v>0</v>
      </c>
      <c r="N912" s="18">
        <f>_xll.ciqfunctions.udf.CIQ($C$2,"IQ_OPEB_ACCRUED_LIAB_DOM",N$6,$F$2,,,Ccy,Conv)</f>
        <v>0</v>
      </c>
      <c r="O912" s="30"/>
      <c r="P912" s="18">
        <f>_xll.ciqfunctions.udf.CIQ($C$2,"IQ_OPEB_ACCRUED_LIAB_DOM",P$6,$F$2,,,Ccy,Conv)</f>
        <v>0</v>
      </c>
      <c r="Q912" s="215"/>
      <c r="R912" s="215"/>
      <c r="S912" s="215"/>
      <c r="T912" s="215"/>
      <c r="U912" s="215"/>
      <c r="V912" s="222"/>
      <c r="W912" s="222"/>
      <c r="X912" s="222"/>
      <c r="Y912" s="215"/>
      <c r="Z912" s="215"/>
      <c r="AA912" s="215"/>
      <c r="AB912" s="215"/>
      <c r="AC912" s="215"/>
      <c r="AD912" s="215"/>
      <c r="AE912" s="215"/>
      <c r="AF912" s="215"/>
      <c r="AG912" s="215"/>
      <c r="AH912" s="215"/>
      <c r="AI912" s="215"/>
      <c r="AJ912" s="215"/>
      <c r="AK912" s="215"/>
      <c r="AL912" s="215"/>
      <c r="AM912" s="215"/>
      <c r="AN912" s="215"/>
      <c r="AO912" s="215"/>
      <c r="AP912" s="215"/>
      <c r="AQ912" s="215"/>
      <c r="AR912" s="215"/>
      <c r="AS912" s="215"/>
      <c r="AT912" s="215"/>
      <c r="AU912" s="215"/>
      <c r="AV912" s="215"/>
      <c r="AW912" s="215"/>
      <c r="AX912" s="215"/>
      <c r="AY912" s="215"/>
      <c r="AZ912" s="215"/>
      <c r="BA912" s="215"/>
      <c r="BB912" s="215"/>
      <c r="BC912" s="215"/>
      <c r="BD912" s="215"/>
      <c r="BE912" s="215"/>
      <c r="BF912" s="215"/>
      <c r="BG912" s="215"/>
      <c r="BH912" s="215"/>
      <c r="BI912" s="215"/>
      <c r="BJ912" s="215"/>
      <c r="BK912" s="215"/>
      <c r="BL912" s="215"/>
      <c r="BM912" s="215"/>
      <c r="BN912" s="215"/>
      <c r="BO912" s="215"/>
      <c r="BP912" s="215"/>
      <c r="BQ912" s="215"/>
      <c r="BR912" s="215"/>
      <c r="BS912" s="215"/>
      <c r="BT912" s="215"/>
      <c r="BU912" s="215"/>
      <c r="BV912" s="215"/>
      <c r="BW912" s="215"/>
      <c r="BX912" s="215"/>
      <c r="BY912" s="215"/>
      <c r="BZ912" s="215"/>
    </row>
    <row r="913" spans="1:78" outlineLevel="1" x14ac:dyDescent="0.2">
      <c r="A913" s="2" t="str">
        <f>'Language Index'!A567</f>
        <v>Intangible Assets</v>
      </c>
      <c r="B913" s="17"/>
      <c r="C913" s="17"/>
      <c r="D913" s="18">
        <f>_xll.ciqfunctions.udf.CIQ($C$2,"IQ_OPEB_INTAN_ASSETS_DOM",D$6,$F$2,,,Ccy,Conv)</f>
        <v>0</v>
      </c>
      <c r="E913" s="18">
        <f>_xll.ciqfunctions.udf.CIQ($C$2,"IQ_OPEB_INTAN_ASSETS_DOM",E$6,$F$2,,,Ccy,Conv)</f>
        <v>0</v>
      </c>
      <c r="F913" s="18">
        <f>_xll.ciqfunctions.udf.CIQ($C$2,"IQ_OPEB_INTAN_ASSETS_DOM",F$6,$F$2,,,Ccy,Conv)</f>
        <v>0</v>
      </c>
      <c r="G913" s="18">
        <f>_xll.ciqfunctions.udf.CIQ($C$2,"IQ_OPEB_INTAN_ASSETS_DOM",G$6,$F$2,,,Ccy,Conv)</f>
        <v>0</v>
      </c>
      <c r="H913" s="18">
        <f>_xll.ciqfunctions.udf.CIQ($C$2,"IQ_OPEB_INTAN_ASSETS_DOM",H$6,$F$2,,,Ccy,Conv)</f>
        <v>0</v>
      </c>
      <c r="I913" s="18">
        <f>_xll.ciqfunctions.udf.CIQ($C$2,"IQ_OPEB_INTAN_ASSETS_DOM",I$6,$F$2,,,Ccy,Conv)</f>
        <v>0</v>
      </c>
      <c r="J913" s="18">
        <f>_xll.ciqfunctions.udf.CIQ($C$2,"IQ_OPEB_INTAN_ASSETS_DOM",J$6,$F$2,,,Ccy,Conv)</f>
        <v>0</v>
      </c>
      <c r="K913" s="18">
        <f>_xll.ciqfunctions.udf.CIQ($C$2,"IQ_OPEB_INTAN_ASSETS_DOM",K$6,$F$2,,,Ccy,Conv)</f>
        <v>0</v>
      </c>
      <c r="L913" s="18">
        <f>_xll.ciqfunctions.udf.CIQ($C$2,"IQ_OPEB_INTAN_ASSETS_DOM",L$6,$F$2,,,Ccy,Conv)</f>
        <v>0</v>
      </c>
      <c r="M913" s="18">
        <f>_xll.ciqfunctions.udf.CIQ($C$2,"IQ_OPEB_INTAN_ASSETS_DOM",M$6,$F$2,,,Ccy,Conv)</f>
        <v>0</v>
      </c>
      <c r="N913" s="18">
        <f>_xll.ciqfunctions.udf.CIQ($C$2,"IQ_OPEB_INTAN_ASSETS_DOM",N$6,$F$2,,,Ccy,Conv)</f>
        <v>0</v>
      </c>
      <c r="O913" s="30"/>
      <c r="P913" s="18">
        <f>_xll.ciqfunctions.udf.CIQ($C$2,"IQ_OPEB_INTAN_ASSETS_DOM",P$6,$F$2,,,Ccy,Conv)</f>
        <v>0</v>
      </c>
      <c r="Q913" s="215"/>
      <c r="R913" s="215"/>
      <c r="S913" s="215"/>
      <c r="T913" s="215"/>
      <c r="U913" s="215"/>
      <c r="V913" s="222"/>
      <c r="W913" s="222"/>
      <c r="X913" s="222"/>
      <c r="Y913" s="215"/>
      <c r="Z913" s="215"/>
      <c r="AA913" s="215"/>
      <c r="AB913" s="215"/>
      <c r="AC913" s="215"/>
      <c r="AD913" s="215"/>
      <c r="AE913" s="215"/>
      <c r="AF913" s="215"/>
      <c r="AG913" s="215"/>
      <c r="AH913" s="215"/>
      <c r="AI913" s="215"/>
      <c r="AJ913" s="215"/>
      <c r="AK913" s="215"/>
      <c r="AL913" s="215"/>
      <c r="AM913" s="215"/>
      <c r="AN913" s="215"/>
      <c r="AO913" s="215"/>
      <c r="AP913" s="215"/>
      <c r="AQ913" s="215"/>
      <c r="AR913" s="215"/>
      <c r="AS913" s="215"/>
      <c r="AT913" s="215"/>
      <c r="AU913" s="215"/>
      <c r="AV913" s="215"/>
      <c r="AW913" s="215"/>
      <c r="AX913" s="215"/>
      <c r="AY913" s="215"/>
      <c r="AZ913" s="215"/>
      <c r="BA913" s="215"/>
      <c r="BB913" s="215"/>
      <c r="BC913" s="215"/>
      <c r="BD913" s="215"/>
      <c r="BE913" s="215"/>
      <c r="BF913" s="215"/>
      <c r="BG913" s="215"/>
      <c r="BH913" s="215"/>
      <c r="BI913" s="215"/>
      <c r="BJ913" s="215"/>
      <c r="BK913" s="215"/>
      <c r="BL913" s="215"/>
      <c r="BM913" s="215"/>
      <c r="BN913" s="215"/>
      <c r="BO913" s="215"/>
      <c r="BP913" s="215"/>
      <c r="BQ913" s="215"/>
      <c r="BR913" s="215"/>
      <c r="BS913" s="215"/>
      <c r="BT913" s="215"/>
      <c r="BU913" s="215"/>
      <c r="BV913" s="215"/>
      <c r="BW913" s="215"/>
      <c r="BX913" s="215"/>
      <c r="BY913" s="215"/>
      <c r="BZ913" s="215"/>
    </row>
    <row r="914" spans="1:78" outlineLevel="1" x14ac:dyDescent="0.2">
      <c r="A914" s="2" t="str">
        <f>'Language Index'!A568</f>
        <v>Accum. Other Comp. Income</v>
      </c>
      <c r="B914" s="17"/>
      <c r="C914" s="17"/>
      <c r="D914" s="18">
        <f>_xll.ciqfunctions.udf.CIQ($C$2,"IQ_OPEB_ACCUM_OTHER_CI_DOM",D$6,$F$2,,,Ccy,Conv)</f>
        <v>0</v>
      </c>
      <c r="E914" s="18">
        <f>_xll.ciqfunctions.udf.CIQ($C$2,"IQ_OPEB_ACCUM_OTHER_CI_DOM",E$6,$F$2,,,Ccy,Conv)</f>
        <v>0</v>
      </c>
      <c r="F914" s="18">
        <f>_xll.ciqfunctions.udf.CIQ($C$2,"IQ_OPEB_ACCUM_OTHER_CI_DOM",F$6,$F$2,,,Ccy,Conv)</f>
        <v>0</v>
      </c>
      <c r="G914" s="18">
        <f>_xll.ciqfunctions.udf.CIQ($C$2,"IQ_OPEB_ACCUM_OTHER_CI_DOM",G$6,$F$2,,,Ccy,Conv)</f>
        <v>0</v>
      </c>
      <c r="H914" s="18">
        <f>_xll.ciqfunctions.udf.CIQ($C$2,"IQ_OPEB_ACCUM_OTHER_CI_DOM",H$6,$F$2,,,Ccy,Conv)</f>
        <v>0</v>
      </c>
      <c r="I914" s="18">
        <f>_xll.ciqfunctions.udf.CIQ($C$2,"IQ_OPEB_ACCUM_OTHER_CI_DOM",I$6,$F$2,,,Ccy,Conv)</f>
        <v>0</v>
      </c>
      <c r="J914" s="18">
        <f>_xll.ciqfunctions.udf.CIQ($C$2,"IQ_OPEB_ACCUM_OTHER_CI_DOM",J$6,$F$2,,,Ccy,Conv)</f>
        <v>0</v>
      </c>
      <c r="K914" s="18">
        <f>_xll.ciqfunctions.udf.CIQ($C$2,"IQ_OPEB_ACCUM_OTHER_CI_DOM",K$6,$F$2,,,Ccy,Conv)</f>
        <v>0</v>
      </c>
      <c r="L914" s="18">
        <f>_xll.ciqfunctions.udf.CIQ($C$2,"IQ_OPEB_ACCUM_OTHER_CI_DOM",L$6,$F$2,,,Ccy,Conv)</f>
        <v>0</v>
      </c>
      <c r="M914" s="18">
        <f>_xll.ciqfunctions.udf.CIQ($C$2,"IQ_OPEB_ACCUM_OTHER_CI_DOM",M$6,$F$2,,,Ccy,Conv)</f>
        <v>0</v>
      </c>
      <c r="N914" s="18">
        <f>_xll.ciqfunctions.udf.CIQ($C$2,"IQ_OPEB_ACCUM_OTHER_CI_DOM",N$6,$F$2,,,Ccy,Conv)</f>
        <v>0</v>
      </c>
      <c r="O914" s="30"/>
      <c r="P914" s="18">
        <f>_xll.ciqfunctions.udf.CIQ($C$2,"IQ_OPEB_ACCUM_OTHER_CI_DOM",P$6,$F$2,,,Ccy,Conv)</f>
        <v>0</v>
      </c>
      <c r="Q914" s="245"/>
      <c r="R914" s="215"/>
      <c r="S914" s="215"/>
      <c r="T914" s="215"/>
      <c r="U914" s="215"/>
      <c r="V914" s="222"/>
      <c r="W914" s="222"/>
      <c r="X914" s="222"/>
      <c r="Y914" s="215"/>
      <c r="Z914" s="215"/>
      <c r="AA914" s="215"/>
      <c r="AB914" s="215"/>
      <c r="AC914" s="215"/>
      <c r="AD914" s="215"/>
      <c r="AE914" s="215"/>
      <c r="AF914" s="215"/>
      <c r="AG914" s="215"/>
      <c r="AH914" s="215"/>
      <c r="AI914" s="215"/>
      <c r="AJ914" s="215"/>
      <c r="AK914" s="215"/>
      <c r="AL914" s="215"/>
      <c r="AM914" s="215"/>
      <c r="AN914" s="215"/>
      <c r="AO914" s="215"/>
      <c r="AP914" s="215"/>
      <c r="AQ914" s="215"/>
      <c r="AR914" s="215"/>
      <c r="AS914" s="215"/>
      <c r="AT914" s="215"/>
      <c r="AU914" s="215"/>
      <c r="AV914" s="215"/>
      <c r="AW914" s="215"/>
      <c r="AX914" s="215"/>
      <c r="AY914" s="215"/>
      <c r="AZ914" s="215"/>
      <c r="BA914" s="215"/>
      <c r="BB914" s="215"/>
      <c r="BC914" s="215"/>
      <c r="BD914" s="215"/>
      <c r="BE914" s="215"/>
      <c r="BF914" s="215"/>
      <c r="BG914" s="215"/>
      <c r="BH914" s="215"/>
      <c r="BI914" s="215"/>
      <c r="BJ914" s="215"/>
      <c r="BK914" s="215"/>
      <c r="BL914" s="215"/>
      <c r="BM914" s="215"/>
      <c r="BN914" s="215"/>
      <c r="BO914" s="215"/>
      <c r="BP914" s="215"/>
      <c r="BQ914" s="215"/>
      <c r="BR914" s="215"/>
      <c r="BS914" s="215"/>
      <c r="BT914" s="215"/>
      <c r="BU914" s="215"/>
      <c r="BV914" s="215"/>
      <c r="BW914" s="215"/>
      <c r="BX914" s="215"/>
      <c r="BY914" s="215"/>
      <c r="BZ914" s="215"/>
    </row>
    <row r="915" spans="1:78" outlineLevel="1" x14ac:dyDescent="0.2">
      <c r="A915" s="2" t="str">
        <f>'Language Index'!A569</f>
        <v>Long Term Assets</v>
      </c>
      <c r="B915" s="17"/>
      <c r="C915" s="17"/>
      <c r="D915" s="18">
        <f>_xll.ciqfunctions.udf.CIQ($C$2,"IQ_OPEB_LT_ASSETS_DOM",D$6,$F$2,,,Ccy,Conv)</f>
        <v>0</v>
      </c>
      <c r="E915" s="18">
        <f>_xll.ciqfunctions.udf.CIQ($C$2,"IQ_OPEB_LT_ASSETS_DOM",E$6,$F$2,,,Ccy,Conv)</f>
        <v>0</v>
      </c>
      <c r="F915" s="18">
        <f>_xll.ciqfunctions.udf.CIQ($C$2,"IQ_OPEB_LT_ASSETS_DOM",F$6,$F$2,,,Ccy,Conv)</f>
        <v>0</v>
      </c>
      <c r="G915" s="18">
        <f>_xll.ciqfunctions.udf.CIQ($C$2,"IQ_OPEB_LT_ASSETS_DOM",G$6,$F$2,,,Ccy,Conv)</f>
        <v>0</v>
      </c>
      <c r="H915" s="18">
        <f>_xll.ciqfunctions.udf.CIQ($C$2,"IQ_OPEB_LT_ASSETS_DOM",H$6,$F$2,,,Ccy,Conv)</f>
        <v>0</v>
      </c>
      <c r="I915" s="18">
        <f>_xll.ciqfunctions.udf.CIQ($C$2,"IQ_OPEB_LT_ASSETS_DOM",I$6,$F$2,,,Ccy,Conv)</f>
        <v>0</v>
      </c>
      <c r="J915" s="18">
        <f>_xll.ciqfunctions.udf.CIQ($C$2,"IQ_OPEB_LT_ASSETS_DOM",J$6,$F$2,,,Ccy,Conv)</f>
        <v>0</v>
      </c>
      <c r="K915" s="18">
        <f>_xll.ciqfunctions.udf.CIQ($C$2,"IQ_OPEB_LT_ASSETS_DOM",K$6,$F$2,,,Ccy,Conv)</f>
        <v>0</v>
      </c>
      <c r="L915" s="18">
        <f>_xll.ciqfunctions.udf.CIQ($C$2,"IQ_OPEB_LT_ASSETS_DOM",L$6,$F$2,,,Ccy,Conv)</f>
        <v>0</v>
      </c>
      <c r="M915" s="18">
        <f>_xll.ciqfunctions.udf.CIQ($C$2,"IQ_OPEB_LT_ASSETS_DOM",M$6,$F$2,,,Ccy,Conv)</f>
        <v>0</v>
      </c>
      <c r="N915" s="18">
        <f>_xll.ciqfunctions.udf.CIQ($C$2,"IQ_OPEB_LT_ASSETS_DOM",N$6,$F$2,,,Ccy,Conv)</f>
        <v>0</v>
      </c>
      <c r="O915" s="30"/>
      <c r="P915" s="18">
        <f>_xll.ciqfunctions.udf.CIQ($C$2,"IQ_OPEB_LT_ASSETS_DOM",P$6,$F$2,,,Ccy,Conv)</f>
        <v>0</v>
      </c>
      <c r="Q915" s="215"/>
      <c r="R915" s="215"/>
      <c r="S915" s="215"/>
      <c r="T915" s="215"/>
      <c r="U915" s="215"/>
      <c r="V915" s="222"/>
      <c r="W915" s="222"/>
      <c r="X915" s="222"/>
      <c r="Y915" s="215"/>
      <c r="Z915" s="215"/>
      <c r="AA915" s="215"/>
      <c r="AB915" s="215"/>
      <c r="AC915" s="215"/>
      <c r="AD915" s="215"/>
      <c r="AE915" s="215"/>
      <c r="AF915" s="215"/>
      <c r="AG915" s="215"/>
      <c r="AH915" s="215"/>
      <c r="AI915" s="215"/>
      <c r="AJ915" s="215"/>
      <c r="AK915" s="215"/>
      <c r="AL915" s="215"/>
      <c r="AM915" s="215"/>
      <c r="AN915" s="215"/>
      <c r="AO915" s="215"/>
      <c r="AP915" s="215"/>
      <c r="AQ915" s="215"/>
      <c r="AR915" s="215"/>
      <c r="AS915" s="215"/>
      <c r="AT915" s="215"/>
      <c r="AU915" s="215"/>
      <c r="AV915" s="215"/>
      <c r="AW915" s="215"/>
      <c r="AX915" s="215"/>
      <c r="AY915" s="215"/>
      <c r="AZ915" s="215"/>
      <c r="BA915" s="215"/>
      <c r="BB915" s="215"/>
      <c r="BC915" s="215"/>
      <c r="BD915" s="215"/>
      <c r="BE915" s="215"/>
      <c r="BF915" s="215"/>
      <c r="BG915" s="215"/>
      <c r="BH915" s="215"/>
      <c r="BI915" s="215"/>
      <c r="BJ915" s="215"/>
      <c r="BK915" s="215"/>
      <c r="BL915" s="215"/>
      <c r="BM915" s="215"/>
      <c r="BN915" s="215"/>
      <c r="BO915" s="215"/>
      <c r="BP915" s="215"/>
      <c r="BQ915" s="215"/>
      <c r="BR915" s="215"/>
      <c r="BS915" s="215"/>
      <c r="BT915" s="215"/>
      <c r="BU915" s="215"/>
      <c r="BV915" s="215"/>
      <c r="BW915" s="215"/>
      <c r="BX915" s="215"/>
      <c r="BY915" s="215"/>
      <c r="BZ915" s="215"/>
    </row>
    <row r="916" spans="1:78" outlineLevel="1" x14ac:dyDescent="0.2">
      <c r="A916" s="2" t="str">
        <f>'Language Index'!A570</f>
        <v>Current Liabilities</v>
      </c>
      <c r="B916" s="17"/>
      <c r="C916" s="17"/>
      <c r="D916" s="18">
        <f>_xll.ciqfunctions.udf.CIQ($C$2,"IQ_OPEB_CL_DOM",D$6,$F$2,,,Ccy,Conv)</f>
        <v>0</v>
      </c>
      <c r="E916" s="18">
        <f>_xll.ciqfunctions.udf.CIQ($C$2,"IQ_OPEB_CL_DOM",E$6,$F$2,,,Ccy,Conv)</f>
        <v>0</v>
      </c>
      <c r="F916" s="18">
        <f>_xll.ciqfunctions.udf.CIQ($C$2,"IQ_OPEB_CL_DOM",F$6,$F$2,,,Ccy,Conv)</f>
        <v>-202</v>
      </c>
      <c r="G916" s="18">
        <f>_xll.ciqfunctions.udf.CIQ($C$2,"IQ_OPEB_CL_DOM",G$6,$F$2,,,Ccy,Conv)</f>
        <v>0</v>
      </c>
      <c r="H916" s="18">
        <f>_xll.ciqfunctions.udf.CIQ($C$2,"IQ_OPEB_CL_DOM",H$6,$F$2,,,Ccy,Conv)</f>
        <v>0</v>
      </c>
      <c r="I916" s="18">
        <f>_xll.ciqfunctions.udf.CIQ($C$2,"IQ_OPEB_CL_DOM",I$6,$F$2,,,Ccy,Conv)</f>
        <v>0</v>
      </c>
      <c r="J916" s="18">
        <f>_xll.ciqfunctions.udf.CIQ($C$2,"IQ_OPEB_CL_DOM",J$6,$F$2,,,Ccy,Conv)</f>
        <v>-218</v>
      </c>
      <c r="K916" s="18">
        <f>_xll.ciqfunctions.udf.CIQ($C$2,"IQ_OPEB_CL_DOM",K$6,$F$2,,,Ccy,Conv)</f>
        <v>0</v>
      </c>
      <c r="L916" s="18">
        <f>_xll.ciqfunctions.udf.CIQ($C$2,"IQ_OPEB_CL_DOM",L$6,$F$2,,,Ccy,Conv)</f>
        <v>0</v>
      </c>
      <c r="M916" s="18">
        <f>_xll.ciqfunctions.udf.CIQ($C$2,"IQ_OPEB_CL_DOM",M$6,$F$2,,,Ccy,Conv)</f>
        <v>0</v>
      </c>
      <c r="N916" s="18">
        <f>_xll.ciqfunctions.udf.CIQ($C$2,"IQ_OPEB_CL_DOM",N$6,$F$2,,,Ccy,Conv)</f>
        <v>-254</v>
      </c>
      <c r="O916" s="30"/>
      <c r="P916" s="18">
        <f>_xll.ciqfunctions.udf.CIQ($C$2,"IQ_OPEB_CL_DOM",P$6,$F$2,,,Ccy,Conv)</f>
        <v>-254</v>
      </c>
      <c r="Q916" s="215"/>
      <c r="R916" s="215"/>
      <c r="S916" s="215"/>
      <c r="T916" s="215"/>
      <c r="U916" s="215"/>
      <c r="V916" s="222"/>
      <c r="W916" s="222"/>
      <c r="X916" s="222"/>
      <c r="Y916" s="215"/>
      <c r="Z916" s="215"/>
      <c r="AA916" s="215"/>
      <c r="AB916" s="215"/>
      <c r="AC916" s="215"/>
      <c r="AD916" s="215"/>
      <c r="AE916" s="215"/>
      <c r="AF916" s="215"/>
      <c r="AG916" s="215"/>
      <c r="AH916" s="215"/>
      <c r="AI916" s="215"/>
      <c r="AJ916" s="215"/>
      <c r="AK916" s="215"/>
      <c r="AL916" s="215"/>
      <c r="AM916" s="215"/>
      <c r="AN916" s="215"/>
      <c r="AO916" s="215"/>
      <c r="AP916" s="215"/>
      <c r="AQ916" s="215"/>
      <c r="AR916" s="215"/>
      <c r="AS916" s="215"/>
      <c r="AT916" s="215"/>
      <c r="AU916" s="215"/>
      <c r="AV916" s="215"/>
      <c r="AW916" s="215"/>
      <c r="AX916" s="215"/>
      <c r="AY916" s="215"/>
      <c r="AZ916" s="215"/>
      <c r="BA916" s="215"/>
      <c r="BB916" s="215"/>
      <c r="BC916" s="215"/>
      <c r="BD916" s="215"/>
      <c r="BE916" s="215"/>
      <c r="BF916" s="215"/>
      <c r="BG916" s="215"/>
      <c r="BH916" s="215"/>
      <c r="BI916" s="215"/>
      <c r="BJ916" s="215"/>
      <c r="BK916" s="215"/>
      <c r="BL916" s="215"/>
      <c r="BM916" s="215"/>
      <c r="BN916" s="215"/>
      <c r="BO916" s="215"/>
      <c r="BP916" s="215"/>
      <c r="BQ916" s="215"/>
      <c r="BR916" s="215"/>
      <c r="BS916" s="215"/>
      <c r="BT916" s="215"/>
      <c r="BU916" s="215"/>
      <c r="BV916" s="215"/>
      <c r="BW916" s="215"/>
      <c r="BX916" s="215"/>
      <c r="BY916" s="215"/>
      <c r="BZ916" s="215"/>
    </row>
    <row r="917" spans="1:78" outlineLevel="1" x14ac:dyDescent="0.2">
      <c r="A917" s="2" t="str">
        <f>'Language Index'!A571</f>
        <v>Long Term Liabilities</v>
      </c>
      <c r="B917" s="17"/>
      <c r="C917" s="17"/>
      <c r="D917" s="18">
        <f>_xll.ciqfunctions.udf.CIQ($C$2,"IQ_OPEB_LT_LIAB_DOM",D$6,$F$2,,,Ccy,Conv)</f>
        <v>0</v>
      </c>
      <c r="E917" s="18">
        <f>_xll.ciqfunctions.udf.CIQ($C$2,"IQ_OPEB_LT_LIAB_DOM",E$6,$F$2,,,Ccy,Conv)</f>
        <v>0</v>
      </c>
      <c r="F917" s="18">
        <f>_xll.ciqfunctions.udf.CIQ($C$2,"IQ_OPEB_LT_LIAB_DOM",F$6,$F$2,,,Ccy,Conv)</f>
        <v>-2022</v>
      </c>
      <c r="G917" s="18">
        <f>_xll.ciqfunctions.udf.CIQ($C$2,"IQ_OPEB_LT_LIAB_DOM",G$6,$F$2,,,Ccy,Conv)</f>
        <v>0</v>
      </c>
      <c r="H917" s="18">
        <f>_xll.ciqfunctions.udf.CIQ($C$2,"IQ_OPEB_LT_LIAB_DOM",H$6,$F$2,,,Ccy,Conv)</f>
        <v>0</v>
      </c>
      <c r="I917" s="18">
        <f>_xll.ciqfunctions.udf.CIQ($C$2,"IQ_OPEB_LT_LIAB_DOM",I$6,$F$2,,,Ccy,Conv)</f>
        <v>0</v>
      </c>
      <c r="J917" s="18">
        <f>_xll.ciqfunctions.udf.CIQ($C$2,"IQ_OPEB_LT_LIAB_DOM",J$6,$F$2,,,Ccy,Conv)</f>
        <v>-2033</v>
      </c>
      <c r="K917" s="18">
        <f>_xll.ciqfunctions.udf.CIQ($C$2,"IQ_OPEB_LT_LIAB_DOM",K$6,$F$2,,,Ccy,Conv)</f>
        <v>0</v>
      </c>
      <c r="L917" s="18">
        <f>_xll.ciqfunctions.udf.CIQ($C$2,"IQ_OPEB_LT_LIAB_DOM",L$6,$F$2,,,Ccy,Conv)</f>
        <v>0</v>
      </c>
      <c r="M917" s="18">
        <f>_xll.ciqfunctions.udf.CIQ($C$2,"IQ_OPEB_LT_LIAB_DOM",M$6,$F$2,,,Ccy,Conv)</f>
        <v>0</v>
      </c>
      <c r="N917" s="18">
        <f>_xll.ciqfunctions.udf.CIQ($C$2,"IQ_OPEB_LT_LIAB_DOM",N$6,$F$2,,,Ccy,Conv)</f>
        <v>-1965</v>
      </c>
      <c r="O917" s="30"/>
      <c r="P917" s="18">
        <f>_xll.ciqfunctions.udf.CIQ($C$2,"IQ_OPEB_LT_LIAB_DOM",P$6,$F$2,,,Ccy,Conv)</f>
        <v>-1965</v>
      </c>
      <c r="Q917" s="215"/>
      <c r="R917" s="215"/>
      <c r="S917" s="215"/>
      <c r="T917" s="215"/>
      <c r="U917" s="215"/>
      <c r="V917" s="222"/>
      <c r="W917" s="222"/>
      <c r="X917" s="222"/>
      <c r="Y917" s="215"/>
      <c r="Z917" s="215"/>
      <c r="AA917" s="215"/>
      <c r="AB917" s="215"/>
      <c r="AC917" s="215"/>
      <c r="AD917" s="215"/>
      <c r="AE917" s="215"/>
      <c r="AF917" s="215"/>
      <c r="AG917" s="215"/>
      <c r="AH917" s="215"/>
      <c r="AI917" s="215"/>
      <c r="AJ917" s="215"/>
      <c r="AK917" s="215"/>
      <c r="AL917" s="215"/>
      <c r="AM917" s="215"/>
      <c r="AN917" s="215"/>
      <c r="AO917" s="215"/>
      <c r="AP917" s="215"/>
      <c r="AQ917" s="215"/>
      <c r="AR917" s="215"/>
      <c r="AS917" s="215"/>
      <c r="AT917" s="215"/>
      <c r="AU917" s="215"/>
      <c r="AV917" s="215"/>
      <c r="AW917" s="215"/>
      <c r="AX917" s="215"/>
      <c r="AY917" s="215"/>
      <c r="AZ917" s="215"/>
      <c r="BA917" s="215"/>
      <c r="BB917" s="215"/>
      <c r="BC917" s="215"/>
      <c r="BD917" s="215"/>
      <c r="BE917" s="215"/>
      <c r="BF917" s="215"/>
      <c r="BG917" s="215"/>
      <c r="BH917" s="215"/>
      <c r="BI917" s="215"/>
      <c r="BJ917" s="215"/>
      <c r="BK917" s="215"/>
      <c r="BL917" s="215"/>
      <c r="BM917" s="215"/>
      <c r="BN917" s="215"/>
      <c r="BO917" s="215"/>
      <c r="BP917" s="215"/>
      <c r="BQ917" s="215"/>
      <c r="BR917" s="215"/>
      <c r="BS917" s="215"/>
      <c r="BT917" s="215"/>
      <c r="BU917" s="215"/>
      <c r="BV917" s="215"/>
      <c r="BW917" s="215"/>
      <c r="BX917" s="215"/>
      <c r="BY917" s="215"/>
      <c r="BZ917" s="215"/>
    </row>
    <row r="918" spans="1:78" outlineLevel="1" x14ac:dyDescent="0.2">
      <c r="A918" s="2" t="str">
        <f>'Language Index'!A572</f>
        <v>Other Assets/Liabilities</v>
      </c>
      <c r="B918" s="17"/>
      <c r="C918" s="17"/>
      <c r="D918" s="18">
        <f>_xll.ciqfunctions.udf.CIQ($C$2,"IQ_OPEB_OTHER_DOM",D$6,$F$2,,,Ccy,Conv)</f>
        <v>0</v>
      </c>
      <c r="E918" s="18">
        <f>_xll.ciqfunctions.udf.CIQ($C$2,"IQ_OPEB_OTHER_DOM",E$6,$F$2,,,Ccy,Conv)</f>
        <v>0</v>
      </c>
      <c r="F918" s="18">
        <f>_xll.ciqfunctions.udf.CIQ($C$2,"IQ_OPEB_OTHER_DOM",F$6,$F$2,,,Ccy,Conv)</f>
        <v>0</v>
      </c>
      <c r="G918" s="18">
        <f>_xll.ciqfunctions.udf.CIQ($C$2,"IQ_OPEB_OTHER_DOM",G$6,$F$2,,,Ccy,Conv)</f>
        <v>0</v>
      </c>
      <c r="H918" s="18">
        <f>_xll.ciqfunctions.udf.CIQ($C$2,"IQ_OPEB_OTHER_DOM",H$6,$F$2,,,Ccy,Conv)</f>
        <v>0</v>
      </c>
      <c r="I918" s="18">
        <f>_xll.ciqfunctions.udf.CIQ($C$2,"IQ_OPEB_OTHER_DOM",I$6,$F$2,,,Ccy,Conv)</f>
        <v>0</v>
      </c>
      <c r="J918" s="18">
        <f>_xll.ciqfunctions.udf.CIQ($C$2,"IQ_OPEB_OTHER_DOM",J$6,$F$2,,,Ccy,Conv)</f>
        <v>0</v>
      </c>
      <c r="K918" s="18">
        <f>_xll.ciqfunctions.udf.CIQ($C$2,"IQ_OPEB_OTHER_DOM",K$6,$F$2,,,Ccy,Conv)</f>
        <v>0</v>
      </c>
      <c r="L918" s="18">
        <f>_xll.ciqfunctions.udf.CIQ($C$2,"IQ_OPEB_OTHER_DOM",L$6,$F$2,,,Ccy,Conv)</f>
        <v>0</v>
      </c>
      <c r="M918" s="18">
        <f>_xll.ciqfunctions.udf.CIQ($C$2,"IQ_OPEB_OTHER_DOM",M$6,$F$2,,,Ccy,Conv)</f>
        <v>0</v>
      </c>
      <c r="N918" s="18">
        <f>_xll.ciqfunctions.udf.CIQ($C$2,"IQ_OPEB_OTHER_DOM",N$6,$F$2,,,Ccy,Conv)</f>
        <v>0</v>
      </c>
      <c r="O918" s="30"/>
      <c r="P918" s="18">
        <f>_xll.ciqfunctions.udf.CIQ($C$2,"IQ_OPEB_OTHER_DOM",P$6,$F$2,,,Ccy,Conv)</f>
        <v>0</v>
      </c>
      <c r="Q918" s="215"/>
      <c r="R918" s="215"/>
      <c r="S918" s="215"/>
      <c r="T918" s="215"/>
      <c r="U918" s="215"/>
      <c r="V918" s="222"/>
      <c r="W918" s="222"/>
      <c r="X918" s="222"/>
      <c r="Y918" s="215"/>
      <c r="Z918" s="215"/>
      <c r="AA918" s="215"/>
      <c r="AB918" s="215"/>
      <c r="AC918" s="215"/>
      <c r="AD918" s="215"/>
      <c r="AE918" s="215"/>
      <c r="AF918" s="215"/>
      <c r="AG918" s="215"/>
      <c r="AH918" s="215"/>
      <c r="AI918" s="215"/>
      <c r="AJ918" s="215"/>
      <c r="AK918" s="215"/>
      <c r="AL918" s="215"/>
      <c r="AM918" s="215"/>
      <c r="AN918" s="215"/>
      <c r="AO918" s="215"/>
      <c r="AP918" s="215"/>
      <c r="AQ918" s="215"/>
      <c r="AR918" s="215"/>
      <c r="AS918" s="215"/>
      <c r="AT918" s="215"/>
      <c r="AU918" s="215"/>
      <c r="AV918" s="215"/>
      <c r="AW918" s="215"/>
      <c r="AX918" s="215"/>
      <c r="AY918" s="215"/>
      <c r="AZ918" s="215"/>
      <c r="BA918" s="215"/>
      <c r="BB918" s="215"/>
      <c r="BC918" s="215"/>
      <c r="BD918" s="215"/>
      <c r="BE918" s="215"/>
      <c r="BF918" s="215"/>
      <c r="BG918" s="215"/>
      <c r="BH918" s="215"/>
      <c r="BI918" s="215"/>
      <c r="BJ918" s="215"/>
      <c r="BK918" s="215"/>
      <c r="BL918" s="215"/>
      <c r="BM918" s="215"/>
      <c r="BN918" s="215"/>
      <c r="BO918" s="215"/>
      <c r="BP918" s="215"/>
      <c r="BQ918" s="215"/>
      <c r="BR918" s="215"/>
      <c r="BS918" s="215"/>
      <c r="BT918" s="215"/>
      <c r="BU918" s="215"/>
      <c r="BV918" s="215"/>
      <c r="BW918" s="215"/>
      <c r="BX918" s="215"/>
      <c r="BY918" s="215"/>
      <c r="BZ918" s="215"/>
    </row>
    <row r="919" spans="1:78" outlineLevel="1" x14ac:dyDescent="0.2">
      <c r="A919" s="9" t="str">
        <f>'Language Index'!A573</f>
        <v>Adj. for Liability Recognized on Balance Sheet</v>
      </c>
      <c r="B919" s="17"/>
      <c r="C919" s="17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30"/>
      <c r="P919" s="18"/>
      <c r="Q919" s="215"/>
      <c r="R919" s="215"/>
      <c r="S919" s="215"/>
      <c r="T919" s="215"/>
      <c r="U919" s="215"/>
      <c r="V919" s="222"/>
      <c r="W919" s="222"/>
      <c r="X919" s="222"/>
      <c r="Y919" s="215"/>
      <c r="Z919" s="215"/>
      <c r="AA919" s="215"/>
      <c r="AB919" s="215"/>
      <c r="AC919" s="215"/>
      <c r="AD919" s="215"/>
      <c r="AE919" s="215"/>
      <c r="AF919" s="215"/>
      <c r="AG919" s="215"/>
      <c r="AH919" s="215"/>
      <c r="AI919" s="215"/>
      <c r="AJ919" s="215"/>
      <c r="AK919" s="215"/>
      <c r="AL919" s="215"/>
      <c r="AM919" s="215"/>
      <c r="AN919" s="215"/>
      <c r="AO919" s="215"/>
      <c r="AP919" s="215"/>
      <c r="AQ919" s="215"/>
      <c r="AR919" s="215"/>
      <c r="AS919" s="215"/>
      <c r="AT919" s="215"/>
      <c r="AU919" s="215"/>
      <c r="AV919" s="215"/>
      <c r="AW919" s="215"/>
      <c r="AX919" s="215"/>
      <c r="AY919" s="215"/>
      <c r="AZ919" s="215"/>
      <c r="BA919" s="215"/>
      <c r="BB919" s="215"/>
      <c r="BC919" s="215"/>
      <c r="BD919" s="215"/>
      <c r="BE919" s="215"/>
      <c r="BF919" s="215"/>
      <c r="BG919" s="215"/>
      <c r="BH919" s="215"/>
      <c r="BI919" s="215"/>
      <c r="BJ919" s="215"/>
      <c r="BK919" s="215"/>
      <c r="BL919" s="215"/>
      <c r="BM919" s="215"/>
      <c r="BN919" s="215"/>
      <c r="BO919" s="215"/>
      <c r="BP919" s="215"/>
      <c r="BQ919" s="215"/>
      <c r="BR919" s="215"/>
      <c r="BS919" s="215"/>
      <c r="BT919" s="215"/>
      <c r="BU919" s="215"/>
      <c r="BV919" s="215"/>
      <c r="BW919" s="215"/>
      <c r="BX919" s="215"/>
      <c r="BY919" s="215"/>
      <c r="BZ919" s="215"/>
    </row>
    <row r="920" spans="1:78" outlineLevel="1" x14ac:dyDescent="0.2">
      <c r="A920" s="2" t="str">
        <f>'Language Index'!A574</f>
        <v>Unrecog. Prior Plan Service Cost</v>
      </c>
      <c r="B920" s="17"/>
      <c r="C920" s="17"/>
      <c r="D920" s="18">
        <f>_xll.ciqfunctions.udf.CIQ($C$2,"IQ_OPEB_UNRECOG_PRIOR_DOM",D$6,$F$2,,,Ccy,Conv)</f>
        <v>0</v>
      </c>
      <c r="E920" s="18">
        <f>_xll.ciqfunctions.udf.CIQ($C$2,"IQ_OPEB_UNRECOG_PRIOR_DOM",E$6,$F$2,,,Ccy,Conv)</f>
        <v>0</v>
      </c>
      <c r="F920" s="18">
        <f>_xll.ciqfunctions.udf.CIQ($C$2,"IQ_OPEB_UNRECOG_PRIOR_DOM",F$6,$F$2,,,Ccy,Conv)</f>
        <v>0</v>
      </c>
      <c r="G920" s="18">
        <f>_xll.ciqfunctions.udf.CIQ($C$2,"IQ_OPEB_UNRECOG_PRIOR_DOM",G$6,$F$2,,,Ccy,Conv)</f>
        <v>0</v>
      </c>
      <c r="H920" s="18">
        <f>_xll.ciqfunctions.udf.CIQ($C$2,"IQ_OPEB_UNRECOG_PRIOR_DOM",H$6,$F$2,,,Ccy,Conv)</f>
        <v>0</v>
      </c>
      <c r="I920" s="18">
        <f>_xll.ciqfunctions.udf.CIQ($C$2,"IQ_OPEB_UNRECOG_PRIOR_DOM",I$6,$F$2,,,Ccy,Conv)</f>
        <v>0</v>
      </c>
      <c r="J920" s="18">
        <f>_xll.ciqfunctions.udf.CIQ($C$2,"IQ_OPEB_UNRECOG_PRIOR_DOM",J$6,$F$2,,,Ccy,Conv)</f>
        <v>0</v>
      </c>
      <c r="K920" s="18">
        <f>_xll.ciqfunctions.udf.CIQ($C$2,"IQ_OPEB_UNRECOG_PRIOR_DOM",K$6,$F$2,,,Ccy,Conv)</f>
        <v>0</v>
      </c>
      <c r="L920" s="18">
        <f>_xll.ciqfunctions.udf.CIQ($C$2,"IQ_OPEB_UNRECOG_PRIOR_DOM",L$6,$F$2,,,Ccy,Conv)</f>
        <v>0</v>
      </c>
      <c r="M920" s="18">
        <f>_xll.ciqfunctions.udf.CIQ($C$2,"IQ_OPEB_UNRECOG_PRIOR_DOM",M$6,$F$2,,,Ccy,Conv)</f>
        <v>0</v>
      </c>
      <c r="N920" s="18">
        <f>_xll.ciqfunctions.udf.CIQ($C$2,"IQ_OPEB_UNRECOG_PRIOR_DOM",N$6,$F$2,,,Ccy,Conv)</f>
        <v>0</v>
      </c>
      <c r="O920" s="30"/>
      <c r="P920" s="18">
        <f>_xll.ciqfunctions.udf.CIQ($C$2,"IQ_OPEB_UNRECOG_PRIOR_DOM",P$6,$F$2,,,Ccy,Conv)</f>
        <v>0</v>
      </c>
      <c r="Q920" s="215"/>
      <c r="R920" s="215"/>
      <c r="S920" s="215"/>
      <c r="T920" s="215"/>
      <c r="U920" s="215"/>
      <c r="V920" s="222"/>
      <c r="W920" s="222"/>
      <c r="X920" s="222"/>
      <c r="Y920" s="215"/>
      <c r="Z920" s="215"/>
      <c r="AA920" s="215"/>
      <c r="AB920" s="215"/>
      <c r="AC920" s="215"/>
      <c r="AD920" s="215"/>
      <c r="AE920" s="215"/>
      <c r="AF920" s="215"/>
      <c r="AG920" s="215"/>
      <c r="AH920" s="215"/>
      <c r="AI920" s="215"/>
      <c r="AJ920" s="215"/>
      <c r="AK920" s="215"/>
      <c r="AL920" s="215"/>
      <c r="AM920" s="215"/>
      <c r="AN920" s="215"/>
      <c r="AO920" s="215"/>
      <c r="AP920" s="215"/>
      <c r="AQ920" s="215"/>
      <c r="AR920" s="215"/>
      <c r="AS920" s="215"/>
      <c r="AT920" s="215"/>
      <c r="AU920" s="215"/>
      <c r="AV920" s="215"/>
      <c r="AW920" s="215"/>
      <c r="AX920" s="215"/>
      <c r="AY920" s="215"/>
      <c r="AZ920" s="215"/>
      <c r="BA920" s="215"/>
      <c r="BB920" s="215"/>
      <c r="BC920" s="215"/>
      <c r="BD920" s="215"/>
      <c r="BE920" s="215"/>
      <c r="BF920" s="215"/>
      <c r="BG920" s="215"/>
      <c r="BH920" s="215"/>
      <c r="BI920" s="215"/>
      <c r="BJ920" s="215"/>
      <c r="BK920" s="215"/>
      <c r="BL920" s="215"/>
      <c r="BM920" s="215"/>
      <c r="BN920" s="215"/>
      <c r="BO920" s="215"/>
      <c r="BP920" s="215"/>
      <c r="BQ920" s="215"/>
      <c r="BR920" s="215"/>
      <c r="BS920" s="215"/>
      <c r="BT920" s="215"/>
      <c r="BU920" s="215"/>
      <c r="BV920" s="215"/>
      <c r="BW920" s="215"/>
      <c r="BX920" s="215"/>
      <c r="BY920" s="215"/>
      <c r="BZ920" s="215"/>
    </row>
    <row r="921" spans="1:78" outlineLevel="1" x14ac:dyDescent="0.2">
      <c r="A921" s="2" t="str">
        <f>'Language Index'!A575</f>
        <v>Other Adj. (Net Benefit Asset/Liab.)</v>
      </c>
      <c r="B921" s="17"/>
      <c r="C921" s="17"/>
      <c r="D921" s="18">
        <f>_xll.ciqfunctions.udf.CIQ($C$2,"IQ_OPEB_OTHER_ADJ_DOM",D$6,$F$2,,,Ccy,Conv)</f>
        <v>0</v>
      </c>
      <c r="E921" s="18">
        <f>_xll.ciqfunctions.udf.CIQ($C$2,"IQ_OPEB_OTHER_ADJ_DOM",E$6,$F$2,,,Ccy,Conv)</f>
        <v>0</v>
      </c>
      <c r="F921" s="18">
        <f>_xll.ciqfunctions.udf.CIQ($C$2,"IQ_OPEB_OTHER_ADJ_DOM",F$6,$F$2,,,Ccy,Conv)</f>
        <v>0</v>
      </c>
      <c r="G921" s="18">
        <f>_xll.ciqfunctions.udf.CIQ($C$2,"IQ_OPEB_OTHER_ADJ_DOM",G$6,$F$2,,,Ccy,Conv)</f>
        <v>0</v>
      </c>
      <c r="H921" s="18">
        <f>_xll.ciqfunctions.udf.CIQ($C$2,"IQ_OPEB_OTHER_ADJ_DOM",H$6,$F$2,,,Ccy,Conv)</f>
        <v>0</v>
      </c>
      <c r="I921" s="18">
        <f>_xll.ciqfunctions.udf.CIQ($C$2,"IQ_OPEB_OTHER_ADJ_DOM",I$6,$F$2,,,Ccy,Conv)</f>
        <v>0</v>
      </c>
      <c r="J921" s="18">
        <f>_xll.ciqfunctions.udf.CIQ($C$2,"IQ_OPEB_OTHER_ADJ_DOM",J$6,$F$2,,,Ccy,Conv)</f>
        <v>0</v>
      </c>
      <c r="K921" s="18">
        <f>_xll.ciqfunctions.udf.CIQ($C$2,"IQ_OPEB_OTHER_ADJ_DOM",K$6,$F$2,,,Ccy,Conv)</f>
        <v>0</v>
      </c>
      <c r="L921" s="18">
        <f>_xll.ciqfunctions.udf.CIQ($C$2,"IQ_OPEB_OTHER_ADJ_DOM",L$6,$F$2,,,Ccy,Conv)</f>
        <v>0</v>
      </c>
      <c r="M921" s="18">
        <f>_xll.ciqfunctions.udf.CIQ($C$2,"IQ_OPEB_OTHER_ADJ_DOM",M$6,$F$2,,,Ccy,Conv)</f>
        <v>0</v>
      </c>
      <c r="N921" s="18">
        <f>_xll.ciqfunctions.udf.CIQ($C$2,"IQ_OPEB_OTHER_ADJ_DOM",N$6,$F$2,,,Ccy,Conv)</f>
        <v>0</v>
      </c>
      <c r="O921" s="30"/>
      <c r="P921" s="18">
        <f>_xll.ciqfunctions.udf.CIQ($C$2,"IQ_OPEB_OTHER_ADJ_DOM",P$6,$F$2,,,Ccy,Conv)</f>
        <v>0</v>
      </c>
      <c r="Q921" s="215"/>
      <c r="R921" s="215"/>
      <c r="S921" s="215"/>
      <c r="T921" s="215"/>
      <c r="U921" s="215"/>
      <c r="V921" s="222"/>
      <c r="W921" s="222"/>
      <c r="X921" s="222"/>
      <c r="Y921" s="215"/>
      <c r="Z921" s="215"/>
      <c r="AA921" s="215"/>
      <c r="AB921" s="215"/>
      <c r="AC921" s="215"/>
      <c r="AD921" s="215"/>
      <c r="AE921" s="215"/>
      <c r="AF921" s="215"/>
      <c r="AG921" s="215"/>
      <c r="AH921" s="215"/>
      <c r="AI921" s="215"/>
      <c r="AJ921" s="215"/>
      <c r="AK921" s="215"/>
      <c r="AL921" s="215"/>
      <c r="AM921" s="215"/>
      <c r="AN921" s="215"/>
      <c r="AO921" s="215"/>
      <c r="AP921" s="215"/>
      <c r="AQ921" s="215"/>
      <c r="AR921" s="215"/>
      <c r="AS921" s="215"/>
      <c r="AT921" s="215"/>
      <c r="AU921" s="215"/>
      <c r="AV921" s="215"/>
      <c r="AW921" s="215"/>
      <c r="AX921" s="215"/>
      <c r="AY921" s="215"/>
      <c r="AZ921" s="215"/>
      <c r="BA921" s="215"/>
      <c r="BB921" s="215"/>
      <c r="BC921" s="215"/>
      <c r="BD921" s="215"/>
      <c r="BE921" s="215"/>
      <c r="BF921" s="215"/>
      <c r="BG921" s="215"/>
      <c r="BH921" s="215"/>
      <c r="BI921" s="215"/>
      <c r="BJ921" s="215"/>
      <c r="BK921" s="215"/>
      <c r="BL921" s="215"/>
      <c r="BM921" s="215"/>
      <c r="BN921" s="215"/>
      <c r="BO921" s="215"/>
      <c r="BP921" s="215"/>
      <c r="BQ921" s="215"/>
      <c r="BR921" s="215"/>
      <c r="BS921" s="215"/>
      <c r="BT921" s="215"/>
      <c r="BU921" s="215"/>
      <c r="BV921" s="215"/>
      <c r="BW921" s="215"/>
      <c r="BX921" s="215"/>
      <c r="BY921" s="215"/>
      <c r="BZ921" s="215"/>
    </row>
    <row r="922" spans="1:78" outlineLevel="1" x14ac:dyDescent="0.2">
      <c r="A922" s="2" t="str">
        <f>'Language Index'!A576</f>
        <v>Net Asset/Liability Recognized on Balance Sheet</v>
      </c>
      <c r="B922" s="17"/>
      <c r="C922" s="17"/>
      <c r="D922" s="18">
        <f>_xll.ciqfunctions.udf.CIQ($C$2,"IQ_OPEB_NET_ASSET_RECOG_DOM",D$6,$F$2,,,Ccy,Conv)</f>
        <v>0</v>
      </c>
      <c r="E922" s="18">
        <f>_xll.ciqfunctions.udf.CIQ($C$2,"IQ_OPEB_NET_ASSET_RECOG_DOM",E$6,$F$2,,,Ccy,Conv)</f>
        <v>0</v>
      </c>
      <c r="F922" s="18">
        <f>_xll.ciqfunctions.udf.CIQ($C$2,"IQ_OPEB_NET_ASSET_RECOG_DOM",F$6,$F$2,,,Ccy,Conv)</f>
        <v>-2224</v>
      </c>
      <c r="G922" s="18">
        <f>_xll.ciqfunctions.udf.CIQ($C$2,"IQ_OPEB_NET_ASSET_RECOG_DOM",G$6,$F$2,,,Ccy,Conv)</f>
        <v>0</v>
      </c>
      <c r="H922" s="18">
        <f>_xll.ciqfunctions.udf.CIQ($C$2,"IQ_OPEB_NET_ASSET_RECOG_DOM",H$6,$F$2,,,Ccy,Conv)</f>
        <v>0</v>
      </c>
      <c r="I922" s="18">
        <f>_xll.ciqfunctions.udf.CIQ($C$2,"IQ_OPEB_NET_ASSET_RECOG_DOM",I$6,$F$2,,,Ccy,Conv)</f>
        <v>0</v>
      </c>
      <c r="J922" s="18">
        <f>_xll.ciqfunctions.udf.CIQ($C$2,"IQ_OPEB_NET_ASSET_RECOG_DOM",J$6,$F$2,,,Ccy,Conv)</f>
        <v>-2251</v>
      </c>
      <c r="K922" s="18">
        <f>_xll.ciqfunctions.udf.CIQ($C$2,"IQ_OPEB_NET_ASSET_RECOG_DOM",K$6,$F$2,,,Ccy,Conv)</f>
        <v>0</v>
      </c>
      <c r="L922" s="18">
        <f>_xll.ciqfunctions.udf.CIQ($C$2,"IQ_OPEB_NET_ASSET_RECOG_DOM",L$6,$F$2,,,Ccy,Conv)</f>
        <v>0</v>
      </c>
      <c r="M922" s="18">
        <f>_xll.ciqfunctions.udf.CIQ($C$2,"IQ_OPEB_NET_ASSET_RECOG_DOM",M$6,$F$2,,,Ccy,Conv)</f>
        <v>0</v>
      </c>
      <c r="N922" s="18">
        <f>_xll.ciqfunctions.udf.CIQ($C$2,"IQ_OPEB_NET_ASSET_RECOG_DOM",N$6,$F$2,,,Ccy,Conv)</f>
        <v>-2219</v>
      </c>
      <c r="O922" s="30"/>
      <c r="P922" s="18">
        <f>_xll.ciqfunctions.udf.CIQ($C$2,"IQ_OPEB_NET_ASSET_RECOG_DOM",P$6,$F$2,,,Ccy,Conv)</f>
        <v>-2219</v>
      </c>
      <c r="Q922" s="215"/>
      <c r="R922" s="215"/>
      <c r="S922" s="215"/>
      <c r="T922" s="215"/>
      <c r="U922" s="215"/>
      <c r="V922" s="222"/>
      <c r="W922" s="222"/>
      <c r="X922" s="222"/>
      <c r="Y922" s="215"/>
      <c r="Z922" s="215"/>
      <c r="AA922" s="215"/>
      <c r="AB922" s="215"/>
      <c r="AC922" s="215"/>
      <c r="AD922" s="215"/>
      <c r="AE922" s="215"/>
      <c r="AF922" s="215"/>
      <c r="AG922" s="215"/>
      <c r="AH922" s="215"/>
      <c r="AI922" s="215"/>
      <c r="AJ922" s="215"/>
      <c r="AK922" s="215"/>
      <c r="AL922" s="215"/>
      <c r="AM922" s="215"/>
      <c r="AN922" s="215"/>
      <c r="AO922" s="215"/>
      <c r="AP922" s="215"/>
      <c r="AQ922" s="215"/>
      <c r="AR922" s="215"/>
      <c r="AS922" s="215"/>
      <c r="AT922" s="215"/>
      <c r="AU922" s="215"/>
      <c r="AV922" s="215"/>
      <c r="AW922" s="215"/>
      <c r="AX922" s="215"/>
      <c r="AY922" s="215"/>
      <c r="AZ922" s="215"/>
      <c r="BA922" s="215"/>
      <c r="BB922" s="215"/>
      <c r="BC922" s="215"/>
      <c r="BD922" s="215"/>
      <c r="BE922" s="215"/>
      <c r="BF922" s="215"/>
      <c r="BG922" s="215"/>
      <c r="BH922" s="215"/>
      <c r="BI922" s="215"/>
      <c r="BJ922" s="215"/>
      <c r="BK922" s="215"/>
      <c r="BL922" s="215"/>
      <c r="BM922" s="215"/>
      <c r="BN922" s="215"/>
      <c r="BO922" s="215"/>
      <c r="BP922" s="215"/>
      <c r="BQ922" s="215"/>
      <c r="BR922" s="215"/>
      <c r="BS922" s="215"/>
      <c r="BT922" s="215"/>
      <c r="BU922" s="215"/>
      <c r="BV922" s="215"/>
      <c r="BW922" s="215"/>
      <c r="BX922" s="215"/>
      <c r="BY922" s="215"/>
      <c r="BZ922" s="215"/>
    </row>
    <row r="923" spans="1:78" outlineLevel="1" x14ac:dyDescent="0.2">
      <c r="A923" s="9" t="str">
        <f>'Language Index'!A590</f>
        <v>Benefits Sensitivity Analysis</v>
      </c>
      <c r="B923" s="17"/>
      <c r="C923" s="17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30"/>
      <c r="P923" s="18"/>
      <c r="Q923" s="215"/>
      <c r="R923" s="215"/>
      <c r="S923" s="215"/>
      <c r="T923" s="215"/>
      <c r="U923" s="215"/>
      <c r="V923" s="222"/>
      <c r="W923" s="222"/>
      <c r="X923" s="222"/>
      <c r="Y923" s="215"/>
      <c r="Z923" s="215"/>
      <c r="AA923" s="215"/>
      <c r="AB923" s="215"/>
      <c r="AC923" s="215"/>
      <c r="AD923" s="215"/>
      <c r="AE923" s="215"/>
      <c r="AF923" s="215"/>
      <c r="AG923" s="215"/>
      <c r="AH923" s="215"/>
      <c r="AI923" s="215"/>
      <c r="AJ923" s="215"/>
      <c r="AK923" s="215"/>
      <c r="AL923" s="215"/>
      <c r="AM923" s="215"/>
      <c r="AN923" s="215"/>
      <c r="AO923" s="215"/>
      <c r="AP923" s="215"/>
      <c r="AQ923" s="215"/>
      <c r="AR923" s="215"/>
      <c r="AS923" s="215"/>
      <c r="AT923" s="215"/>
      <c r="AU923" s="215"/>
      <c r="AV923" s="215"/>
      <c r="AW923" s="215"/>
      <c r="AX923" s="215"/>
      <c r="AY923" s="215"/>
      <c r="AZ923" s="215"/>
      <c r="BA923" s="215"/>
      <c r="BB923" s="215"/>
      <c r="BC923" s="215"/>
      <c r="BD923" s="215"/>
      <c r="BE923" s="215"/>
      <c r="BF923" s="215"/>
      <c r="BG923" s="215"/>
      <c r="BH923" s="215"/>
      <c r="BI923" s="215"/>
      <c r="BJ923" s="215"/>
      <c r="BK923" s="215"/>
      <c r="BL923" s="215"/>
      <c r="BM923" s="215"/>
      <c r="BN923" s="215"/>
      <c r="BO923" s="215"/>
      <c r="BP923" s="215"/>
      <c r="BQ923" s="215"/>
      <c r="BR923" s="215"/>
      <c r="BS923" s="215"/>
      <c r="BT923" s="215"/>
      <c r="BU923" s="215"/>
      <c r="BV923" s="215"/>
      <c r="BW923" s="215"/>
      <c r="BX923" s="215"/>
      <c r="BY923" s="215"/>
      <c r="BZ923" s="215"/>
    </row>
    <row r="924" spans="1:78" outlineLevel="1" x14ac:dyDescent="0.2">
      <c r="A924" s="2" t="str">
        <f>'Language Index'!A591</f>
        <v>1% Increase - Effect on Service and Interest Cost</v>
      </c>
      <c r="B924" s="17"/>
      <c r="C924" s="17"/>
      <c r="D924" s="18">
        <f>_xll.ciqfunctions.udf.CIQ($C$2,"IQ_OPEB_INCREASE_EFFECT_SERVICE_INT_COST_DOM",D$6,$F$2,,,Ccy,Conv)</f>
        <v>0</v>
      </c>
      <c r="E924" s="18">
        <f>_xll.ciqfunctions.udf.CIQ($C$2,"IQ_OPEB_INCREASE_EFFECT_SERVICE_INT_COST_DOM",E$6,$F$2,,,Ccy,Conv)</f>
        <v>0</v>
      </c>
      <c r="F924" s="18">
        <f>_xll.ciqfunctions.udf.CIQ($C$2,"IQ_OPEB_INCREASE_EFFECT_SERVICE_INT_COST_DOM",F$6,$F$2,,,Ccy,Conv)</f>
        <v>0</v>
      </c>
      <c r="G924" s="18">
        <f>_xll.ciqfunctions.udf.CIQ($C$2,"IQ_OPEB_INCREASE_EFFECT_SERVICE_INT_COST_DOM",G$6,$F$2,,,Ccy,Conv)</f>
        <v>0</v>
      </c>
      <c r="H924" s="18">
        <f>_xll.ciqfunctions.udf.CIQ($C$2,"IQ_OPEB_INCREASE_EFFECT_SERVICE_INT_COST_DOM",H$6,$F$2,,,Ccy,Conv)</f>
        <v>0</v>
      </c>
      <c r="I924" s="18">
        <f>_xll.ciqfunctions.udf.CIQ($C$2,"IQ_OPEB_INCREASE_EFFECT_SERVICE_INT_COST_DOM",I$6,$F$2,,,Ccy,Conv)</f>
        <v>0</v>
      </c>
      <c r="J924" s="18">
        <f>_xll.ciqfunctions.udf.CIQ($C$2,"IQ_OPEB_INCREASE_EFFECT_SERVICE_INT_COST_DOM",J$6,$F$2,,,Ccy,Conv)</f>
        <v>0</v>
      </c>
      <c r="K924" s="18">
        <f>_xll.ciqfunctions.udf.CIQ($C$2,"IQ_OPEB_INCREASE_EFFECT_SERVICE_INT_COST_DOM",K$6,$F$2,,,Ccy,Conv)</f>
        <v>0</v>
      </c>
      <c r="L924" s="18">
        <f>_xll.ciqfunctions.udf.CIQ($C$2,"IQ_OPEB_INCREASE_EFFECT_SERVICE_INT_COST_DOM",L$6,$F$2,,,Ccy,Conv)</f>
        <v>0</v>
      </c>
      <c r="M924" s="18">
        <f>_xll.ciqfunctions.udf.CIQ($C$2,"IQ_OPEB_INCREASE_EFFECT_SERVICE_INT_COST_DOM",M$6,$F$2,,,Ccy,Conv)</f>
        <v>0</v>
      </c>
      <c r="N924" s="18">
        <f>_xll.ciqfunctions.udf.CIQ($C$2,"IQ_OPEB_INCREASE_EFFECT_SERVICE_INT_COST_DOM",N$6,$F$2,,,Ccy,Conv)</f>
        <v>0</v>
      </c>
      <c r="O924" s="30"/>
      <c r="P924" s="18">
        <f>_xll.ciqfunctions.udf.CIQ($C$2,"IQ_OPEB_INCREASE_EFFECT_SERVICE_INT_COST_DOM",P$6,$F$2,,,Ccy,Conv)</f>
        <v>0</v>
      </c>
      <c r="Q924" s="215"/>
      <c r="R924" s="215"/>
      <c r="S924" s="215"/>
      <c r="T924" s="215"/>
      <c r="U924" s="215"/>
      <c r="V924" s="222"/>
      <c r="W924" s="222"/>
      <c r="X924" s="222"/>
      <c r="Y924" s="215"/>
      <c r="Z924" s="215"/>
      <c r="AA924" s="215"/>
      <c r="AB924" s="215"/>
      <c r="AC924" s="215"/>
      <c r="AD924" s="215"/>
      <c r="AE924" s="215"/>
      <c r="AF924" s="215"/>
      <c r="AG924" s="215"/>
      <c r="AH924" s="215"/>
      <c r="AI924" s="215"/>
      <c r="AJ924" s="215"/>
      <c r="AK924" s="215"/>
      <c r="AL924" s="215"/>
      <c r="AM924" s="215"/>
      <c r="AN924" s="215"/>
      <c r="AO924" s="215"/>
      <c r="AP924" s="215"/>
      <c r="AQ924" s="215"/>
      <c r="AR924" s="215"/>
      <c r="AS924" s="215"/>
      <c r="AT924" s="215"/>
      <c r="AU924" s="215"/>
      <c r="AV924" s="215"/>
      <c r="AW924" s="215"/>
      <c r="AX924" s="215"/>
      <c r="AY924" s="215"/>
      <c r="AZ924" s="215"/>
      <c r="BA924" s="215"/>
      <c r="BB924" s="215"/>
      <c r="BC924" s="215"/>
      <c r="BD924" s="215"/>
      <c r="BE924" s="215"/>
      <c r="BF924" s="215"/>
      <c r="BG924" s="215"/>
      <c r="BH924" s="215"/>
      <c r="BI924" s="215"/>
      <c r="BJ924" s="215"/>
      <c r="BK924" s="215"/>
      <c r="BL924" s="215"/>
      <c r="BM924" s="215"/>
      <c r="BN924" s="215"/>
      <c r="BO924" s="215"/>
      <c r="BP924" s="215"/>
      <c r="BQ924" s="215"/>
      <c r="BR924" s="215"/>
      <c r="BS924" s="215"/>
      <c r="BT924" s="215"/>
      <c r="BU924" s="215"/>
      <c r="BV924" s="215"/>
      <c r="BW924" s="215"/>
      <c r="BX924" s="215"/>
      <c r="BY924" s="215"/>
      <c r="BZ924" s="215"/>
    </row>
    <row r="925" spans="1:78" outlineLevel="1" x14ac:dyDescent="0.2">
      <c r="A925" s="2" t="str">
        <f>'Language Index'!A592</f>
        <v>1% Increase - Effect on PBO</v>
      </c>
      <c r="B925" s="17"/>
      <c r="C925" s="17"/>
      <c r="D925" s="18">
        <f>_xll.ciqfunctions.udf.CIQ($C$2,"IQ_OPEB_INCREASE_EFFECT_PBO_DOM",D$6,$F$2,,,Ccy,Conv)</f>
        <v>0</v>
      </c>
      <c r="E925" s="18">
        <f>_xll.ciqfunctions.udf.CIQ($C$2,"IQ_OPEB_INCREASE_EFFECT_PBO_DOM",E$6,$F$2,,,Ccy,Conv)</f>
        <v>0</v>
      </c>
      <c r="F925" s="18">
        <f>_xll.ciqfunctions.udf.CIQ($C$2,"IQ_OPEB_INCREASE_EFFECT_PBO_DOM",F$6,$F$2,,,Ccy,Conv)</f>
        <v>0</v>
      </c>
      <c r="G925" s="18">
        <f>_xll.ciqfunctions.udf.CIQ($C$2,"IQ_OPEB_INCREASE_EFFECT_PBO_DOM",G$6,$F$2,,,Ccy,Conv)</f>
        <v>0</v>
      </c>
      <c r="H925" s="18">
        <f>_xll.ciqfunctions.udf.CIQ($C$2,"IQ_OPEB_INCREASE_EFFECT_PBO_DOM",H$6,$F$2,,,Ccy,Conv)</f>
        <v>0</v>
      </c>
      <c r="I925" s="18">
        <f>_xll.ciqfunctions.udf.CIQ($C$2,"IQ_OPEB_INCREASE_EFFECT_PBO_DOM",I$6,$F$2,,,Ccy,Conv)</f>
        <v>0</v>
      </c>
      <c r="J925" s="18">
        <f>_xll.ciqfunctions.udf.CIQ($C$2,"IQ_OPEB_INCREASE_EFFECT_PBO_DOM",J$6,$F$2,,,Ccy,Conv)</f>
        <v>0</v>
      </c>
      <c r="K925" s="18">
        <f>_xll.ciqfunctions.udf.CIQ($C$2,"IQ_OPEB_INCREASE_EFFECT_PBO_DOM",K$6,$F$2,,,Ccy,Conv)</f>
        <v>0</v>
      </c>
      <c r="L925" s="18">
        <f>_xll.ciqfunctions.udf.CIQ($C$2,"IQ_OPEB_INCREASE_EFFECT_PBO_DOM",L$6,$F$2,,,Ccy,Conv)</f>
        <v>0</v>
      </c>
      <c r="M925" s="18">
        <f>_xll.ciqfunctions.udf.CIQ($C$2,"IQ_OPEB_INCREASE_EFFECT_PBO_DOM",M$6,$F$2,,,Ccy,Conv)</f>
        <v>0</v>
      </c>
      <c r="N925" s="18">
        <f>_xll.ciqfunctions.udf.CIQ($C$2,"IQ_OPEB_INCREASE_EFFECT_PBO_DOM",N$6,$F$2,,,Ccy,Conv)</f>
        <v>0</v>
      </c>
      <c r="O925" s="30"/>
      <c r="P925" s="18">
        <f>_xll.ciqfunctions.udf.CIQ($C$2,"IQ_OPEB_INCREASE_EFFECT_PBO_DOM",P$6,$F$2,,,Ccy,Conv)</f>
        <v>0</v>
      </c>
      <c r="Q925" s="215"/>
      <c r="R925" s="215"/>
      <c r="S925" s="215"/>
      <c r="T925" s="215"/>
      <c r="U925" s="215"/>
      <c r="V925" s="222"/>
      <c r="W925" s="222"/>
      <c r="X925" s="222"/>
      <c r="Y925" s="215"/>
      <c r="Z925" s="215"/>
      <c r="AA925" s="215"/>
      <c r="AB925" s="215"/>
      <c r="AC925" s="215"/>
      <c r="AD925" s="215"/>
      <c r="AE925" s="215"/>
      <c r="AF925" s="215"/>
      <c r="AG925" s="215"/>
      <c r="AH925" s="215"/>
      <c r="AI925" s="215"/>
      <c r="AJ925" s="215"/>
      <c r="AK925" s="215"/>
      <c r="AL925" s="215"/>
      <c r="AM925" s="215"/>
      <c r="AN925" s="215"/>
      <c r="AO925" s="215"/>
      <c r="AP925" s="215"/>
      <c r="AQ925" s="215"/>
      <c r="AR925" s="215"/>
      <c r="AS925" s="215"/>
      <c r="AT925" s="215"/>
      <c r="AU925" s="215"/>
      <c r="AV925" s="215"/>
      <c r="AW925" s="215"/>
      <c r="AX925" s="215"/>
      <c r="AY925" s="215"/>
      <c r="AZ925" s="215"/>
      <c r="BA925" s="215"/>
      <c r="BB925" s="215"/>
      <c r="BC925" s="215"/>
      <c r="BD925" s="215"/>
      <c r="BE925" s="215"/>
      <c r="BF925" s="215"/>
      <c r="BG925" s="215"/>
      <c r="BH925" s="215"/>
      <c r="BI925" s="215"/>
      <c r="BJ925" s="215"/>
      <c r="BK925" s="215"/>
      <c r="BL925" s="215"/>
      <c r="BM925" s="215"/>
      <c r="BN925" s="215"/>
      <c r="BO925" s="215"/>
      <c r="BP925" s="215"/>
      <c r="BQ925" s="215"/>
      <c r="BR925" s="215"/>
      <c r="BS925" s="215"/>
      <c r="BT925" s="215"/>
      <c r="BU925" s="215"/>
      <c r="BV925" s="215"/>
      <c r="BW925" s="215"/>
      <c r="BX925" s="215"/>
      <c r="BY925" s="215"/>
      <c r="BZ925" s="215"/>
    </row>
    <row r="926" spans="1:78" outlineLevel="1" x14ac:dyDescent="0.2">
      <c r="A926" s="2" t="str">
        <f>'Language Index'!A593</f>
        <v>1% Decrease - Effect on Service and Interest Cost</v>
      </c>
      <c r="B926" s="17"/>
      <c r="C926" s="17"/>
      <c r="D926" s="18">
        <f>_xll.ciqfunctions.udf.CIQ($C$2,"IQ_OPEB_DECREASE_EFFECT_SERVICE_INT_COST_DOM",D$6,$F$2,,,Ccy,Conv)</f>
        <v>0</v>
      </c>
      <c r="E926" s="18">
        <f>_xll.ciqfunctions.udf.CIQ($C$2,"IQ_OPEB_DECREASE_EFFECT_SERVICE_INT_COST_DOM",E$6,$F$2,,,Ccy,Conv)</f>
        <v>0</v>
      </c>
      <c r="F926" s="18">
        <f>_xll.ciqfunctions.udf.CIQ($C$2,"IQ_OPEB_DECREASE_EFFECT_SERVICE_INT_COST_DOM",F$6,$F$2,,,Ccy,Conv)</f>
        <v>0</v>
      </c>
      <c r="G926" s="18">
        <f>_xll.ciqfunctions.udf.CIQ($C$2,"IQ_OPEB_DECREASE_EFFECT_SERVICE_INT_COST_DOM",G$6,$F$2,,,Ccy,Conv)</f>
        <v>0</v>
      </c>
      <c r="H926" s="18">
        <f>_xll.ciqfunctions.udf.CIQ($C$2,"IQ_OPEB_DECREASE_EFFECT_SERVICE_INT_COST_DOM",H$6,$F$2,,,Ccy,Conv)</f>
        <v>0</v>
      </c>
      <c r="I926" s="18">
        <f>_xll.ciqfunctions.udf.CIQ($C$2,"IQ_OPEB_DECREASE_EFFECT_SERVICE_INT_COST_DOM",I$6,$F$2,,,Ccy,Conv)</f>
        <v>0</v>
      </c>
      <c r="J926" s="18">
        <f>_xll.ciqfunctions.udf.CIQ($C$2,"IQ_OPEB_DECREASE_EFFECT_SERVICE_INT_COST_DOM",J$6,$F$2,,,Ccy,Conv)</f>
        <v>0</v>
      </c>
      <c r="K926" s="18">
        <f>_xll.ciqfunctions.udf.CIQ($C$2,"IQ_OPEB_DECREASE_EFFECT_SERVICE_INT_COST_DOM",K$6,$F$2,,,Ccy,Conv)</f>
        <v>0</v>
      </c>
      <c r="L926" s="18">
        <f>_xll.ciqfunctions.udf.CIQ($C$2,"IQ_OPEB_DECREASE_EFFECT_SERVICE_INT_COST_DOM",L$6,$F$2,,,Ccy,Conv)</f>
        <v>0</v>
      </c>
      <c r="M926" s="18">
        <f>_xll.ciqfunctions.udf.CIQ($C$2,"IQ_OPEB_DECREASE_EFFECT_SERVICE_INT_COST_DOM",M$6,$F$2,,,Ccy,Conv)</f>
        <v>0</v>
      </c>
      <c r="N926" s="18">
        <f>_xll.ciqfunctions.udf.CIQ($C$2,"IQ_OPEB_DECREASE_EFFECT_SERVICE_INT_COST_DOM",N$6,$F$2,,,Ccy,Conv)</f>
        <v>0</v>
      </c>
      <c r="O926" s="30"/>
      <c r="P926" s="18">
        <f>_xll.ciqfunctions.udf.CIQ($C$2,"IQ_OPEB_DECREASE_EFFECT_SERVICE_INT_COST_DOM",P$6,$F$2,,,Ccy,Conv)</f>
        <v>0</v>
      </c>
      <c r="Q926" s="215"/>
      <c r="R926" s="215"/>
      <c r="S926" s="215"/>
      <c r="T926" s="215"/>
      <c r="U926" s="215"/>
      <c r="V926" s="222"/>
      <c r="W926" s="222"/>
      <c r="X926" s="222"/>
      <c r="Y926" s="215"/>
      <c r="Z926" s="215"/>
      <c r="AA926" s="215"/>
      <c r="AB926" s="215"/>
      <c r="AC926" s="215"/>
      <c r="AD926" s="215"/>
      <c r="AE926" s="215"/>
      <c r="AF926" s="215"/>
      <c r="AG926" s="215"/>
      <c r="AH926" s="215"/>
      <c r="AI926" s="215"/>
      <c r="AJ926" s="215"/>
      <c r="AK926" s="215"/>
      <c r="AL926" s="215"/>
      <c r="AM926" s="215"/>
      <c r="AN926" s="215"/>
      <c r="AO926" s="215"/>
      <c r="AP926" s="215"/>
      <c r="AQ926" s="215"/>
      <c r="AR926" s="215"/>
      <c r="AS926" s="215"/>
      <c r="AT926" s="215"/>
      <c r="AU926" s="215"/>
      <c r="AV926" s="215"/>
      <c r="AW926" s="215"/>
      <c r="AX926" s="215"/>
      <c r="AY926" s="215"/>
      <c r="AZ926" s="215"/>
      <c r="BA926" s="215"/>
      <c r="BB926" s="215"/>
      <c r="BC926" s="215"/>
      <c r="BD926" s="215"/>
      <c r="BE926" s="215"/>
      <c r="BF926" s="215"/>
      <c r="BG926" s="215"/>
      <c r="BH926" s="215"/>
      <c r="BI926" s="215"/>
      <c r="BJ926" s="215"/>
      <c r="BK926" s="215"/>
      <c r="BL926" s="215"/>
      <c r="BM926" s="215"/>
      <c r="BN926" s="215"/>
      <c r="BO926" s="215"/>
      <c r="BP926" s="215"/>
      <c r="BQ926" s="215"/>
      <c r="BR926" s="215"/>
      <c r="BS926" s="215"/>
      <c r="BT926" s="215"/>
      <c r="BU926" s="215"/>
      <c r="BV926" s="215"/>
      <c r="BW926" s="215"/>
      <c r="BX926" s="215"/>
      <c r="BY926" s="215"/>
      <c r="BZ926" s="215"/>
    </row>
    <row r="927" spans="1:78" outlineLevel="1" x14ac:dyDescent="0.2">
      <c r="A927" s="2" t="str">
        <f>'Language Index'!A594</f>
        <v>1% Decrease - Effect on PBO</v>
      </c>
      <c r="B927" s="17"/>
      <c r="C927" s="17"/>
      <c r="D927" s="18">
        <f>_xll.ciqfunctions.udf.CIQ($C$2,"IQ_OPEB_DECREASE_EFFECT_PBO_DOM",D$6,$F$2,,,Ccy,Conv)</f>
        <v>0</v>
      </c>
      <c r="E927" s="18">
        <f>_xll.ciqfunctions.udf.CIQ($C$2,"IQ_OPEB_DECREASE_EFFECT_PBO_DOM",E$6,$F$2,,,Ccy,Conv)</f>
        <v>0</v>
      </c>
      <c r="F927" s="18">
        <f>_xll.ciqfunctions.udf.CIQ($C$2,"IQ_OPEB_DECREASE_EFFECT_PBO_DOM",F$6,$F$2,,,Ccy,Conv)</f>
        <v>0</v>
      </c>
      <c r="G927" s="18">
        <f>_xll.ciqfunctions.udf.CIQ($C$2,"IQ_OPEB_DECREASE_EFFECT_PBO_DOM",G$6,$F$2,,,Ccy,Conv)</f>
        <v>0</v>
      </c>
      <c r="H927" s="18">
        <f>_xll.ciqfunctions.udf.CIQ($C$2,"IQ_OPEB_DECREASE_EFFECT_PBO_DOM",H$6,$F$2,,,Ccy,Conv)</f>
        <v>0</v>
      </c>
      <c r="I927" s="18">
        <f>_xll.ciqfunctions.udf.CIQ($C$2,"IQ_OPEB_DECREASE_EFFECT_PBO_DOM",I$6,$F$2,,,Ccy,Conv)</f>
        <v>0</v>
      </c>
      <c r="J927" s="18">
        <f>_xll.ciqfunctions.udf.CIQ($C$2,"IQ_OPEB_DECREASE_EFFECT_PBO_DOM",J$6,$F$2,,,Ccy,Conv)</f>
        <v>0</v>
      </c>
      <c r="K927" s="18">
        <f>_xll.ciqfunctions.udf.CIQ($C$2,"IQ_OPEB_DECREASE_EFFECT_PBO_DOM",K$6,$F$2,,,Ccy,Conv)</f>
        <v>0</v>
      </c>
      <c r="L927" s="18">
        <f>_xll.ciqfunctions.udf.CIQ($C$2,"IQ_OPEB_DECREASE_EFFECT_PBO_DOM",L$6,$F$2,,,Ccy,Conv)</f>
        <v>0</v>
      </c>
      <c r="M927" s="18">
        <f>_xll.ciqfunctions.udf.CIQ($C$2,"IQ_OPEB_DECREASE_EFFECT_PBO_DOM",M$6,$F$2,,,Ccy,Conv)</f>
        <v>0</v>
      </c>
      <c r="N927" s="18">
        <f>_xll.ciqfunctions.udf.CIQ($C$2,"IQ_OPEB_DECREASE_EFFECT_PBO_DOM",N$6,$F$2,,,Ccy,Conv)</f>
        <v>0</v>
      </c>
      <c r="O927" s="30"/>
      <c r="P927" s="18">
        <f>_xll.ciqfunctions.udf.CIQ($C$2,"IQ_OPEB_DECREASE_EFFECT_PBO_DOM",P$6,$F$2,,,Ccy,Conv)</f>
        <v>0</v>
      </c>
      <c r="Q927" s="215"/>
      <c r="R927" s="215"/>
      <c r="S927" s="215"/>
      <c r="T927" s="215"/>
      <c r="U927" s="215"/>
      <c r="V927" s="222"/>
      <c r="W927" s="222"/>
      <c r="X927" s="222"/>
      <c r="Y927" s="215"/>
      <c r="Z927" s="215"/>
      <c r="AA927" s="215"/>
      <c r="AB927" s="215"/>
      <c r="AC927" s="215"/>
      <c r="AD927" s="215"/>
      <c r="AE927" s="215"/>
      <c r="AF927" s="215"/>
      <c r="AG927" s="215"/>
      <c r="AH927" s="215"/>
      <c r="AI927" s="215"/>
      <c r="AJ927" s="215"/>
      <c r="AK927" s="215"/>
      <c r="AL927" s="215"/>
      <c r="AM927" s="215"/>
      <c r="AN927" s="215"/>
      <c r="AO927" s="215"/>
      <c r="AP927" s="215"/>
      <c r="AQ927" s="215"/>
      <c r="AR927" s="215"/>
      <c r="AS927" s="215"/>
      <c r="AT927" s="215"/>
      <c r="AU927" s="215"/>
      <c r="AV927" s="215"/>
      <c r="AW927" s="215"/>
      <c r="AX927" s="215"/>
      <c r="AY927" s="215"/>
      <c r="AZ927" s="215"/>
      <c r="BA927" s="215"/>
      <c r="BB927" s="215"/>
      <c r="BC927" s="215"/>
      <c r="BD927" s="215"/>
      <c r="BE927" s="215"/>
      <c r="BF927" s="215"/>
      <c r="BG927" s="215"/>
      <c r="BH927" s="215"/>
      <c r="BI927" s="215"/>
      <c r="BJ927" s="215"/>
      <c r="BK927" s="215"/>
      <c r="BL927" s="215"/>
      <c r="BM927" s="215"/>
      <c r="BN927" s="215"/>
      <c r="BO927" s="215"/>
      <c r="BP927" s="215"/>
      <c r="BQ927" s="215"/>
      <c r="BR927" s="215"/>
      <c r="BS927" s="215"/>
      <c r="BT927" s="215"/>
      <c r="BU927" s="215"/>
      <c r="BV927" s="215"/>
      <c r="BW927" s="215"/>
      <c r="BX927" s="215"/>
      <c r="BY927" s="215"/>
      <c r="BZ927" s="215"/>
    </row>
    <row r="928" spans="1:78" outlineLevel="1" x14ac:dyDescent="0.2">
      <c r="A928" s="9" t="str">
        <f>'Language Index'!A595</f>
        <v>Other Post-Retirement Benefit Related Items</v>
      </c>
      <c r="B928" s="17"/>
      <c r="C928" s="17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30"/>
      <c r="P928" s="18"/>
      <c r="Q928" s="215"/>
      <c r="R928" s="215"/>
      <c r="S928" s="215"/>
      <c r="T928" s="215"/>
      <c r="U928" s="215"/>
      <c r="V928" s="222"/>
      <c r="W928" s="222"/>
      <c r="X928" s="222"/>
      <c r="Y928" s="215"/>
      <c r="Z928" s="215"/>
      <c r="AA928" s="215"/>
      <c r="AB928" s="215"/>
      <c r="AC928" s="215"/>
      <c r="AD928" s="215"/>
      <c r="AE928" s="215"/>
      <c r="AF928" s="215"/>
      <c r="AG928" s="215"/>
      <c r="AH928" s="215"/>
      <c r="AI928" s="215"/>
      <c r="AJ928" s="215"/>
      <c r="AK928" s="215"/>
      <c r="AL928" s="215"/>
      <c r="AM928" s="215"/>
      <c r="AN928" s="215"/>
      <c r="AO928" s="215"/>
      <c r="AP928" s="215"/>
      <c r="AQ928" s="215"/>
      <c r="AR928" s="215"/>
      <c r="AS928" s="215"/>
      <c r="AT928" s="215"/>
      <c r="AU928" s="215"/>
      <c r="AV928" s="215"/>
      <c r="AW928" s="215"/>
      <c r="AX928" s="215"/>
      <c r="AY928" s="215"/>
      <c r="AZ928" s="215"/>
      <c r="BA928" s="215"/>
      <c r="BB928" s="215"/>
      <c r="BC928" s="215"/>
      <c r="BD928" s="215"/>
      <c r="BE928" s="215"/>
      <c r="BF928" s="215"/>
      <c r="BG928" s="215"/>
      <c r="BH928" s="215"/>
      <c r="BI928" s="215"/>
      <c r="BJ928" s="215"/>
      <c r="BK928" s="215"/>
      <c r="BL928" s="215"/>
      <c r="BM928" s="215"/>
      <c r="BN928" s="215"/>
      <c r="BO928" s="215"/>
      <c r="BP928" s="215"/>
      <c r="BQ928" s="215"/>
      <c r="BR928" s="215"/>
      <c r="BS928" s="215"/>
      <c r="BT928" s="215"/>
      <c r="BU928" s="215"/>
      <c r="BV928" s="215"/>
      <c r="BW928" s="215"/>
      <c r="BX928" s="215"/>
      <c r="BY928" s="215"/>
      <c r="BZ928" s="215"/>
    </row>
    <row r="929" spans="1:78" outlineLevel="1" x14ac:dyDescent="0.2">
      <c r="A929" s="2" t="str">
        <f>'Language Index'!A596</f>
        <v>Health Care Cost Trend Rate, Initial</v>
      </c>
      <c r="B929" s="17"/>
      <c r="C929" s="17"/>
      <c r="D929" s="18">
        <f>_xll.ciqfunctions.udf.CIQ($C$2,"IQ_OPEB_HEALTH_COST_TREND_INITIAL_DOM",D$6,$F$2)</f>
        <v>0</v>
      </c>
      <c r="E929" s="18">
        <f>_xll.ciqfunctions.udf.CIQ($C$2,"IQ_OPEB_HEALTH_COST_TREND_INITIAL_DOM",E$6,$F$2)</f>
        <v>0</v>
      </c>
      <c r="F929" s="18">
        <f>_xll.ciqfunctions.udf.CIQ($C$2,"IQ_OPEB_HEALTH_COST_TREND_INITIAL_DOM",F$6,$F$2)</f>
        <v>0</v>
      </c>
      <c r="G929" s="18">
        <f>_xll.ciqfunctions.udf.CIQ($C$2,"IQ_OPEB_HEALTH_COST_TREND_INITIAL_DOM",G$6,$F$2)</f>
        <v>0</v>
      </c>
      <c r="H929" s="18">
        <f>_xll.ciqfunctions.udf.CIQ($C$2,"IQ_OPEB_HEALTH_COST_TREND_INITIAL_DOM",H$6,$F$2)</f>
        <v>0</v>
      </c>
      <c r="I929" s="18">
        <f>_xll.ciqfunctions.udf.CIQ($C$2,"IQ_OPEB_HEALTH_COST_TREND_INITIAL_DOM",I$6,$F$2)</f>
        <v>0</v>
      </c>
      <c r="J929" s="18">
        <f>_xll.ciqfunctions.udf.CIQ($C$2,"IQ_OPEB_HEALTH_COST_TREND_INITIAL_DOM",J$6,$F$2)</f>
        <v>0</v>
      </c>
      <c r="K929" s="18">
        <f>_xll.ciqfunctions.udf.CIQ($C$2,"IQ_OPEB_HEALTH_COST_TREND_INITIAL_DOM",K$6,$F$2)</f>
        <v>0</v>
      </c>
      <c r="L929" s="18">
        <f>_xll.ciqfunctions.udf.CIQ($C$2,"IQ_OPEB_HEALTH_COST_TREND_INITIAL_DOM",L$6,$F$2)</f>
        <v>0</v>
      </c>
      <c r="M929" s="18">
        <f>_xll.ciqfunctions.udf.CIQ($C$2,"IQ_OPEB_HEALTH_COST_TREND_INITIAL_DOM",M$6,$F$2)</f>
        <v>0</v>
      </c>
      <c r="N929" s="18">
        <f>_xll.ciqfunctions.udf.CIQ($C$2,"IQ_OPEB_HEALTH_COST_TREND_INITIAL_DOM",N$6,$F$2)</f>
        <v>7.38</v>
      </c>
      <c r="O929" s="30"/>
      <c r="P929" s="18">
        <f>_xll.ciqfunctions.udf.CIQ($C$2,"IQ_OPEB_HEALTH_COST_TREND_INITIAL_DOM",P$6,$F$2)</f>
        <v>7.38</v>
      </c>
      <c r="Q929" s="215"/>
      <c r="R929" s="215"/>
      <c r="S929" s="215"/>
      <c r="T929" s="215"/>
      <c r="U929" s="215"/>
      <c r="V929" s="222"/>
      <c r="W929" s="222"/>
      <c r="X929" s="222"/>
      <c r="Y929" s="215"/>
      <c r="Z929" s="215"/>
      <c r="AA929" s="215"/>
      <c r="AB929" s="215"/>
      <c r="AC929" s="215"/>
      <c r="AD929" s="215"/>
      <c r="AE929" s="215"/>
      <c r="AF929" s="215"/>
      <c r="AG929" s="215"/>
      <c r="AH929" s="215"/>
      <c r="AI929" s="215"/>
      <c r="AJ929" s="215"/>
      <c r="AK929" s="215"/>
      <c r="AL929" s="215"/>
      <c r="AM929" s="215"/>
      <c r="AN929" s="215"/>
      <c r="AO929" s="215"/>
      <c r="AP929" s="215"/>
      <c r="AQ929" s="215"/>
      <c r="AR929" s="215"/>
      <c r="AS929" s="215"/>
      <c r="AT929" s="215"/>
      <c r="AU929" s="215"/>
      <c r="AV929" s="215"/>
      <c r="AW929" s="215"/>
      <c r="AX929" s="215"/>
      <c r="AY929" s="215"/>
      <c r="AZ929" s="215"/>
      <c r="BA929" s="215"/>
      <c r="BB929" s="215"/>
      <c r="BC929" s="215"/>
      <c r="BD929" s="215"/>
      <c r="BE929" s="215"/>
      <c r="BF929" s="215"/>
      <c r="BG929" s="215"/>
      <c r="BH929" s="215"/>
      <c r="BI929" s="215"/>
      <c r="BJ929" s="215"/>
      <c r="BK929" s="215"/>
      <c r="BL929" s="215"/>
      <c r="BM929" s="215"/>
      <c r="BN929" s="215"/>
      <c r="BO929" s="215"/>
      <c r="BP929" s="215"/>
      <c r="BQ929" s="215"/>
      <c r="BR929" s="215"/>
      <c r="BS929" s="215"/>
      <c r="BT929" s="215"/>
      <c r="BU929" s="215"/>
      <c r="BV929" s="215"/>
      <c r="BW929" s="215"/>
      <c r="BX929" s="215"/>
      <c r="BY929" s="215"/>
      <c r="BZ929" s="215"/>
    </row>
    <row r="930" spans="1:78" outlineLevel="1" x14ac:dyDescent="0.2">
      <c r="A930" s="2" t="str">
        <f>'Language Index'!A597</f>
        <v>Health Care Cost Trend Rate, Ultimate</v>
      </c>
      <c r="B930" s="17"/>
      <c r="C930" s="17"/>
      <c r="D930" s="18">
        <f>_xll.ciqfunctions.udf.CIQ($C$2,"IQ_OPEB_HEALTH_COST_TREND_ULTIMATE_DOM",D$6,$F$2)</f>
        <v>0</v>
      </c>
      <c r="E930" s="18">
        <f>_xll.ciqfunctions.udf.CIQ($C$2,"IQ_OPEB_HEALTH_COST_TREND_ULTIMATE_DOM",E$6,$F$2)</f>
        <v>0</v>
      </c>
      <c r="F930" s="18">
        <f>_xll.ciqfunctions.udf.CIQ($C$2,"IQ_OPEB_HEALTH_COST_TREND_ULTIMATE_DOM",F$6,$F$2)</f>
        <v>0</v>
      </c>
      <c r="G930" s="18">
        <f>_xll.ciqfunctions.udf.CIQ($C$2,"IQ_OPEB_HEALTH_COST_TREND_ULTIMATE_DOM",G$6,$F$2)</f>
        <v>0</v>
      </c>
      <c r="H930" s="18">
        <f>_xll.ciqfunctions.udf.CIQ($C$2,"IQ_OPEB_HEALTH_COST_TREND_ULTIMATE_DOM",H$6,$F$2)</f>
        <v>0</v>
      </c>
      <c r="I930" s="18">
        <f>_xll.ciqfunctions.udf.CIQ($C$2,"IQ_OPEB_HEALTH_COST_TREND_ULTIMATE_DOM",I$6,$F$2)</f>
        <v>0</v>
      </c>
      <c r="J930" s="18">
        <f>_xll.ciqfunctions.udf.CIQ($C$2,"IQ_OPEB_HEALTH_COST_TREND_ULTIMATE_DOM",J$6,$F$2)</f>
        <v>0</v>
      </c>
      <c r="K930" s="18">
        <f>_xll.ciqfunctions.udf.CIQ($C$2,"IQ_OPEB_HEALTH_COST_TREND_ULTIMATE_DOM",K$6,$F$2)</f>
        <v>0</v>
      </c>
      <c r="L930" s="18">
        <f>_xll.ciqfunctions.udf.CIQ($C$2,"IQ_OPEB_HEALTH_COST_TREND_ULTIMATE_DOM",L$6,$F$2)</f>
        <v>0</v>
      </c>
      <c r="M930" s="18">
        <f>_xll.ciqfunctions.udf.CIQ($C$2,"IQ_OPEB_HEALTH_COST_TREND_ULTIMATE_DOM",M$6,$F$2)</f>
        <v>0</v>
      </c>
      <c r="N930" s="18">
        <f>_xll.ciqfunctions.udf.CIQ($C$2,"IQ_OPEB_HEALTH_COST_TREND_ULTIMATE_DOM",N$6,$F$2)</f>
        <v>4.5</v>
      </c>
      <c r="O930" s="30"/>
      <c r="P930" s="18">
        <f>_xll.ciqfunctions.udf.CIQ($C$2,"IQ_OPEB_HEALTH_COST_TREND_ULTIMATE_DOM",P$6,$F$2)</f>
        <v>4.5</v>
      </c>
      <c r="Q930" s="215"/>
      <c r="R930" s="215"/>
      <c r="S930" s="215"/>
      <c r="T930" s="215"/>
      <c r="U930" s="215"/>
      <c r="V930" s="222"/>
      <c r="W930" s="222"/>
      <c r="X930" s="222"/>
      <c r="Y930" s="215"/>
      <c r="Z930" s="215"/>
      <c r="AA930" s="215"/>
      <c r="AB930" s="215"/>
      <c r="AC930" s="215"/>
      <c r="AD930" s="215"/>
      <c r="AE930" s="215"/>
      <c r="AF930" s="215"/>
      <c r="AG930" s="215"/>
      <c r="AH930" s="215"/>
      <c r="AI930" s="215"/>
      <c r="AJ930" s="215"/>
      <c r="AK930" s="215"/>
      <c r="AL930" s="215"/>
      <c r="AM930" s="215"/>
      <c r="AN930" s="215"/>
      <c r="AO930" s="215"/>
      <c r="AP930" s="215"/>
      <c r="AQ930" s="215"/>
      <c r="AR930" s="215"/>
      <c r="AS930" s="215"/>
      <c r="AT930" s="215"/>
      <c r="AU930" s="215"/>
      <c r="AV930" s="215"/>
      <c r="AW930" s="215"/>
      <c r="AX930" s="215"/>
      <c r="AY930" s="215"/>
      <c r="AZ930" s="215"/>
      <c r="BA930" s="215"/>
      <c r="BB930" s="215"/>
      <c r="BC930" s="215"/>
      <c r="BD930" s="215"/>
      <c r="BE930" s="215"/>
      <c r="BF930" s="215"/>
      <c r="BG930" s="215"/>
      <c r="BH930" s="215"/>
      <c r="BI930" s="215"/>
      <c r="BJ930" s="215"/>
      <c r="BK930" s="215"/>
      <c r="BL930" s="215"/>
      <c r="BM930" s="215"/>
      <c r="BN930" s="215"/>
      <c r="BO930" s="215"/>
      <c r="BP930" s="215"/>
      <c r="BQ930" s="215"/>
      <c r="BR930" s="215"/>
      <c r="BS930" s="215"/>
      <c r="BT930" s="215"/>
      <c r="BU930" s="215"/>
      <c r="BV930" s="215"/>
      <c r="BW930" s="215"/>
      <c r="BX930" s="215"/>
      <c r="BY930" s="215"/>
      <c r="BZ930" s="215"/>
    </row>
    <row r="931" spans="1:78" outlineLevel="1" x14ac:dyDescent="0.2">
      <c r="A931" s="2" t="str">
        <f>'Language Index'!A583</f>
        <v>Benefit Info Date</v>
      </c>
      <c r="B931" s="17"/>
      <c r="C931" s="17"/>
      <c r="D931" s="35" t="str">
        <f>IF(_xll.ciqfunctions.udf.CIQ($C$2,"IQ_OPEB_BENEFIT_INFO_DATE_DOM",D$6,$F$2)=0,"NA ",_xll.ciqfunctions.udf.CIQ($C$2,"IQ_OPEB_BENEFIT_INFO_DATE_DOM",D$6,$F$2))</f>
        <v xml:space="preserve">NA </v>
      </c>
      <c r="E931" s="35" t="str">
        <f>IF(_xll.ciqfunctions.udf.CIQ($C$2,"IQ_OPEB_BENEFIT_INFO_DATE_DOM",E$6,$F$2)=0,"NA ",_xll.ciqfunctions.udf.CIQ($C$2,"IQ_OPEB_BENEFIT_INFO_DATE_DOM",E$6,$F$2))</f>
        <v xml:space="preserve">NA </v>
      </c>
      <c r="F931" s="35">
        <f>IF(_xll.ciqfunctions.udf.CIQ($C$2,"IQ_OPEB_BENEFIT_INFO_DATE_DOM",F$6,$F$2)=0,"NA ",_xll.ciqfunctions.udf.CIQ($C$2,"IQ_OPEB_BENEFIT_INFO_DATE_DOM",F$6,$F$2))</f>
        <v>45291</v>
      </c>
      <c r="G931" s="35" t="str">
        <f>IF(_xll.ciqfunctions.udf.CIQ($C$2,"IQ_OPEB_BENEFIT_INFO_DATE_DOM",G$6,$F$2)=0,"NA ",_xll.ciqfunctions.udf.CIQ($C$2,"IQ_OPEB_BENEFIT_INFO_DATE_DOM",G$6,$F$2))</f>
        <v xml:space="preserve">NA </v>
      </c>
      <c r="H931" s="35" t="str">
        <f>IF(_xll.ciqfunctions.udf.CIQ($C$2,"IQ_OPEB_BENEFIT_INFO_DATE_DOM",H$6,$F$2)=0,"NA ",_xll.ciqfunctions.udf.CIQ($C$2,"IQ_OPEB_BENEFIT_INFO_DATE_DOM",H$6,$F$2))</f>
        <v xml:space="preserve">NA </v>
      </c>
      <c r="I931" s="35" t="str">
        <f>IF(_xll.ciqfunctions.udf.CIQ($C$2,"IQ_OPEB_BENEFIT_INFO_DATE_DOM",I$6,$F$2)=0,"NA ",_xll.ciqfunctions.udf.CIQ($C$2,"IQ_OPEB_BENEFIT_INFO_DATE_DOM",I$6,$F$2))</f>
        <v xml:space="preserve">NA </v>
      </c>
      <c r="J931" s="35">
        <f>IF(_xll.ciqfunctions.udf.CIQ($C$2,"IQ_OPEB_BENEFIT_INFO_DATE_DOM",J$6,$F$2)=0,"NA ",_xll.ciqfunctions.udf.CIQ($C$2,"IQ_OPEB_BENEFIT_INFO_DATE_DOM",J$6,$F$2))</f>
        <v>45657</v>
      </c>
      <c r="K931" s="35" t="str">
        <f>IF(_xll.ciqfunctions.udf.CIQ($C$2,"IQ_OPEB_BENEFIT_INFO_DATE_DOM",K$6,$F$2)=0,"NA ",_xll.ciqfunctions.udf.CIQ($C$2,"IQ_OPEB_BENEFIT_INFO_DATE_DOM",K$6,$F$2))</f>
        <v xml:space="preserve">NA </v>
      </c>
      <c r="L931" s="35" t="str">
        <f>IF(_xll.ciqfunctions.udf.CIQ($C$2,"IQ_OPEB_BENEFIT_INFO_DATE_DOM",L$6,$F$2)=0,"NA ",_xll.ciqfunctions.udf.CIQ($C$2,"IQ_OPEB_BENEFIT_INFO_DATE_DOM",L$6,$F$2))</f>
        <v xml:space="preserve">NA </v>
      </c>
      <c r="M931" s="35" t="str">
        <f>IF(_xll.ciqfunctions.udf.CIQ($C$2,"IQ_OPEB_BENEFIT_INFO_DATE_DOM",M$6,$F$2)=0,"NA ",_xll.ciqfunctions.udf.CIQ($C$2,"IQ_OPEB_BENEFIT_INFO_DATE_DOM",M$6,$F$2))</f>
        <v xml:space="preserve">NA </v>
      </c>
      <c r="N931" s="35">
        <f>IF(_xll.ciqfunctions.udf.CIQ($C$2,"IQ_OPEB_BENEFIT_INFO_DATE_DOM",N$6,$F$2)=0,"NA ",_xll.ciqfunctions.udf.CIQ($C$2,"IQ_OPEB_BENEFIT_INFO_DATE_DOM",N$6,$F$2))</f>
        <v>46022</v>
      </c>
      <c r="O931" s="35"/>
      <c r="P931" s="35">
        <f>IF(_xll.ciqfunctions.udf.CIQ($C$2,"IQ_OPEB_BENEFIT_INFO_DATE_DOM",P$6,$F$2)=0,"NA ",_xll.ciqfunctions.udf.CIQ($C$2,"IQ_OPEB_BENEFIT_INFO_DATE_DOM",P$6,$F$2))</f>
        <v>46022</v>
      </c>
      <c r="Q931" s="215"/>
      <c r="R931" s="215"/>
      <c r="S931" s="215"/>
      <c r="T931" s="215"/>
      <c r="U931" s="215"/>
      <c r="V931" s="222"/>
      <c r="W931" s="222"/>
      <c r="X931" s="222"/>
      <c r="Y931" s="215"/>
      <c r="Z931" s="215"/>
      <c r="AA931" s="215"/>
      <c r="AB931" s="215"/>
      <c r="AC931" s="215"/>
      <c r="AD931" s="215"/>
      <c r="AE931" s="215"/>
      <c r="AF931" s="215"/>
      <c r="AG931" s="215"/>
      <c r="AH931" s="215"/>
      <c r="AI931" s="215"/>
      <c r="AJ931" s="215"/>
      <c r="AK931" s="215"/>
      <c r="AL931" s="215"/>
      <c r="AM931" s="215"/>
      <c r="AN931" s="215"/>
      <c r="AO931" s="215"/>
      <c r="AP931" s="215"/>
      <c r="AQ931" s="215"/>
      <c r="AR931" s="215"/>
      <c r="AS931" s="215"/>
      <c r="AT931" s="215"/>
      <c r="AU931" s="215"/>
      <c r="AV931" s="215"/>
      <c r="AW931" s="215"/>
      <c r="AX931" s="215"/>
      <c r="AY931" s="215"/>
      <c r="AZ931" s="215"/>
      <c r="BA931" s="215"/>
      <c r="BB931" s="215"/>
      <c r="BC931" s="215"/>
      <c r="BD931" s="215"/>
      <c r="BE931" s="215"/>
      <c r="BF931" s="215"/>
      <c r="BG931" s="215"/>
      <c r="BH931" s="215"/>
      <c r="BI931" s="215"/>
      <c r="BJ931" s="215"/>
      <c r="BK931" s="215"/>
      <c r="BL931" s="215"/>
      <c r="BM931" s="215"/>
      <c r="BN931" s="215"/>
      <c r="BO931" s="215"/>
      <c r="BP931" s="215"/>
      <c r="BQ931" s="215"/>
      <c r="BR931" s="215"/>
      <c r="BS931" s="215"/>
      <c r="BT931" s="215"/>
      <c r="BU931" s="215"/>
      <c r="BV931" s="215"/>
      <c r="BW931" s="215"/>
      <c r="BX931" s="215"/>
      <c r="BY931" s="215"/>
      <c r="BZ931" s="215"/>
    </row>
    <row r="932" spans="1:78" outlineLevel="1" x14ac:dyDescent="0.2">
      <c r="A932" s="2"/>
      <c r="B932" s="17"/>
      <c r="C932" s="17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30"/>
      <c r="P932" s="18"/>
      <c r="Q932" s="215"/>
      <c r="R932" s="215"/>
      <c r="S932" s="215"/>
      <c r="T932" s="215"/>
      <c r="U932" s="215"/>
      <c r="V932" s="222"/>
      <c r="W932" s="222"/>
      <c r="X932" s="222"/>
      <c r="Y932" s="215"/>
      <c r="Z932" s="215"/>
      <c r="AA932" s="215"/>
      <c r="AB932" s="215"/>
      <c r="AC932" s="215"/>
      <c r="AD932" s="215"/>
      <c r="AE932" s="215"/>
      <c r="AF932" s="215"/>
      <c r="AG932" s="215"/>
      <c r="AH932" s="215"/>
      <c r="AI932" s="215"/>
      <c r="AJ932" s="215"/>
      <c r="AK932" s="215"/>
      <c r="AL932" s="215"/>
      <c r="AM932" s="215"/>
      <c r="AN932" s="215"/>
      <c r="AO932" s="215"/>
      <c r="AP932" s="215"/>
      <c r="AQ932" s="215"/>
      <c r="AR932" s="215"/>
      <c r="AS932" s="215"/>
      <c r="AT932" s="215"/>
      <c r="AU932" s="215"/>
      <c r="AV932" s="215"/>
      <c r="AW932" s="215"/>
      <c r="AX932" s="215"/>
      <c r="AY932" s="215"/>
      <c r="AZ932" s="215"/>
      <c r="BA932" s="215"/>
      <c r="BB932" s="215"/>
      <c r="BC932" s="215"/>
      <c r="BD932" s="215"/>
      <c r="BE932" s="215"/>
      <c r="BF932" s="215"/>
      <c r="BG932" s="215"/>
      <c r="BH932" s="215"/>
      <c r="BI932" s="215"/>
      <c r="BJ932" s="215"/>
      <c r="BK932" s="215"/>
      <c r="BL932" s="215"/>
      <c r="BM932" s="215"/>
      <c r="BN932" s="215"/>
      <c r="BO932" s="215"/>
      <c r="BP932" s="215"/>
      <c r="BQ932" s="215"/>
      <c r="BR932" s="215"/>
      <c r="BS932" s="215"/>
      <c r="BT932" s="215"/>
      <c r="BU932" s="215"/>
      <c r="BV932" s="215"/>
      <c r="BW932" s="215"/>
      <c r="BX932" s="215"/>
      <c r="BY932" s="215"/>
      <c r="BZ932" s="215"/>
    </row>
    <row r="933" spans="1:78" outlineLevel="1" x14ac:dyDescent="0.2">
      <c r="A933" s="9" t="str">
        <f>'Language Index'!A604</f>
        <v>Pension - Foreign</v>
      </c>
      <c r="B933" s="17"/>
      <c r="C933" s="17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30"/>
      <c r="P933" s="18"/>
      <c r="Q933" s="215"/>
      <c r="R933" s="215"/>
      <c r="S933" s="215"/>
      <c r="T933" s="215"/>
      <c r="U933" s="215"/>
      <c r="V933" s="222"/>
      <c r="W933" s="222"/>
      <c r="X933" s="222"/>
      <c r="Y933" s="215"/>
      <c r="Z933" s="215"/>
      <c r="AA933" s="215"/>
      <c r="AB933" s="215"/>
      <c r="AC933" s="215"/>
      <c r="AD933" s="215"/>
      <c r="AE933" s="215"/>
      <c r="AF933" s="215"/>
      <c r="AG933" s="215"/>
      <c r="AH933" s="215"/>
      <c r="AI933" s="215"/>
      <c r="AJ933" s="215"/>
      <c r="AK933" s="215"/>
      <c r="AL933" s="215"/>
      <c r="AM933" s="215"/>
      <c r="AN933" s="215"/>
      <c r="AO933" s="215"/>
      <c r="AP933" s="215"/>
      <c r="AQ933" s="215"/>
      <c r="AR933" s="215"/>
      <c r="AS933" s="215"/>
      <c r="AT933" s="215"/>
      <c r="AU933" s="215"/>
      <c r="AV933" s="215"/>
      <c r="AW933" s="215"/>
      <c r="AX933" s="215"/>
      <c r="AY933" s="215"/>
      <c r="AZ933" s="215"/>
      <c r="BA933" s="215"/>
      <c r="BB933" s="215"/>
      <c r="BC933" s="215"/>
      <c r="BD933" s="215"/>
      <c r="BE933" s="215"/>
      <c r="BF933" s="215"/>
      <c r="BG933" s="215"/>
      <c r="BH933" s="215"/>
      <c r="BI933" s="215"/>
      <c r="BJ933" s="215"/>
      <c r="BK933" s="215"/>
      <c r="BL933" s="215"/>
      <c r="BM933" s="215"/>
      <c r="BN933" s="215"/>
      <c r="BO933" s="215"/>
      <c r="BP933" s="215"/>
      <c r="BQ933" s="215"/>
      <c r="BR933" s="215"/>
      <c r="BS933" s="215"/>
      <c r="BT933" s="215"/>
      <c r="BU933" s="215"/>
      <c r="BV933" s="215"/>
      <c r="BW933" s="215"/>
      <c r="BX933" s="215"/>
      <c r="BY933" s="215"/>
      <c r="BZ933" s="215"/>
    </row>
    <row r="934" spans="1:78" outlineLevel="1" x14ac:dyDescent="0.2">
      <c r="A934" s="9" t="str">
        <f>'Language Index'!A494</f>
        <v>Defined Benefit Net Periodic Cost</v>
      </c>
      <c r="B934" s="17"/>
      <c r="C934" s="17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30"/>
      <c r="P934" s="18"/>
      <c r="Q934" s="215"/>
      <c r="R934" s="215"/>
      <c r="S934" s="215"/>
      <c r="T934" s="215"/>
      <c r="U934" s="215"/>
      <c r="V934" s="222"/>
      <c r="W934" s="222"/>
      <c r="X934" s="222"/>
      <c r="Y934" s="215"/>
      <c r="Z934" s="215"/>
      <c r="AA934" s="215"/>
      <c r="AB934" s="215"/>
      <c r="AC934" s="215"/>
      <c r="AD934" s="215"/>
      <c r="AE934" s="215"/>
      <c r="AF934" s="215"/>
      <c r="AG934" s="215"/>
      <c r="AH934" s="215"/>
      <c r="AI934" s="215"/>
      <c r="AJ934" s="215"/>
      <c r="AK934" s="215"/>
      <c r="AL934" s="215"/>
      <c r="AM934" s="215"/>
      <c r="AN934" s="215"/>
      <c r="AO934" s="215"/>
      <c r="AP934" s="215"/>
      <c r="AQ934" s="215"/>
      <c r="AR934" s="215"/>
      <c r="AS934" s="215"/>
      <c r="AT934" s="215"/>
      <c r="AU934" s="215"/>
      <c r="AV934" s="215"/>
      <c r="AW934" s="215"/>
      <c r="AX934" s="215"/>
      <c r="AY934" s="215"/>
      <c r="AZ934" s="215"/>
      <c r="BA934" s="215"/>
      <c r="BB934" s="215"/>
      <c r="BC934" s="215"/>
      <c r="BD934" s="215"/>
      <c r="BE934" s="215"/>
      <c r="BF934" s="215"/>
      <c r="BG934" s="215"/>
      <c r="BH934" s="215"/>
      <c r="BI934" s="215"/>
      <c r="BJ934" s="215"/>
      <c r="BK934" s="215"/>
      <c r="BL934" s="215"/>
      <c r="BM934" s="215"/>
      <c r="BN934" s="215"/>
      <c r="BO934" s="215"/>
      <c r="BP934" s="215"/>
      <c r="BQ934" s="215"/>
      <c r="BR934" s="215"/>
      <c r="BS934" s="215"/>
      <c r="BT934" s="215"/>
      <c r="BU934" s="215"/>
      <c r="BV934" s="215"/>
      <c r="BW934" s="215"/>
      <c r="BX934" s="215"/>
      <c r="BY934" s="215"/>
      <c r="BZ934" s="215"/>
    </row>
    <row r="935" spans="1:78" outlineLevel="1" x14ac:dyDescent="0.2">
      <c r="A935" s="2" t="str">
        <f>'Language Index'!A495</f>
        <v>Def. Benefit Service Cost</v>
      </c>
      <c r="B935" s="17"/>
      <c r="C935" s="17"/>
      <c r="D935" s="18">
        <f>_xll.ciqfunctions.udf.CIQ($C$2,"IQ_PENSION_SERVICE_COST_FOREIGN",D$6,$F$2,,,Ccy,Conv)</f>
        <v>0</v>
      </c>
      <c r="E935" s="18">
        <f>_xll.ciqfunctions.udf.CIQ($C$2,"IQ_PENSION_SERVICE_COST_FOREIGN",E$6,$F$2,,,Ccy,Conv)</f>
        <v>0</v>
      </c>
      <c r="F935" s="18">
        <f>_xll.ciqfunctions.udf.CIQ($C$2,"IQ_PENSION_SERVICE_COST_FOREIGN",F$6,$F$2,,,Ccy,Conv)</f>
        <v>177</v>
      </c>
      <c r="G935" s="18">
        <f>_xll.ciqfunctions.udf.CIQ($C$2,"IQ_PENSION_SERVICE_COST_FOREIGN",G$6,$F$2,,,Ccy,Conv)</f>
        <v>0</v>
      </c>
      <c r="H935" s="18">
        <f>_xll.ciqfunctions.udf.CIQ($C$2,"IQ_PENSION_SERVICE_COST_FOREIGN",H$6,$F$2,,,Ccy,Conv)</f>
        <v>0</v>
      </c>
      <c r="I935" s="18">
        <f>_xll.ciqfunctions.udf.CIQ($C$2,"IQ_PENSION_SERVICE_COST_FOREIGN",I$6,$F$2,,,Ccy,Conv)</f>
        <v>0</v>
      </c>
      <c r="J935" s="18">
        <f>_xll.ciqfunctions.udf.CIQ($C$2,"IQ_PENSION_SERVICE_COST_FOREIGN",J$6,$F$2,,,Ccy,Conv)</f>
        <v>170</v>
      </c>
      <c r="K935" s="18">
        <f>_xll.ciqfunctions.udf.CIQ($C$2,"IQ_PENSION_SERVICE_COST_FOREIGN",K$6,$F$2,,,Ccy,Conv)</f>
        <v>0</v>
      </c>
      <c r="L935" s="18">
        <f>_xll.ciqfunctions.udf.CIQ($C$2,"IQ_PENSION_SERVICE_COST_FOREIGN",L$6,$F$2,,,Ccy,Conv)</f>
        <v>0</v>
      </c>
      <c r="M935" s="18">
        <f>_xll.ciqfunctions.udf.CIQ($C$2,"IQ_PENSION_SERVICE_COST_FOREIGN",M$6,$F$2,,,Ccy,Conv)</f>
        <v>0</v>
      </c>
      <c r="N935" s="18">
        <f>_xll.ciqfunctions.udf.CIQ($C$2,"IQ_PENSION_SERVICE_COST_FOREIGN",N$6,$F$2,,,Ccy,Conv)</f>
        <v>174</v>
      </c>
      <c r="O935" s="30"/>
      <c r="P935" s="18">
        <f>_xll.ciqfunctions.udf.CIQ($C$2,"IQ_PENSION_SERVICE_COST_FOREIGN",P$6,$F$2,,,Ccy,Conv)</f>
        <v>174</v>
      </c>
      <c r="Q935" s="215"/>
      <c r="R935" s="215"/>
      <c r="S935" s="215"/>
      <c r="T935" s="215"/>
      <c r="U935" s="215"/>
      <c r="V935" s="222"/>
      <c r="W935" s="222"/>
      <c r="X935" s="222"/>
      <c r="Y935" s="215"/>
      <c r="Z935" s="215"/>
      <c r="AA935" s="215"/>
      <c r="AB935" s="215"/>
      <c r="AC935" s="215"/>
      <c r="AD935" s="215"/>
      <c r="AE935" s="215"/>
      <c r="AF935" s="215"/>
      <c r="AG935" s="215"/>
      <c r="AH935" s="215"/>
      <c r="AI935" s="215"/>
      <c r="AJ935" s="215"/>
      <c r="AK935" s="215"/>
      <c r="AL935" s="215"/>
      <c r="AM935" s="215"/>
      <c r="AN935" s="215"/>
      <c r="AO935" s="215"/>
      <c r="AP935" s="215"/>
      <c r="AQ935" s="215"/>
      <c r="AR935" s="215"/>
      <c r="AS935" s="215"/>
      <c r="AT935" s="215"/>
      <c r="AU935" s="215"/>
      <c r="AV935" s="215"/>
      <c r="AW935" s="215"/>
      <c r="AX935" s="215"/>
      <c r="AY935" s="215"/>
      <c r="AZ935" s="215"/>
      <c r="BA935" s="215"/>
      <c r="BB935" s="215"/>
      <c r="BC935" s="215"/>
      <c r="BD935" s="215"/>
      <c r="BE935" s="215"/>
      <c r="BF935" s="215"/>
      <c r="BG935" s="215"/>
      <c r="BH935" s="215"/>
      <c r="BI935" s="215"/>
      <c r="BJ935" s="215"/>
      <c r="BK935" s="215"/>
      <c r="BL935" s="215"/>
      <c r="BM935" s="215"/>
      <c r="BN935" s="215"/>
      <c r="BO935" s="215"/>
      <c r="BP935" s="215"/>
      <c r="BQ935" s="215"/>
      <c r="BR935" s="215"/>
      <c r="BS935" s="215"/>
      <c r="BT935" s="215"/>
      <c r="BU935" s="215"/>
      <c r="BV935" s="215"/>
      <c r="BW935" s="215"/>
      <c r="BX935" s="215"/>
      <c r="BY935" s="215"/>
      <c r="BZ935" s="215"/>
    </row>
    <row r="936" spans="1:78" outlineLevel="1" x14ac:dyDescent="0.2">
      <c r="A936" s="2" t="str">
        <f>'Language Index'!A496</f>
        <v>Def. Benefit Interest Cost</v>
      </c>
      <c r="B936" s="17"/>
      <c r="C936" s="17"/>
      <c r="D936" s="18">
        <f>_xll.ciqfunctions.udf.CIQ($C$2,"IQ_PENSION_INTEREST_COST_FOREIGN",D$6,$F$2,,,Ccy,Conv)</f>
        <v>0</v>
      </c>
      <c r="E936" s="18">
        <f>_xll.ciqfunctions.udf.CIQ($C$2,"IQ_PENSION_INTEREST_COST_FOREIGN",E$6,$F$2,,,Ccy,Conv)</f>
        <v>0</v>
      </c>
      <c r="F936" s="18">
        <f>_xll.ciqfunctions.udf.CIQ($C$2,"IQ_PENSION_INTEREST_COST_FOREIGN",F$6,$F$2,,,Ccy,Conv)</f>
        <v>1170</v>
      </c>
      <c r="G936" s="18">
        <f>_xll.ciqfunctions.udf.CIQ($C$2,"IQ_PENSION_INTEREST_COST_FOREIGN",G$6,$F$2,,,Ccy,Conv)</f>
        <v>0</v>
      </c>
      <c r="H936" s="18">
        <f>_xll.ciqfunctions.udf.CIQ($C$2,"IQ_PENSION_INTEREST_COST_FOREIGN",H$6,$F$2,,,Ccy,Conv)</f>
        <v>0</v>
      </c>
      <c r="I936" s="18">
        <f>_xll.ciqfunctions.udf.CIQ($C$2,"IQ_PENSION_INTEREST_COST_FOREIGN",I$6,$F$2,,,Ccy,Conv)</f>
        <v>0</v>
      </c>
      <c r="J936" s="18">
        <f>_xll.ciqfunctions.udf.CIQ($C$2,"IQ_PENSION_INTEREST_COST_FOREIGN",J$6,$F$2,,,Ccy,Conv)</f>
        <v>1077</v>
      </c>
      <c r="K936" s="18">
        <f>_xll.ciqfunctions.udf.CIQ($C$2,"IQ_PENSION_INTEREST_COST_FOREIGN",K$6,$F$2,,,Ccy,Conv)</f>
        <v>0</v>
      </c>
      <c r="L936" s="18">
        <f>_xll.ciqfunctions.udf.CIQ($C$2,"IQ_PENSION_INTEREST_COST_FOREIGN",L$6,$F$2,,,Ccy,Conv)</f>
        <v>0</v>
      </c>
      <c r="M936" s="18">
        <f>_xll.ciqfunctions.udf.CIQ($C$2,"IQ_PENSION_INTEREST_COST_FOREIGN",M$6,$F$2,,,Ccy,Conv)</f>
        <v>0</v>
      </c>
      <c r="N936" s="18">
        <f>_xll.ciqfunctions.udf.CIQ($C$2,"IQ_PENSION_INTEREST_COST_FOREIGN",N$6,$F$2,,,Ccy,Conv)</f>
        <v>1070</v>
      </c>
      <c r="O936" s="30"/>
      <c r="P936" s="18">
        <f>_xll.ciqfunctions.udf.CIQ($C$2,"IQ_PENSION_INTEREST_COST_FOREIGN",P$6,$F$2,,,Ccy,Conv)</f>
        <v>1070</v>
      </c>
      <c r="Q936" s="215"/>
      <c r="R936" s="215"/>
      <c r="S936" s="215"/>
      <c r="T936" s="215"/>
      <c r="U936" s="215"/>
      <c r="V936" s="222"/>
      <c r="W936" s="222"/>
      <c r="X936" s="222"/>
      <c r="Y936" s="215"/>
      <c r="Z936" s="215"/>
      <c r="AA936" s="215"/>
      <c r="AB936" s="215"/>
      <c r="AC936" s="215"/>
      <c r="AD936" s="215"/>
      <c r="AE936" s="215"/>
      <c r="AF936" s="215"/>
      <c r="AG936" s="215"/>
      <c r="AH936" s="215"/>
      <c r="AI936" s="215"/>
      <c r="AJ936" s="215"/>
      <c r="AK936" s="215"/>
      <c r="AL936" s="215"/>
      <c r="AM936" s="215"/>
      <c r="AN936" s="215"/>
      <c r="AO936" s="215"/>
      <c r="AP936" s="215"/>
      <c r="AQ936" s="215"/>
      <c r="AR936" s="215"/>
      <c r="AS936" s="215"/>
      <c r="AT936" s="215"/>
      <c r="AU936" s="215"/>
      <c r="AV936" s="215"/>
      <c r="AW936" s="215"/>
      <c r="AX936" s="215"/>
      <c r="AY936" s="215"/>
      <c r="AZ936" s="215"/>
      <c r="BA936" s="215"/>
      <c r="BB936" s="215"/>
      <c r="BC936" s="215"/>
      <c r="BD936" s="215"/>
      <c r="BE936" s="215"/>
      <c r="BF936" s="215"/>
      <c r="BG936" s="215"/>
      <c r="BH936" s="215"/>
      <c r="BI936" s="215"/>
      <c r="BJ936" s="215"/>
      <c r="BK936" s="215"/>
      <c r="BL936" s="215"/>
      <c r="BM936" s="215"/>
      <c r="BN936" s="215"/>
      <c r="BO936" s="215"/>
      <c r="BP936" s="215"/>
      <c r="BQ936" s="215"/>
      <c r="BR936" s="215"/>
      <c r="BS936" s="215"/>
      <c r="BT936" s="215"/>
      <c r="BU936" s="215"/>
      <c r="BV936" s="215"/>
      <c r="BW936" s="215"/>
      <c r="BX936" s="215"/>
      <c r="BY936" s="215"/>
      <c r="BZ936" s="215"/>
    </row>
    <row r="937" spans="1:78" outlineLevel="1" x14ac:dyDescent="0.2">
      <c r="A937" s="2" t="str">
        <f>'Language Index'!A497</f>
        <v>Def. Benefit Return on Assets</v>
      </c>
      <c r="B937" s="17"/>
      <c r="C937" s="17"/>
      <c r="D937" s="18">
        <f>_xll.ciqfunctions.udf.CIQ($C$2,"IQ_PENSION_OBLIGATION_ROA_FOREIGN",D$6,$F$2,,,Ccy,Conv)</f>
        <v>0</v>
      </c>
      <c r="E937" s="18">
        <f>_xll.ciqfunctions.udf.CIQ($C$2,"IQ_PENSION_OBLIGATION_ROA_FOREIGN",E$6,$F$2,,,Ccy,Conv)</f>
        <v>0</v>
      </c>
      <c r="F937" s="18">
        <f>_xll.ciqfunctions.udf.CIQ($C$2,"IQ_PENSION_OBLIGATION_ROA_FOREIGN",F$6,$F$2,,,Ccy,Conv)</f>
        <v>-1440</v>
      </c>
      <c r="G937" s="18">
        <f>_xll.ciqfunctions.udf.CIQ($C$2,"IQ_PENSION_OBLIGATION_ROA_FOREIGN",G$6,$F$2,,,Ccy,Conv)</f>
        <v>0</v>
      </c>
      <c r="H937" s="18">
        <f>_xll.ciqfunctions.udf.CIQ($C$2,"IQ_PENSION_OBLIGATION_ROA_FOREIGN",H$6,$F$2,,,Ccy,Conv)</f>
        <v>0</v>
      </c>
      <c r="I937" s="18">
        <f>_xll.ciqfunctions.udf.CIQ($C$2,"IQ_PENSION_OBLIGATION_ROA_FOREIGN",I$6,$F$2,,,Ccy,Conv)</f>
        <v>0</v>
      </c>
      <c r="J937" s="18">
        <f>_xll.ciqfunctions.udf.CIQ($C$2,"IQ_PENSION_OBLIGATION_ROA_FOREIGN",J$6,$F$2,,,Ccy,Conv)</f>
        <v>-1546</v>
      </c>
      <c r="K937" s="18">
        <f>_xll.ciqfunctions.udf.CIQ($C$2,"IQ_PENSION_OBLIGATION_ROA_FOREIGN",K$6,$F$2,,,Ccy,Conv)</f>
        <v>0</v>
      </c>
      <c r="L937" s="18">
        <f>_xll.ciqfunctions.udf.CIQ($C$2,"IQ_PENSION_OBLIGATION_ROA_FOREIGN",L$6,$F$2,,,Ccy,Conv)</f>
        <v>0</v>
      </c>
      <c r="M937" s="18">
        <f>_xll.ciqfunctions.udf.CIQ($C$2,"IQ_PENSION_OBLIGATION_ROA_FOREIGN",M$6,$F$2,,,Ccy,Conv)</f>
        <v>0</v>
      </c>
      <c r="N937" s="18">
        <f>_xll.ciqfunctions.udf.CIQ($C$2,"IQ_PENSION_OBLIGATION_ROA_FOREIGN",N$6,$F$2,,,Ccy,Conv)</f>
        <v>-1467</v>
      </c>
      <c r="O937" s="30"/>
      <c r="P937" s="18">
        <f>_xll.ciqfunctions.udf.CIQ($C$2,"IQ_PENSION_OBLIGATION_ROA_FOREIGN",P$6,$F$2,,,Ccy,Conv)</f>
        <v>-1467</v>
      </c>
      <c r="Q937" s="215"/>
      <c r="R937" s="215"/>
      <c r="S937" s="215"/>
      <c r="T937" s="215"/>
      <c r="U937" s="215"/>
      <c r="V937" s="222"/>
      <c r="W937" s="222"/>
      <c r="X937" s="222"/>
      <c r="Y937" s="215"/>
      <c r="Z937" s="215"/>
      <c r="AA937" s="215"/>
      <c r="AB937" s="215"/>
      <c r="AC937" s="215"/>
      <c r="AD937" s="215"/>
      <c r="AE937" s="215"/>
      <c r="AF937" s="215"/>
      <c r="AG937" s="215"/>
      <c r="AH937" s="215"/>
      <c r="AI937" s="215"/>
      <c r="AJ937" s="215"/>
      <c r="AK937" s="215"/>
      <c r="AL937" s="215"/>
      <c r="AM937" s="215"/>
      <c r="AN937" s="215"/>
      <c r="AO937" s="215"/>
      <c r="AP937" s="215"/>
      <c r="AQ937" s="215"/>
      <c r="AR937" s="215"/>
      <c r="AS937" s="215"/>
      <c r="AT937" s="215"/>
      <c r="AU937" s="215"/>
      <c r="AV937" s="215"/>
      <c r="AW937" s="215"/>
      <c r="AX937" s="215"/>
      <c r="AY937" s="215"/>
      <c r="AZ937" s="215"/>
      <c r="BA937" s="215"/>
      <c r="BB937" s="215"/>
      <c r="BC937" s="215"/>
      <c r="BD937" s="215"/>
      <c r="BE937" s="215"/>
      <c r="BF937" s="215"/>
      <c r="BG937" s="215"/>
      <c r="BH937" s="215"/>
      <c r="BI937" s="215"/>
      <c r="BJ937" s="215"/>
      <c r="BK937" s="215"/>
      <c r="BL937" s="215"/>
      <c r="BM937" s="215"/>
      <c r="BN937" s="215"/>
      <c r="BO937" s="215"/>
      <c r="BP937" s="215"/>
      <c r="BQ937" s="215"/>
      <c r="BR937" s="215"/>
      <c r="BS937" s="215"/>
      <c r="BT937" s="215"/>
      <c r="BU937" s="215"/>
      <c r="BV937" s="215"/>
      <c r="BW937" s="215"/>
      <c r="BX937" s="215"/>
      <c r="BY937" s="215"/>
      <c r="BZ937" s="215"/>
    </row>
    <row r="938" spans="1:78" outlineLevel="1" x14ac:dyDescent="0.2">
      <c r="A938" s="2" t="str">
        <f>'Language Index'!A498</f>
        <v>Def. Benefit Other Cost</v>
      </c>
      <c r="B938" s="17"/>
      <c r="C938" s="17"/>
      <c r="D938" s="18">
        <f>_xll.ciqfunctions.udf.CIQ($C$2,"IQ_PENSION_OBLIGATION_OTHER_COST_FOREIGN",D$6,$F$2,,,Ccy,Conv)</f>
        <v>0</v>
      </c>
      <c r="E938" s="18">
        <f>_xll.ciqfunctions.udf.CIQ($C$2,"IQ_PENSION_OBLIGATION_OTHER_COST_FOREIGN",E$6,$F$2,,,Ccy,Conv)</f>
        <v>0</v>
      </c>
      <c r="F938" s="18">
        <f>_xll.ciqfunctions.udf.CIQ($C$2,"IQ_PENSION_OBLIGATION_OTHER_COST_FOREIGN",F$6,$F$2,,,Ccy,Conv)</f>
        <v>453</v>
      </c>
      <c r="G938" s="18">
        <f>_xll.ciqfunctions.udf.CIQ($C$2,"IQ_PENSION_OBLIGATION_OTHER_COST_FOREIGN",G$6,$F$2,,,Ccy,Conv)</f>
        <v>0</v>
      </c>
      <c r="H938" s="18">
        <f>_xll.ciqfunctions.udf.CIQ($C$2,"IQ_PENSION_OBLIGATION_OTHER_COST_FOREIGN",H$6,$F$2,,,Ccy,Conv)</f>
        <v>0</v>
      </c>
      <c r="I938" s="18">
        <f>_xll.ciqfunctions.udf.CIQ($C$2,"IQ_PENSION_OBLIGATION_OTHER_COST_FOREIGN",I$6,$F$2,,,Ccy,Conv)</f>
        <v>0</v>
      </c>
      <c r="J938" s="18">
        <f>_xll.ciqfunctions.udf.CIQ($C$2,"IQ_PENSION_OBLIGATION_OTHER_COST_FOREIGN",J$6,$F$2,,,Ccy,Conv)</f>
        <v>952</v>
      </c>
      <c r="K938" s="18">
        <f>_xll.ciqfunctions.udf.CIQ($C$2,"IQ_PENSION_OBLIGATION_OTHER_COST_FOREIGN",K$6,$F$2,,,Ccy,Conv)</f>
        <v>0</v>
      </c>
      <c r="L938" s="18">
        <f>_xll.ciqfunctions.udf.CIQ($C$2,"IQ_PENSION_OBLIGATION_OTHER_COST_FOREIGN",L$6,$F$2,,,Ccy,Conv)</f>
        <v>0</v>
      </c>
      <c r="M938" s="18">
        <f>_xll.ciqfunctions.udf.CIQ($C$2,"IQ_PENSION_OBLIGATION_OTHER_COST_FOREIGN",M$6,$F$2,,,Ccy,Conv)</f>
        <v>0</v>
      </c>
      <c r="N938" s="18">
        <f>_xll.ciqfunctions.udf.CIQ($C$2,"IQ_PENSION_OBLIGATION_OTHER_COST_FOREIGN",N$6,$F$2,,,Ccy,Conv)</f>
        <v>392</v>
      </c>
      <c r="O938" s="30"/>
      <c r="P938" s="18">
        <f>_xll.ciqfunctions.udf.CIQ($C$2,"IQ_PENSION_OBLIGATION_OTHER_COST_FOREIGN",P$6,$F$2,,,Ccy,Conv)</f>
        <v>392</v>
      </c>
      <c r="Q938" s="215"/>
      <c r="R938" s="215"/>
      <c r="S938" s="215"/>
      <c r="T938" s="215"/>
      <c r="U938" s="215"/>
      <c r="V938" s="222"/>
      <c r="W938" s="222"/>
      <c r="X938" s="222"/>
      <c r="Y938" s="215"/>
      <c r="Z938" s="215"/>
      <c r="AA938" s="215"/>
      <c r="AB938" s="215"/>
      <c r="AC938" s="215"/>
      <c r="AD938" s="215"/>
      <c r="AE938" s="215"/>
      <c r="AF938" s="215"/>
      <c r="AG938" s="215"/>
      <c r="AH938" s="215"/>
      <c r="AI938" s="215"/>
      <c r="AJ938" s="215"/>
      <c r="AK938" s="215"/>
      <c r="AL938" s="215"/>
      <c r="AM938" s="215"/>
      <c r="AN938" s="215"/>
      <c r="AO938" s="215"/>
      <c r="AP938" s="215"/>
      <c r="AQ938" s="215"/>
      <c r="AR938" s="215"/>
      <c r="AS938" s="215"/>
      <c r="AT938" s="215"/>
      <c r="AU938" s="215"/>
      <c r="AV938" s="215"/>
      <c r="AW938" s="215"/>
      <c r="AX938" s="215"/>
      <c r="AY938" s="215"/>
      <c r="AZ938" s="215"/>
      <c r="BA938" s="215"/>
      <c r="BB938" s="215"/>
      <c r="BC938" s="215"/>
      <c r="BD938" s="215"/>
      <c r="BE938" s="215"/>
      <c r="BF938" s="215"/>
      <c r="BG938" s="215"/>
      <c r="BH938" s="215"/>
      <c r="BI938" s="215"/>
      <c r="BJ938" s="215"/>
      <c r="BK938" s="215"/>
      <c r="BL938" s="215"/>
      <c r="BM938" s="215"/>
      <c r="BN938" s="215"/>
      <c r="BO938" s="215"/>
      <c r="BP938" s="215"/>
      <c r="BQ938" s="215"/>
      <c r="BR938" s="215"/>
      <c r="BS938" s="215"/>
      <c r="BT938" s="215"/>
      <c r="BU938" s="215"/>
      <c r="BV938" s="215"/>
      <c r="BW938" s="215"/>
      <c r="BX938" s="215"/>
      <c r="BY938" s="215"/>
      <c r="BZ938" s="215"/>
    </row>
    <row r="939" spans="1:78" outlineLevel="1" x14ac:dyDescent="0.2">
      <c r="A939" s="2" t="str">
        <f>'Language Index'!A499</f>
        <v>Def. Benefit Total Cost</v>
      </c>
      <c r="B939" s="17"/>
      <c r="C939" s="17"/>
      <c r="D939" s="18">
        <f>_xll.ciqfunctions.udf.CIQ($C$2,"IQ_PENSION_OBLIGATION_TOTAL_COST_FOREIGN",D$6,$F$2,,,Ccy,Conv)</f>
        <v>0</v>
      </c>
      <c r="E939" s="18">
        <f>_xll.ciqfunctions.udf.CIQ($C$2,"IQ_PENSION_OBLIGATION_TOTAL_COST_FOREIGN",E$6,$F$2,,,Ccy,Conv)</f>
        <v>0</v>
      </c>
      <c r="F939" s="18">
        <f>_xll.ciqfunctions.udf.CIQ($C$2,"IQ_PENSION_OBLIGATION_TOTAL_COST_FOREIGN",F$6,$F$2,,,Ccy,Conv)</f>
        <v>359</v>
      </c>
      <c r="G939" s="18">
        <f>_xll.ciqfunctions.udf.CIQ($C$2,"IQ_PENSION_OBLIGATION_TOTAL_COST_FOREIGN",G$6,$F$2,,,Ccy,Conv)</f>
        <v>0</v>
      </c>
      <c r="H939" s="18">
        <f>_xll.ciqfunctions.udf.CIQ($C$2,"IQ_PENSION_OBLIGATION_TOTAL_COST_FOREIGN",H$6,$F$2,,,Ccy,Conv)</f>
        <v>0</v>
      </c>
      <c r="I939" s="18">
        <f>_xll.ciqfunctions.udf.CIQ($C$2,"IQ_PENSION_OBLIGATION_TOTAL_COST_FOREIGN",I$6,$F$2,,,Ccy,Conv)</f>
        <v>0</v>
      </c>
      <c r="J939" s="18">
        <f>_xll.ciqfunctions.udf.CIQ($C$2,"IQ_PENSION_OBLIGATION_TOTAL_COST_FOREIGN",J$6,$F$2,,,Ccy,Conv)</f>
        <v>652</v>
      </c>
      <c r="K939" s="18">
        <f>_xll.ciqfunctions.udf.CIQ($C$2,"IQ_PENSION_OBLIGATION_TOTAL_COST_FOREIGN",K$6,$F$2,,,Ccy,Conv)</f>
        <v>0</v>
      </c>
      <c r="L939" s="18">
        <f>_xll.ciqfunctions.udf.CIQ($C$2,"IQ_PENSION_OBLIGATION_TOTAL_COST_FOREIGN",L$6,$F$2,,,Ccy,Conv)</f>
        <v>0</v>
      </c>
      <c r="M939" s="18">
        <f>_xll.ciqfunctions.udf.CIQ($C$2,"IQ_PENSION_OBLIGATION_TOTAL_COST_FOREIGN",M$6,$F$2,,,Ccy,Conv)</f>
        <v>0</v>
      </c>
      <c r="N939" s="18">
        <f>_xll.ciqfunctions.udf.CIQ($C$2,"IQ_PENSION_OBLIGATION_TOTAL_COST_FOREIGN",N$6,$F$2,,,Ccy,Conv)</f>
        <v>170</v>
      </c>
      <c r="O939" s="30"/>
      <c r="P939" s="18">
        <f>_xll.ciqfunctions.udf.CIQ($C$2,"IQ_PENSION_OBLIGATION_TOTAL_COST_FOREIGN",P$6,$F$2,,,Ccy,Conv)</f>
        <v>170</v>
      </c>
      <c r="Q939" s="215"/>
      <c r="R939" s="215"/>
      <c r="S939" s="215"/>
      <c r="T939" s="215"/>
      <c r="U939" s="215"/>
      <c r="V939" s="222"/>
      <c r="W939" s="222"/>
      <c r="X939" s="222"/>
      <c r="Y939" s="215"/>
      <c r="Z939" s="215"/>
      <c r="AA939" s="215"/>
      <c r="AB939" s="215"/>
      <c r="AC939" s="215"/>
      <c r="AD939" s="215"/>
      <c r="AE939" s="215"/>
      <c r="AF939" s="215"/>
      <c r="AG939" s="215"/>
      <c r="AH939" s="215"/>
      <c r="AI939" s="215"/>
      <c r="AJ939" s="215"/>
      <c r="AK939" s="215"/>
      <c r="AL939" s="215"/>
      <c r="AM939" s="215"/>
      <c r="AN939" s="215"/>
      <c r="AO939" s="215"/>
      <c r="AP939" s="215"/>
      <c r="AQ939" s="215"/>
      <c r="AR939" s="215"/>
      <c r="AS939" s="215"/>
      <c r="AT939" s="215"/>
      <c r="AU939" s="215"/>
      <c r="AV939" s="215"/>
      <c r="AW939" s="215"/>
      <c r="AX939" s="215"/>
      <c r="AY939" s="215"/>
      <c r="AZ939" s="215"/>
      <c r="BA939" s="215"/>
      <c r="BB939" s="215"/>
      <c r="BC939" s="215"/>
      <c r="BD939" s="215"/>
      <c r="BE939" s="215"/>
      <c r="BF939" s="215"/>
      <c r="BG939" s="215"/>
      <c r="BH939" s="215"/>
      <c r="BI939" s="215"/>
      <c r="BJ939" s="215"/>
      <c r="BK939" s="215"/>
      <c r="BL939" s="215"/>
      <c r="BM939" s="215"/>
      <c r="BN939" s="215"/>
      <c r="BO939" s="215"/>
      <c r="BP939" s="215"/>
      <c r="BQ939" s="215"/>
      <c r="BR939" s="215"/>
      <c r="BS939" s="215"/>
      <c r="BT939" s="215"/>
      <c r="BU939" s="215"/>
      <c r="BV939" s="215"/>
      <c r="BW939" s="215"/>
      <c r="BX939" s="215"/>
      <c r="BY939" s="215"/>
      <c r="BZ939" s="215"/>
    </row>
    <row r="940" spans="1:78" outlineLevel="1" x14ac:dyDescent="0.2">
      <c r="A940" s="2" t="str">
        <f>'Language Index'!A500</f>
        <v>Def. Benefit Total Cost of Supple Plans</v>
      </c>
      <c r="B940" s="17"/>
      <c r="C940" s="17"/>
      <c r="D940" s="18">
        <f>_xll.ciqfunctions.udf.CIQ($C$2,"IQ_PENSION_OBLIGATION_SUPPLE_PLANS_TOTAL_COST_FOREIGN",D$6,$F$2,,,Ccy,Conv)</f>
        <v>0</v>
      </c>
      <c r="E940" s="18">
        <f>_xll.ciqfunctions.udf.CIQ($C$2,"IQ_PENSION_OBLIGATION_SUPPLE_PLANS_TOTAL_COST_DOM",E$6,$F$2,,,Ccy,Conv)</f>
        <v>0</v>
      </c>
      <c r="F940" s="18">
        <f>_xll.ciqfunctions.udf.CIQ($C$2,"IQ_PENSION_OBLIGATION_SUPPLE_PLANS_TOTAL_COST_DOM",F$6,$F$2,,,Ccy,Conv)</f>
        <v>0</v>
      </c>
      <c r="G940" s="18">
        <f>_xll.ciqfunctions.udf.CIQ($C$2,"IQ_PENSION_OBLIGATION_SUPPLE_PLANS_TOTAL_COST_DOM",G$6,$F$2,,,Ccy,Conv)</f>
        <v>0</v>
      </c>
      <c r="H940" s="18">
        <f>_xll.ciqfunctions.udf.CIQ($C$2,"IQ_PENSION_OBLIGATION_SUPPLE_PLANS_TOTAL_COST_DOM",H$6,$F$2,,,Ccy,Conv)</f>
        <v>0</v>
      </c>
      <c r="I940" s="18">
        <f>_xll.ciqfunctions.udf.CIQ($C$2,"IQ_PENSION_OBLIGATION_SUPPLE_PLANS_TOTAL_COST_DOM",I$6,$F$2,,,Ccy,Conv)</f>
        <v>0</v>
      </c>
      <c r="J940" s="18">
        <f>_xll.ciqfunctions.udf.CIQ($C$2,"IQ_PENSION_OBLIGATION_SUPPLE_PLANS_TOTAL_COST_DOM",J$6,$F$2,,,Ccy,Conv)</f>
        <v>0</v>
      </c>
      <c r="K940" s="18">
        <f>_xll.ciqfunctions.udf.CIQ($C$2,"IQ_PENSION_OBLIGATION_SUPPLE_PLANS_TOTAL_COST_DOM",K$6,$F$2,,,Ccy,Conv)</f>
        <v>0</v>
      </c>
      <c r="L940" s="18">
        <f>_xll.ciqfunctions.udf.CIQ($C$2,"IQ_PENSION_OBLIGATION_SUPPLE_PLANS_TOTAL_COST_DOM",L$6,$F$2,,,Ccy,Conv)</f>
        <v>0</v>
      </c>
      <c r="M940" s="18">
        <f>_xll.ciqfunctions.udf.CIQ($C$2,"IQ_PENSION_OBLIGATION_SUPPLE_PLANS_TOTAL_COST_DOM",M$6,$F$2,,,Ccy,Conv)</f>
        <v>0</v>
      </c>
      <c r="N940" s="18">
        <f>_xll.ciqfunctions.udf.CIQ($C$2,"IQ_PENSION_OBLIGATION_SUPPLE_PLANS_TOTAL_COST_DOM",N$6,$F$2,,,Ccy,Conv)</f>
        <v>0</v>
      </c>
      <c r="O940" s="30"/>
      <c r="P940" s="18">
        <f>_xll.ciqfunctions.udf.CIQ($C$2,"IQ_PENSION_OBLIGATION_SUPPLE_PLANS_TOTAL_COST_DOM",P$6,$F$2,,,Ccy,Conv)</f>
        <v>0</v>
      </c>
      <c r="Q940" s="215"/>
      <c r="R940" s="215"/>
      <c r="S940" s="215"/>
      <c r="T940" s="215"/>
      <c r="U940" s="215"/>
      <c r="V940" s="222"/>
      <c r="W940" s="222"/>
      <c r="X940" s="222"/>
      <c r="Y940" s="215"/>
      <c r="Z940" s="215"/>
      <c r="AA940" s="215"/>
      <c r="AB940" s="215"/>
      <c r="AC940" s="215"/>
      <c r="AD940" s="215"/>
      <c r="AE940" s="215"/>
      <c r="AF940" s="215"/>
      <c r="AG940" s="215"/>
      <c r="AH940" s="215"/>
      <c r="AI940" s="215"/>
      <c r="AJ940" s="215"/>
      <c r="AK940" s="215"/>
      <c r="AL940" s="215"/>
      <c r="AM940" s="215"/>
      <c r="AN940" s="215"/>
      <c r="AO940" s="215"/>
      <c r="AP940" s="215"/>
      <c r="AQ940" s="215"/>
      <c r="AR940" s="215"/>
      <c r="AS940" s="215"/>
      <c r="AT940" s="215"/>
      <c r="AU940" s="215"/>
      <c r="AV940" s="215"/>
      <c r="AW940" s="215"/>
      <c r="AX940" s="215"/>
      <c r="AY940" s="215"/>
      <c r="AZ940" s="215"/>
      <c r="BA940" s="215"/>
      <c r="BB940" s="215"/>
      <c r="BC940" s="215"/>
      <c r="BD940" s="215"/>
      <c r="BE940" s="215"/>
      <c r="BF940" s="215"/>
      <c r="BG940" s="215"/>
      <c r="BH940" s="215"/>
      <c r="BI940" s="215"/>
      <c r="BJ940" s="215"/>
      <c r="BK940" s="215"/>
      <c r="BL940" s="215"/>
      <c r="BM940" s="215"/>
      <c r="BN940" s="215"/>
      <c r="BO940" s="215"/>
      <c r="BP940" s="215"/>
      <c r="BQ940" s="215"/>
      <c r="BR940" s="215"/>
      <c r="BS940" s="215"/>
      <c r="BT940" s="215"/>
      <c r="BU940" s="215"/>
      <c r="BV940" s="215"/>
      <c r="BW940" s="215"/>
      <c r="BX940" s="215"/>
      <c r="BY940" s="215"/>
      <c r="BZ940" s="215"/>
    </row>
    <row r="941" spans="1:78" outlineLevel="1" x14ac:dyDescent="0.2">
      <c r="A941" s="2" t="str">
        <f>'Language Index'!A599</f>
        <v>Def. Benefit Total Cost Incl. Supple Plans</v>
      </c>
      <c r="B941" s="17"/>
      <c r="C941" s="17"/>
      <c r="D941" s="18">
        <f>_xll.ciqfunctions.udf.CIQ($C$2,"IQ_PENSION_OBLIGATION_TOTAL_COST_INCL_SUPPLE_PLANS_FOREIGN",D$6,$F$2,,,Ccy,Conv)</f>
        <v>0</v>
      </c>
      <c r="E941" s="18">
        <f>_xll.ciqfunctions.udf.CIQ($C$2,"IQ_PENSION_OBLIGATION_TOTAL_COST_INCL_SUPPLE_PLANS_FOREIGN",E$6,$F$2,,,Ccy,Conv)</f>
        <v>0</v>
      </c>
      <c r="F941" s="18">
        <f>_xll.ciqfunctions.udf.CIQ($C$2,"IQ_PENSION_OBLIGATION_TOTAL_COST_INCL_SUPPLE_PLANS_FOREIGN",F$6,$F$2,,,Ccy,Conv)</f>
        <v>0</v>
      </c>
      <c r="G941" s="18">
        <f>_xll.ciqfunctions.udf.CIQ($C$2,"IQ_PENSION_OBLIGATION_TOTAL_COST_INCL_SUPPLE_PLANS_FOREIGN",G$6,$F$2,,,Ccy,Conv)</f>
        <v>0</v>
      </c>
      <c r="H941" s="18">
        <f>_xll.ciqfunctions.udf.CIQ($C$2,"IQ_PENSION_OBLIGATION_TOTAL_COST_INCL_SUPPLE_PLANS_FOREIGN",H$6,$F$2,,,Ccy,Conv)</f>
        <v>0</v>
      </c>
      <c r="I941" s="18">
        <f>_xll.ciqfunctions.udf.CIQ($C$2,"IQ_PENSION_OBLIGATION_TOTAL_COST_INCL_SUPPLE_PLANS_FOREIGN",I$6,$F$2,,,Ccy,Conv)</f>
        <v>0</v>
      </c>
      <c r="J941" s="18">
        <f>_xll.ciqfunctions.udf.CIQ($C$2,"IQ_PENSION_OBLIGATION_TOTAL_COST_INCL_SUPPLE_PLANS_FOREIGN",J$6,$F$2,,,Ccy,Conv)</f>
        <v>0</v>
      </c>
      <c r="K941" s="18">
        <f>_xll.ciqfunctions.udf.CIQ($C$2,"IQ_PENSION_OBLIGATION_TOTAL_COST_INCL_SUPPLE_PLANS_FOREIGN",K$6,$F$2,,,Ccy,Conv)</f>
        <v>0</v>
      </c>
      <c r="L941" s="18">
        <f>_xll.ciqfunctions.udf.CIQ($C$2,"IQ_PENSION_OBLIGATION_TOTAL_COST_INCL_SUPPLE_PLANS_FOREIGN",L$6,$F$2,,,Ccy,Conv)</f>
        <v>0</v>
      </c>
      <c r="M941" s="18">
        <f>_xll.ciqfunctions.udf.CIQ($C$2,"IQ_PENSION_OBLIGATION_TOTAL_COST_INCL_SUPPLE_PLANS_FOREIGN",M$6,$F$2,,,Ccy,Conv)</f>
        <v>0</v>
      </c>
      <c r="N941" s="18">
        <f>_xll.ciqfunctions.udf.CIQ($C$2,"IQ_PENSION_OBLIGATION_TOTAL_COST_INCL_SUPPLE_PLANS_FOREIGN",N$6,$F$2,,,Ccy,Conv)</f>
        <v>0</v>
      </c>
      <c r="O941" s="30"/>
      <c r="P941" s="18">
        <f>_xll.ciqfunctions.udf.CIQ($C$2,"IQ_PENSION_OBLIGATION_TOTAL_COST_INCL_SUPPLE_PLANS_FOREIGN",P$6,$F$2,,,Ccy,Conv)</f>
        <v>0</v>
      </c>
      <c r="Q941" s="215"/>
      <c r="R941" s="215"/>
      <c r="S941" s="215"/>
      <c r="T941" s="215"/>
      <c r="U941" s="215"/>
      <c r="V941" s="222"/>
      <c r="W941" s="222"/>
      <c r="X941" s="222"/>
      <c r="Y941" s="215"/>
      <c r="Z941" s="215"/>
      <c r="AA941" s="215"/>
      <c r="AB941" s="215"/>
      <c r="AC941" s="215"/>
      <c r="AD941" s="215"/>
      <c r="AE941" s="215"/>
      <c r="AF941" s="215"/>
      <c r="AG941" s="215"/>
      <c r="AH941" s="215"/>
      <c r="AI941" s="215"/>
      <c r="AJ941" s="215"/>
      <c r="AK941" s="215"/>
      <c r="AL941" s="215"/>
      <c r="AM941" s="215"/>
      <c r="AN941" s="215"/>
      <c r="AO941" s="215"/>
      <c r="AP941" s="215"/>
      <c r="AQ941" s="215"/>
      <c r="AR941" s="215"/>
      <c r="AS941" s="215"/>
      <c r="AT941" s="215"/>
      <c r="AU941" s="215"/>
      <c r="AV941" s="215"/>
      <c r="AW941" s="215"/>
      <c r="AX941" s="215"/>
      <c r="AY941" s="215"/>
      <c r="AZ941" s="215"/>
      <c r="BA941" s="215"/>
      <c r="BB941" s="215"/>
      <c r="BC941" s="215"/>
      <c r="BD941" s="215"/>
      <c r="BE941" s="215"/>
      <c r="BF941" s="215"/>
      <c r="BG941" s="215"/>
      <c r="BH941" s="215"/>
      <c r="BI941" s="215"/>
      <c r="BJ941" s="215"/>
      <c r="BK941" s="215"/>
      <c r="BL941" s="215"/>
      <c r="BM941" s="215"/>
      <c r="BN941" s="215"/>
      <c r="BO941" s="215"/>
      <c r="BP941" s="215"/>
      <c r="BQ941" s="215"/>
      <c r="BR941" s="215"/>
      <c r="BS941" s="215"/>
      <c r="BT941" s="215"/>
      <c r="BU941" s="215"/>
      <c r="BV941" s="215"/>
      <c r="BW941" s="215"/>
      <c r="BX941" s="215"/>
      <c r="BY941" s="215"/>
      <c r="BZ941" s="215"/>
    </row>
    <row r="942" spans="1:78" outlineLevel="1" x14ac:dyDescent="0.2">
      <c r="A942" s="9" t="str">
        <f>'Language Index'!A503</f>
        <v>Defined Benefit Obligation</v>
      </c>
      <c r="B942" s="17"/>
      <c r="C942" s="17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30"/>
      <c r="P942" s="18"/>
      <c r="Q942" s="215"/>
      <c r="R942" s="215"/>
      <c r="S942" s="215"/>
      <c r="T942" s="215"/>
      <c r="U942" s="215"/>
      <c r="V942" s="222"/>
      <c r="W942" s="222"/>
      <c r="X942" s="222"/>
      <c r="Y942" s="215"/>
      <c r="Z942" s="215"/>
      <c r="AA942" s="215"/>
      <c r="AB942" s="215"/>
      <c r="AC942" s="215"/>
      <c r="AD942" s="215"/>
      <c r="AE942" s="215"/>
      <c r="AF942" s="215"/>
      <c r="AG942" s="215"/>
      <c r="AH942" s="215"/>
      <c r="AI942" s="215"/>
      <c r="AJ942" s="215"/>
      <c r="AK942" s="215"/>
      <c r="AL942" s="215"/>
      <c r="AM942" s="215"/>
      <c r="AN942" s="215"/>
      <c r="AO942" s="215"/>
      <c r="AP942" s="215"/>
      <c r="AQ942" s="215"/>
      <c r="AR942" s="215"/>
      <c r="AS942" s="215"/>
      <c r="AT942" s="215"/>
      <c r="AU942" s="215"/>
      <c r="AV942" s="215"/>
      <c r="AW942" s="215"/>
      <c r="AX942" s="215"/>
      <c r="AY942" s="215"/>
      <c r="AZ942" s="215"/>
      <c r="BA942" s="215"/>
      <c r="BB942" s="215"/>
      <c r="BC942" s="215"/>
      <c r="BD942" s="215"/>
      <c r="BE942" s="215"/>
      <c r="BF942" s="215"/>
      <c r="BG942" s="215"/>
      <c r="BH942" s="215"/>
      <c r="BI942" s="215"/>
      <c r="BJ942" s="215"/>
      <c r="BK942" s="215"/>
      <c r="BL942" s="215"/>
      <c r="BM942" s="215"/>
      <c r="BN942" s="215"/>
      <c r="BO942" s="215"/>
      <c r="BP942" s="215"/>
      <c r="BQ942" s="215"/>
      <c r="BR942" s="215"/>
      <c r="BS942" s="215"/>
      <c r="BT942" s="215"/>
      <c r="BU942" s="215"/>
      <c r="BV942" s="215"/>
      <c r="BW942" s="215"/>
      <c r="BX942" s="215"/>
      <c r="BY942" s="215"/>
      <c r="BZ942" s="215"/>
    </row>
    <row r="943" spans="1:78" outlineLevel="1" x14ac:dyDescent="0.2">
      <c r="A943" s="215" t="str">
        <f>'Language Index'!A504</f>
        <v>Beg. Def. Benefit Obligation</v>
      </c>
      <c r="B943" s="17"/>
      <c r="C943" s="17"/>
      <c r="D943" s="18">
        <f>_xll.ciqfunctions.udf.CIQ($C$2,"IQ_PENSION_OBLIGATION_BEG_FOREIGN",D$6,$F$2,,,Ccy,Conv)</f>
        <v>0</v>
      </c>
      <c r="E943" s="18">
        <f>_xll.ciqfunctions.udf.CIQ($C$2,"IQ_PENSION_OBLIGATION_BEG_FOREIGN",E$6,$F$2,,,Ccy,Conv)</f>
        <v>0</v>
      </c>
      <c r="F943" s="18">
        <f>_xll.ciqfunctions.udf.CIQ($C$2,"IQ_PENSION_OBLIGATION_BEG_FOREIGN",F$6,$F$2,,,Ccy,Conv)</f>
        <v>31261</v>
      </c>
      <c r="G943" s="18">
        <f>_xll.ciqfunctions.udf.CIQ($C$2,"IQ_PENSION_OBLIGATION_BEG_FOREIGN",G$6,$F$2,,,Ccy,Conv)</f>
        <v>0</v>
      </c>
      <c r="H943" s="18">
        <f>_xll.ciqfunctions.udf.CIQ($C$2,"IQ_PENSION_OBLIGATION_BEG_FOREIGN",H$6,$F$2,,,Ccy,Conv)</f>
        <v>0</v>
      </c>
      <c r="I943" s="18">
        <f>_xll.ciqfunctions.udf.CIQ($C$2,"IQ_PENSION_OBLIGATION_BEG_FOREIGN",I$6,$F$2,,,Ccy,Conv)</f>
        <v>0</v>
      </c>
      <c r="J943" s="18">
        <f>_xll.ciqfunctions.udf.CIQ($C$2,"IQ_PENSION_OBLIGATION_BEG_FOREIGN",J$6,$F$2,,,Ccy,Conv)</f>
        <v>33479</v>
      </c>
      <c r="K943" s="18">
        <f>_xll.ciqfunctions.udf.CIQ($C$2,"IQ_PENSION_OBLIGATION_BEG_FOREIGN",K$6,$F$2,,,Ccy,Conv)</f>
        <v>0</v>
      </c>
      <c r="L943" s="18">
        <f>_xll.ciqfunctions.udf.CIQ($C$2,"IQ_PENSION_OBLIGATION_BEG_FOREIGN",L$6,$F$2,,,Ccy,Conv)</f>
        <v>0</v>
      </c>
      <c r="M943" s="18">
        <f>_xll.ciqfunctions.udf.CIQ($C$2,"IQ_PENSION_OBLIGATION_BEG_FOREIGN",M$6,$F$2,,,Ccy,Conv)</f>
        <v>0</v>
      </c>
      <c r="N943" s="18">
        <f>_xll.ciqfunctions.udf.CIQ($C$2,"IQ_PENSION_OBLIGATION_BEG_FOREIGN",N$6,$F$2,,,Ccy,Conv)</f>
        <v>28490</v>
      </c>
      <c r="O943" s="30"/>
      <c r="P943" s="18">
        <f>_xll.ciqfunctions.udf.CIQ($C$2,"IQ_PENSION_OBLIGATION_BEG_FOREIGN",P$6,$F$2,,,Ccy,Conv)</f>
        <v>28490</v>
      </c>
      <c r="Q943" s="215"/>
      <c r="R943" s="215"/>
      <c r="S943" s="215"/>
      <c r="T943" s="215"/>
      <c r="U943" s="215"/>
      <c r="V943" s="222"/>
      <c r="W943" s="222"/>
      <c r="X943" s="222"/>
      <c r="Y943" s="215"/>
      <c r="Z943" s="215"/>
      <c r="AA943" s="215"/>
      <c r="AB943" s="215"/>
      <c r="AC943" s="215"/>
      <c r="AD943" s="215"/>
      <c r="AE943" s="215"/>
      <c r="AF943" s="215"/>
      <c r="AG943" s="215"/>
      <c r="AH943" s="215"/>
      <c r="AI943" s="215"/>
      <c r="AJ943" s="215"/>
      <c r="AK943" s="215"/>
      <c r="AL943" s="215"/>
      <c r="AM943" s="215"/>
      <c r="AN943" s="215"/>
      <c r="AO943" s="215"/>
      <c r="AP943" s="215"/>
      <c r="AQ943" s="215"/>
      <c r="AR943" s="215"/>
      <c r="AS943" s="215"/>
      <c r="AT943" s="215"/>
      <c r="AU943" s="215"/>
      <c r="AV943" s="215"/>
      <c r="AW943" s="215"/>
      <c r="AX943" s="215"/>
      <c r="AY943" s="215"/>
      <c r="AZ943" s="215"/>
      <c r="BA943" s="215"/>
      <c r="BB943" s="215"/>
      <c r="BC943" s="215"/>
      <c r="BD943" s="215"/>
      <c r="BE943" s="215"/>
      <c r="BF943" s="215"/>
      <c r="BG943" s="215"/>
      <c r="BH943" s="215"/>
      <c r="BI943" s="215"/>
      <c r="BJ943" s="215"/>
      <c r="BK943" s="215"/>
      <c r="BL943" s="215"/>
      <c r="BM943" s="215"/>
      <c r="BN943" s="215"/>
      <c r="BO943" s="215"/>
      <c r="BP943" s="215"/>
      <c r="BQ943" s="215"/>
      <c r="BR943" s="215"/>
      <c r="BS943" s="215"/>
      <c r="BT943" s="215"/>
      <c r="BU943" s="215"/>
      <c r="BV943" s="215"/>
      <c r="BW943" s="215"/>
      <c r="BX943" s="215"/>
      <c r="BY943" s="215"/>
      <c r="BZ943" s="215"/>
    </row>
    <row r="944" spans="1:78" outlineLevel="1" x14ac:dyDescent="0.2">
      <c r="A944" s="215" t="str">
        <f>'Language Index'!A495</f>
        <v>Def. Benefit Service Cost</v>
      </c>
      <c r="B944" s="17"/>
      <c r="C944" s="17"/>
      <c r="D944" s="18">
        <f>_xll.ciqfunctions.udf.CIQ($C$2,"IQ_PENSION_OBLIGATION_SERVICE_COST_FOREIGN",D$6,$F$2,,,Ccy,Conv)</f>
        <v>0</v>
      </c>
      <c r="E944" s="18">
        <f>_xll.ciqfunctions.udf.CIQ($C$2,"IQ_PENSION_OBLIGATION_SERVICE_COST_FOREIGN",E$6,$F$2,,,Ccy,Conv)</f>
        <v>0</v>
      </c>
      <c r="F944" s="18">
        <f>_xll.ciqfunctions.udf.CIQ($C$2,"IQ_PENSION_OBLIGATION_SERVICE_COST_FOREIGN",F$6,$F$2,,,Ccy,Conv)</f>
        <v>177</v>
      </c>
      <c r="G944" s="18">
        <f>_xll.ciqfunctions.udf.CIQ($C$2,"IQ_PENSION_OBLIGATION_SERVICE_COST_FOREIGN",G$6,$F$2,,,Ccy,Conv)</f>
        <v>0</v>
      </c>
      <c r="H944" s="18">
        <f>_xll.ciqfunctions.udf.CIQ($C$2,"IQ_PENSION_OBLIGATION_SERVICE_COST_FOREIGN",H$6,$F$2,,,Ccy,Conv)</f>
        <v>0</v>
      </c>
      <c r="I944" s="18">
        <f>_xll.ciqfunctions.udf.CIQ($C$2,"IQ_PENSION_OBLIGATION_SERVICE_COST_FOREIGN",I$6,$F$2,,,Ccy,Conv)</f>
        <v>0</v>
      </c>
      <c r="J944" s="18">
        <f>_xll.ciqfunctions.udf.CIQ($C$2,"IQ_PENSION_OBLIGATION_SERVICE_COST_FOREIGN",J$6,$F$2,,,Ccy,Conv)</f>
        <v>170</v>
      </c>
      <c r="K944" s="18">
        <f>_xll.ciqfunctions.udf.CIQ($C$2,"IQ_PENSION_OBLIGATION_SERVICE_COST_FOREIGN",K$6,$F$2,,,Ccy,Conv)</f>
        <v>0</v>
      </c>
      <c r="L944" s="18">
        <f>_xll.ciqfunctions.udf.CIQ($C$2,"IQ_PENSION_OBLIGATION_SERVICE_COST_FOREIGN",L$6,$F$2,,,Ccy,Conv)</f>
        <v>0</v>
      </c>
      <c r="M944" s="18">
        <f>_xll.ciqfunctions.udf.CIQ($C$2,"IQ_PENSION_OBLIGATION_SERVICE_COST_FOREIGN",M$6,$F$2,,,Ccy,Conv)</f>
        <v>0</v>
      </c>
      <c r="N944" s="18">
        <f>_xll.ciqfunctions.udf.CIQ($C$2,"IQ_PENSION_OBLIGATION_SERVICE_COST_FOREIGN",N$6,$F$2,,,Ccy,Conv)</f>
        <v>174</v>
      </c>
      <c r="O944" s="30"/>
      <c r="P944" s="18">
        <f>_xll.ciqfunctions.udf.CIQ($C$2,"IQ_PENSION_OBLIGATION_SERVICE_COST_FOREIGN",P$6,$F$2,,,Ccy,Conv)</f>
        <v>174</v>
      </c>
      <c r="Q944" s="215"/>
      <c r="R944" s="215"/>
      <c r="S944" s="215"/>
      <c r="T944" s="215"/>
      <c r="U944" s="215"/>
      <c r="V944" s="222"/>
      <c r="W944" s="222"/>
      <c r="X944" s="222"/>
      <c r="Y944" s="215"/>
      <c r="Z944" s="215"/>
      <c r="AA944" s="215"/>
      <c r="AB944" s="215"/>
      <c r="AC944" s="215"/>
      <c r="AD944" s="215"/>
      <c r="AE944" s="215"/>
      <c r="AF944" s="215"/>
      <c r="AG944" s="215"/>
      <c r="AH944" s="215"/>
      <c r="AI944" s="215"/>
      <c r="AJ944" s="215"/>
      <c r="AK944" s="215"/>
      <c r="AL944" s="215"/>
      <c r="AM944" s="215"/>
      <c r="AN944" s="215"/>
      <c r="AO944" s="215"/>
      <c r="AP944" s="215"/>
      <c r="AQ944" s="215"/>
      <c r="AR944" s="215"/>
      <c r="AS944" s="215"/>
      <c r="AT944" s="215"/>
      <c r="AU944" s="215"/>
      <c r="AV944" s="215"/>
      <c r="AW944" s="215"/>
      <c r="AX944" s="215"/>
      <c r="AY944" s="215"/>
      <c r="AZ944" s="215"/>
      <c r="BA944" s="215"/>
      <c r="BB944" s="215"/>
      <c r="BC944" s="215"/>
      <c r="BD944" s="215"/>
      <c r="BE944" s="215"/>
      <c r="BF944" s="215"/>
      <c r="BG944" s="215"/>
      <c r="BH944" s="215"/>
      <c r="BI944" s="215"/>
      <c r="BJ944" s="215"/>
      <c r="BK944" s="215"/>
      <c r="BL944" s="215"/>
      <c r="BM944" s="215"/>
      <c r="BN944" s="215"/>
      <c r="BO944" s="215"/>
      <c r="BP944" s="215"/>
      <c r="BQ944" s="215"/>
      <c r="BR944" s="215"/>
      <c r="BS944" s="215"/>
      <c r="BT944" s="215"/>
      <c r="BU944" s="215"/>
      <c r="BV944" s="215"/>
      <c r="BW944" s="215"/>
      <c r="BX944" s="215"/>
      <c r="BY944" s="215"/>
      <c r="BZ944" s="215"/>
    </row>
    <row r="945" spans="1:78" outlineLevel="1" x14ac:dyDescent="0.2">
      <c r="A945" s="215" t="str">
        <f>'Language Index'!A496</f>
        <v>Def. Benefit Interest Cost</v>
      </c>
      <c r="B945" s="17"/>
      <c r="C945" s="17"/>
      <c r="D945" s="18">
        <f>_xll.ciqfunctions.udf.CIQ($C$2,"IQ_PENSION_OBLIGATION_INTEREST_COST_FOREIGN",D$6,$F$2,,,Ccy,Conv)</f>
        <v>0</v>
      </c>
      <c r="E945" s="18">
        <f>_xll.ciqfunctions.udf.CIQ($C$2,"IQ_PENSION_OBLIGATION_INTEREST_COST_FOREIGN",E$6,$F$2,,,Ccy,Conv)</f>
        <v>0</v>
      </c>
      <c r="F945" s="18">
        <f>_xll.ciqfunctions.udf.CIQ($C$2,"IQ_PENSION_OBLIGATION_INTEREST_COST_FOREIGN",F$6,$F$2,,,Ccy,Conv)</f>
        <v>1170</v>
      </c>
      <c r="G945" s="18">
        <f>_xll.ciqfunctions.udf.CIQ($C$2,"IQ_PENSION_OBLIGATION_INTEREST_COST_FOREIGN",G$6,$F$2,,,Ccy,Conv)</f>
        <v>0</v>
      </c>
      <c r="H945" s="18">
        <f>_xll.ciqfunctions.udf.CIQ($C$2,"IQ_PENSION_OBLIGATION_INTEREST_COST_FOREIGN",H$6,$F$2,,,Ccy,Conv)</f>
        <v>0</v>
      </c>
      <c r="I945" s="18">
        <f>_xll.ciqfunctions.udf.CIQ($C$2,"IQ_PENSION_OBLIGATION_INTEREST_COST_FOREIGN",I$6,$F$2,,,Ccy,Conv)</f>
        <v>0</v>
      </c>
      <c r="J945" s="18">
        <f>_xll.ciqfunctions.udf.CIQ($C$2,"IQ_PENSION_OBLIGATION_INTEREST_COST_FOREIGN",J$6,$F$2,,,Ccy,Conv)</f>
        <v>1077</v>
      </c>
      <c r="K945" s="18">
        <f>_xll.ciqfunctions.udf.CIQ($C$2,"IQ_PENSION_OBLIGATION_INTEREST_COST_FOREIGN",K$6,$F$2,,,Ccy,Conv)</f>
        <v>0</v>
      </c>
      <c r="L945" s="18">
        <f>_xll.ciqfunctions.udf.CIQ($C$2,"IQ_PENSION_OBLIGATION_INTEREST_COST_FOREIGN",L$6,$F$2,,,Ccy,Conv)</f>
        <v>0</v>
      </c>
      <c r="M945" s="18">
        <f>_xll.ciqfunctions.udf.CIQ($C$2,"IQ_PENSION_OBLIGATION_INTEREST_COST_FOREIGN",M$6,$F$2,,,Ccy,Conv)</f>
        <v>0</v>
      </c>
      <c r="N945" s="18">
        <f>_xll.ciqfunctions.udf.CIQ($C$2,"IQ_PENSION_OBLIGATION_INTEREST_COST_FOREIGN",N$6,$F$2,,,Ccy,Conv)</f>
        <v>1070</v>
      </c>
      <c r="O945" s="30"/>
      <c r="P945" s="18">
        <f>_xll.ciqfunctions.udf.CIQ($C$2,"IQ_PENSION_OBLIGATION_INTEREST_COST_FOREIGN",P$6,$F$2,,,Ccy,Conv)</f>
        <v>1070</v>
      </c>
      <c r="Q945" s="215"/>
      <c r="R945" s="215"/>
      <c r="S945" s="215"/>
      <c r="T945" s="215"/>
      <c r="U945" s="215"/>
      <c r="V945" s="222"/>
      <c r="W945" s="222"/>
      <c r="X945" s="222"/>
      <c r="Y945" s="215"/>
      <c r="Z945" s="215"/>
      <c r="AA945" s="215"/>
      <c r="AB945" s="215"/>
      <c r="AC945" s="215"/>
      <c r="AD945" s="215"/>
      <c r="AE945" s="215"/>
      <c r="AF945" s="215"/>
      <c r="AG945" s="215"/>
      <c r="AH945" s="215"/>
      <c r="AI945" s="215"/>
      <c r="AJ945" s="215"/>
      <c r="AK945" s="215"/>
      <c r="AL945" s="215"/>
      <c r="AM945" s="215"/>
      <c r="AN945" s="215"/>
      <c r="AO945" s="215"/>
      <c r="AP945" s="215"/>
      <c r="AQ945" s="215"/>
      <c r="AR945" s="215"/>
      <c r="AS945" s="215"/>
      <c r="AT945" s="215"/>
      <c r="AU945" s="215"/>
      <c r="AV945" s="215"/>
      <c r="AW945" s="215"/>
      <c r="AX945" s="215"/>
      <c r="AY945" s="215"/>
      <c r="AZ945" s="215"/>
      <c r="BA945" s="215"/>
      <c r="BB945" s="215"/>
      <c r="BC945" s="215"/>
      <c r="BD945" s="215"/>
      <c r="BE945" s="215"/>
      <c r="BF945" s="215"/>
      <c r="BG945" s="215"/>
      <c r="BH945" s="215"/>
      <c r="BI945" s="215"/>
      <c r="BJ945" s="215"/>
      <c r="BK945" s="215"/>
      <c r="BL945" s="215"/>
      <c r="BM945" s="215"/>
      <c r="BN945" s="215"/>
      <c r="BO945" s="215"/>
      <c r="BP945" s="215"/>
      <c r="BQ945" s="215"/>
      <c r="BR945" s="215"/>
      <c r="BS945" s="215"/>
      <c r="BT945" s="215"/>
      <c r="BU945" s="215"/>
      <c r="BV945" s="215"/>
      <c r="BW945" s="215"/>
      <c r="BX945" s="215"/>
      <c r="BY945" s="215"/>
      <c r="BZ945" s="215"/>
    </row>
    <row r="946" spans="1:78" outlineLevel="1" x14ac:dyDescent="0.2">
      <c r="A946" s="215" t="str">
        <f>'Language Index'!A505</f>
        <v>Def. Benefit Employee Contributions</v>
      </c>
      <c r="B946" s="17"/>
      <c r="C946" s="17"/>
      <c r="D946" s="18">
        <f>_xll.ciqfunctions.udf.CIQ($C$2,"IQ_PENSION_OBLIGATION_EMPLOYEE_CONTRIBUTIONS_FOREIGN",D$6,$F$2,,,Ccy,Conv)</f>
        <v>0</v>
      </c>
      <c r="E946" s="18">
        <f>_xll.ciqfunctions.udf.CIQ($C$2,"IQ_PENSION_OBLIGATION_EMPLOYEE_CONTRIBUTIONS_FOREIGN",E$6,$F$2,,,Ccy,Conv)</f>
        <v>0</v>
      </c>
      <c r="F946" s="18">
        <f>_xll.ciqfunctions.udf.CIQ($C$2,"IQ_PENSION_OBLIGATION_EMPLOYEE_CONTRIBUTIONS_FOREIGN",F$6,$F$2,,,Ccy,Conv)</f>
        <v>17</v>
      </c>
      <c r="G946" s="18">
        <f>_xll.ciqfunctions.udf.CIQ($C$2,"IQ_PENSION_OBLIGATION_EMPLOYEE_CONTRIBUTIONS_FOREIGN",G$6,$F$2,,,Ccy,Conv)</f>
        <v>0</v>
      </c>
      <c r="H946" s="18">
        <f>_xll.ciqfunctions.udf.CIQ($C$2,"IQ_PENSION_OBLIGATION_EMPLOYEE_CONTRIBUTIONS_FOREIGN",H$6,$F$2,,,Ccy,Conv)</f>
        <v>0</v>
      </c>
      <c r="I946" s="18">
        <f>_xll.ciqfunctions.udf.CIQ($C$2,"IQ_PENSION_OBLIGATION_EMPLOYEE_CONTRIBUTIONS_FOREIGN",I$6,$F$2,,,Ccy,Conv)</f>
        <v>0</v>
      </c>
      <c r="J946" s="18">
        <f>_xll.ciqfunctions.udf.CIQ($C$2,"IQ_PENSION_OBLIGATION_EMPLOYEE_CONTRIBUTIONS_FOREIGN",J$6,$F$2,,,Ccy,Conv)</f>
        <v>17</v>
      </c>
      <c r="K946" s="18">
        <f>_xll.ciqfunctions.udf.CIQ($C$2,"IQ_PENSION_OBLIGATION_EMPLOYEE_CONTRIBUTIONS_FOREIGN",K$6,$F$2,,,Ccy,Conv)</f>
        <v>0</v>
      </c>
      <c r="L946" s="18">
        <f>_xll.ciqfunctions.udf.CIQ($C$2,"IQ_PENSION_OBLIGATION_EMPLOYEE_CONTRIBUTIONS_FOREIGN",L$6,$F$2,,,Ccy,Conv)</f>
        <v>0</v>
      </c>
      <c r="M946" s="18">
        <f>_xll.ciqfunctions.udf.CIQ($C$2,"IQ_PENSION_OBLIGATION_EMPLOYEE_CONTRIBUTIONS_FOREIGN",M$6,$F$2,,,Ccy,Conv)</f>
        <v>0</v>
      </c>
      <c r="N946" s="18">
        <f>_xll.ciqfunctions.udf.CIQ($C$2,"IQ_PENSION_OBLIGATION_EMPLOYEE_CONTRIBUTIONS_FOREIGN",N$6,$F$2,,,Ccy,Conv)</f>
        <v>19</v>
      </c>
      <c r="O946" s="30"/>
      <c r="P946" s="18">
        <f>_xll.ciqfunctions.udf.CIQ($C$2,"IQ_PENSION_OBLIGATION_EMPLOYEE_CONTRIBUTIONS_FOREIGN",P$6,$F$2,,,Ccy,Conv)</f>
        <v>19</v>
      </c>
      <c r="Q946" s="215"/>
      <c r="R946" s="215"/>
      <c r="S946" s="215"/>
      <c r="T946" s="215"/>
      <c r="U946" s="215"/>
      <c r="V946" s="222"/>
      <c r="W946" s="222"/>
      <c r="X946" s="222"/>
      <c r="Y946" s="215"/>
      <c r="Z946" s="215"/>
      <c r="AA946" s="215"/>
      <c r="AB946" s="215"/>
      <c r="AC946" s="215"/>
      <c r="AD946" s="215"/>
      <c r="AE946" s="215"/>
      <c r="AF946" s="215"/>
      <c r="AG946" s="215"/>
      <c r="AH946" s="215"/>
      <c r="AI946" s="215"/>
      <c r="AJ946" s="215"/>
      <c r="AK946" s="215"/>
      <c r="AL946" s="215"/>
      <c r="AM946" s="215"/>
      <c r="AN946" s="215"/>
      <c r="AO946" s="215"/>
      <c r="AP946" s="215"/>
      <c r="AQ946" s="215"/>
      <c r="AR946" s="215"/>
      <c r="AS946" s="215"/>
      <c r="AT946" s="215"/>
      <c r="AU946" s="215"/>
      <c r="AV946" s="215"/>
      <c r="AW946" s="215"/>
      <c r="AX946" s="215"/>
      <c r="AY946" s="215"/>
      <c r="AZ946" s="215"/>
      <c r="BA946" s="215"/>
      <c r="BB946" s="215"/>
      <c r="BC946" s="215"/>
      <c r="BD946" s="215"/>
      <c r="BE946" s="215"/>
      <c r="BF946" s="215"/>
      <c r="BG946" s="215"/>
      <c r="BH946" s="215"/>
      <c r="BI946" s="215"/>
      <c r="BJ946" s="215"/>
      <c r="BK946" s="215"/>
      <c r="BL946" s="215"/>
      <c r="BM946" s="215"/>
      <c r="BN946" s="215"/>
      <c r="BO946" s="215"/>
      <c r="BP946" s="215"/>
      <c r="BQ946" s="215"/>
      <c r="BR946" s="215"/>
      <c r="BS946" s="215"/>
      <c r="BT946" s="215"/>
      <c r="BU946" s="215"/>
      <c r="BV946" s="215"/>
      <c r="BW946" s="215"/>
      <c r="BX946" s="215"/>
      <c r="BY946" s="215"/>
      <c r="BZ946" s="215"/>
    </row>
    <row r="947" spans="1:78" outlineLevel="1" x14ac:dyDescent="0.2">
      <c r="A947" s="215" t="str">
        <f>'Language Index'!A506</f>
        <v>Def. Benefit Actuarial Gain/Losses</v>
      </c>
      <c r="B947" s="17"/>
      <c r="C947" s="17"/>
      <c r="D947" s="18">
        <f>_xll.ciqfunctions.udf.CIQ($C$2,"IQ_PENSION_OBLIGATION_ACTUARIAL_GAIN_LOSS_FOREIGN",D$6,$F$2,,,Ccy,Conv)</f>
        <v>0</v>
      </c>
      <c r="E947" s="18">
        <f>_xll.ciqfunctions.udf.CIQ($C$2,"IQ_PENSION_OBLIGATION_ACTUARIAL_GAIN_LOSS_FOREIGN",E$6,$F$2,,,Ccy,Conv)</f>
        <v>0</v>
      </c>
      <c r="F947" s="18">
        <f>_xll.ciqfunctions.udf.CIQ($C$2,"IQ_PENSION_OBLIGATION_ACTUARIAL_GAIN_LOSS_FOREIGN",F$6,$F$2,,,Ccy,Conv)</f>
        <v>2077</v>
      </c>
      <c r="G947" s="18">
        <f>_xll.ciqfunctions.udf.CIQ($C$2,"IQ_PENSION_OBLIGATION_ACTUARIAL_GAIN_LOSS_FOREIGN",G$6,$F$2,,,Ccy,Conv)</f>
        <v>0</v>
      </c>
      <c r="H947" s="18">
        <f>_xll.ciqfunctions.udf.CIQ($C$2,"IQ_PENSION_OBLIGATION_ACTUARIAL_GAIN_LOSS_FOREIGN",H$6,$F$2,,,Ccy,Conv)</f>
        <v>0</v>
      </c>
      <c r="I947" s="18">
        <f>_xll.ciqfunctions.udf.CIQ($C$2,"IQ_PENSION_OBLIGATION_ACTUARIAL_GAIN_LOSS_FOREIGN",I$6,$F$2,,,Ccy,Conv)</f>
        <v>0</v>
      </c>
      <c r="J947" s="18">
        <f>_xll.ciqfunctions.udf.CIQ($C$2,"IQ_PENSION_OBLIGATION_ACTUARIAL_GAIN_LOSS_FOREIGN",J$6,$F$2,,,Ccy,Conv)</f>
        <v>-1076</v>
      </c>
      <c r="K947" s="18">
        <f>_xll.ciqfunctions.udf.CIQ($C$2,"IQ_PENSION_OBLIGATION_ACTUARIAL_GAIN_LOSS_FOREIGN",K$6,$F$2,,,Ccy,Conv)</f>
        <v>0</v>
      </c>
      <c r="L947" s="18">
        <f>_xll.ciqfunctions.udf.CIQ($C$2,"IQ_PENSION_OBLIGATION_ACTUARIAL_GAIN_LOSS_FOREIGN",L$6,$F$2,,,Ccy,Conv)</f>
        <v>0</v>
      </c>
      <c r="M947" s="18">
        <f>_xll.ciqfunctions.udf.CIQ($C$2,"IQ_PENSION_OBLIGATION_ACTUARIAL_GAIN_LOSS_FOREIGN",M$6,$F$2,,,Ccy,Conv)</f>
        <v>0</v>
      </c>
      <c r="N947" s="18">
        <f>_xll.ciqfunctions.udf.CIQ($C$2,"IQ_PENSION_OBLIGATION_ACTUARIAL_GAIN_LOSS_FOREIGN",N$6,$F$2,,,Ccy,Conv)</f>
        <v>-644</v>
      </c>
      <c r="O947" s="30"/>
      <c r="P947" s="18">
        <f>_xll.ciqfunctions.udf.CIQ($C$2,"IQ_PENSION_OBLIGATION_ACTUARIAL_GAIN_LOSS_FOREIGN",P$6,$F$2,,,Ccy,Conv)</f>
        <v>-644</v>
      </c>
      <c r="Q947" s="215"/>
      <c r="R947" s="215"/>
      <c r="S947" s="215"/>
      <c r="T947" s="215"/>
      <c r="U947" s="215"/>
      <c r="V947" s="222"/>
      <c r="W947" s="222"/>
      <c r="X947" s="222"/>
      <c r="Y947" s="215"/>
      <c r="Z947" s="215"/>
      <c r="AA947" s="215"/>
      <c r="AB947" s="215"/>
      <c r="AC947" s="215"/>
      <c r="AD947" s="215"/>
      <c r="AE947" s="215"/>
      <c r="AF947" s="215"/>
      <c r="AG947" s="215"/>
      <c r="AH947" s="215"/>
      <c r="AI947" s="215"/>
      <c r="AJ947" s="215"/>
      <c r="AK947" s="215"/>
      <c r="AL947" s="215"/>
      <c r="AM947" s="215"/>
      <c r="AN947" s="215"/>
      <c r="AO947" s="215"/>
      <c r="AP947" s="215"/>
      <c r="AQ947" s="215"/>
      <c r="AR947" s="215"/>
      <c r="AS947" s="215"/>
      <c r="AT947" s="215"/>
      <c r="AU947" s="215"/>
      <c r="AV947" s="215"/>
      <c r="AW947" s="215"/>
      <c r="AX947" s="215"/>
      <c r="AY947" s="215"/>
      <c r="AZ947" s="215"/>
      <c r="BA947" s="215"/>
      <c r="BB947" s="215"/>
      <c r="BC947" s="215"/>
      <c r="BD947" s="215"/>
      <c r="BE947" s="215"/>
      <c r="BF947" s="215"/>
      <c r="BG947" s="215"/>
      <c r="BH947" s="215"/>
      <c r="BI947" s="215"/>
      <c r="BJ947" s="215"/>
      <c r="BK947" s="215"/>
      <c r="BL947" s="215"/>
      <c r="BM947" s="215"/>
      <c r="BN947" s="215"/>
      <c r="BO947" s="215"/>
      <c r="BP947" s="215"/>
      <c r="BQ947" s="215"/>
      <c r="BR947" s="215"/>
      <c r="BS947" s="215"/>
      <c r="BT947" s="215"/>
      <c r="BU947" s="215"/>
      <c r="BV947" s="215"/>
      <c r="BW947" s="215"/>
      <c r="BX947" s="215"/>
      <c r="BY947" s="215"/>
      <c r="BZ947" s="215"/>
    </row>
    <row r="948" spans="1:78" outlineLevel="1" x14ac:dyDescent="0.2">
      <c r="A948" s="215" t="str">
        <f>'Language Index'!A507</f>
        <v>Def. Benefits Paid</v>
      </c>
      <c r="B948" s="17"/>
      <c r="C948" s="17"/>
      <c r="D948" s="18">
        <f>_xll.ciqfunctions.udf.CIQ($C$2,"IQ_PENSION_OBLIGATION_PAID_FOREIGN",D$6,$F$2,,,Ccy,Conv)</f>
        <v>0</v>
      </c>
      <c r="E948" s="18">
        <f>_xll.ciqfunctions.udf.CIQ($C$2,"IQ_PENSION_OBLIGATION_PAID_FOREIGN",E$6,$F$2,,,Ccy,Conv)</f>
        <v>0</v>
      </c>
      <c r="F948" s="18">
        <f>_xll.ciqfunctions.udf.CIQ($C$2,"IQ_PENSION_OBLIGATION_PAID_FOREIGN",F$6,$F$2,,,Ccy,Conv)</f>
        <v>-2025</v>
      </c>
      <c r="G948" s="18">
        <f>_xll.ciqfunctions.udf.CIQ($C$2,"IQ_PENSION_OBLIGATION_PAID_FOREIGN",G$6,$F$2,,,Ccy,Conv)</f>
        <v>0</v>
      </c>
      <c r="H948" s="18">
        <f>_xll.ciqfunctions.udf.CIQ($C$2,"IQ_PENSION_OBLIGATION_PAID_FOREIGN",H$6,$F$2,,,Ccy,Conv)</f>
        <v>0</v>
      </c>
      <c r="I948" s="18">
        <f>_xll.ciqfunctions.udf.CIQ($C$2,"IQ_PENSION_OBLIGATION_PAID_FOREIGN",I$6,$F$2,,,Ccy,Conv)</f>
        <v>0</v>
      </c>
      <c r="J948" s="18">
        <f>_xll.ciqfunctions.udf.CIQ($C$2,"IQ_PENSION_OBLIGATION_PAID_FOREIGN",J$6,$F$2,,,Ccy,Conv)</f>
        <v>-2057</v>
      </c>
      <c r="K948" s="18">
        <f>_xll.ciqfunctions.udf.CIQ($C$2,"IQ_PENSION_OBLIGATION_PAID_FOREIGN",K$6,$F$2,,,Ccy,Conv)</f>
        <v>0</v>
      </c>
      <c r="L948" s="18">
        <f>_xll.ciqfunctions.udf.CIQ($C$2,"IQ_PENSION_OBLIGATION_PAID_FOREIGN",L$6,$F$2,,,Ccy,Conv)</f>
        <v>0</v>
      </c>
      <c r="M948" s="18">
        <f>_xll.ciqfunctions.udf.CIQ($C$2,"IQ_PENSION_OBLIGATION_PAID_FOREIGN",M$6,$F$2,,,Ccy,Conv)</f>
        <v>0</v>
      </c>
      <c r="N948" s="18">
        <f>_xll.ciqfunctions.udf.CIQ($C$2,"IQ_PENSION_OBLIGATION_PAID_FOREIGN",N$6,$F$2,,,Ccy,Conv)</f>
        <v>-2098</v>
      </c>
      <c r="O948" s="30"/>
      <c r="P948" s="18">
        <f>_xll.ciqfunctions.udf.CIQ($C$2,"IQ_PENSION_OBLIGATION_PAID_FOREIGN",P$6,$F$2,,,Ccy,Conv)</f>
        <v>-2098</v>
      </c>
      <c r="Q948" s="215"/>
      <c r="R948" s="215"/>
      <c r="S948" s="215"/>
      <c r="T948" s="215"/>
      <c r="U948" s="215"/>
      <c r="V948" s="222"/>
      <c r="W948" s="222"/>
      <c r="X948" s="222"/>
      <c r="Y948" s="215"/>
      <c r="Z948" s="215"/>
      <c r="AA948" s="215"/>
      <c r="AB948" s="215"/>
      <c r="AC948" s="215"/>
      <c r="AD948" s="215"/>
      <c r="AE948" s="215"/>
      <c r="AF948" s="215"/>
      <c r="AG948" s="215"/>
      <c r="AH948" s="215"/>
      <c r="AI948" s="215"/>
      <c r="AJ948" s="215"/>
      <c r="AK948" s="215"/>
      <c r="AL948" s="215"/>
      <c r="AM948" s="215"/>
      <c r="AN948" s="215"/>
      <c r="AO948" s="215"/>
      <c r="AP948" s="215"/>
      <c r="AQ948" s="215"/>
      <c r="AR948" s="215"/>
      <c r="AS948" s="215"/>
      <c r="AT948" s="215"/>
      <c r="AU948" s="215"/>
      <c r="AV948" s="215"/>
      <c r="AW948" s="215"/>
      <c r="AX948" s="215"/>
      <c r="AY948" s="215"/>
      <c r="AZ948" s="215"/>
      <c r="BA948" s="215"/>
      <c r="BB948" s="215"/>
      <c r="BC948" s="215"/>
      <c r="BD948" s="215"/>
      <c r="BE948" s="215"/>
      <c r="BF948" s="215"/>
      <c r="BG948" s="215"/>
      <c r="BH948" s="215"/>
      <c r="BI948" s="215"/>
      <c r="BJ948" s="215"/>
      <c r="BK948" s="215"/>
      <c r="BL948" s="215"/>
      <c r="BM948" s="215"/>
      <c r="BN948" s="215"/>
      <c r="BO948" s="215"/>
      <c r="BP948" s="215"/>
      <c r="BQ948" s="215"/>
      <c r="BR948" s="215"/>
      <c r="BS948" s="215"/>
      <c r="BT948" s="215"/>
      <c r="BU948" s="215"/>
      <c r="BV948" s="215"/>
      <c r="BW948" s="215"/>
      <c r="BX948" s="215"/>
      <c r="BY948" s="215"/>
      <c r="BZ948" s="215"/>
    </row>
    <row r="949" spans="1:78" outlineLevel="1" x14ac:dyDescent="0.2">
      <c r="A949" s="215" t="str">
        <f>'Language Index'!A508</f>
        <v>Foreign Exchange Adj.</v>
      </c>
      <c r="B949" s="17"/>
      <c r="C949" s="17"/>
      <c r="D949" s="18">
        <f>_xll.ciqfunctions.udf.CIQ($C$2,"IQ_PENSION_OBLIGATION_FX_ADJ_FOREIGN",D$6,$F$2,,,Ccy,Conv)</f>
        <v>0</v>
      </c>
      <c r="E949" s="18">
        <f>_xll.ciqfunctions.udf.CIQ($C$2,"IQ_PENSION_OBLIGATION_FX_ADJ_FOREIGN",E$6,$F$2,,,Ccy,Conv)</f>
        <v>0</v>
      </c>
      <c r="F949" s="18">
        <f>_xll.ciqfunctions.udf.CIQ($C$2,"IQ_PENSION_OBLIGATION_FX_ADJ_FOREIGN",F$6,$F$2,,,Ccy,Conv)</f>
        <v>1021</v>
      </c>
      <c r="G949" s="18">
        <f>_xll.ciqfunctions.udf.CIQ($C$2,"IQ_PENSION_OBLIGATION_FX_ADJ_FOREIGN",G$6,$F$2,,,Ccy,Conv)</f>
        <v>0</v>
      </c>
      <c r="H949" s="18">
        <f>_xll.ciqfunctions.udf.CIQ($C$2,"IQ_PENSION_OBLIGATION_FX_ADJ_FOREIGN",H$6,$F$2,,,Ccy,Conv)</f>
        <v>0</v>
      </c>
      <c r="I949" s="18">
        <f>_xll.ciqfunctions.udf.CIQ($C$2,"IQ_PENSION_OBLIGATION_FX_ADJ_FOREIGN",I$6,$F$2,,,Ccy,Conv)</f>
        <v>0</v>
      </c>
      <c r="J949" s="18">
        <f>_xll.ciqfunctions.udf.CIQ($C$2,"IQ_PENSION_OBLIGATION_FX_ADJ_FOREIGN",J$6,$F$2,,,Ccy,Conv)</f>
        <v>-1850</v>
      </c>
      <c r="K949" s="18">
        <f>_xll.ciqfunctions.udf.CIQ($C$2,"IQ_PENSION_OBLIGATION_FX_ADJ_FOREIGN",K$6,$F$2,,,Ccy,Conv)</f>
        <v>0</v>
      </c>
      <c r="L949" s="18">
        <f>_xll.ciqfunctions.udf.CIQ($C$2,"IQ_PENSION_OBLIGATION_FX_ADJ_FOREIGN",L$6,$F$2,,,Ccy,Conv)</f>
        <v>0</v>
      </c>
      <c r="M949" s="18">
        <f>_xll.ciqfunctions.udf.CIQ($C$2,"IQ_PENSION_OBLIGATION_FX_ADJ_FOREIGN",M$6,$F$2,,,Ccy,Conv)</f>
        <v>0</v>
      </c>
      <c r="N949" s="18">
        <f>_xll.ciqfunctions.udf.CIQ($C$2,"IQ_PENSION_OBLIGATION_FX_ADJ_FOREIGN",N$6,$F$2,,,Ccy,Conv)</f>
        <v>3031</v>
      </c>
      <c r="O949" s="30"/>
      <c r="P949" s="18">
        <f>_xll.ciqfunctions.udf.CIQ($C$2,"IQ_PENSION_OBLIGATION_FX_ADJ_FOREIGN",P$6,$F$2,,,Ccy,Conv)</f>
        <v>3031</v>
      </c>
      <c r="Q949" s="215"/>
      <c r="R949" s="215"/>
      <c r="S949" s="215"/>
      <c r="T949" s="215"/>
      <c r="U949" s="215"/>
      <c r="V949" s="222"/>
      <c r="W949" s="222"/>
      <c r="X949" s="222"/>
      <c r="Y949" s="215"/>
      <c r="Z949" s="215"/>
      <c r="AA949" s="215"/>
      <c r="AB949" s="215"/>
      <c r="AC949" s="215"/>
      <c r="AD949" s="215"/>
      <c r="AE949" s="215"/>
      <c r="AF949" s="215"/>
      <c r="AG949" s="215"/>
      <c r="AH949" s="215"/>
      <c r="AI949" s="215"/>
      <c r="AJ949" s="215"/>
      <c r="AK949" s="215"/>
      <c r="AL949" s="215"/>
      <c r="AM949" s="215"/>
      <c r="AN949" s="215"/>
      <c r="AO949" s="215"/>
      <c r="AP949" s="215"/>
      <c r="AQ949" s="215"/>
      <c r="AR949" s="215"/>
      <c r="AS949" s="215"/>
      <c r="AT949" s="215"/>
      <c r="AU949" s="215"/>
      <c r="AV949" s="215"/>
      <c r="AW949" s="215"/>
      <c r="AX949" s="215"/>
      <c r="AY949" s="215"/>
      <c r="AZ949" s="215"/>
      <c r="BA949" s="215"/>
      <c r="BB949" s="215"/>
      <c r="BC949" s="215"/>
      <c r="BD949" s="215"/>
      <c r="BE949" s="215"/>
      <c r="BF949" s="215"/>
      <c r="BG949" s="215"/>
      <c r="BH949" s="215"/>
      <c r="BI949" s="215"/>
      <c r="BJ949" s="215"/>
      <c r="BK949" s="215"/>
      <c r="BL949" s="215"/>
      <c r="BM949" s="215"/>
      <c r="BN949" s="215"/>
      <c r="BO949" s="215"/>
      <c r="BP949" s="215"/>
      <c r="BQ949" s="215"/>
      <c r="BR949" s="215"/>
      <c r="BS949" s="215"/>
      <c r="BT949" s="215"/>
      <c r="BU949" s="215"/>
      <c r="BV949" s="215"/>
      <c r="BW949" s="215"/>
      <c r="BX949" s="215"/>
      <c r="BY949" s="215"/>
      <c r="BZ949" s="215"/>
    </row>
    <row r="950" spans="1:78" outlineLevel="1" x14ac:dyDescent="0.2">
      <c r="A950" s="215" t="str">
        <f>'Language Index'!A509</f>
        <v>Acq. Benefit Obligation</v>
      </c>
      <c r="B950" s="17"/>
      <c r="C950" s="17"/>
      <c r="D950" s="18">
        <f>_xll.ciqfunctions.udf.CIQ($C$2,"IQ_PENSION_OBLIGATION_ACQ_FOREIGN",D$6,$F$2,,,Ccy,Conv)</f>
        <v>0</v>
      </c>
      <c r="E950" s="18">
        <f>_xll.ciqfunctions.udf.CIQ($C$2,"IQ_PENSION_OBLIGATION_ACQ_FOREIGN",E$6,$F$2,,,Ccy,Conv)</f>
        <v>0</v>
      </c>
      <c r="F950" s="18">
        <f>_xll.ciqfunctions.udf.CIQ($C$2,"IQ_PENSION_OBLIGATION_ACQ_FOREIGN",F$6,$F$2,,,Ccy,Conv)</f>
        <v>0</v>
      </c>
      <c r="G950" s="18">
        <f>_xll.ciqfunctions.udf.CIQ($C$2,"IQ_PENSION_OBLIGATION_ACQ_FOREIGN",G$6,$F$2,,,Ccy,Conv)</f>
        <v>0</v>
      </c>
      <c r="H950" s="18">
        <f>_xll.ciqfunctions.udf.CIQ($C$2,"IQ_PENSION_OBLIGATION_ACQ_FOREIGN",H$6,$F$2,,,Ccy,Conv)</f>
        <v>0</v>
      </c>
      <c r="I950" s="18">
        <f>_xll.ciqfunctions.udf.CIQ($C$2,"IQ_PENSION_OBLIGATION_ACQ_FOREIGN",I$6,$F$2,,,Ccy,Conv)</f>
        <v>0</v>
      </c>
      <c r="J950" s="18">
        <f>_xll.ciqfunctions.udf.CIQ($C$2,"IQ_PENSION_OBLIGATION_ACQ_FOREIGN",J$6,$F$2,,,Ccy,Conv)</f>
        <v>0</v>
      </c>
      <c r="K950" s="18">
        <f>_xll.ciqfunctions.udf.CIQ($C$2,"IQ_PENSION_OBLIGATION_ACQ_FOREIGN",K$6,$F$2,,,Ccy,Conv)</f>
        <v>0</v>
      </c>
      <c r="L950" s="18">
        <f>_xll.ciqfunctions.udf.CIQ($C$2,"IQ_PENSION_OBLIGATION_ACQ_FOREIGN",L$6,$F$2,,,Ccy,Conv)</f>
        <v>0</v>
      </c>
      <c r="M950" s="18">
        <f>_xll.ciqfunctions.udf.CIQ($C$2,"IQ_PENSION_OBLIGATION_ACQ_FOREIGN",M$6,$F$2,,,Ccy,Conv)</f>
        <v>0</v>
      </c>
      <c r="N950" s="18">
        <f>_xll.ciqfunctions.udf.CIQ($C$2,"IQ_PENSION_OBLIGATION_ACQ_FOREIGN",N$6,$F$2,,,Ccy,Conv)</f>
        <v>0</v>
      </c>
      <c r="O950" s="30"/>
      <c r="P950" s="18">
        <f>_xll.ciqfunctions.udf.CIQ($C$2,"IQ_PENSION_OBLIGATION_ACQ_FOREIGN",P$6,$F$2,,,Ccy,Conv)</f>
        <v>0</v>
      </c>
      <c r="Q950" s="215"/>
      <c r="R950" s="215"/>
      <c r="S950" s="215"/>
      <c r="T950" s="215"/>
      <c r="U950" s="215"/>
      <c r="V950" s="222"/>
      <c r="W950" s="222"/>
      <c r="X950" s="222"/>
      <c r="Y950" s="215"/>
      <c r="Z950" s="215"/>
      <c r="AA950" s="215"/>
      <c r="AB950" s="215"/>
      <c r="AC950" s="215"/>
      <c r="AD950" s="215"/>
      <c r="AE950" s="215"/>
      <c r="AF950" s="215"/>
      <c r="AG950" s="215"/>
      <c r="AH950" s="215"/>
      <c r="AI950" s="215"/>
      <c r="AJ950" s="215"/>
      <c r="AK950" s="215"/>
      <c r="AL950" s="215"/>
      <c r="AM950" s="215"/>
      <c r="AN950" s="215"/>
      <c r="AO950" s="215"/>
      <c r="AP950" s="215"/>
      <c r="AQ950" s="215"/>
      <c r="AR950" s="215"/>
      <c r="AS950" s="215"/>
      <c r="AT950" s="215"/>
      <c r="AU950" s="215"/>
      <c r="AV950" s="215"/>
      <c r="AW950" s="215"/>
      <c r="AX950" s="215"/>
      <c r="AY950" s="215"/>
      <c r="AZ950" s="215"/>
      <c r="BA950" s="215"/>
      <c r="BB950" s="215"/>
      <c r="BC950" s="215"/>
      <c r="BD950" s="215"/>
      <c r="BE950" s="215"/>
      <c r="BF950" s="215"/>
      <c r="BG950" s="215"/>
      <c r="BH950" s="215"/>
      <c r="BI950" s="215"/>
      <c r="BJ950" s="215"/>
      <c r="BK950" s="215"/>
      <c r="BL950" s="215"/>
      <c r="BM950" s="215"/>
      <c r="BN950" s="215"/>
      <c r="BO950" s="215"/>
      <c r="BP950" s="215"/>
      <c r="BQ950" s="215"/>
      <c r="BR950" s="215"/>
      <c r="BS950" s="215"/>
      <c r="BT950" s="215"/>
      <c r="BU950" s="215"/>
      <c r="BV950" s="215"/>
      <c r="BW950" s="215"/>
      <c r="BX950" s="215"/>
      <c r="BY950" s="215"/>
      <c r="BZ950" s="215"/>
    </row>
    <row r="951" spans="1:78" outlineLevel="1" x14ac:dyDescent="0.2">
      <c r="A951" s="215" t="str">
        <f>'Language Index'!A510</f>
        <v>Def. Benefit Settlement/Curtailment</v>
      </c>
      <c r="B951" s="17"/>
      <c r="C951" s="17"/>
      <c r="D951" s="18">
        <f>_xll.ciqfunctions.udf.CIQ($C$2,"IQ_PENSION_OBLIGATION_CURTAIL_FOREIGN",D$6,$F$2,,,Ccy,Conv)</f>
        <v>0</v>
      </c>
      <c r="E951" s="18">
        <f>_xll.ciqfunctions.udf.CIQ($C$2,"IQ_PENSION_OBLIGATION_CURTAIL_FOREIGN",E$6,$F$2,,,Ccy,Conv)</f>
        <v>0</v>
      </c>
      <c r="F951" s="18">
        <f>_xll.ciqfunctions.udf.CIQ($C$2,"IQ_PENSION_OBLIGATION_CURTAIL_FOREIGN",F$6,$F$2,,,Ccy,Conv)</f>
        <v>0</v>
      </c>
      <c r="G951" s="18">
        <f>_xll.ciqfunctions.udf.CIQ($C$2,"IQ_PENSION_OBLIGATION_CURTAIL_FOREIGN",G$6,$F$2,,,Ccy,Conv)</f>
        <v>0</v>
      </c>
      <c r="H951" s="18">
        <f>_xll.ciqfunctions.udf.CIQ($C$2,"IQ_PENSION_OBLIGATION_CURTAIL_FOREIGN",H$6,$F$2,,,Ccy,Conv)</f>
        <v>0</v>
      </c>
      <c r="I951" s="18">
        <f>_xll.ciqfunctions.udf.CIQ($C$2,"IQ_PENSION_OBLIGATION_CURTAIL_FOREIGN",I$6,$F$2,,,Ccy,Conv)</f>
        <v>0</v>
      </c>
      <c r="J951" s="18">
        <f>_xll.ciqfunctions.udf.CIQ($C$2,"IQ_PENSION_OBLIGATION_CURTAIL_FOREIGN",J$6,$F$2,,,Ccy,Conv)</f>
        <v>0</v>
      </c>
      <c r="K951" s="18">
        <f>_xll.ciqfunctions.udf.CIQ($C$2,"IQ_PENSION_OBLIGATION_CURTAIL_FOREIGN",K$6,$F$2,,,Ccy,Conv)</f>
        <v>0</v>
      </c>
      <c r="L951" s="18">
        <f>_xll.ciqfunctions.udf.CIQ($C$2,"IQ_PENSION_OBLIGATION_CURTAIL_FOREIGN",L$6,$F$2,,,Ccy,Conv)</f>
        <v>0</v>
      </c>
      <c r="M951" s="18">
        <f>_xll.ciqfunctions.udf.CIQ($C$2,"IQ_PENSION_OBLIGATION_CURTAIL_FOREIGN",M$6,$F$2,,,Ccy,Conv)</f>
        <v>0</v>
      </c>
      <c r="N951" s="18">
        <f>_xll.ciqfunctions.udf.CIQ($C$2,"IQ_PENSION_OBLIGATION_CURTAIL_FOREIGN",N$6,$F$2,,,Ccy,Conv)</f>
        <v>0</v>
      </c>
      <c r="O951" s="30"/>
      <c r="P951" s="18">
        <f>_xll.ciqfunctions.udf.CIQ($C$2,"IQ_PENSION_OBLIGATION_CURTAIL_FOREIGN",P$6,$F$2,,,Ccy,Conv)</f>
        <v>0</v>
      </c>
      <c r="Q951" s="215"/>
      <c r="R951" s="215"/>
      <c r="S951" s="215"/>
      <c r="T951" s="215"/>
      <c r="U951" s="215"/>
      <c r="V951" s="222"/>
      <c r="W951" s="222"/>
      <c r="X951" s="222"/>
      <c r="Y951" s="215"/>
      <c r="Z951" s="215"/>
      <c r="AA951" s="215"/>
      <c r="AB951" s="215"/>
      <c r="AC951" s="215"/>
      <c r="AD951" s="215"/>
      <c r="AE951" s="215"/>
      <c r="AF951" s="215"/>
      <c r="AG951" s="215"/>
      <c r="AH951" s="215"/>
      <c r="AI951" s="215"/>
      <c r="AJ951" s="215"/>
      <c r="AK951" s="215"/>
      <c r="AL951" s="215"/>
      <c r="AM951" s="215"/>
      <c r="AN951" s="215"/>
      <c r="AO951" s="215"/>
      <c r="AP951" s="215"/>
      <c r="AQ951" s="215"/>
      <c r="AR951" s="215"/>
      <c r="AS951" s="215"/>
      <c r="AT951" s="215"/>
      <c r="AU951" s="215"/>
      <c r="AV951" s="215"/>
      <c r="AW951" s="215"/>
      <c r="AX951" s="215"/>
      <c r="AY951" s="215"/>
      <c r="AZ951" s="215"/>
      <c r="BA951" s="215"/>
      <c r="BB951" s="215"/>
      <c r="BC951" s="215"/>
      <c r="BD951" s="215"/>
      <c r="BE951" s="215"/>
      <c r="BF951" s="215"/>
      <c r="BG951" s="215"/>
      <c r="BH951" s="215"/>
      <c r="BI951" s="215"/>
      <c r="BJ951" s="215"/>
      <c r="BK951" s="215"/>
      <c r="BL951" s="215"/>
      <c r="BM951" s="215"/>
      <c r="BN951" s="215"/>
      <c r="BO951" s="215"/>
      <c r="BP951" s="215"/>
      <c r="BQ951" s="215"/>
      <c r="BR951" s="215"/>
      <c r="BS951" s="215"/>
      <c r="BT951" s="215"/>
      <c r="BU951" s="215"/>
      <c r="BV951" s="215"/>
      <c r="BW951" s="215"/>
      <c r="BX951" s="215"/>
      <c r="BY951" s="215"/>
      <c r="BZ951" s="215"/>
    </row>
    <row r="952" spans="1:78" outlineLevel="1" x14ac:dyDescent="0.2">
      <c r="A952" s="215" t="str">
        <f>'Language Index'!A511</f>
        <v>Other Adj. To Def. Benefit Obligation</v>
      </c>
      <c r="B952" s="17"/>
      <c r="C952" s="17"/>
      <c r="D952" s="18">
        <f>_xll.ciqfunctions.udf.CIQ($C$2,"IQ_PENSION_OBLIGATION_OTHER_PLAN_ADJ_FOREIGN",D$6,$F$2,,,Ccy,Conv)</f>
        <v>0</v>
      </c>
      <c r="E952" s="18">
        <f>_xll.ciqfunctions.udf.CIQ($C$2,"IQ_PENSION_OBLIGATION_OTHER_PLAN_ADJ_FOREIGN",E$6,$F$2,,,Ccy,Conv)</f>
        <v>0</v>
      </c>
      <c r="F952" s="18">
        <f>_xll.ciqfunctions.udf.CIQ($C$2,"IQ_PENSION_OBLIGATION_OTHER_PLAN_ADJ_FOREIGN",F$6,$F$2,,,Ccy,Conv)</f>
        <v>-218</v>
      </c>
      <c r="G952" s="18">
        <f>_xll.ciqfunctions.udf.CIQ($C$2,"IQ_PENSION_OBLIGATION_OTHER_PLAN_ADJ_FOREIGN",G$6,$F$2,,,Ccy,Conv)</f>
        <v>0</v>
      </c>
      <c r="H952" s="18">
        <f>_xll.ciqfunctions.udf.CIQ($C$2,"IQ_PENSION_OBLIGATION_OTHER_PLAN_ADJ_FOREIGN",H$6,$F$2,,,Ccy,Conv)</f>
        <v>0</v>
      </c>
      <c r="I952" s="18">
        <f>_xll.ciqfunctions.udf.CIQ($C$2,"IQ_PENSION_OBLIGATION_OTHER_PLAN_ADJ_FOREIGN",I$6,$F$2,,,Ccy,Conv)</f>
        <v>0</v>
      </c>
      <c r="J952" s="18">
        <f>_xll.ciqfunctions.udf.CIQ($C$2,"IQ_PENSION_OBLIGATION_OTHER_PLAN_ADJ_FOREIGN",J$6,$F$2,,,Ccy,Conv)</f>
        <v>-1270</v>
      </c>
      <c r="K952" s="18">
        <f>_xll.ciqfunctions.udf.CIQ($C$2,"IQ_PENSION_OBLIGATION_OTHER_PLAN_ADJ_FOREIGN",K$6,$F$2,,,Ccy,Conv)</f>
        <v>0</v>
      </c>
      <c r="L952" s="18">
        <f>_xll.ciqfunctions.udf.CIQ($C$2,"IQ_PENSION_OBLIGATION_OTHER_PLAN_ADJ_FOREIGN",L$6,$F$2,,,Ccy,Conv)</f>
        <v>0</v>
      </c>
      <c r="M952" s="18">
        <f>_xll.ciqfunctions.udf.CIQ($C$2,"IQ_PENSION_OBLIGATION_OTHER_PLAN_ADJ_FOREIGN",M$6,$F$2,,,Ccy,Conv)</f>
        <v>0</v>
      </c>
      <c r="N952" s="18">
        <f>_xll.ciqfunctions.udf.CIQ($C$2,"IQ_PENSION_OBLIGATION_OTHER_PLAN_ADJ_FOREIGN",N$6,$F$2,,,Ccy,Conv)</f>
        <v>-170</v>
      </c>
      <c r="O952" s="30"/>
      <c r="P952" s="18">
        <f>_xll.ciqfunctions.udf.CIQ($C$2,"IQ_PENSION_OBLIGATION_OTHER_PLAN_ADJ_FOREIGN",P$6,$F$2,,,Ccy,Conv)</f>
        <v>-170</v>
      </c>
      <c r="Q952" s="215"/>
      <c r="R952" s="215"/>
      <c r="S952" s="215"/>
      <c r="T952" s="215"/>
      <c r="U952" s="215"/>
      <c r="V952" s="222"/>
      <c r="W952" s="222"/>
      <c r="X952" s="222"/>
      <c r="Y952" s="215"/>
      <c r="Z952" s="215"/>
      <c r="AA952" s="215"/>
      <c r="AB952" s="215"/>
      <c r="AC952" s="215"/>
      <c r="AD952" s="215"/>
      <c r="AE952" s="215"/>
      <c r="AF952" s="215"/>
      <c r="AG952" s="215"/>
      <c r="AH952" s="215"/>
      <c r="AI952" s="215"/>
      <c r="AJ952" s="215"/>
      <c r="AK952" s="215"/>
      <c r="AL952" s="215"/>
      <c r="AM952" s="215"/>
      <c r="AN952" s="215"/>
      <c r="AO952" s="215"/>
      <c r="AP952" s="215"/>
      <c r="AQ952" s="215"/>
      <c r="AR952" s="215"/>
      <c r="AS952" s="215"/>
      <c r="AT952" s="215"/>
      <c r="AU952" s="215"/>
      <c r="AV952" s="215"/>
      <c r="AW952" s="215"/>
      <c r="AX952" s="215"/>
      <c r="AY952" s="215"/>
      <c r="AZ952" s="215"/>
      <c r="BA952" s="215"/>
      <c r="BB952" s="215"/>
      <c r="BC952" s="215"/>
      <c r="BD952" s="215"/>
      <c r="BE952" s="215"/>
      <c r="BF952" s="215"/>
      <c r="BG952" s="215"/>
      <c r="BH952" s="215"/>
      <c r="BI952" s="215"/>
      <c r="BJ952" s="215"/>
      <c r="BK952" s="215"/>
      <c r="BL952" s="215"/>
      <c r="BM952" s="215"/>
      <c r="BN952" s="215"/>
      <c r="BO952" s="215"/>
      <c r="BP952" s="215"/>
      <c r="BQ952" s="215"/>
      <c r="BR952" s="215"/>
      <c r="BS952" s="215"/>
      <c r="BT952" s="215"/>
      <c r="BU952" s="215"/>
      <c r="BV952" s="215"/>
      <c r="BW952" s="215"/>
      <c r="BX952" s="215"/>
      <c r="BY952" s="215"/>
      <c r="BZ952" s="215"/>
    </row>
    <row r="953" spans="1:78" outlineLevel="1" x14ac:dyDescent="0.2">
      <c r="A953" s="215" t="str">
        <f>'Language Index'!A512</f>
        <v>Proj. Benefit Obligation</v>
      </c>
      <c r="B953" s="17"/>
      <c r="C953" s="17"/>
      <c r="D953" s="18">
        <f>_xll.ciqfunctions.udf.CIQ($C$2,"IQ_PENSION_OBLIGATION_PROJECTED_FOREIGN",D$6,$F$2,,,Ccy,Conv)</f>
        <v>0</v>
      </c>
      <c r="E953" s="18">
        <f>_xll.ciqfunctions.udf.CIQ($C$2,"IQ_PENSION_OBLIGATION_PROJECTED_FOREIGN",E$6,$F$2,,,Ccy,Conv)</f>
        <v>0</v>
      </c>
      <c r="F953" s="18">
        <f>_xll.ciqfunctions.udf.CIQ($C$2,"IQ_PENSION_OBLIGATION_PROJECTED_FOREIGN",F$6,$F$2,,,Ccy,Conv)</f>
        <v>33479</v>
      </c>
      <c r="G953" s="18">
        <f>_xll.ciqfunctions.udf.CIQ($C$2,"IQ_PENSION_OBLIGATION_PROJECTED_FOREIGN",G$6,$F$2,,,Ccy,Conv)</f>
        <v>0</v>
      </c>
      <c r="H953" s="18">
        <f>_xll.ciqfunctions.udf.CIQ($C$2,"IQ_PENSION_OBLIGATION_PROJECTED_FOREIGN",H$6,$F$2,,,Ccy,Conv)</f>
        <v>0</v>
      </c>
      <c r="I953" s="18">
        <f>_xll.ciqfunctions.udf.CIQ($C$2,"IQ_PENSION_OBLIGATION_PROJECTED_FOREIGN",I$6,$F$2,,,Ccy,Conv)</f>
        <v>0</v>
      </c>
      <c r="J953" s="18">
        <f>_xll.ciqfunctions.udf.CIQ($C$2,"IQ_PENSION_OBLIGATION_PROJECTED_FOREIGN",J$6,$F$2,,,Ccy,Conv)</f>
        <v>28490</v>
      </c>
      <c r="K953" s="18">
        <f>_xll.ciqfunctions.udf.CIQ($C$2,"IQ_PENSION_OBLIGATION_PROJECTED_FOREIGN",K$6,$F$2,,,Ccy,Conv)</f>
        <v>0</v>
      </c>
      <c r="L953" s="18">
        <f>_xll.ciqfunctions.udf.CIQ($C$2,"IQ_PENSION_OBLIGATION_PROJECTED_FOREIGN",L$6,$F$2,,,Ccy,Conv)</f>
        <v>0</v>
      </c>
      <c r="M953" s="18">
        <f>_xll.ciqfunctions.udf.CIQ($C$2,"IQ_PENSION_OBLIGATION_PROJECTED_FOREIGN",M$6,$F$2,,,Ccy,Conv)</f>
        <v>0</v>
      </c>
      <c r="N953" s="18">
        <f>_xll.ciqfunctions.udf.CIQ($C$2,"IQ_PENSION_OBLIGATION_PROJECTED_FOREIGN",N$6,$F$2,,,Ccy,Conv)</f>
        <v>29872</v>
      </c>
      <c r="O953" s="30"/>
      <c r="P953" s="18">
        <f>_xll.ciqfunctions.udf.CIQ($C$2,"IQ_PENSION_OBLIGATION_PROJECTED_FOREIGN",P$6,$F$2,,,Ccy,Conv)</f>
        <v>29872</v>
      </c>
      <c r="Q953" s="215"/>
      <c r="R953" s="215"/>
      <c r="S953" s="215"/>
      <c r="T953" s="215"/>
      <c r="U953" s="215"/>
      <c r="V953" s="222"/>
      <c r="W953" s="222"/>
      <c r="X953" s="222"/>
      <c r="Y953" s="215"/>
      <c r="Z953" s="215"/>
      <c r="AA953" s="215"/>
      <c r="AB953" s="215"/>
      <c r="AC953" s="215"/>
      <c r="AD953" s="215"/>
      <c r="AE953" s="215"/>
      <c r="AF953" s="215"/>
      <c r="AG953" s="215"/>
      <c r="AH953" s="215"/>
      <c r="AI953" s="215"/>
      <c r="AJ953" s="215"/>
      <c r="AK953" s="215"/>
      <c r="AL953" s="215"/>
      <c r="AM953" s="215"/>
      <c r="AN953" s="215"/>
      <c r="AO953" s="215"/>
      <c r="AP953" s="215"/>
      <c r="AQ953" s="215"/>
      <c r="AR953" s="215"/>
      <c r="AS953" s="215"/>
      <c r="AT953" s="215"/>
      <c r="AU953" s="215"/>
      <c r="AV953" s="215"/>
      <c r="AW953" s="215"/>
      <c r="AX953" s="215"/>
      <c r="AY953" s="215"/>
      <c r="AZ953" s="215"/>
      <c r="BA953" s="215"/>
      <c r="BB953" s="215"/>
      <c r="BC953" s="215"/>
      <c r="BD953" s="215"/>
      <c r="BE953" s="215"/>
      <c r="BF953" s="215"/>
      <c r="BG953" s="215"/>
      <c r="BH953" s="215"/>
      <c r="BI953" s="215"/>
      <c r="BJ953" s="215"/>
      <c r="BK953" s="215"/>
      <c r="BL953" s="215"/>
      <c r="BM953" s="215"/>
      <c r="BN953" s="215"/>
      <c r="BO953" s="215"/>
      <c r="BP953" s="215"/>
      <c r="BQ953" s="215"/>
      <c r="BR953" s="215"/>
      <c r="BS953" s="215"/>
      <c r="BT953" s="215"/>
      <c r="BU953" s="215"/>
      <c r="BV953" s="215"/>
      <c r="BW953" s="215"/>
      <c r="BX953" s="215"/>
      <c r="BY953" s="215"/>
      <c r="BZ953" s="215"/>
    </row>
    <row r="954" spans="1:78" outlineLevel="1" x14ac:dyDescent="0.2">
      <c r="A954" s="215" t="str">
        <f>'Language Index'!A513</f>
        <v>Accum. Benefit Obligation (Pension)</v>
      </c>
      <c r="B954" s="17"/>
      <c r="C954" s="17"/>
      <c r="D954" s="18">
        <f>_xll.ciqfunctions.udf.CIQ($C$2,"IQ_PENSION_ACCUMULATED_OBLIGATION_FOREIGN",D$6,$F$2,,,Ccy,Conv)</f>
        <v>0</v>
      </c>
      <c r="E954" s="18">
        <f>_xll.ciqfunctions.udf.CIQ($C$2,"IQ_PENSION_ACCUMULATED_OBLIGATION_FOREIGN",E$6,$F$2,,,Ccy,Conv)</f>
        <v>0</v>
      </c>
      <c r="F954" s="18">
        <f>_xll.ciqfunctions.udf.CIQ($C$2,"IQ_PENSION_ACCUMULATED_OBLIGATION_FOREIGN",F$6,$F$2,,,Ccy,Conv)</f>
        <v>33128</v>
      </c>
      <c r="G954" s="18">
        <f>_xll.ciqfunctions.udf.CIQ($C$2,"IQ_PENSION_ACCUMULATED_OBLIGATION_FOREIGN",G$6,$F$2,,,Ccy,Conv)</f>
        <v>0</v>
      </c>
      <c r="H954" s="18">
        <f>_xll.ciqfunctions.udf.CIQ($C$2,"IQ_PENSION_ACCUMULATED_OBLIGATION_FOREIGN",H$6,$F$2,,,Ccy,Conv)</f>
        <v>0</v>
      </c>
      <c r="I954" s="18">
        <f>_xll.ciqfunctions.udf.CIQ($C$2,"IQ_PENSION_ACCUMULATED_OBLIGATION_FOREIGN",I$6,$F$2,,,Ccy,Conv)</f>
        <v>0</v>
      </c>
      <c r="J954" s="18">
        <f>_xll.ciqfunctions.udf.CIQ($C$2,"IQ_PENSION_ACCUMULATED_OBLIGATION_FOREIGN",J$6,$F$2,,,Ccy,Conv)</f>
        <v>28187</v>
      </c>
      <c r="K954" s="18">
        <f>_xll.ciqfunctions.udf.CIQ($C$2,"IQ_PENSION_ACCUMULATED_OBLIGATION_FOREIGN",K$6,$F$2,,,Ccy,Conv)</f>
        <v>0</v>
      </c>
      <c r="L954" s="18">
        <f>_xll.ciqfunctions.udf.CIQ($C$2,"IQ_PENSION_ACCUMULATED_OBLIGATION_FOREIGN",L$6,$F$2,,,Ccy,Conv)</f>
        <v>0</v>
      </c>
      <c r="M954" s="18">
        <f>_xll.ciqfunctions.udf.CIQ($C$2,"IQ_PENSION_ACCUMULATED_OBLIGATION_FOREIGN",M$6,$F$2,,,Ccy,Conv)</f>
        <v>0</v>
      </c>
      <c r="N954" s="18">
        <f>_xll.ciqfunctions.udf.CIQ($C$2,"IQ_PENSION_ACCUMULATED_OBLIGATION_FOREIGN",N$6,$F$2,,,Ccy,Conv)</f>
        <v>29540</v>
      </c>
      <c r="O954" s="30"/>
      <c r="P954" s="18">
        <f>_xll.ciqfunctions.udf.CIQ($C$2,"IQ_PENSION_ACCUMULATED_OBLIGATION_FOREIGN",P$6,$F$2,,,Ccy,Conv)</f>
        <v>29540</v>
      </c>
      <c r="Q954" s="215"/>
      <c r="R954" s="215"/>
      <c r="S954" s="215"/>
      <c r="T954" s="215"/>
      <c r="U954" s="215"/>
      <c r="V954" s="222"/>
      <c r="W954" s="222"/>
      <c r="X954" s="222"/>
      <c r="Y954" s="215"/>
      <c r="Z954" s="215"/>
      <c r="AA954" s="215"/>
      <c r="AB954" s="215"/>
      <c r="AC954" s="215"/>
      <c r="AD954" s="215"/>
      <c r="AE954" s="215"/>
      <c r="AF954" s="215"/>
      <c r="AG954" s="215"/>
      <c r="AH954" s="215"/>
      <c r="AI954" s="215"/>
      <c r="AJ954" s="215"/>
      <c r="AK954" s="215"/>
      <c r="AL954" s="215"/>
      <c r="AM954" s="215"/>
      <c r="AN954" s="215"/>
      <c r="AO954" s="215"/>
      <c r="AP954" s="215"/>
      <c r="AQ954" s="215"/>
      <c r="AR954" s="215"/>
      <c r="AS954" s="215"/>
      <c r="AT954" s="215"/>
      <c r="AU954" s="215"/>
      <c r="AV954" s="215"/>
      <c r="AW954" s="215"/>
      <c r="AX954" s="215"/>
      <c r="AY954" s="215"/>
      <c r="AZ954" s="215"/>
      <c r="BA954" s="215"/>
      <c r="BB954" s="215"/>
      <c r="BC954" s="215"/>
      <c r="BD954" s="215"/>
      <c r="BE954" s="215"/>
      <c r="BF954" s="215"/>
      <c r="BG954" s="215"/>
      <c r="BH954" s="215"/>
      <c r="BI954" s="215"/>
      <c r="BJ954" s="215"/>
      <c r="BK954" s="215"/>
      <c r="BL954" s="215"/>
      <c r="BM954" s="215"/>
      <c r="BN954" s="215"/>
      <c r="BO954" s="215"/>
      <c r="BP954" s="215"/>
      <c r="BQ954" s="215"/>
      <c r="BR954" s="215"/>
      <c r="BS954" s="215"/>
      <c r="BT954" s="215"/>
      <c r="BU954" s="215"/>
      <c r="BV954" s="215"/>
      <c r="BW954" s="215"/>
      <c r="BX954" s="215"/>
      <c r="BY954" s="215"/>
      <c r="BZ954" s="215"/>
    </row>
    <row r="955" spans="1:78" outlineLevel="1" x14ac:dyDescent="0.2">
      <c r="A955" s="9" t="str">
        <f>'Language Index'!A514</f>
        <v>Plan Assets</v>
      </c>
      <c r="B955" s="17"/>
      <c r="C955" s="17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30"/>
      <c r="P955" s="18"/>
      <c r="Q955" s="215"/>
      <c r="R955" s="215"/>
      <c r="S955" s="215"/>
      <c r="T955" s="215"/>
      <c r="U955" s="215"/>
      <c r="V955" s="222"/>
      <c r="W955" s="222"/>
      <c r="X955" s="222"/>
      <c r="Y955" s="215"/>
      <c r="Z955" s="215"/>
      <c r="AA955" s="215"/>
      <c r="AB955" s="215"/>
      <c r="AC955" s="215"/>
      <c r="AD955" s="215"/>
      <c r="AE955" s="215"/>
      <c r="AF955" s="215"/>
      <c r="AG955" s="215"/>
      <c r="AH955" s="215"/>
      <c r="AI955" s="215"/>
      <c r="AJ955" s="215"/>
      <c r="AK955" s="215"/>
      <c r="AL955" s="215"/>
      <c r="AM955" s="215"/>
      <c r="AN955" s="215"/>
      <c r="AO955" s="215"/>
      <c r="AP955" s="215"/>
      <c r="AQ955" s="215"/>
      <c r="AR955" s="215"/>
      <c r="AS955" s="215"/>
      <c r="AT955" s="215"/>
      <c r="AU955" s="215"/>
      <c r="AV955" s="215"/>
      <c r="AW955" s="215"/>
      <c r="AX955" s="215"/>
      <c r="AY955" s="215"/>
      <c r="AZ955" s="215"/>
      <c r="BA955" s="215"/>
      <c r="BB955" s="215"/>
      <c r="BC955" s="215"/>
      <c r="BD955" s="215"/>
      <c r="BE955" s="215"/>
      <c r="BF955" s="215"/>
      <c r="BG955" s="215"/>
      <c r="BH955" s="215"/>
      <c r="BI955" s="215"/>
      <c r="BJ955" s="215"/>
      <c r="BK955" s="215"/>
      <c r="BL955" s="215"/>
      <c r="BM955" s="215"/>
      <c r="BN955" s="215"/>
      <c r="BO955" s="215"/>
      <c r="BP955" s="215"/>
      <c r="BQ955" s="215"/>
      <c r="BR955" s="215"/>
      <c r="BS955" s="215"/>
      <c r="BT955" s="215"/>
      <c r="BU955" s="215"/>
      <c r="BV955" s="215"/>
      <c r="BW955" s="215"/>
      <c r="BX955" s="215"/>
      <c r="BY955" s="215"/>
      <c r="BZ955" s="215"/>
    </row>
    <row r="956" spans="1:78" outlineLevel="1" x14ac:dyDescent="0.2">
      <c r="A956" s="215" t="str">
        <f>'Language Index'!A515</f>
        <v>Beg. Plan Assets</v>
      </c>
      <c r="B956" s="17"/>
      <c r="C956" s="17"/>
      <c r="D956" s="18">
        <f>_xll.ciqfunctions.udf.CIQ($C$2,"IQ_PENSION_ASSETS_BEG_FOREIGN",D$6,$F$2,,,Ccy,Conv)</f>
        <v>0</v>
      </c>
      <c r="E956" s="18">
        <f>_xll.ciqfunctions.udf.CIQ($C$2,"IQ_PENSION_ASSETS_BEG_FOREIGN",E$6,$F$2,,,Ccy,Conv)</f>
        <v>0</v>
      </c>
      <c r="F956" s="18">
        <f>_xll.ciqfunctions.udf.CIQ($C$2,"IQ_PENSION_ASSETS_BEG_FOREIGN",F$6,$F$2,,,Ccy,Conv)</f>
        <v>28371</v>
      </c>
      <c r="G956" s="18">
        <f>_xll.ciqfunctions.udf.CIQ($C$2,"IQ_PENSION_ASSETS_BEG_FOREIGN",G$6,$F$2,,,Ccy,Conv)</f>
        <v>0</v>
      </c>
      <c r="H956" s="18">
        <f>_xll.ciqfunctions.udf.CIQ($C$2,"IQ_PENSION_ASSETS_BEG_FOREIGN",H$6,$F$2,,,Ccy,Conv)</f>
        <v>0</v>
      </c>
      <c r="I956" s="18">
        <f>_xll.ciqfunctions.udf.CIQ($C$2,"IQ_PENSION_ASSETS_BEG_FOREIGN",I$6,$F$2,,,Ccy,Conv)</f>
        <v>0</v>
      </c>
      <c r="J956" s="18">
        <f>_xll.ciqfunctions.udf.CIQ($C$2,"IQ_PENSION_ASSETS_BEG_FOREIGN",J$6,$F$2,,,Ccy,Conv)</f>
        <v>29059</v>
      </c>
      <c r="K956" s="18">
        <f>_xll.ciqfunctions.udf.CIQ($C$2,"IQ_PENSION_ASSETS_BEG_FOREIGN",K$6,$F$2,,,Ccy,Conv)</f>
        <v>0</v>
      </c>
      <c r="L956" s="18">
        <f>_xll.ciqfunctions.udf.CIQ($C$2,"IQ_PENSION_ASSETS_BEG_FOREIGN",L$6,$F$2,,,Ccy,Conv)</f>
        <v>0</v>
      </c>
      <c r="M956" s="18">
        <f>_xll.ciqfunctions.udf.CIQ($C$2,"IQ_PENSION_ASSETS_BEG_FOREIGN",M$6,$F$2,,,Ccy,Conv)</f>
        <v>0</v>
      </c>
      <c r="N956" s="18">
        <f>_xll.ciqfunctions.udf.CIQ($C$2,"IQ_PENSION_ASSETS_BEG_FOREIGN",N$6,$F$2,,,Ccy,Conv)</f>
        <v>25205</v>
      </c>
      <c r="O956" s="30"/>
      <c r="P956" s="18">
        <f>_xll.ciqfunctions.udf.CIQ($C$2,"IQ_PENSION_ASSETS_BEG_FOREIGN",P$6,$F$2,,,Ccy,Conv)</f>
        <v>25205</v>
      </c>
      <c r="Q956" s="215"/>
      <c r="R956" s="215"/>
      <c r="S956" s="215"/>
      <c r="T956" s="215"/>
      <c r="U956" s="215"/>
      <c r="V956" s="222"/>
      <c r="W956" s="222"/>
      <c r="X956" s="222"/>
      <c r="Y956" s="215"/>
      <c r="Z956" s="215"/>
      <c r="AA956" s="215"/>
      <c r="AB956" s="215"/>
      <c r="AC956" s="215"/>
      <c r="AD956" s="215"/>
      <c r="AE956" s="215"/>
      <c r="AF956" s="215"/>
      <c r="AG956" s="215"/>
      <c r="AH956" s="215"/>
      <c r="AI956" s="215"/>
      <c r="AJ956" s="215"/>
      <c r="AK956" s="215"/>
      <c r="AL956" s="215"/>
      <c r="AM956" s="215"/>
      <c r="AN956" s="215"/>
      <c r="AO956" s="215"/>
      <c r="AP956" s="215"/>
      <c r="AQ956" s="215"/>
      <c r="AR956" s="215"/>
      <c r="AS956" s="215"/>
      <c r="AT956" s="215"/>
      <c r="AU956" s="215"/>
      <c r="AV956" s="215"/>
      <c r="AW956" s="215"/>
      <c r="AX956" s="215"/>
      <c r="AY956" s="215"/>
      <c r="AZ956" s="215"/>
      <c r="BA956" s="215"/>
      <c r="BB956" s="215"/>
      <c r="BC956" s="215"/>
      <c r="BD956" s="215"/>
      <c r="BE956" s="215"/>
      <c r="BF956" s="215"/>
      <c r="BG956" s="215"/>
      <c r="BH956" s="215"/>
      <c r="BI956" s="215"/>
      <c r="BJ956" s="215"/>
      <c r="BK956" s="215"/>
      <c r="BL956" s="215"/>
      <c r="BM956" s="215"/>
      <c r="BN956" s="215"/>
      <c r="BO956" s="215"/>
      <c r="BP956" s="215"/>
      <c r="BQ956" s="215"/>
      <c r="BR956" s="215"/>
      <c r="BS956" s="215"/>
      <c r="BT956" s="215"/>
      <c r="BU956" s="215"/>
      <c r="BV956" s="215"/>
      <c r="BW956" s="215"/>
      <c r="BX956" s="215"/>
      <c r="BY956" s="215"/>
      <c r="BZ956" s="215"/>
    </row>
    <row r="957" spans="1:78" outlineLevel="1" x14ac:dyDescent="0.2">
      <c r="A957" s="215" t="str">
        <f>'Language Index'!A516</f>
        <v>Actual Return on Plan Assets</v>
      </c>
      <c r="B957" s="17"/>
      <c r="C957" s="17"/>
      <c r="D957" s="18">
        <f>_xll.ciqfunctions.udf.CIQ($C$2,"IQ_PENSION_ASSETS_ACTUAL_RETURN_FOREIGN",D$6,$F$2,,,Ccy,Conv)</f>
        <v>0</v>
      </c>
      <c r="E957" s="18">
        <f>_xll.ciqfunctions.udf.CIQ($C$2,"IQ_PENSION_ASSETS_ACTUAL_RETURN_FOREIGN",E$6,$F$2,,,Ccy,Conv)</f>
        <v>0</v>
      </c>
      <c r="F957" s="18">
        <f>_xll.ciqfunctions.udf.CIQ($C$2,"IQ_PENSION_ASSETS_ACTUAL_RETURN_FOREIGN",F$6,$F$2,,,Ccy,Conv)</f>
        <v>1391</v>
      </c>
      <c r="G957" s="18">
        <f>_xll.ciqfunctions.udf.CIQ($C$2,"IQ_PENSION_ASSETS_ACTUAL_RETURN_FOREIGN",G$6,$F$2,,,Ccy,Conv)</f>
        <v>0</v>
      </c>
      <c r="H957" s="18">
        <f>_xll.ciqfunctions.udf.CIQ($C$2,"IQ_PENSION_ASSETS_ACTUAL_RETURN_FOREIGN",H$6,$F$2,,,Ccy,Conv)</f>
        <v>0</v>
      </c>
      <c r="I957" s="18">
        <f>_xll.ciqfunctions.udf.CIQ($C$2,"IQ_PENSION_ASSETS_ACTUAL_RETURN_FOREIGN",I$6,$F$2,,,Ccy,Conv)</f>
        <v>0</v>
      </c>
      <c r="J957" s="18">
        <f>_xll.ciqfunctions.udf.CIQ($C$2,"IQ_PENSION_ASSETS_ACTUAL_RETURN_FOREIGN",J$6,$F$2,,,Ccy,Conv)</f>
        <v>499</v>
      </c>
      <c r="K957" s="18">
        <f>_xll.ciqfunctions.udf.CIQ($C$2,"IQ_PENSION_ASSETS_ACTUAL_RETURN_FOREIGN",K$6,$F$2,,,Ccy,Conv)</f>
        <v>0</v>
      </c>
      <c r="L957" s="18">
        <f>_xll.ciqfunctions.udf.CIQ($C$2,"IQ_PENSION_ASSETS_ACTUAL_RETURN_FOREIGN",L$6,$F$2,,,Ccy,Conv)</f>
        <v>0</v>
      </c>
      <c r="M957" s="18">
        <f>_xll.ciqfunctions.udf.CIQ($C$2,"IQ_PENSION_ASSETS_ACTUAL_RETURN_FOREIGN",M$6,$F$2,,,Ccy,Conv)</f>
        <v>0</v>
      </c>
      <c r="N957" s="18">
        <f>_xll.ciqfunctions.udf.CIQ($C$2,"IQ_PENSION_ASSETS_ACTUAL_RETURN_FOREIGN",N$6,$F$2,,,Ccy,Conv)</f>
        <v>645</v>
      </c>
      <c r="O957" s="30"/>
      <c r="P957" s="18">
        <f>_xll.ciqfunctions.udf.CIQ($C$2,"IQ_PENSION_ASSETS_ACTUAL_RETURN_FOREIGN",P$6,$F$2,,,Ccy,Conv)</f>
        <v>645</v>
      </c>
      <c r="Q957" s="215"/>
      <c r="R957" s="215"/>
      <c r="S957" s="215"/>
      <c r="T957" s="215"/>
      <c r="U957" s="215"/>
      <c r="V957" s="222"/>
      <c r="W957" s="222"/>
      <c r="X957" s="222"/>
      <c r="Y957" s="215"/>
      <c r="Z957" s="215"/>
      <c r="AA957" s="215"/>
      <c r="AB957" s="215"/>
      <c r="AC957" s="215"/>
      <c r="AD957" s="215"/>
      <c r="AE957" s="215"/>
      <c r="AF957" s="215"/>
      <c r="AG957" s="215"/>
      <c r="AH957" s="215"/>
      <c r="AI957" s="215"/>
      <c r="AJ957" s="215"/>
      <c r="AK957" s="215"/>
      <c r="AL957" s="215"/>
      <c r="AM957" s="215"/>
      <c r="AN957" s="215"/>
      <c r="AO957" s="215"/>
      <c r="AP957" s="215"/>
      <c r="AQ957" s="215"/>
      <c r="AR957" s="215"/>
      <c r="AS957" s="215"/>
      <c r="AT957" s="215"/>
      <c r="AU957" s="215"/>
      <c r="AV957" s="215"/>
      <c r="AW957" s="215"/>
      <c r="AX957" s="215"/>
      <c r="AY957" s="215"/>
      <c r="AZ957" s="215"/>
      <c r="BA957" s="215"/>
      <c r="BB957" s="215"/>
      <c r="BC957" s="215"/>
      <c r="BD957" s="215"/>
      <c r="BE957" s="215"/>
      <c r="BF957" s="215"/>
      <c r="BG957" s="215"/>
      <c r="BH957" s="215"/>
      <c r="BI957" s="215"/>
      <c r="BJ957" s="215"/>
      <c r="BK957" s="215"/>
      <c r="BL957" s="215"/>
      <c r="BM957" s="215"/>
      <c r="BN957" s="215"/>
      <c r="BO957" s="215"/>
      <c r="BP957" s="215"/>
      <c r="BQ957" s="215"/>
      <c r="BR957" s="215"/>
      <c r="BS957" s="215"/>
      <c r="BT957" s="215"/>
      <c r="BU957" s="215"/>
      <c r="BV957" s="215"/>
      <c r="BW957" s="215"/>
      <c r="BX957" s="215"/>
      <c r="BY957" s="215"/>
      <c r="BZ957" s="215"/>
    </row>
    <row r="958" spans="1:78" outlineLevel="1" x14ac:dyDescent="0.2">
      <c r="A958" s="215" t="str">
        <f>'Language Index'!A517</f>
        <v>Employer Contributions</v>
      </c>
      <c r="B958" s="17"/>
      <c r="C958" s="17"/>
      <c r="D958" s="18">
        <f>_xll.ciqfunctions.udf.CIQ($C$2,"IQ_PENSION_ASSETS_EMPLOYER_CONTRIBUTIONS_FOREIGN",D$6,$F$2,,,Ccy,Conv)</f>
        <v>0</v>
      </c>
      <c r="E958" s="18">
        <f>_xll.ciqfunctions.udf.CIQ($C$2,"IQ_PENSION_ASSETS_EMPLOYER_CONTRIBUTIONS_FOREIGN",E$6,$F$2,,,Ccy,Conv)</f>
        <v>0</v>
      </c>
      <c r="F958" s="18">
        <f>_xll.ciqfunctions.udf.CIQ($C$2,"IQ_PENSION_ASSETS_EMPLOYER_CONTRIBUTIONS_FOREIGN",F$6,$F$2,,,Ccy,Conv)</f>
        <v>57</v>
      </c>
      <c r="G958" s="18">
        <f>_xll.ciqfunctions.udf.CIQ($C$2,"IQ_PENSION_ASSETS_EMPLOYER_CONTRIBUTIONS_FOREIGN",G$6,$F$2,,,Ccy,Conv)</f>
        <v>0</v>
      </c>
      <c r="H958" s="18">
        <f>_xll.ciqfunctions.udf.CIQ($C$2,"IQ_PENSION_ASSETS_EMPLOYER_CONTRIBUTIONS_FOREIGN",H$6,$F$2,,,Ccy,Conv)</f>
        <v>0</v>
      </c>
      <c r="I958" s="18">
        <f>_xll.ciqfunctions.udf.CIQ($C$2,"IQ_PENSION_ASSETS_EMPLOYER_CONTRIBUTIONS_FOREIGN",I$6,$F$2,,,Ccy,Conv)</f>
        <v>0</v>
      </c>
      <c r="J958" s="18">
        <f>_xll.ciqfunctions.udf.CIQ($C$2,"IQ_PENSION_ASSETS_EMPLOYER_CONTRIBUTIONS_FOREIGN",J$6,$F$2,,,Ccy,Conv)</f>
        <v>67</v>
      </c>
      <c r="K958" s="18">
        <f>_xll.ciqfunctions.udf.CIQ($C$2,"IQ_PENSION_ASSETS_EMPLOYER_CONTRIBUTIONS_FOREIGN",K$6,$F$2,,,Ccy,Conv)</f>
        <v>0</v>
      </c>
      <c r="L958" s="18">
        <f>_xll.ciqfunctions.udf.CIQ($C$2,"IQ_PENSION_ASSETS_EMPLOYER_CONTRIBUTIONS_FOREIGN",L$6,$F$2,,,Ccy,Conv)</f>
        <v>0</v>
      </c>
      <c r="M958" s="18">
        <f>_xll.ciqfunctions.udf.CIQ($C$2,"IQ_PENSION_ASSETS_EMPLOYER_CONTRIBUTIONS_FOREIGN",M$6,$F$2,,,Ccy,Conv)</f>
        <v>0</v>
      </c>
      <c r="N958" s="18">
        <f>_xll.ciqfunctions.udf.CIQ($C$2,"IQ_PENSION_ASSETS_EMPLOYER_CONTRIBUTIONS_FOREIGN",N$6,$F$2,,,Ccy,Conv)</f>
        <v>40</v>
      </c>
      <c r="O958" s="30"/>
      <c r="P958" s="18">
        <f>_xll.ciqfunctions.udf.CIQ($C$2,"IQ_PENSION_ASSETS_EMPLOYER_CONTRIBUTIONS_FOREIGN",P$6,$F$2,,,Ccy,Conv)</f>
        <v>40</v>
      </c>
      <c r="Q958" s="215"/>
      <c r="R958" s="215"/>
      <c r="S958" s="215"/>
      <c r="T958" s="215"/>
      <c r="U958" s="215"/>
      <c r="V958" s="222"/>
      <c r="W958" s="222"/>
      <c r="X958" s="222"/>
      <c r="Y958" s="215"/>
      <c r="Z958" s="215"/>
      <c r="AA958" s="215"/>
      <c r="AB958" s="215"/>
      <c r="AC958" s="215"/>
      <c r="AD958" s="215"/>
      <c r="AE958" s="215"/>
      <c r="AF958" s="215"/>
      <c r="AG958" s="215"/>
      <c r="AH958" s="215"/>
      <c r="AI958" s="215"/>
      <c r="AJ958" s="215"/>
      <c r="AK958" s="215"/>
      <c r="AL958" s="215"/>
      <c r="AM958" s="215"/>
      <c r="AN958" s="215"/>
      <c r="AO958" s="215"/>
      <c r="AP958" s="215"/>
      <c r="AQ958" s="215"/>
      <c r="AR958" s="215"/>
      <c r="AS958" s="215"/>
      <c r="AT958" s="215"/>
      <c r="AU958" s="215"/>
      <c r="AV958" s="215"/>
      <c r="AW958" s="215"/>
      <c r="AX958" s="215"/>
      <c r="AY958" s="215"/>
      <c r="AZ958" s="215"/>
      <c r="BA958" s="215"/>
      <c r="BB958" s="215"/>
      <c r="BC958" s="215"/>
      <c r="BD958" s="215"/>
      <c r="BE958" s="215"/>
      <c r="BF958" s="215"/>
      <c r="BG958" s="215"/>
      <c r="BH958" s="215"/>
      <c r="BI958" s="215"/>
      <c r="BJ958" s="215"/>
      <c r="BK958" s="215"/>
      <c r="BL958" s="215"/>
      <c r="BM958" s="215"/>
      <c r="BN958" s="215"/>
      <c r="BO958" s="215"/>
      <c r="BP958" s="215"/>
      <c r="BQ958" s="215"/>
      <c r="BR958" s="215"/>
      <c r="BS958" s="215"/>
      <c r="BT958" s="215"/>
      <c r="BU958" s="215"/>
      <c r="BV958" s="215"/>
      <c r="BW958" s="215"/>
      <c r="BX958" s="215"/>
      <c r="BY958" s="215"/>
      <c r="BZ958" s="215"/>
    </row>
    <row r="959" spans="1:78" outlineLevel="1" x14ac:dyDescent="0.2">
      <c r="A959" s="215" t="str">
        <f>'Language Index'!A518</f>
        <v>Participant Contributions</v>
      </c>
      <c r="B959" s="17"/>
      <c r="C959" s="17"/>
      <c r="D959" s="18">
        <f>_xll.ciqfunctions.udf.CIQ($C$2,"IQ_PENSION_ASSETS_PARTICIP_CONTRIBUTIONS_FOREIGN",D$6,$F$2,,,Ccy,Conv)</f>
        <v>0</v>
      </c>
      <c r="E959" s="18">
        <f>_xll.ciqfunctions.udf.CIQ($C$2,"IQ_PENSION_ASSETS_PARTICIP_CONTRIBUTIONS_FOREIGN",E$6,$F$2,,,Ccy,Conv)</f>
        <v>0</v>
      </c>
      <c r="F959" s="18">
        <f>_xll.ciqfunctions.udf.CIQ($C$2,"IQ_PENSION_ASSETS_PARTICIP_CONTRIBUTIONS_FOREIGN",F$6,$F$2,,,Ccy,Conv)</f>
        <v>17</v>
      </c>
      <c r="G959" s="18">
        <f>_xll.ciqfunctions.udf.CIQ($C$2,"IQ_PENSION_ASSETS_PARTICIP_CONTRIBUTIONS_FOREIGN",G$6,$F$2,,,Ccy,Conv)</f>
        <v>0</v>
      </c>
      <c r="H959" s="18">
        <f>_xll.ciqfunctions.udf.CIQ($C$2,"IQ_PENSION_ASSETS_PARTICIP_CONTRIBUTIONS_FOREIGN",H$6,$F$2,,,Ccy,Conv)</f>
        <v>0</v>
      </c>
      <c r="I959" s="18">
        <f>_xll.ciqfunctions.udf.CIQ($C$2,"IQ_PENSION_ASSETS_PARTICIP_CONTRIBUTIONS_FOREIGN",I$6,$F$2,,,Ccy,Conv)</f>
        <v>0</v>
      </c>
      <c r="J959" s="18">
        <f>_xll.ciqfunctions.udf.CIQ($C$2,"IQ_PENSION_ASSETS_PARTICIP_CONTRIBUTIONS_FOREIGN",J$6,$F$2,,,Ccy,Conv)</f>
        <v>17</v>
      </c>
      <c r="K959" s="18">
        <f>_xll.ciqfunctions.udf.CIQ($C$2,"IQ_PENSION_ASSETS_PARTICIP_CONTRIBUTIONS_FOREIGN",K$6,$F$2,,,Ccy,Conv)</f>
        <v>0</v>
      </c>
      <c r="L959" s="18">
        <f>_xll.ciqfunctions.udf.CIQ($C$2,"IQ_PENSION_ASSETS_PARTICIP_CONTRIBUTIONS_FOREIGN",L$6,$F$2,,,Ccy,Conv)</f>
        <v>0</v>
      </c>
      <c r="M959" s="18">
        <f>_xll.ciqfunctions.udf.CIQ($C$2,"IQ_PENSION_ASSETS_PARTICIP_CONTRIBUTIONS_FOREIGN",M$6,$F$2,,,Ccy,Conv)</f>
        <v>0</v>
      </c>
      <c r="N959" s="18">
        <f>_xll.ciqfunctions.udf.CIQ($C$2,"IQ_PENSION_ASSETS_PARTICIP_CONTRIBUTIONS_FOREIGN",N$6,$F$2,,,Ccy,Conv)</f>
        <v>19</v>
      </c>
      <c r="O959" s="30"/>
      <c r="P959" s="18">
        <f>_xll.ciqfunctions.udf.CIQ($C$2,"IQ_PENSION_ASSETS_PARTICIP_CONTRIBUTIONS_FOREIGN",P$6,$F$2,,,Ccy,Conv)</f>
        <v>19</v>
      </c>
      <c r="Q959" s="215"/>
      <c r="R959" s="215"/>
      <c r="S959" s="215"/>
      <c r="T959" s="215"/>
      <c r="U959" s="215"/>
      <c r="V959" s="222"/>
      <c r="W959" s="222"/>
      <c r="X959" s="222"/>
      <c r="Y959" s="215"/>
      <c r="Z959" s="215"/>
      <c r="AA959" s="215"/>
      <c r="AB959" s="215"/>
      <c r="AC959" s="215"/>
      <c r="AD959" s="215"/>
      <c r="AE959" s="215"/>
      <c r="AF959" s="215"/>
      <c r="AG959" s="215"/>
      <c r="AH959" s="215"/>
      <c r="AI959" s="215"/>
      <c r="AJ959" s="215"/>
      <c r="AK959" s="215"/>
      <c r="AL959" s="215"/>
      <c r="AM959" s="215"/>
      <c r="AN959" s="215"/>
      <c r="AO959" s="215"/>
      <c r="AP959" s="215"/>
      <c r="AQ959" s="215"/>
      <c r="AR959" s="215"/>
      <c r="AS959" s="215"/>
      <c r="AT959" s="215"/>
      <c r="AU959" s="215"/>
      <c r="AV959" s="215"/>
      <c r="AW959" s="215"/>
      <c r="AX959" s="215"/>
      <c r="AY959" s="215"/>
      <c r="AZ959" s="215"/>
      <c r="BA959" s="215"/>
      <c r="BB959" s="215"/>
      <c r="BC959" s="215"/>
      <c r="BD959" s="215"/>
      <c r="BE959" s="215"/>
      <c r="BF959" s="215"/>
      <c r="BG959" s="215"/>
      <c r="BH959" s="215"/>
      <c r="BI959" s="215"/>
      <c r="BJ959" s="215"/>
      <c r="BK959" s="215"/>
      <c r="BL959" s="215"/>
      <c r="BM959" s="215"/>
      <c r="BN959" s="215"/>
      <c r="BO959" s="215"/>
      <c r="BP959" s="215"/>
      <c r="BQ959" s="215"/>
      <c r="BR959" s="215"/>
      <c r="BS959" s="215"/>
      <c r="BT959" s="215"/>
      <c r="BU959" s="215"/>
      <c r="BV959" s="215"/>
      <c r="BW959" s="215"/>
      <c r="BX959" s="215"/>
      <c r="BY959" s="215"/>
      <c r="BZ959" s="215"/>
    </row>
    <row r="960" spans="1:78" outlineLevel="1" x14ac:dyDescent="0.2">
      <c r="A960" s="215" t="str">
        <f>'Language Index'!A519</f>
        <v>Benefits Paid</v>
      </c>
      <c r="B960" s="17"/>
      <c r="C960" s="17"/>
      <c r="D960" s="18">
        <f>_xll.ciqfunctions.udf.CIQ($C$2,"IQ_PENSION_ASSETS_BENEFITS_PAID_FOREIGN",D$6,$F$2,,,Ccy,Conv)</f>
        <v>0</v>
      </c>
      <c r="E960" s="18">
        <f>_xll.ciqfunctions.udf.CIQ($C$2,"IQ_PENSION_ASSETS_BENEFITS_PAID_FOREIGN",E$6,$F$2,,,Ccy,Conv)</f>
        <v>0</v>
      </c>
      <c r="F960" s="18">
        <f>_xll.ciqfunctions.udf.CIQ($C$2,"IQ_PENSION_ASSETS_BENEFITS_PAID_FOREIGN",F$6,$F$2,,,Ccy,Conv)</f>
        <v>-1629</v>
      </c>
      <c r="G960" s="18">
        <f>_xll.ciqfunctions.udf.CIQ($C$2,"IQ_PENSION_ASSETS_BENEFITS_PAID_FOREIGN",G$6,$F$2,,,Ccy,Conv)</f>
        <v>0</v>
      </c>
      <c r="H960" s="18">
        <f>_xll.ciqfunctions.udf.CIQ($C$2,"IQ_PENSION_ASSETS_BENEFITS_PAID_FOREIGN",H$6,$F$2,,,Ccy,Conv)</f>
        <v>0</v>
      </c>
      <c r="I960" s="18">
        <f>_xll.ciqfunctions.udf.CIQ($C$2,"IQ_PENSION_ASSETS_BENEFITS_PAID_FOREIGN",I$6,$F$2,,,Ccy,Conv)</f>
        <v>0</v>
      </c>
      <c r="J960" s="18">
        <f>_xll.ciqfunctions.udf.CIQ($C$2,"IQ_PENSION_ASSETS_BENEFITS_PAID_FOREIGN",J$6,$F$2,,,Ccy,Conv)</f>
        <v>-1635</v>
      </c>
      <c r="K960" s="18">
        <f>_xll.ciqfunctions.udf.CIQ($C$2,"IQ_PENSION_ASSETS_BENEFITS_PAID_FOREIGN",K$6,$F$2,,,Ccy,Conv)</f>
        <v>0</v>
      </c>
      <c r="L960" s="18">
        <f>_xll.ciqfunctions.udf.CIQ($C$2,"IQ_PENSION_ASSETS_BENEFITS_PAID_FOREIGN",L$6,$F$2,,,Ccy,Conv)</f>
        <v>0</v>
      </c>
      <c r="M960" s="18">
        <f>_xll.ciqfunctions.udf.CIQ($C$2,"IQ_PENSION_ASSETS_BENEFITS_PAID_FOREIGN",M$6,$F$2,,,Ccy,Conv)</f>
        <v>0</v>
      </c>
      <c r="N960" s="18">
        <f>_xll.ciqfunctions.udf.CIQ($C$2,"IQ_PENSION_ASSETS_BENEFITS_PAID_FOREIGN",N$6,$F$2,,,Ccy,Conv)</f>
        <v>-1656</v>
      </c>
      <c r="O960" s="30"/>
      <c r="P960" s="18">
        <f>_xll.ciqfunctions.udf.CIQ($C$2,"IQ_PENSION_ASSETS_BENEFITS_PAID_FOREIGN",P$6,$F$2,,,Ccy,Conv)</f>
        <v>-1656</v>
      </c>
      <c r="Q960" s="215"/>
      <c r="R960" s="215"/>
      <c r="S960" s="215"/>
      <c r="T960" s="215"/>
      <c r="U960" s="215"/>
      <c r="V960" s="222"/>
      <c r="W960" s="222"/>
      <c r="X960" s="222"/>
      <c r="Y960" s="215"/>
      <c r="Z960" s="215"/>
      <c r="AA960" s="215"/>
      <c r="AB960" s="215"/>
      <c r="AC960" s="215"/>
      <c r="AD960" s="215"/>
      <c r="AE960" s="215"/>
      <c r="AF960" s="215"/>
      <c r="AG960" s="215"/>
      <c r="AH960" s="215"/>
      <c r="AI960" s="215"/>
      <c r="AJ960" s="215"/>
      <c r="AK960" s="215"/>
      <c r="AL960" s="215"/>
      <c r="AM960" s="215"/>
      <c r="AN960" s="215"/>
      <c r="AO960" s="215"/>
      <c r="AP960" s="215"/>
      <c r="AQ960" s="215"/>
      <c r="AR960" s="215"/>
      <c r="AS960" s="215"/>
      <c r="AT960" s="215"/>
      <c r="AU960" s="215"/>
      <c r="AV960" s="215"/>
      <c r="AW960" s="215"/>
      <c r="AX960" s="215"/>
      <c r="AY960" s="215"/>
      <c r="AZ960" s="215"/>
      <c r="BA960" s="215"/>
      <c r="BB960" s="215"/>
      <c r="BC960" s="215"/>
      <c r="BD960" s="215"/>
      <c r="BE960" s="215"/>
      <c r="BF960" s="215"/>
      <c r="BG960" s="215"/>
      <c r="BH960" s="215"/>
      <c r="BI960" s="215"/>
      <c r="BJ960" s="215"/>
      <c r="BK960" s="215"/>
      <c r="BL960" s="215"/>
      <c r="BM960" s="215"/>
      <c r="BN960" s="215"/>
      <c r="BO960" s="215"/>
      <c r="BP960" s="215"/>
      <c r="BQ960" s="215"/>
      <c r="BR960" s="215"/>
      <c r="BS960" s="215"/>
      <c r="BT960" s="215"/>
      <c r="BU960" s="215"/>
      <c r="BV960" s="215"/>
      <c r="BW960" s="215"/>
      <c r="BX960" s="215"/>
      <c r="BY960" s="215"/>
      <c r="BZ960" s="215"/>
    </row>
    <row r="961" spans="1:78" outlineLevel="1" x14ac:dyDescent="0.2">
      <c r="A961" s="215" t="str">
        <f>'Language Index'!A520</f>
        <v>Foreign Exchange Adjustments</v>
      </c>
      <c r="B961" s="17"/>
      <c r="C961" s="17"/>
      <c r="D961" s="18">
        <f>_xll.ciqfunctions.udf.CIQ($C$2,"IQ_PENSION_ASSETS_FX_ADJ_FOREIGN",D$6,$F$2,,,Ccy,Conv)</f>
        <v>0</v>
      </c>
      <c r="E961" s="18">
        <f>_xll.ciqfunctions.udf.CIQ($C$2,"IQ_PENSION_ASSETS_FX_ADJ_FOREIGN",E$6,$F$2,,,Ccy,Conv)</f>
        <v>0</v>
      </c>
      <c r="F961" s="18">
        <f>_xll.ciqfunctions.udf.CIQ($C$2,"IQ_PENSION_ASSETS_FX_ADJ_FOREIGN",F$6,$F$2,,,Ccy,Conv)</f>
        <v>1058</v>
      </c>
      <c r="G961" s="18">
        <f>_xll.ciqfunctions.udf.CIQ($C$2,"IQ_PENSION_ASSETS_FX_ADJ_FOREIGN",G$6,$F$2,,,Ccy,Conv)</f>
        <v>0</v>
      </c>
      <c r="H961" s="18">
        <f>_xll.ciqfunctions.udf.CIQ($C$2,"IQ_PENSION_ASSETS_FX_ADJ_FOREIGN",H$6,$F$2,,,Ccy,Conv)</f>
        <v>0</v>
      </c>
      <c r="I961" s="18">
        <f>_xll.ciqfunctions.udf.CIQ($C$2,"IQ_PENSION_ASSETS_FX_ADJ_FOREIGN",I$6,$F$2,,,Ccy,Conv)</f>
        <v>0</v>
      </c>
      <c r="J961" s="18">
        <f>_xll.ciqfunctions.udf.CIQ($C$2,"IQ_PENSION_ASSETS_FX_ADJ_FOREIGN",J$6,$F$2,,,Ccy,Conv)</f>
        <v>-1530</v>
      </c>
      <c r="K961" s="18">
        <f>_xll.ciqfunctions.udf.CIQ($C$2,"IQ_PENSION_ASSETS_FX_ADJ_FOREIGN",K$6,$F$2,,,Ccy,Conv)</f>
        <v>0</v>
      </c>
      <c r="L961" s="18">
        <f>_xll.ciqfunctions.udf.CIQ($C$2,"IQ_PENSION_ASSETS_FX_ADJ_FOREIGN",L$6,$F$2,,,Ccy,Conv)</f>
        <v>0</v>
      </c>
      <c r="M961" s="18">
        <f>_xll.ciqfunctions.udf.CIQ($C$2,"IQ_PENSION_ASSETS_FX_ADJ_FOREIGN",M$6,$F$2,,,Ccy,Conv)</f>
        <v>0</v>
      </c>
      <c r="N961" s="18">
        <f>_xll.ciqfunctions.udf.CIQ($C$2,"IQ_PENSION_ASSETS_FX_ADJ_FOREIGN",N$6,$F$2,,,Ccy,Conv)</f>
        <v>2654</v>
      </c>
      <c r="O961" s="30"/>
      <c r="P961" s="18">
        <f>_xll.ciqfunctions.udf.CIQ($C$2,"IQ_PENSION_ASSETS_FX_ADJ_FOREIGN",P$6,$F$2,,,Ccy,Conv)</f>
        <v>2654</v>
      </c>
      <c r="Q961" s="215"/>
      <c r="R961" s="215"/>
      <c r="S961" s="215"/>
      <c r="T961" s="215"/>
      <c r="U961" s="215"/>
      <c r="V961" s="222"/>
      <c r="W961" s="222"/>
      <c r="X961" s="222"/>
      <c r="Y961" s="215"/>
      <c r="Z961" s="215"/>
      <c r="AA961" s="215"/>
      <c r="AB961" s="215"/>
      <c r="AC961" s="215"/>
      <c r="AD961" s="215"/>
      <c r="AE961" s="215"/>
      <c r="AF961" s="215"/>
      <c r="AG961" s="215"/>
      <c r="AH961" s="215"/>
      <c r="AI961" s="215"/>
      <c r="AJ961" s="215"/>
      <c r="AK961" s="215"/>
      <c r="AL961" s="215"/>
      <c r="AM961" s="215"/>
      <c r="AN961" s="215"/>
      <c r="AO961" s="215"/>
      <c r="AP961" s="215"/>
      <c r="AQ961" s="215"/>
      <c r="AR961" s="215"/>
      <c r="AS961" s="215"/>
      <c r="AT961" s="215"/>
      <c r="AU961" s="215"/>
      <c r="AV961" s="215"/>
      <c r="AW961" s="215"/>
      <c r="AX961" s="215"/>
      <c r="AY961" s="215"/>
      <c r="AZ961" s="215"/>
      <c r="BA961" s="215"/>
      <c r="BB961" s="215"/>
      <c r="BC961" s="215"/>
      <c r="BD961" s="215"/>
      <c r="BE961" s="215"/>
      <c r="BF961" s="215"/>
      <c r="BG961" s="215"/>
      <c r="BH961" s="215"/>
      <c r="BI961" s="215"/>
      <c r="BJ961" s="215"/>
      <c r="BK961" s="215"/>
      <c r="BL961" s="215"/>
      <c r="BM961" s="215"/>
      <c r="BN961" s="215"/>
      <c r="BO961" s="215"/>
      <c r="BP961" s="215"/>
      <c r="BQ961" s="215"/>
      <c r="BR961" s="215"/>
      <c r="BS961" s="215"/>
      <c r="BT961" s="215"/>
      <c r="BU961" s="215"/>
      <c r="BV961" s="215"/>
      <c r="BW961" s="215"/>
      <c r="BX961" s="215"/>
      <c r="BY961" s="215"/>
      <c r="BZ961" s="215"/>
    </row>
    <row r="962" spans="1:78" outlineLevel="1" x14ac:dyDescent="0.2">
      <c r="A962" s="215" t="str">
        <f>'Language Index'!A521</f>
        <v>Acquired Plan Assets</v>
      </c>
      <c r="B962" s="17"/>
      <c r="C962" s="17"/>
      <c r="D962" s="18">
        <f>_xll.ciqfunctions.udf.CIQ($C$2,"IQ_PENSION_ASSETS_ACQ_FOREIGN",D$6,$F$2,,,Ccy,Conv)</f>
        <v>0</v>
      </c>
      <c r="E962" s="18">
        <f>_xll.ciqfunctions.udf.CIQ($C$2,"IQ_PENSION_ASSETS_ACQ_FOREIGN",E$6,$F$2,,,Ccy,Conv)</f>
        <v>0</v>
      </c>
      <c r="F962" s="18">
        <f>_xll.ciqfunctions.udf.CIQ($C$2,"IQ_PENSION_ASSETS_ACQ_FOREIGN",F$6,$F$2,,,Ccy,Conv)</f>
        <v>0</v>
      </c>
      <c r="G962" s="18">
        <f>_xll.ciqfunctions.udf.CIQ($C$2,"IQ_PENSION_ASSETS_ACQ_FOREIGN",G$6,$F$2,,,Ccy,Conv)</f>
        <v>0</v>
      </c>
      <c r="H962" s="18">
        <f>_xll.ciqfunctions.udf.CIQ($C$2,"IQ_PENSION_ASSETS_ACQ_FOREIGN",H$6,$F$2,,,Ccy,Conv)</f>
        <v>0</v>
      </c>
      <c r="I962" s="18">
        <f>_xll.ciqfunctions.udf.CIQ($C$2,"IQ_PENSION_ASSETS_ACQ_FOREIGN",I$6,$F$2,,,Ccy,Conv)</f>
        <v>0</v>
      </c>
      <c r="J962" s="18">
        <f>_xll.ciqfunctions.udf.CIQ($C$2,"IQ_PENSION_ASSETS_ACQ_FOREIGN",J$6,$F$2,,,Ccy,Conv)</f>
        <v>0</v>
      </c>
      <c r="K962" s="18">
        <f>_xll.ciqfunctions.udf.CIQ($C$2,"IQ_PENSION_ASSETS_ACQ_FOREIGN",K$6,$F$2,,,Ccy,Conv)</f>
        <v>0</v>
      </c>
      <c r="L962" s="18">
        <f>_xll.ciqfunctions.udf.CIQ($C$2,"IQ_PENSION_ASSETS_ACQ_FOREIGN",L$6,$F$2,,,Ccy,Conv)</f>
        <v>0</v>
      </c>
      <c r="M962" s="18">
        <f>_xll.ciqfunctions.udf.CIQ($C$2,"IQ_PENSION_ASSETS_ACQ_FOREIGN",M$6,$F$2,,,Ccy,Conv)</f>
        <v>0</v>
      </c>
      <c r="N962" s="18">
        <f>_xll.ciqfunctions.udf.CIQ($C$2,"IQ_PENSION_ASSETS_ACQ_FOREIGN",N$6,$F$2,,,Ccy,Conv)</f>
        <v>0</v>
      </c>
      <c r="O962" s="30"/>
      <c r="P962" s="18">
        <f>_xll.ciqfunctions.udf.CIQ($C$2,"IQ_PENSION_ASSETS_ACQ_FOREIGN",P$6,$F$2,,,Ccy,Conv)</f>
        <v>0</v>
      </c>
      <c r="Q962" s="215"/>
      <c r="R962" s="215"/>
      <c r="S962" s="215"/>
      <c r="T962" s="215"/>
      <c r="U962" s="215"/>
      <c r="V962" s="222"/>
      <c r="W962" s="222"/>
      <c r="X962" s="222"/>
      <c r="Y962" s="215"/>
      <c r="Z962" s="215"/>
      <c r="AA962" s="215"/>
      <c r="AB962" s="215"/>
      <c r="AC962" s="215"/>
      <c r="AD962" s="215"/>
      <c r="AE962" s="215"/>
      <c r="AF962" s="215"/>
      <c r="AG962" s="215"/>
      <c r="AH962" s="215"/>
      <c r="AI962" s="215"/>
      <c r="AJ962" s="215"/>
      <c r="AK962" s="215"/>
      <c r="AL962" s="215"/>
      <c r="AM962" s="215"/>
      <c r="AN962" s="215"/>
      <c r="AO962" s="215"/>
      <c r="AP962" s="215"/>
      <c r="AQ962" s="215"/>
      <c r="AR962" s="215"/>
      <c r="AS962" s="215"/>
      <c r="AT962" s="215"/>
      <c r="AU962" s="215"/>
      <c r="AV962" s="215"/>
      <c r="AW962" s="215"/>
      <c r="AX962" s="215"/>
      <c r="AY962" s="215"/>
      <c r="AZ962" s="215"/>
      <c r="BA962" s="215"/>
      <c r="BB962" s="215"/>
      <c r="BC962" s="215"/>
      <c r="BD962" s="215"/>
      <c r="BE962" s="215"/>
      <c r="BF962" s="215"/>
      <c r="BG962" s="215"/>
      <c r="BH962" s="215"/>
      <c r="BI962" s="215"/>
      <c r="BJ962" s="215"/>
      <c r="BK962" s="215"/>
      <c r="BL962" s="215"/>
      <c r="BM962" s="215"/>
      <c r="BN962" s="215"/>
      <c r="BO962" s="215"/>
      <c r="BP962" s="215"/>
      <c r="BQ962" s="215"/>
      <c r="BR962" s="215"/>
      <c r="BS962" s="215"/>
      <c r="BT962" s="215"/>
      <c r="BU962" s="215"/>
      <c r="BV962" s="215"/>
      <c r="BW962" s="215"/>
      <c r="BX962" s="215"/>
      <c r="BY962" s="215"/>
      <c r="BZ962" s="215"/>
    </row>
    <row r="963" spans="1:78" outlineLevel="1" x14ac:dyDescent="0.2">
      <c r="A963" s="215" t="str">
        <f>'Language Index'!A522</f>
        <v>Plan Settlement/Curtailment</v>
      </c>
      <c r="B963" s="17"/>
      <c r="C963" s="17"/>
      <c r="D963" s="18">
        <f>_xll.ciqfunctions.udf.CIQ($C$2,"IQ_PENSION_ASSETS_CURTAIL_FOREIGN",D$6,$F$2,,,Ccy,Conv)</f>
        <v>0</v>
      </c>
      <c r="E963" s="18">
        <f>_xll.ciqfunctions.udf.CIQ($C$2,"IQ_PENSION_ASSETS_CURTAIL_FOREIGN",E$6,$F$2,,,Ccy,Conv)</f>
        <v>0</v>
      </c>
      <c r="F963" s="18">
        <f>_xll.ciqfunctions.udf.CIQ($C$2,"IQ_PENSION_ASSETS_CURTAIL_FOREIGN",F$6,$F$2,,,Ccy,Conv)</f>
        <v>0</v>
      </c>
      <c r="G963" s="18">
        <f>_xll.ciqfunctions.udf.CIQ($C$2,"IQ_PENSION_ASSETS_CURTAIL_FOREIGN",G$6,$F$2,,,Ccy,Conv)</f>
        <v>0</v>
      </c>
      <c r="H963" s="18">
        <f>_xll.ciqfunctions.udf.CIQ($C$2,"IQ_PENSION_ASSETS_CURTAIL_FOREIGN",H$6,$F$2,,,Ccy,Conv)</f>
        <v>0</v>
      </c>
      <c r="I963" s="18">
        <f>_xll.ciqfunctions.udf.CIQ($C$2,"IQ_PENSION_ASSETS_CURTAIL_FOREIGN",I$6,$F$2,,,Ccy,Conv)</f>
        <v>0</v>
      </c>
      <c r="J963" s="18">
        <f>_xll.ciqfunctions.udf.CIQ($C$2,"IQ_PENSION_ASSETS_CURTAIL_FOREIGN",J$6,$F$2,,,Ccy,Conv)</f>
        <v>0</v>
      </c>
      <c r="K963" s="18">
        <f>_xll.ciqfunctions.udf.CIQ($C$2,"IQ_PENSION_ASSETS_CURTAIL_FOREIGN",K$6,$F$2,,,Ccy,Conv)</f>
        <v>0</v>
      </c>
      <c r="L963" s="18">
        <f>_xll.ciqfunctions.udf.CIQ($C$2,"IQ_PENSION_ASSETS_CURTAIL_FOREIGN",L$6,$F$2,,,Ccy,Conv)</f>
        <v>0</v>
      </c>
      <c r="M963" s="18">
        <f>_xll.ciqfunctions.udf.CIQ($C$2,"IQ_PENSION_ASSETS_CURTAIL_FOREIGN",M$6,$F$2,,,Ccy,Conv)</f>
        <v>0</v>
      </c>
      <c r="N963" s="18">
        <f>_xll.ciqfunctions.udf.CIQ($C$2,"IQ_PENSION_ASSETS_CURTAIL_FOREIGN",N$6,$F$2,,,Ccy,Conv)</f>
        <v>0</v>
      </c>
      <c r="O963" s="30"/>
      <c r="P963" s="18">
        <f>_xll.ciqfunctions.udf.CIQ($C$2,"IQ_PENSION_ASSETS_CURTAIL_FOREIGN",P$6,$F$2,,,Ccy,Conv)</f>
        <v>0</v>
      </c>
      <c r="Q963" s="215"/>
      <c r="R963" s="215"/>
      <c r="S963" s="215"/>
      <c r="T963" s="215"/>
      <c r="U963" s="215"/>
      <c r="V963" s="222"/>
      <c r="W963" s="222"/>
      <c r="X963" s="222"/>
      <c r="Y963" s="215"/>
      <c r="Z963" s="215"/>
      <c r="AA963" s="215"/>
      <c r="AB963" s="215"/>
      <c r="AC963" s="215"/>
      <c r="AD963" s="215"/>
      <c r="AE963" s="215"/>
      <c r="AF963" s="215"/>
      <c r="AG963" s="215"/>
      <c r="AH963" s="215"/>
      <c r="AI963" s="215"/>
      <c r="AJ963" s="215"/>
      <c r="AK963" s="215"/>
      <c r="AL963" s="215"/>
      <c r="AM963" s="215"/>
      <c r="AN963" s="215"/>
      <c r="AO963" s="215"/>
      <c r="AP963" s="215"/>
      <c r="AQ963" s="215"/>
      <c r="AR963" s="215"/>
      <c r="AS963" s="215"/>
      <c r="AT963" s="215"/>
      <c r="AU963" s="215"/>
      <c r="AV963" s="215"/>
      <c r="AW963" s="215"/>
      <c r="AX963" s="215"/>
      <c r="AY963" s="215"/>
      <c r="AZ963" s="215"/>
      <c r="BA963" s="215"/>
      <c r="BB963" s="215"/>
      <c r="BC963" s="215"/>
      <c r="BD963" s="215"/>
      <c r="BE963" s="215"/>
      <c r="BF963" s="215"/>
      <c r="BG963" s="215"/>
      <c r="BH963" s="215"/>
      <c r="BI963" s="215"/>
      <c r="BJ963" s="215"/>
      <c r="BK963" s="215"/>
      <c r="BL963" s="215"/>
      <c r="BM963" s="215"/>
      <c r="BN963" s="215"/>
      <c r="BO963" s="215"/>
      <c r="BP963" s="215"/>
      <c r="BQ963" s="215"/>
      <c r="BR963" s="215"/>
      <c r="BS963" s="215"/>
      <c r="BT963" s="215"/>
      <c r="BU963" s="215"/>
      <c r="BV963" s="215"/>
      <c r="BW963" s="215"/>
      <c r="BX963" s="215"/>
      <c r="BY963" s="215"/>
      <c r="BZ963" s="215"/>
    </row>
    <row r="964" spans="1:78" outlineLevel="1" x14ac:dyDescent="0.2">
      <c r="A964" s="215" t="str">
        <f>'Language Index'!A523</f>
        <v>Other Plan Adjustments</v>
      </c>
      <c r="B964" s="17"/>
      <c r="C964" s="17"/>
      <c r="D964" s="18">
        <f>_xll.ciqfunctions.udf.CIQ($C$2,"IQ_PENSION_ASSETS_OTHER_PLAN_ADJ_FOREIGN",D$6,$F$2,,,Ccy,Conv)</f>
        <v>0</v>
      </c>
      <c r="E964" s="18">
        <f>_xll.ciqfunctions.udf.CIQ($C$2,"IQ_PENSION_ASSETS_OTHER_PLAN_ADJ_FOREIGN",E$6,$F$2,,,Ccy,Conv)</f>
        <v>0</v>
      </c>
      <c r="F964" s="18">
        <f>_xll.ciqfunctions.udf.CIQ($C$2,"IQ_PENSION_ASSETS_OTHER_PLAN_ADJ_FOREIGN",F$6,$F$2,,,Ccy,Conv)</f>
        <v>-205</v>
      </c>
      <c r="G964" s="18">
        <f>_xll.ciqfunctions.udf.CIQ($C$2,"IQ_PENSION_ASSETS_OTHER_PLAN_ADJ_FOREIGN",G$6,$F$2,,,Ccy,Conv)</f>
        <v>0</v>
      </c>
      <c r="H964" s="18">
        <f>_xll.ciqfunctions.udf.CIQ($C$2,"IQ_PENSION_ASSETS_OTHER_PLAN_ADJ_FOREIGN",H$6,$F$2,,,Ccy,Conv)</f>
        <v>0</v>
      </c>
      <c r="I964" s="18">
        <f>_xll.ciqfunctions.udf.CIQ($C$2,"IQ_PENSION_ASSETS_OTHER_PLAN_ADJ_FOREIGN",I$6,$F$2,,,Ccy,Conv)</f>
        <v>0</v>
      </c>
      <c r="J964" s="18">
        <f>_xll.ciqfunctions.udf.CIQ($C$2,"IQ_PENSION_ASSETS_OTHER_PLAN_ADJ_FOREIGN",J$6,$F$2,,,Ccy,Conv)</f>
        <v>-1273</v>
      </c>
      <c r="K964" s="18">
        <f>_xll.ciqfunctions.udf.CIQ($C$2,"IQ_PENSION_ASSETS_OTHER_PLAN_ADJ_FOREIGN",K$6,$F$2,,,Ccy,Conv)</f>
        <v>0</v>
      </c>
      <c r="L964" s="18">
        <f>_xll.ciqfunctions.udf.CIQ($C$2,"IQ_PENSION_ASSETS_OTHER_PLAN_ADJ_FOREIGN",L$6,$F$2,,,Ccy,Conv)</f>
        <v>0</v>
      </c>
      <c r="M964" s="18">
        <f>_xll.ciqfunctions.udf.CIQ($C$2,"IQ_PENSION_ASSETS_OTHER_PLAN_ADJ_FOREIGN",M$6,$F$2,,,Ccy,Conv)</f>
        <v>0</v>
      </c>
      <c r="N964" s="18">
        <f>_xll.ciqfunctions.udf.CIQ($C$2,"IQ_PENSION_ASSETS_OTHER_PLAN_ADJ_FOREIGN",N$6,$F$2,,,Ccy,Conv)</f>
        <v>-173</v>
      </c>
      <c r="O964" s="30"/>
      <c r="P964" s="18">
        <f>_xll.ciqfunctions.udf.CIQ($C$2,"IQ_PENSION_ASSETS_OTHER_PLAN_ADJ_FOREIGN",P$6,$F$2,,,Ccy,Conv)</f>
        <v>-173</v>
      </c>
      <c r="Q964" s="215"/>
      <c r="R964" s="215"/>
      <c r="S964" s="215"/>
      <c r="T964" s="215"/>
      <c r="U964" s="215"/>
      <c r="V964" s="222"/>
      <c r="W964" s="222"/>
      <c r="X964" s="222"/>
      <c r="Y964" s="215"/>
      <c r="Z964" s="215"/>
      <c r="AA964" s="215"/>
      <c r="AB964" s="215"/>
      <c r="AC964" s="215"/>
      <c r="AD964" s="215"/>
      <c r="AE964" s="215"/>
      <c r="AF964" s="215"/>
      <c r="AG964" s="215"/>
      <c r="AH964" s="215"/>
      <c r="AI964" s="215"/>
      <c r="AJ964" s="215"/>
      <c r="AK964" s="215"/>
      <c r="AL964" s="215"/>
      <c r="AM964" s="215"/>
      <c r="AN964" s="215"/>
      <c r="AO964" s="215"/>
      <c r="AP964" s="215"/>
      <c r="AQ964" s="215"/>
      <c r="AR964" s="215"/>
      <c r="AS964" s="215"/>
      <c r="AT964" s="215"/>
      <c r="AU964" s="215"/>
      <c r="AV964" s="215"/>
      <c r="AW964" s="215"/>
      <c r="AX964" s="215"/>
      <c r="AY964" s="215"/>
      <c r="AZ964" s="215"/>
      <c r="BA964" s="215"/>
      <c r="BB964" s="215"/>
      <c r="BC964" s="215"/>
      <c r="BD964" s="215"/>
      <c r="BE964" s="215"/>
      <c r="BF964" s="215"/>
      <c r="BG964" s="215"/>
      <c r="BH964" s="215"/>
      <c r="BI964" s="215"/>
      <c r="BJ964" s="215"/>
      <c r="BK964" s="215"/>
      <c r="BL964" s="215"/>
      <c r="BM964" s="215"/>
      <c r="BN964" s="215"/>
      <c r="BO964" s="215"/>
      <c r="BP964" s="215"/>
      <c r="BQ964" s="215"/>
      <c r="BR964" s="215"/>
      <c r="BS964" s="215"/>
      <c r="BT964" s="215"/>
      <c r="BU964" s="215"/>
      <c r="BV964" s="215"/>
      <c r="BW964" s="215"/>
      <c r="BX964" s="215"/>
      <c r="BY964" s="215"/>
      <c r="BZ964" s="215"/>
    </row>
    <row r="965" spans="1:78" outlineLevel="1" x14ac:dyDescent="0.2">
      <c r="A965" s="215" t="str">
        <f>'Language Index'!A524</f>
        <v>Total Plan Assets</v>
      </c>
      <c r="B965" s="17"/>
      <c r="C965" s="17"/>
      <c r="D965" s="18">
        <f>_xll.ciqfunctions.udf.CIQ($C$2,"IQ_PENSION_ASSETS_FOREIGN",D$6,$F$2,,,Ccy,Conv)</f>
        <v>0</v>
      </c>
      <c r="E965" s="18">
        <f>_xll.ciqfunctions.udf.CIQ($C$2,"IQ_PENSION_ASSETS_FOREIGN",E$6,$F$2,,,Ccy,Conv)</f>
        <v>0</v>
      </c>
      <c r="F965" s="18">
        <f>_xll.ciqfunctions.udf.CIQ($C$2,"IQ_PENSION_ASSETS_FOREIGN",F$6,$F$2,,,Ccy,Conv)</f>
        <v>29059</v>
      </c>
      <c r="G965" s="18">
        <f>_xll.ciqfunctions.udf.CIQ($C$2,"IQ_PENSION_ASSETS_FOREIGN",G$6,$F$2,,,Ccy,Conv)</f>
        <v>0</v>
      </c>
      <c r="H965" s="18">
        <f>_xll.ciqfunctions.udf.CIQ($C$2,"IQ_PENSION_ASSETS_FOREIGN",H$6,$F$2,,,Ccy,Conv)</f>
        <v>0</v>
      </c>
      <c r="I965" s="18">
        <f>_xll.ciqfunctions.udf.CIQ($C$2,"IQ_PENSION_ASSETS_FOREIGN",I$6,$F$2,,,Ccy,Conv)</f>
        <v>0</v>
      </c>
      <c r="J965" s="18">
        <f>_xll.ciqfunctions.udf.CIQ($C$2,"IQ_PENSION_ASSETS_FOREIGN",J$6,$F$2,,,Ccy,Conv)</f>
        <v>25205</v>
      </c>
      <c r="K965" s="18">
        <f>_xll.ciqfunctions.udf.CIQ($C$2,"IQ_PENSION_ASSETS_FOREIGN",K$6,$F$2,,,Ccy,Conv)</f>
        <v>0</v>
      </c>
      <c r="L965" s="18">
        <f>_xll.ciqfunctions.udf.CIQ($C$2,"IQ_PENSION_ASSETS_FOREIGN",L$6,$F$2,,,Ccy,Conv)</f>
        <v>0</v>
      </c>
      <c r="M965" s="18">
        <f>_xll.ciqfunctions.udf.CIQ($C$2,"IQ_PENSION_ASSETS_FOREIGN",M$6,$F$2,,,Ccy,Conv)</f>
        <v>0</v>
      </c>
      <c r="N965" s="18">
        <f>_xll.ciqfunctions.udf.CIQ($C$2,"IQ_PENSION_ASSETS_FOREIGN",N$6,$F$2,,,Ccy,Conv)</f>
        <v>26733</v>
      </c>
      <c r="O965" s="30"/>
      <c r="P965" s="18">
        <f>_xll.ciqfunctions.udf.CIQ($C$2,"IQ_PENSION_ASSETS_FOREIGN",P$6,$F$2,,,Ccy,Conv)</f>
        <v>26733</v>
      </c>
      <c r="Q965" s="215"/>
      <c r="R965" s="215"/>
      <c r="S965" s="215"/>
      <c r="T965" s="215"/>
      <c r="U965" s="215"/>
      <c r="V965" s="222"/>
      <c r="W965" s="222"/>
      <c r="X965" s="222"/>
      <c r="Y965" s="215"/>
      <c r="Z965" s="215"/>
      <c r="AA965" s="215"/>
      <c r="AB965" s="215"/>
      <c r="AC965" s="215"/>
      <c r="AD965" s="215"/>
      <c r="AE965" s="215"/>
      <c r="AF965" s="215"/>
      <c r="AG965" s="215"/>
      <c r="AH965" s="215"/>
      <c r="AI965" s="215"/>
      <c r="AJ965" s="215"/>
      <c r="AK965" s="215"/>
      <c r="AL965" s="215"/>
      <c r="AM965" s="215"/>
      <c r="AN965" s="215"/>
      <c r="AO965" s="215"/>
      <c r="AP965" s="215"/>
      <c r="AQ965" s="215"/>
      <c r="AR965" s="215"/>
      <c r="AS965" s="215"/>
      <c r="AT965" s="215"/>
      <c r="AU965" s="215"/>
      <c r="AV965" s="215"/>
      <c r="AW965" s="215"/>
      <c r="AX965" s="215"/>
      <c r="AY965" s="215"/>
      <c r="AZ965" s="215"/>
      <c r="BA965" s="215"/>
      <c r="BB965" s="215"/>
      <c r="BC965" s="215"/>
      <c r="BD965" s="215"/>
      <c r="BE965" s="215"/>
      <c r="BF965" s="215"/>
      <c r="BG965" s="215"/>
      <c r="BH965" s="215"/>
      <c r="BI965" s="215"/>
      <c r="BJ965" s="215"/>
      <c r="BK965" s="215"/>
      <c r="BL965" s="215"/>
      <c r="BM965" s="215"/>
      <c r="BN965" s="215"/>
      <c r="BO965" s="215"/>
      <c r="BP965" s="215"/>
      <c r="BQ965" s="215"/>
      <c r="BR965" s="215"/>
      <c r="BS965" s="215"/>
      <c r="BT965" s="215"/>
      <c r="BU965" s="215"/>
      <c r="BV965" s="215"/>
      <c r="BW965" s="215"/>
      <c r="BX965" s="215"/>
      <c r="BY965" s="215"/>
      <c r="BZ965" s="215"/>
    </row>
    <row r="966" spans="1:78" outlineLevel="1" x14ac:dyDescent="0.2">
      <c r="A966" s="215" t="str">
        <f>'Language Index'!A600</f>
        <v>Exp.Ret. On Pension Assets</v>
      </c>
      <c r="B966" s="17"/>
      <c r="C966" s="17"/>
      <c r="D966" s="18">
        <f>_xll.ciqfunctions.udf.CIQ($C$2,"IQ_PENSION_EXP_RETURN_FOREIGN",D$6,$F$2,,,Ccy,Conv)</f>
        <v>0</v>
      </c>
      <c r="E966" s="18">
        <f>_xll.ciqfunctions.udf.CIQ($C$2,"IQ_PENSION_EXP_RETURN_FOREIGN",E$6,$F$2,,,Ccy,Conv)</f>
        <v>0</v>
      </c>
      <c r="F966" s="18">
        <f>_xll.ciqfunctions.udf.CIQ($C$2,"IQ_PENSION_EXP_RETURN_FOREIGN",F$6,$F$2,,,Ccy,Conv)</f>
        <v>4.4400000000000004</v>
      </c>
      <c r="G966" s="18">
        <f>_xll.ciqfunctions.udf.CIQ($C$2,"IQ_PENSION_EXP_RETURN_FOREIGN",G$6,$F$2,,,Ccy,Conv)</f>
        <v>0</v>
      </c>
      <c r="H966" s="18">
        <f>_xll.ciqfunctions.udf.CIQ($C$2,"IQ_PENSION_EXP_RETURN_FOREIGN",H$6,$F$2,,,Ccy,Conv)</f>
        <v>0</v>
      </c>
      <c r="I966" s="18">
        <f>_xll.ciqfunctions.udf.CIQ($C$2,"IQ_PENSION_EXP_RETURN_FOREIGN",I$6,$F$2,,,Ccy,Conv)</f>
        <v>0</v>
      </c>
      <c r="J966" s="18">
        <f>_xll.ciqfunctions.udf.CIQ($C$2,"IQ_PENSION_EXP_RETURN_FOREIGN",J$6,$F$2,,,Ccy,Conv)</f>
        <v>4.8899999999999997</v>
      </c>
      <c r="K966" s="18">
        <f>_xll.ciqfunctions.udf.CIQ($C$2,"IQ_PENSION_EXP_RETURN_FOREIGN",K$6,$F$2,,,Ccy,Conv)</f>
        <v>0</v>
      </c>
      <c r="L966" s="18">
        <f>_xll.ciqfunctions.udf.CIQ($C$2,"IQ_PENSION_EXP_RETURN_FOREIGN",L$6,$F$2,,,Ccy,Conv)</f>
        <v>0</v>
      </c>
      <c r="M966" s="18">
        <f>_xll.ciqfunctions.udf.CIQ($C$2,"IQ_PENSION_EXP_RETURN_FOREIGN",M$6,$F$2,,,Ccy,Conv)</f>
        <v>0</v>
      </c>
      <c r="N966" s="18">
        <f>_xll.ciqfunctions.udf.CIQ($C$2,"IQ_PENSION_EXP_RETURN_FOREIGN",N$6,$F$2,,,Ccy,Conv)</f>
        <v>4.8600000000000003</v>
      </c>
      <c r="O966" s="30"/>
      <c r="P966" s="18">
        <f>_xll.ciqfunctions.udf.CIQ($C$2,"IQ_PENSION_EXP_RETURN_FOREIGN",P$6,$F$2,,,Ccy,Conv)</f>
        <v>4.8600000000000003</v>
      </c>
      <c r="Q966" s="215"/>
      <c r="R966" s="215"/>
      <c r="S966" s="215"/>
      <c r="T966" s="215"/>
      <c r="U966" s="215"/>
      <c r="V966" s="222"/>
      <c r="W966" s="222"/>
      <c r="X966" s="222"/>
      <c r="Y966" s="215"/>
      <c r="Z966" s="215"/>
      <c r="AA966" s="215"/>
      <c r="AB966" s="215"/>
      <c r="AC966" s="215"/>
      <c r="AD966" s="215"/>
      <c r="AE966" s="215"/>
      <c r="AF966" s="215"/>
      <c r="AG966" s="215"/>
      <c r="AH966" s="215"/>
      <c r="AI966" s="215"/>
      <c r="AJ966" s="215"/>
      <c r="AK966" s="215"/>
      <c r="AL966" s="215"/>
      <c r="AM966" s="215"/>
      <c r="AN966" s="215"/>
      <c r="AO966" s="215"/>
      <c r="AP966" s="215"/>
      <c r="AQ966" s="215"/>
      <c r="AR966" s="215"/>
      <c r="AS966" s="215"/>
      <c r="AT966" s="215"/>
      <c r="AU966" s="215"/>
      <c r="AV966" s="215"/>
      <c r="AW966" s="215"/>
      <c r="AX966" s="215"/>
      <c r="AY966" s="215"/>
      <c r="AZ966" s="215"/>
      <c r="BA966" s="215"/>
      <c r="BB966" s="215"/>
      <c r="BC966" s="215"/>
      <c r="BD966" s="215"/>
      <c r="BE966" s="215"/>
      <c r="BF966" s="215"/>
      <c r="BG966" s="215"/>
      <c r="BH966" s="215"/>
      <c r="BI966" s="215"/>
      <c r="BJ966" s="215"/>
      <c r="BK966" s="215"/>
      <c r="BL966" s="215"/>
      <c r="BM966" s="215"/>
      <c r="BN966" s="215"/>
      <c r="BO966" s="215"/>
      <c r="BP966" s="215"/>
      <c r="BQ966" s="215"/>
      <c r="BR966" s="215"/>
      <c r="BS966" s="215"/>
      <c r="BT966" s="215"/>
      <c r="BU966" s="215"/>
      <c r="BV966" s="215"/>
      <c r="BW966" s="215"/>
      <c r="BX966" s="215"/>
      <c r="BY966" s="215"/>
      <c r="BZ966" s="215"/>
    </row>
    <row r="967" spans="1:78" outlineLevel="1" x14ac:dyDescent="0.2">
      <c r="A967" s="215" t="str">
        <f>'Language Index'!A601</f>
        <v>Assumed Comp. Growth Rate</v>
      </c>
      <c r="B967" s="17"/>
      <c r="C967" s="17"/>
      <c r="D967" s="18">
        <f>_xll.ciqfunctions.udf.CIQ($C$2,"IQ_PENSION_RATE_COMP_GROWTH_FOREIGN",D$6,$F$2)</f>
        <v>0</v>
      </c>
      <c r="E967" s="18">
        <f>_xll.ciqfunctions.udf.CIQ($C$2,"IQ_PENSION_RATE_COMP_GROWTH_FOREIGN",E$6,$F$2)</f>
        <v>0</v>
      </c>
      <c r="F967" s="18">
        <f>_xll.ciqfunctions.udf.CIQ($C$2,"IQ_PENSION_RATE_COMP_GROWTH_FOREIGN",F$6,$F$2)</f>
        <v>4</v>
      </c>
      <c r="G967" s="18">
        <f>_xll.ciqfunctions.udf.CIQ($C$2,"IQ_PENSION_RATE_COMP_GROWTH_FOREIGN",G$6,$F$2)</f>
        <v>0</v>
      </c>
      <c r="H967" s="18">
        <f>_xll.ciqfunctions.udf.CIQ($C$2,"IQ_PENSION_RATE_COMP_GROWTH_FOREIGN",H$6,$F$2)</f>
        <v>0</v>
      </c>
      <c r="I967" s="18">
        <f>_xll.ciqfunctions.udf.CIQ($C$2,"IQ_PENSION_RATE_COMP_GROWTH_FOREIGN",I$6,$F$2)</f>
        <v>0</v>
      </c>
      <c r="J967" s="18">
        <f>_xll.ciqfunctions.udf.CIQ($C$2,"IQ_PENSION_RATE_COMP_GROWTH_FOREIGN",J$6,$F$2)</f>
        <v>4.18</v>
      </c>
      <c r="K967" s="18">
        <f>_xll.ciqfunctions.udf.CIQ($C$2,"IQ_PENSION_RATE_COMP_GROWTH_FOREIGN",K$6,$F$2)</f>
        <v>0</v>
      </c>
      <c r="L967" s="18">
        <f>_xll.ciqfunctions.udf.CIQ($C$2,"IQ_PENSION_RATE_COMP_GROWTH_FOREIGN",L$6,$F$2)</f>
        <v>0</v>
      </c>
      <c r="M967" s="18">
        <f>_xll.ciqfunctions.udf.CIQ($C$2,"IQ_PENSION_RATE_COMP_GROWTH_FOREIGN",M$6,$F$2)</f>
        <v>0</v>
      </c>
      <c r="N967" s="18">
        <f>_xll.ciqfunctions.udf.CIQ($C$2,"IQ_PENSION_RATE_COMP_GROWTH_FOREIGN",N$6,$F$2)</f>
        <v>4.04</v>
      </c>
      <c r="O967" s="30"/>
      <c r="P967" s="18">
        <f>_xll.ciqfunctions.udf.CIQ($C$2,"IQ_PENSION_RATE_COMP_GROWTH_FOREIGN",P$6,$F$2)</f>
        <v>4.04</v>
      </c>
      <c r="Q967" s="215"/>
      <c r="R967" s="215"/>
      <c r="S967" s="215"/>
      <c r="T967" s="215"/>
      <c r="U967" s="215"/>
      <c r="V967" s="222"/>
      <c r="W967" s="222"/>
      <c r="X967" s="222"/>
      <c r="Y967" s="215"/>
      <c r="Z967" s="215"/>
      <c r="AA967" s="215"/>
      <c r="AB967" s="215"/>
      <c r="AC967" s="215"/>
      <c r="AD967" s="215"/>
      <c r="AE967" s="215"/>
      <c r="AF967" s="215"/>
      <c r="AG967" s="215"/>
      <c r="AH967" s="215"/>
      <c r="AI967" s="215"/>
      <c r="AJ967" s="215"/>
      <c r="AK967" s="215"/>
      <c r="AL967" s="215"/>
      <c r="AM967" s="215"/>
      <c r="AN967" s="215"/>
      <c r="AO967" s="215"/>
      <c r="AP967" s="215"/>
      <c r="AQ967" s="215"/>
      <c r="AR967" s="215"/>
      <c r="AS967" s="215"/>
      <c r="AT967" s="215"/>
      <c r="AU967" s="215"/>
      <c r="AV967" s="215"/>
      <c r="AW967" s="215"/>
      <c r="AX967" s="215"/>
      <c r="AY967" s="215"/>
      <c r="AZ967" s="215"/>
      <c r="BA967" s="215"/>
      <c r="BB967" s="215"/>
      <c r="BC967" s="215"/>
      <c r="BD967" s="215"/>
      <c r="BE967" s="215"/>
      <c r="BF967" s="215"/>
      <c r="BG967" s="215"/>
      <c r="BH967" s="215"/>
      <c r="BI967" s="215"/>
      <c r="BJ967" s="215"/>
      <c r="BK967" s="215"/>
      <c r="BL967" s="215"/>
      <c r="BM967" s="215"/>
      <c r="BN967" s="215"/>
      <c r="BO967" s="215"/>
      <c r="BP967" s="215"/>
      <c r="BQ967" s="215"/>
      <c r="BR967" s="215"/>
      <c r="BS967" s="215"/>
      <c r="BT967" s="215"/>
      <c r="BU967" s="215"/>
      <c r="BV967" s="215"/>
      <c r="BW967" s="215"/>
      <c r="BX967" s="215"/>
      <c r="BY967" s="215"/>
      <c r="BZ967" s="215"/>
    </row>
    <row r="968" spans="1:78" outlineLevel="1" x14ac:dyDescent="0.2">
      <c r="A968" s="9" t="str">
        <f>'Language Index'!A525</f>
        <v>Weighted Avg. Assumptions on Net Periodic Cost</v>
      </c>
      <c r="B968" s="17"/>
      <c r="C968" s="17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30"/>
      <c r="P968" s="18"/>
      <c r="Q968" s="215"/>
      <c r="R968" s="215"/>
      <c r="S968" s="215"/>
      <c r="T968" s="215"/>
      <c r="U968" s="215"/>
      <c r="V968" s="222"/>
      <c r="W968" s="222"/>
      <c r="X968" s="222"/>
      <c r="Y968" s="215"/>
      <c r="Z968" s="215"/>
      <c r="AA968" s="215"/>
      <c r="AB968" s="215"/>
      <c r="AC968" s="215"/>
      <c r="AD968" s="215"/>
      <c r="AE968" s="215"/>
      <c r="AF968" s="215"/>
      <c r="AG968" s="215"/>
      <c r="AH968" s="215"/>
      <c r="AI968" s="215"/>
      <c r="AJ968" s="215"/>
      <c r="AK968" s="215"/>
      <c r="AL968" s="215"/>
      <c r="AM968" s="215"/>
      <c r="AN968" s="215"/>
      <c r="AO968" s="215"/>
      <c r="AP968" s="215"/>
      <c r="AQ968" s="215"/>
      <c r="AR968" s="215"/>
      <c r="AS968" s="215"/>
      <c r="AT968" s="215"/>
      <c r="AU968" s="215"/>
      <c r="AV968" s="215"/>
      <c r="AW968" s="215"/>
      <c r="AX968" s="215"/>
      <c r="AY968" s="215"/>
      <c r="AZ968" s="215"/>
      <c r="BA968" s="215"/>
      <c r="BB968" s="215"/>
      <c r="BC968" s="215"/>
      <c r="BD968" s="215"/>
      <c r="BE968" s="215"/>
      <c r="BF968" s="215"/>
      <c r="BG968" s="215"/>
      <c r="BH968" s="215"/>
      <c r="BI968" s="215"/>
      <c r="BJ968" s="215"/>
      <c r="BK968" s="215"/>
      <c r="BL968" s="215"/>
      <c r="BM968" s="215"/>
      <c r="BN968" s="215"/>
      <c r="BO968" s="215"/>
      <c r="BP968" s="215"/>
      <c r="BQ968" s="215"/>
      <c r="BR968" s="215"/>
      <c r="BS968" s="215"/>
      <c r="BT968" s="215"/>
      <c r="BU968" s="215"/>
      <c r="BV968" s="215"/>
      <c r="BW968" s="215"/>
      <c r="BX968" s="215"/>
      <c r="BY968" s="215"/>
      <c r="BZ968" s="215"/>
    </row>
    <row r="969" spans="1:78" outlineLevel="1" x14ac:dyDescent="0.2">
      <c r="A969" s="2" t="str">
        <f>'Language Index'!A526</f>
        <v>Net Periodic Cost Disc. Rate - Min</v>
      </c>
      <c r="B969" s="17"/>
      <c r="C969" s="17"/>
      <c r="D969" s="18">
        <f>_xll.ciqfunctions.udf.CIQ($C$2,"IQ_PENSION_DISC_RATE_MIN_FOREIGN",D$6,$F$2)</f>
        <v>0</v>
      </c>
      <c r="E969" s="18">
        <f>_xll.ciqfunctions.udf.CIQ($C$2,"IQ_PENSION_DISC_RATE_MIN_FOREIGN",E$6,$F$2)</f>
        <v>0</v>
      </c>
      <c r="F969" s="18">
        <f>_xll.ciqfunctions.udf.CIQ($C$2,"IQ_PENSION_DISC_RATE_MIN_FOREIGN",F$6,$F$2)</f>
        <v>3.8</v>
      </c>
      <c r="G969" s="18">
        <f>_xll.ciqfunctions.udf.CIQ($C$2,"IQ_PENSION_DISC_RATE_MIN_FOREIGN",G$6,$F$2)</f>
        <v>0</v>
      </c>
      <c r="H969" s="18">
        <f>_xll.ciqfunctions.udf.CIQ($C$2,"IQ_PENSION_DISC_RATE_MIN_FOREIGN",H$6,$F$2)</f>
        <v>0</v>
      </c>
      <c r="I969" s="18">
        <f>_xll.ciqfunctions.udf.CIQ($C$2,"IQ_PENSION_DISC_RATE_MIN_FOREIGN",I$6,$F$2)</f>
        <v>0</v>
      </c>
      <c r="J969" s="18">
        <f>_xll.ciqfunctions.udf.CIQ($C$2,"IQ_PENSION_DISC_RATE_MIN_FOREIGN",J$6,$F$2)</f>
        <v>3.37</v>
      </c>
      <c r="K969" s="18">
        <f>_xll.ciqfunctions.udf.CIQ($C$2,"IQ_PENSION_DISC_RATE_MIN_FOREIGN",K$6,$F$2)</f>
        <v>0</v>
      </c>
      <c r="L969" s="18">
        <f>_xll.ciqfunctions.udf.CIQ($C$2,"IQ_PENSION_DISC_RATE_MIN_FOREIGN",L$6,$F$2)</f>
        <v>0</v>
      </c>
      <c r="M969" s="18">
        <f>_xll.ciqfunctions.udf.CIQ($C$2,"IQ_PENSION_DISC_RATE_MIN_FOREIGN",M$6,$F$2)</f>
        <v>0</v>
      </c>
      <c r="N969" s="18">
        <f>_xll.ciqfunctions.udf.CIQ($C$2,"IQ_PENSION_DISC_RATE_MIN_FOREIGN",N$6,$F$2)</f>
        <v>3.61</v>
      </c>
      <c r="O969" s="30"/>
      <c r="P969" s="18">
        <f>_xll.ciqfunctions.udf.CIQ($C$2,"IQ_PENSION_DISC_RATE_MIN_FOREIGN",P$6,$F$2)</f>
        <v>3.61</v>
      </c>
      <c r="Q969" s="215"/>
      <c r="R969" s="215"/>
      <c r="S969" s="215"/>
      <c r="T969" s="215"/>
      <c r="U969" s="215"/>
      <c r="V969" s="222"/>
      <c r="W969" s="222"/>
      <c r="X969" s="222"/>
      <c r="Y969" s="215"/>
      <c r="Z969" s="215"/>
      <c r="AA969" s="215"/>
      <c r="AB969" s="215"/>
      <c r="AC969" s="215"/>
      <c r="AD969" s="215"/>
      <c r="AE969" s="215"/>
      <c r="AF969" s="215"/>
      <c r="AG969" s="215"/>
      <c r="AH969" s="215"/>
      <c r="AI969" s="215"/>
      <c r="AJ969" s="215"/>
      <c r="AK969" s="215"/>
      <c r="AL969" s="215"/>
      <c r="AM969" s="215"/>
      <c r="AN969" s="215"/>
      <c r="AO969" s="215"/>
      <c r="AP969" s="215"/>
      <c r="AQ969" s="215"/>
      <c r="AR969" s="215"/>
      <c r="AS969" s="215"/>
      <c r="AT969" s="215"/>
      <c r="AU969" s="215"/>
      <c r="AV969" s="215"/>
      <c r="AW969" s="215"/>
      <c r="AX969" s="215"/>
      <c r="AY969" s="215"/>
      <c r="AZ969" s="215"/>
      <c r="BA969" s="215"/>
      <c r="BB969" s="215"/>
      <c r="BC969" s="215"/>
      <c r="BD969" s="215"/>
      <c r="BE969" s="215"/>
      <c r="BF969" s="215"/>
      <c r="BG969" s="215"/>
      <c r="BH969" s="215"/>
      <c r="BI969" s="215"/>
      <c r="BJ969" s="215"/>
      <c r="BK969" s="215"/>
      <c r="BL969" s="215"/>
      <c r="BM969" s="215"/>
      <c r="BN969" s="215"/>
      <c r="BO969" s="215"/>
      <c r="BP969" s="215"/>
      <c r="BQ969" s="215"/>
      <c r="BR969" s="215"/>
      <c r="BS969" s="215"/>
      <c r="BT969" s="215"/>
      <c r="BU969" s="215"/>
      <c r="BV969" s="215"/>
      <c r="BW969" s="215"/>
      <c r="BX969" s="215"/>
      <c r="BY969" s="215"/>
      <c r="BZ969" s="215"/>
    </row>
    <row r="970" spans="1:78" outlineLevel="1" x14ac:dyDescent="0.2">
      <c r="A970" s="2" t="str">
        <f>'Language Index'!A527</f>
        <v>Net Periodic Cost Disc. Rate - Max</v>
      </c>
      <c r="B970" s="17"/>
      <c r="C970" s="17"/>
      <c r="D970" s="18">
        <f>_xll.ciqfunctions.udf.CIQ($C$2,"IQ_PENSION_DISC_RATE_MAX_FOREIGN",D$6,$F$2)</f>
        <v>0</v>
      </c>
      <c r="E970" s="18">
        <f>_xll.ciqfunctions.udf.CIQ($C$2,"IQ_PENSION_DISC_RATE_MAX_FOREIGN",E$6,$F$2)</f>
        <v>0</v>
      </c>
      <c r="F970" s="18">
        <f>_xll.ciqfunctions.udf.CIQ($C$2,"IQ_PENSION_DISC_RATE_MAX_FOREIGN",F$6,$F$2)</f>
        <v>3.8</v>
      </c>
      <c r="G970" s="18">
        <f>_xll.ciqfunctions.udf.CIQ($C$2,"IQ_PENSION_DISC_RATE_MAX_FOREIGN",G$6,$F$2)</f>
        <v>0</v>
      </c>
      <c r="H970" s="18">
        <f>_xll.ciqfunctions.udf.CIQ($C$2,"IQ_PENSION_DISC_RATE_MAX_FOREIGN",H$6,$F$2)</f>
        <v>0</v>
      </c>
      <c r="I970" s="18">
        <f>_xll.ciqfunctions.udf.CIQ($C$2,"IQ_PENSION_DISC_RATE_MAX_FOREIGN",I$6,$F$2)</f>
        <v>0</v>
      </c>
      <c r="J970" s="18">
        <f>_xll.ciqfunctions.udf.CIQ($C$2,"IQ_PENSION_DISC_RATE_MAX_FOREIGN",J$6,$F$2)</f>
        <v>3.37</v>
      </c>
      <c r="K970" s="18">
        <f>_xll.ciqfunctions.udf.CIQ($C$2,"IQ_PENSION_DISC_RATE_MAX_FOREIGN",K$6,$F$2)</f>
        <v>0</v>
      </c>
      <c r="L970" s="18">
        <f>_xll.ciqfunctions.udf.CIQ($C$2,"IQ_PENSION_DISC_RATE_MAX_FOREIGN",L$6,$F$2)</f>
        <v>0</v>
      </c>
      <c r="M970" s="18">
        <f>_xll.ciqfunctions.udf.CIQ($C$2,"IQ_PENSION_DISC_RATE_MAX_FOREIGN",M$6,$F$2)</f>
        <v>0</v>
      </c>
      <c r="N970" s="18">
        <f>_xll.ciqfunctions.udf.CIQ($C$2,"IQ_PENSION_DISC_RATE_MAX_FOREIGN",N$6,$F$2)</f>
        <v>3.61</v>
      </c>
      <c r="O970" s="30"/>
      <c r="P970" s="18">
        <f>_xll.ciqfunctions.udf.CIQ($C$2,"IQ_PENSION_DISC_RATE_MAX_FOREIGN",P$6,$F$2)</f>
        <v>3.61</v>
      </c>
      <c r="Q970" s="245"/>
      <c r="R970" s="215"/>
      <c r="S970" s="215"/>
      <c r="T970" s="215"/>
      <c r="U970" s="215"/>
      <c r="V970" s="222"/>
      <c r="W970" s="222"/>
      <c r="X970" s="222"/>
      <c r="Y970" s="215"/>
      <c r="Z970" s="215"/>
      <c r="AA970" s="215"/>
      <c r="AB970" s="215"/>
      <c r="AC970" s="215"/>
      <c r="AD970" s="215"/>
      <c r="AE970" s="215"/>
      <c r="AF970" s="215"/>
      <c r="AG970" s="215"/>
      <c r="AH970" s="215"/>
      <c r="AI970" s="215"/>
      <c r="AJ970" s="215"/>
      <c r="AK970" s="215"/>
      <c r="AL970" s="215"/>
      <c r="AM970" s="215"/>
      <c r="AN970" s="215"/>
      <c r="AO970" s="215"/>
      <c r="AP970" s="215"/>
      <c r="AQ970" s="215"/>
      <c r="AR970" s="215"/>
      <c r="AS970" s="215"/>
      <c r="AT970" s="215"/>
      <c r="AU970" s="215"/>
      <c r="AV970" s="215"/>
      <c r="AW970" s="215"/>
      <c r="AX970" s="215"/>
      <c r="AY970" s="215"/>
      <c r="AZ970" s="215"/>
      <c r="BA970" s="215"/>
      <c r="BB970" s="215"/>
      <c r="BC970" s="215"/>
      <c r="BD970" s="215"/>
      <c r="BE970" s="215"/>
      <c r="BF970" s="215"/>
      <c r="BG970" s="215"/>
      <c r="BH970" s="215"/>
      <c r="BI970" s="215"/>
      <c r="BJ970" s="215"/>
      <c r="BK970" s="215"/>
      <c r="BL970" s="215"/>
      <c r="BM970" s="215"/>
      <c r="BN970" s="215"/>
      <c r="BO970" s="215"/>
      <c r="BP970" s="215"/>
      <c r="BQ970" s="215"/>
      <c r="BR970" s="215"/>
      <c r="BS970" s="215"/>
      <c r="BT970" s="215"/>
      <c r="BU970" s="215"/>
      <c r="BV970" s="215"/>
      <c r="BW970" s="215"/>
      <c r="BX970" s="215"/>
      <c r="BY970" s="215"/>
      <c r="BZ970" s="215"/>
    </row>
    <row r="971" spans="1:78" outlineLevel="1" x14ac:dyDescent="0.2">
      <c r="A971" s="2" t="str">
        <f>'Language Index'!A602</f>
        <v>Discount Rate on Obligations</v>
      </c>
      <c r="B971" s="17"/>
      <c r="C971" s="17"/>
      <c r="D971" s="18">
        <f>_xll.ciqfunctions.udf.CIQ($C$2,"IQ_PENSION_DISCOUNT_RATE_FOREIGN",D$6,$F$2)</f>
        <v>0</v>
      </c>
      <c r="E971" s="18">
        <f>_xll.ciqfunctions.udf.CIQ($C$2,"IQ_PENSION_DISCOUNT_RATE_FOREIGN",E$6,$F$2)</f>
        <v>0</v>
      </c>
      <c r="F971" s="18">
        <f>_xll.ciqfunctions.udf.CIQ($C$2,"IQ_PENSION_DISCOUNT_RATE_FOREIGN",F$6,$F$2)</f>
        <v>3.36</v>
      </c>
      <c r="G971" s="18">
        <f>_xll.ciqfunctions.udf.CIQ($C$2,"IQ_PENSION_DISCOUNT_RATE_FOREIGN",G$6,$F$2)</f>
        <v>0</v>
      </c>
      <c r="H971" s="18">
        <f>_xll.ciqfunctions.udf.CIQ($C$2,"IQ_PENSION_DISCOUNT_RATE_FOREIGN",H$6,$F$2)</f>
        <v>0</v>
      </c>
      <c r="I971" s="18">
        <f>_xll.ciqfunctions.udf.CIQ($C$2,"IQ_PENSION_DISCOUNT_RATE_FOREIGN",I$6,$F$2)</f>
        <v>0</v>
      </c>
      <c r="J971" s="18">
        <f>_xll.ciqfunctions.udf.CIQ($C$2,"IQ_PENSION_DISCOUNT_RATE_FOREIGN",J$6,$F$2)</f>
        <v>3.61</v>
      </c>
      <c r="K971" s="18">
        <f>_xll.ciqfunctions.udf.CIQ($C$2,"IQ_PENSION_DISCOUNT_RATE_FOREIGN",K$6,$F$2)</f>
        <v>0</v>
      </c>
      <c r="L971" s="18">
        <f>_xll.ciqfunctions.udf.CIQ($C$2,"IQ_PENSION_DISCOUNT_RATE_FOREIGN",L$6,$F$2)</f>
        <v>0</v>
      </c>
      <c r="M971" s="18">
        <f>_xll.ciqfunctions.udf.CIQ($C$2,"IQ_PENSION_DISCOUNT_RATE_FOREIGN",M$6,$F$2)</f>
        <v>0</v>
      </c>
      <c r="N971" s="18">
        <f>_xll.ciqfunctions.udf.CIQ($C$2,"IQ_PENSION_DISCOUNT_RATE_FOREIGN",N$6,$F$2)</f>
        <v>4.05</v>
      </c>
      <c r="O971" s="30"/>
      <c r="P971" s="18">
        <f>_xll.ciqfunctions.udf.CIQ($C$2,"IQ_PENSION_DISCOUNT_RATE_FOREIGN",P$6,$F$2)</f>
        <v>4.05</v>
      </c>
      <c r="Q971" s="245"/>
      <c r="R971" s="215"/>
      <c r="S971" s="215"/>
      <c r="T971" s="215"/>
      <c r="U971" s="215"/>
      <c r="V971" s="222"/>
      <c r="W971" s="222"/>
      <c r="X971" s="222"/>
      <c r="Y971" s="215"/>
      <c r="Z971" s="215"/>
      <c r="AA971" s="215"/>
      <c r="AB971" s="215"/>
      <c r="AC971" s="215"/>
      <c r="AD971" s="215"/>
      <c r="AE971" s="215"/>
      <c r="AF971" s="215"/>
      <c r="AG971" s="215"/>
      <c r="AH971" s="215"/>
      <c r="AI971" s="215"/>
      <c r="AJ971" s="215"/>
      <c r="AK971" s="215"/>
      <c r="AL971" s="215"/>
      <c r="AM971" s="215"/>
      <c r="AN971" s="215"/>
      <c r="AO971" s="215"/>
      <c r="AP971" s="215"/>
      <c r="AQ971" s="215"/>
      <c r="AR971" s="215"/>
      <c r="AS971" s="215"/>
      <c r="AT971" s="215"/>
      <c r="AU971" s="215"/>
      <c r="AV971" s="215"/>
      <c r="AW971" s="215"/>
      <c r="AX971" s="215"/>
      <c r="AY971" s="215"/>
      <c r="AZ971" s="215"/>
      <c r="BA971" s="215"/>
      <c r="BB971" s="215"/>
      <c r="BC971" s="215"/>
      <c r="BD971" s="215"/>
      <c r="BE971" s="215"/>
      <c r="BF971" s="215"/>
      <c r="BG971" s="215"/>
      <c r="BH971" s="215"/>
      <c r="BI971" s="215"/>
      <c r="BJ971" s="215"/>
      <c r="BK971" s="215"/>
      <c r="BL971" s="215"/>
      <c r="BM971" s="215"/>
      <c r="BN971" s="215"/>
      <c r="BO971" s="215"/>
      <c r="BP971" s="215"/>
      <c r="BQ971" s="215"/>
      <c r="BR971" s="215"/>
      <c r="BS971" s="215"/>
      <c r="BT971" s="215"/>
      <c r="BU971" s="215"/>
      <c r="BV971" s="215"/>
      <c r="BW971" s="215"/>
      <c r="BX971" s="215"/>
      <c r="BY971" s="215"/>
      <c r="BZ971" s="215"/>
    </row>
    <row r="972" spans="1:78" outlineLevel="1" x14ac:dyDescent="0.2">
      <c r="A972" s="2" t="str">
        <f>'Language Index'!A528</f>
        <v>Rate of Comp. Increase - Min</v>
      </c>
      <c r="B972" s="17"/>
      <c r="C972" s="17"/>
      <c r="D972" s="18">
        <f>_xll.ciqfunctions.udf.CIQ($C$2,"IQ_PENSION_RATE_COMP_INCREASE_MIN_FOREIGN",D$6,$F$2)</f>
        <v>0</v>
      </c>
      <c r="E972" s="18">
        <f>_xll.ciqfunctions.udf.CIQ($C$2,"IQ_PENSION_RATE_COMP_INCREASE_MIN_FOREIGN",E$6,$F$2)</f>
        <v>0</v>
      </c>
      <c r="F972" s="18">
        <f>_xll.ciqfunctions.udf.CIQ($C$2,"IQ_PENSION_RATE_COMP_INCREASE_MIN_FOREIGN",F$6,$F$2)</f>
        <v>4</v>
      </c>
      <c r="G972" s="18">
        <f>_xll.ciqfunctions.udf.CIQ($C$2,"IQ_PENSION_RATE_COMP_INCREASE_MIN_FOREIGN",G$6,$F$2)</f>
        <v>0</v>
      </c>
      <c r="H972" s="18">
        <f>_xll.ciqfunctions.udf.CIQ($C$2,"IQ_PENSION_RATE_COMP_INCREASE_MIN_FOREIGN",H$6,$F$2)</f>
        <v>0</v>
      </c>
      <c r="I972" s="18">
        <f>_xll.ciqfunctions.udf.CIQ($C$2,"IQ_PENSION_RATE_COMP_INCREASE_MIN_FOREIGN",I$6,$F$2)</f>
        <v>0</v>
      </c>
      <c r="J972" s="18">
        <f>_xll.ciqfunctions.udf.CIQ($C$2,"IQ_PENSION_RATE_COMP_INCREASE_MIN_FOREIGN",J$6,$F$2)</f>
        <v>4.18</v>
      </c>
      <c r="K972" s="18">
        <f>_xll.ciqfunctions.udf.CIQ($C$2,"IQ_PENSION_RATE_COMP_INCREASE_MIN_FOREIGN",K$6,$F$2)</f>
        <v>0</v>
      </c>
      <c r="L972" s="18">
        <f>_xll.ciqfunctions.udf.CIQ($C$2,"IQ_PENSION_RATE_COMP_INCREASE_MIN_FOREIGN",L$6,$F$2)</f>
        <v>0</v>
      </c>
      <c r="M972" s="18">
        <f>_xll.ciqfunctions.udf.CIQ($C$2,"IQ_PENSION_RATE_COMP_INCREASE_MIN_FOREIGN",M$6,$F$2)</f>
        <v>0</v>
      </c>
      <c r="N972" s="18">
        <f>_xll.ciqfunctions.udf.CIQ($C$2,"IQ_PENSION_RATE_COMP_INCREASE_MIN_FOREIGN",N$6,$F$2)</f>
        <v>4.04</v>
      </c>
      <c r="O972" s="30"/>
      <c r="P972" s="18">
        <f>_xll.ciqfunctions.udf.CIQ($C$2,"IQ_PENSION_RATE_COMP_INCREASE_MIN_FOREIGN",P$6,$F$2)</f>
        <v>4.04</v>
      </c>
      <c r="Q972" s="245"/>
      <c r="R972" s="215"/>
      <c r="S972" s="215"/>
      <c r="T972" s="215"/>
      <c r="U972" s="215"/>
      <c r="V972" s="222"/>
      <c r="W972" s="222"/>
      <c r="X972" s="222"/>
      <c r="Y972" s="215"/>
      <c r="Z972" s="215"/>
      <c r="AA972" s="215"/>
      <c r="AB972" s="215"/>
      <c r="AC972" s="215"/>
      <c r="AD972" s="215"/>
      <c r="AE972" s="215"/>
      <c r="AF972" s="215"/>
      <c r="AG972" s="215"/>
      <c r="AH972" s="215"/>
      <c r="AI972" s="215"/>
      <c r="AJ972" s="215"/>
      <c r="AK972" s="215"/>
      <c r="AL972" s="215"/>
      <c r="AM972" s="215"/>
      <c r="AN972" s="215"/>
      <c r="AO972" s="215"/>
      <c r="AP972" s="215"/>
      <c r="AQ972" s="215"/>
      <c r="AR972" s="215"/>
      <c r="AS972" s="215"/>
      <c r="AT972" s="215"/>
      <c r="AU972" s="215"/>
      <c r="AV972" s="215"/>
      <c r="AW972" s="215"/>
      <c r="AX972" s="215"/>
      <c r="AY972" s="215"/>
      <c r="AZ972" s="215"/>
      <c r="BA972" s="215"/>
      <c r="BB972" s="215"/>
      <c r="BC972" s="215"/>
      <c r="BD972" s="215"/>
      <c r="BE972" s="215"/>
      <c r="BF972" s="215"/>
      <c r="BG972" s="215"/>
      <c r="BH972" s="215"/>
      <c r="BI972" s="215"/>
      <c r="BJ972" s="215"/>
      <c r="BK972" s="215"/>
      <c r="BL972" s="215"/>
      <c r="BM972" s="215"/>
      <c r="BN972" s="215"/>
      <c r="BO972" s="215"/>
      <c r="BP972" s="215"/>
      <c r="BQ972" s="215"/>
      <c r="BR972" s="215"/>
      <c r="BS972" s="215"/>
      <c r="BT972" s="215"/>
      <c r="BU972" s="215"/>
      <c r="BV972" s="215"/>
      <c r="BW972" s="215"/>
      <c r="BX972" s="215"/>
      <c r="BY972" s="215"/>
      <c r="BZ972" s="215"/>
    </row>
    <row r="973" spans="1:78" outlineLevel="1" x14ac:dyDescent="0.2">
      <c r="A973" s="2" t="str">
        <f>'Language Index'!A529</f>
        <v>Rate of Comp. Increase - Max</v>
      </c>
      <c r="B973" s="17"/>
      <c r="C973" s="17"/>
      <c r="D973" s="18">
        <f>_xll.ciqfunctions.udf.CIQ($C$2,"IQ_PENSION_RATE_COMP_INCREASE_MAX_FOREIGN",D$6,$F$2)</f>
        <v>0</v>
      </c>
      <c r="E973" s="18">
        <f>_xll.ciqfunctions.udf.CIQ($C$2,"IQ_PENSION_RATE_COMP_INCREASE_MAX_FOREIGN",E$6,$F$2)</f>
        <v>0</v>
      </c>
      <c r="F973" s="18">
        <f>_xll.ciqfunctions.udf.CIQ($C$2,"IQ_PENSION_RATE_COMP_INCREASE_MAX_FOREIGN",F$6,$F$2)</f>
        <v>4</v>
      </c>
      <c r="G973" s="18">
        <f>_xll.ciqfunctions.udf.CIQ($C$2,"IQ_PENSION_RATE_COMP_INCREASE_MAX_FOREIGN",G$6,$F$2)</f>
        <v>0</v>
      </c>
      <c r="H973" s="18">
        <f>_xll.ciqfunctions.udf.CIQ($C$2,"IQ_PENSION_RATE_COMP_INCREASE_MAX_FOREIGN",H$6,$F$2)</f>
        <v>0</v>
      </c>
      <c r="I973" s="18">
        <f>_xll.ciqfunctions.udf.CIQ($C$2,"IQ_PENSION_RATE_COMP_INCREASE_MAX_FOREIGN",I$6,$F$2)</f>
        <v>0</v>
      </c>
      <c r="J973" s="18">
        <f>_xll.ciqfunctions.udf.CIQ($C$2,"IQ_PENSION_RATE_COMP_INCREASE_MAX_FOREIGN",J$6,$F$2)</f>
        <v>4.18</v>
      </c>
      <c r="K973" s="18">
        <f>_xll.ciqfunctions.udf.CIQ($C$2,"IQ_PENSION_RATE_COMP_INCREASE_MAX_FOREIGN",K$6,$F$2)</f>
        <v>0</v>
      </c>
      <c r="L973" s="18">
        <f>_xll.ciqfunctions.udf.CIQ($C$2,"IQ_PENSION_RATE_COMP_INCREASE_MAX_FOREIGN",L$6,$F$2)</f>
        <v>0</v>
      </c>
      <c r="M973" s="18">
        <f>_xll.ciqfunctions.udf.CIQ($C$2,"IQ_PENSION_RATE_COMP_INCREASE_MAX_FOREIGN",M$6,$F$2)</f>
        <v>0</v>
      </c>
      <c r="N973" s="18">
        <f>_xll.ciqfunctions.udf.CIQ($C$2,"IQ_PENSION_RATE_COMP_INCREASE_MAX_FOREIGN",N$6,$F$2)</f>
        <v>4.04</v>
      </c>
      <c r="O973" s="30"/>
      <c r="P973" s="18">
        <f>_xll.ciqfunctions.udf.CIQ($C$2,"IQ_PENSION_RATE_COMP_INCREASE_MAX_FOREIGN",P$6,$F$2)</f>
        <v>4.04</v>
      </c>
      <c r="Q973" s="245"/>
      <c r="R973" s="215"/>
      <c r="S973" s="215"/>
      <c r="T973" s="215"/>
      <c r="U973" s="215"/>
      <c r="V973" s="222"/>
      <c r="W973" s="222"/>
      <c r="X973" s="222"/>
      <c r="Y973" s="215"/>
      <c r="Z973" s="215"/>
      <c r="AA973" s="215"/>
      <c r="AB973" s="215"/>
      <c r="AC973" s="215"/>
      <c r="AD973" s="215"/>
      <c r="AE973" s="215"/>
      <c r="AF973" s="215"/>
      <c r="AG973" s="215"/>
      <c r="AH973" s="215"/>
      <c r="AI973" s="215"/>
      <c r="AJ973" s="215"/>
      <c r="AK973" s="215"/>
      <c r="AL973" s="215"/>
      <c r="AM973" s="215"/>
      <c r="AN973" s="215"/>
      <c r="AO973" s="215"/>
      <c r="AP973" s="215"/>
      <c r="AQ973" s="215"/>
      <c r="AR973" s="215"/>
      <c r="AS973" s="215"/>
      <c r="AT973" s="215"/>
      <c r="AU973" s="215"/>
      <c r="AV973" s="215"/>
      <c r="AW973" s="215"/>
      <c r="AX973" s="215"/>
      <c r="AY973" s="215"/>
      <c r="AZ973" s="215"/>
      <c r="BA973" s="215"/>
      <c r="BB973" s="215"/>
      <c r="BC973" s="215"/>
      <c r="BD973" s="215"/>
      <c r="BE973" s="215"/>
      <c r="BF973" s="215"/>
      <c r="BG973" s="215"/>
      <c r="BH973" s="215"/>
      <c r="BI973" s="215"/>
      <c r="BJ973" s="215"/>
      <c r="BK973" s="215"/>
      <c r="BL973" s="215"/>
      <c r="BM973" s="215"/>
      <c r="BN973" s="215"/>
      <c r="BO973" s="215"/>
      <c r="BP973" s="215"/>
      <c r="BQ973" s="215"/>
      <c r="BR973" s="215"/>
      <c r="BS973" s="215"/>
      <c r="BT973" s="215"/>
      <c r="BU973" s="215"/>
      <c r="BV973" s="215"/>
      <c r="BW973" s="215"/>
      <c r="BX973" s="215"/>
      <c r="BY973" s="215"/>
      <c r="BZ973" s="215"/>
    </row>
    <row r="974" spans="1:78" outlineLevel="1" x14ac:dyDescent="0.2">
      <c r="A974" s="2" t="str">
        <f>'Language Index'!A530</f>
        <v>Exp. Long-Term Rate of Return on Assets - Min</v>
      </c>
      <c r="B974" s="17"/>
      <c r="C974" s="17"/>
      <c r="D974" s="18">
        <f>_xll.ciqfunctions.udf.CIQ($C$2,"IQ_PENSION_EXP_RATE_RETURN_MIN_FOREIGN",D$6,$F$2)</f>
        <v>0</v>
      </c>
      <c r="E974" s="18">
        <f>_xll.ciqfunctions.udf.CIQ($C$2,"IQ_PENSION_EXP_RATE_RETURN_MIN_FOREIGN",E$6,$F$2)</f>
        <v>0</v>
      </c>
      <c r="F974" s="18">
        <f>_xll.ciqfunctions.udf.CIQ($C$2,"IQ_PENSION_EXP_RATE_RETURN_MIN_FOREIGN",F$6,$F$2)</f>
        <v>4.4400000000000004</v>
      </c>
      <c r="G974" s="18">
        <f>_xll.ciqfunctions.udf.CIQ($C$2,"IQ_PENSION_EXP_RATE_RETURN_MIN_FOREIGN",G$6,$F$2)</f>
        <v>0</v>
      </c>
      <c r="H974" s="18">
        <f>_xll.ciqfunctions.udf.CIQ($C$2,"IQ_PENSION_EXP_RATE_RETURN_MIN_FOREIGN",H$6,$F$2)</f>
        <v>0</v>
      </c>
      <c r="I974" s="18">
        <f>_xll.ciqfunctions.udf.CIQ($C$2,"IQ_PENSION_EXP_RATE_RETURN_MIN_FOREIGN",I$6,$F$2)</f>
        <v>0</v>
      </c>
      <c r="J974" s="18">
        <f>_xll.ciqfunctions.udf.CIQ($C$2,"IQ_PENSION_EXP_RATE_RETURN_MIN_FOREIGN",J$6,$F$2)</f>
        <v>4.8899999999999997</v>
      </c>
      <c r="K974" s="18">
        <f>_xll.ciqfunctions.udf.CIQ($C$2,"IQ_PENSION_EXP_RATE_RETURN_MIN_FOREIGN",K$6,$F$2)</f>
        <v>0</v>
      </c>
      <c r="L974" s="18">
        <f>_xll.ciqfunctions.udf.CIQ($C$2,"IQ_PENSION_EXP_RATE_RETURN_MIN_FOREIGN",L$6,$F$2)</f>
        <v>0</v>
      </c>
      <c r="M974" s="18">
        <f>_xll.ciqfunctions.udf.CIQ($C$2,"IQ_PENSION_EXP_RATE_RETURN_MIN_FOREIGN",M$6,$F$2)</f>
        <v>0</v>
      </c>
      <c r="N974" s="18">
        <f>_xll.ciqfunctions.udf.CIQ($C$2,"IQ_PENSION_EXP_RATE_RETURN_MIN_FOREIGN",N$6,$F$2)</f>
        <v>4.8600000000000003</v>
      </c>
      <c r="O974" s="30"/>
      <c r="P974" s="18">
        <f>_xll.ciqfunctions.udf.CIQ($C$2,"IQ_PENSION_EXP_RATE_RETURN_MIN_FOREIGN",P$6,$F$2)</f>
        <v>4.8600000000000003</v>
      </c>
      <c r="Q974" s="245"/>
      <c r="R974" s="215"/>
      <c r="S974" s="215"/>
      <c r="T974" s="215"/>
      <c r="U974" s="215"/>
      <c r="V974" s="222"/>
      <c r="W974" s="222"/>
      <c r="X974" s="222"/>
      <c r="Y974" s="215"/>
      <c r="Z974" s="215"/>
      <c r="AA974" s="215"/>
      <c r="AB974" s="215"/>
      <c r="AC974" s="215"/>
      <c r="AD974" s="215"/>
      <c r="AE974" s="215"/>
      <c r="AF974" s="215"/>
      <c r="AG974" s="215"/>
      <c r="AH974" s="215"/>
      <c r="AI974" s="215"/>
      <c r="AJ974" s="215"/>
      <c r="AK974" s="215"/>
      <c r="AL974" s="215"/>
      <c r="AM974" s="215"/>
      <c r="AN974" s="215"/>
      <c r="AO974" s="215"/>
      <c r="AP974" s="215"/>
      <c r="AQ974" s="215"/>
      <c r="AR974" s="215"/>
      <c r="AS974" s="215"/>
      <c r="AT974" s="215"/>
      <c r="AU974" s="215"/>
      <c r="AV974" s="215"/>
      <c r="AW974" s="215"/>
      <c r="AX974" s="215"/>
      <c r="AY974" s="215"/>
      <c r="AZ974" s="215"/>
      <c r="BA974" s="215"/>
      <c r="BB974" s="215"/>
      <c r="BC974" s="215"/>
      <c r="BD974" s="215"/>
      <c r="BE974" s="215"/>
      <c r="BF974" s="215"/>
      <c r="BG974" s="215"/>
      <c r="BH974" s="215"/>
      <c r="BI974" s="215"/>
      <c r="BJ974" s="215"/>
      <c r="BK974" s="215"/>
      <c r="BL974" s="215"/>
      <c r="BM974" s="215"/>
      <c r="BN974" s="215"/>
      <c r="BO974" s="215"/>
      <c r="BP974" s="215"/>
      <c r="BQ974" s="215"/>
      <c r="BR974" s="215"/>
      <c r="BS974" s="215"/>
      <c r="BT974" s="215"/>
      <c r="BU974" s="215"/>
      <c r="BV974" s="215"/>
      <c r="BW974" s="215"/>
      <c r="BX974" s="215"/>
      <c r="BY974" s="215"/>
      <c r="BZ974" s="215"/>
    </row>
    <row r="975" spans="1:78" outlineLevel="1" x14ac:dyDescent="0.2">
      <c r="A975" s="2" t="str">
        <f>'Language Index'!A531</f>
        <v>Exp. Long-Term Rate of Return on Assets - Max</v>
      </c>
      <c r="B975" s="17"/>
      <c r="C975" s="17"/>
      <c r="D975" s="18">
        <f>_xll.ciqfunctions.udf.CIQ($C$2,"IQ_PENSION_EXP_RATE_RETURN_MAX_FOREIGN",D$6,$F$2)</f>
        <v>0</v>
      </c>
      <c r="E975" s="18">
        <f>_xll.ciqfunctions.udf.CIQ($C$2,"IQ_PENSION_EXP_RATE_RETURN_MAX_FOREIGN",E$6,$F$2)</f>
        <v>0</v>
      </c>
      <c r="F975" s="18">
        <f>_xll.ciqfunctions.udf.CIQ($C$2,"IQ_PENSION_EXP_RATE_RETURN_MAX_FOREIGN",F$6,$F$2)</f>
        <v>4.4400000000000004</v>
      </c>
      <c r="G975" s="18">
        <f>_xll.ciqfunctions.udf.CIQ($C$2,"IQ_PENSION_EXP_RATE_RETURN_MAX_FOREIGN",G$6,$F$2)</f>
        <v>0</v>
      </c>
      <c r="H975" s="18">
        <f>_xll.ciqfunctions.udf.CIQ($C$2,"IQ_PENSION_EXP_RATE_RETURN_MAX_FOREIGN",H$6,$F$2)</f>
        <v>0</v>
      </c>
      <c r="I975" s="18">
        <f>_xll.ciqfunctions.udf.CIQ($C$2,"IQ_PENSION_EXP_RATE_RETURN_MAX_FOREIGN",I$6,$F$2)</f>
        <v>0</v>
      </c>
      <c r="J975" s="18">
        <f>_xll.ciqfunctions.udf.CIQ($C$2,"IQ_PENSION_EXP_RATE_RETURN_MAX_FOREIGN",J$6,$F$2)</f>
        <v>4.8899999999999997</v>
      </c>
      <c r="K975" s="18">
        <f>_xll.ciqfunctions.udf.CIQ($C$2,"IQ_PENSION_EXP_RATE_RETURN_MAX_FOREIGN",K$6,$F$2)</f>
        <v>0</v>
      </c>
      <c r="L975" s="18">
        <f>_xll.ciqfunctions.udf.CIQ($C$2,"IQ_PENSION_EXP_RATE_RETURN_MAX_FOREIGN",L$6,$F$2)</f>
        <v>0</v>
      </c>
      <c r="M975" s="18">
        <f>_xll.ciqfunctions.udf.CIQ($C$2,"IQ_PENSION_EXP_RATE_RETURN_MAX_FOREIGN",M$6,$F$2)</f>
        <v>0</v>
      </c>
      <c r="N975" s="18">
        <f>_xll.ciqfunctions.udf.CIQ($C$2,"IQ_PENSION_EXP_RATE_RETURN_MAX_FOREIGN",N$6,$F$2)</f>
        <v>4.8600000000000003</v>
      </c>
      <c r="O975" s="30"/>
      <c r="P975" s="18">
        <f>_xll.ciqfunctions.udf.CIQ($C$2,"IQ_PENSION_EXP_RATE_RETURN_MAX_FOREIGN",P$6,$F$2)</f>
        <v>4.8600000000000003</v>
      </c>
      <c r="Q975" s="245"/>
      <c r="R975" s="215"/>
      <c r="S975" s="215"/>
      <c r="T975" s="215"/>
      <c r="U975" s="215"/>
      <c r="V975" s="222"/>
      <c r="W975" s="222"/>
      <c r="X975" s="222"/>
      <c r="Y975" s="215"/>
      <c r="Z975" s="215"/>
      <c r="AA975" s="215"/>
      <c r="AB975" s="215"/>
      <c r="AC975" s="215"/>
      <c r="AD975" s="215"/>
      <c r="AE975" s="215"/>
      <c r="AF975" s="215"/>
      <c r="AG975" s="215"/>
      <c r="AH975" s="215"/>
      <c r="AI975" s="215"/>
      <c r="AJ975" s="215"/>
      <c r="AK975" s="215"/>
      <c r="AL975" s="215"/>
      <c r="AM975" s="215"/>
      <c r="AN975" s="215"/>
      <c r="AO975" s="215"/>
      <c r="AP975" s="215"/>
      <c r="AQ975" s="215"/>
      <c r="AR975" s="215"/>
      <c r="AS975" s="215"/>
      <c r="AT975" s="215"/>
      <c r="AU975" s="215"/>
      <c r="AV975" s="215"/>
      <c r="AW975" s="215"/>
      <c r="AX975" s="215"/>
      <c r="AY975" s="215"/>
      <c r="AZ975" s="215"/>
      <c r="BA975" s="215"/>
      <c r="BB975" s="215"/>
      <c r="BC975" s="215"/>
      <c r="BD975" s="215"/>
      <c r="BE975" s="215"/>
      <c r="BF975" s="215"/>
      <c r="BG975" s="215"/>
      <c r="BH975" s="215"/>
      <c r="BI975" s="215"/>
      <c r="BJ975" s="215"/>
      <c r="BK975" s="215"/>
      <c r="BL975" s="215"/>
      <c r="BM975" s="215"/>
      <c r="BN975" s="215"/>
      <c r="BO975" s="215"/>
      <c r="BP975" s="215"/>
      <c r="BQ975" s="215"/>
      <c r="BR975" s="215"/>
      <c r="BS975" s="215"/>
      <c r="BT975" s="215"/>
      <c r="BU975" s="215"/>
      <c r="BV975" s="215"/>
      <c r="BW975" s="215"/>
      <c r="BX975" s="215"/>
      <c r="BY975" s="215"/>
      <c r="BZ975" s="215"/>
    </row>
    <row r="976" spans="1:78" outlineLevel="1" x14ac:dyDescent="0.2">
      <c r="A976" s="9" t="str">
        <f>'Language Index'!A532</f>
        <v>Breakdown of Plan Assets</v>
      </c>
      <c r="B976" s="17"/>
      <c r="C976" s="17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30"/>
      <c r="P976" s="18"/>
      <c r="Q976" s="245"/>
      <c r="R976" s="215"/>
      <c r="S976" s="215"/>
      <c r="T976" s="215"/>
      <c r="U976" s="215"/>
      <c r="V976" s="222"/>
      <c r="W976" s="222"/>
      <c r="X976" s="222"/>
      <c r="Y976" s="215"/>
      <c r="Z976" s="215"/>
      <c r="AA976" s="215"/>
      <c r="AB976" s="215"/>
      <c r="AC976" s="215"/>
      <c r="AD976" s="215"/>
      <c r="AE976" s="215"/>
      <c r="AF976" s="215"/>
      <c r="AG976" s="215"/>
      <c r="AH976" s="215"/>
      <c r="AI976" s="215"/>
      <c r="AJ976" s="215"/>
      <c r="AK976" s="215"/>
      <c r="AL976" s="215"/>
      <c r="AM976" s="215"/>
      <c r="AN976" s="215"/>
      <c r="AO976" s="215"/>
      <c r="AP976" s="215"/>
      <c r="AQ976" s="215"/>
      <c r="AR976" s="215"/>
      <c r="AS976" s="215"/>
      <c r="AT976" s="215"/>
      <c r="AU976" s="215"/>
      <c r="AV976" s="215"/>
      <c r="AW976" s="215"/>
      <c r="AX976" s="215"/>
      <c r="AY976" s="215"/>
      <c r="AZ976" s="215"/>
      <c r="BA976" s="215"/>
      <c r="BB976" s="215"/>
      <c r="BC976" s="215"/>
      <c r="BD976" s="215"/>
      <c r="BE976" s="215"/>
      <c r="BF976" s="215"/>
      <c r="BG976" s="215"/>
      <c r="BH976" s="215"/>
      <c r="BI976" s="215"/>
      <c r="BJ976" s="215"/>
      <c r="BK976" s="215"/>
      <c r="BL976" s="215"/>
      <c r="BM976" s="215"/>
      <c r="BN976" s="215"/>
      <c r="BO976" s="215"/>
      <c r="BP976" s="215"/>
      <c r="BQ976" s="215"/>
      <c r="BR976" s="215"/>
      <c r="BS976" s="215"/>
      <c r="BT976" s="215"/>
      <c r="BU976" s="215"/>
      <c r="BV976" s="215"/>
      <c r="BW976" s="215"/>
      <c r="BX976" s="215"/>
      <c r="BY976" s="215"/>
      <c r="BZ976" s="215"/>
    </row>
    <row r="977" spans="1:78" outlineLevel="1" x14ac:dyDescent="0.2">
      <c r="A977" s="2" t="str">
        <f>'Language Index'!A533</f>
        <v>Plan Assets - Equities (%)</v>
      </c>
      <c r="B977" s="17"/>
      <c r="C977" s="17"/>
      <c r="D977" s="18">
        <f>_xll.ciqfunctions.udf.CIQ($C$2,"IQ_PENSION_BREAKDOWN_PCT_EQ_FOREIGN",D$6,$F$2)</f>
        <v>0</v>
      </c>
      <c r="E977" s="18">
        <f>_xll.ciqfunctions.udf.CIQ($C$2,"IQ_PENSION_BREAKDOWN_PCT_EQ_FOREIGN",E$6,$F$2)</f>
        <v>0</v>
      </c>
      <c r="F977" s="18">
        <f>_xll.ciqfunctions.udf.CIQ($C$2,"IQ_PENSION_BREAKDOWN_PCT_EQ_FOREIGN",F$6,$F$2)</f>
        <v>0.85340000000000005</v>
      </c>
      <c r="G977" s="18">
        <f>_xll.ciqfunctions.udf.CIQ($C$2,"IQ_PENSION_BREAKDOWN_PCT_EQ_FOREIGN",G$6,$F$2)</f>
        <v>0</v>
      </c>
      <c r="H977" s="18">
        <f>_xll.ciqfunctions.udf.CIQ($C$2,"IQ_PENSION_BREAKDOWN_PCT_EQ_FOREIGN",H$6,$F$2)</f>
        <v>0</v>
      </c>
      <c r="I977" s="18">
        <f>_xll.ciqfunctions.udf.CIQ($C$2,"IQ_PENSION_BREAKDOWN_PCT_EQ_FOREIGN",I$6,$F$2)</f>
        <v>0</v>
      </c>
      <c r="J977" s="18">
        <f>_xll.ciqfunctions.udf.CIQ($C$2,"IQ_PENSION_BREAKDOWN_PCT_EQ_FOREIGN",J$6,$F$2)</f>
        <v>0.2697</v>
      </c>
      <c r="K977" s="18">
        <f>_xll.ciqfunctions.udf.CIQ($C$2,"IQ_PENSION_BREAKDOWN_PCT_EQ_FOREIGN",K$6,$F$2)</f>
        <v>0</v>
      </c>
      <c r="L977" s="18">
        <f>_xll.ciqfunctions.udf.CIQ($C$2,"IQ_PENSION_BREAKDOWN_PCT_EQ_FOREIGN",L$6,$F$2)</f>
        <v>0</v>
      </c>
      <c r="M977" s="18">
        <f>_xll.ciqfunctions.udf.CIQ($C$2,"IQ_PENSION_BREAKDOWN_PCT_EQ_FOREIGN",M$6,$F$2)</f>
        <v>0</v>
      </c>
      <c r="N977" s="18">
        <f>_xll.ciqfunctions.udf.CIQ($C$2,"IQ_PENSION_BREAKDOWN_PCT_EQ_FOREIGN",N$6,$F$2)</f>
        <v>0.16450000000000001</v>
      </c>
      <c r="O977" s="30"/>
      <c r="P977" s="18">
        <f>_xll.ciqfunctions.udf.CIQ($C$2,"IQ_PENSION_BREAKDOWN_PCT_EQ_FOREIGN",P$6,$F$2)</f>
        <v>0.16450000000000001</v>
      </c>
      <c r="Q977" s="245"/>
      <c r="R977" s="215"/>
      <c r="S977" s="215"/>
      <c r="T977" s="215"/>
      <c r="U977" s="215"/>
      <c r="V977" s="222"/>
      <c r="W977" s="222"/>
      <c r="X977" s="222"/>
      <c r="Y977" s="215"/>
      <c r="Z977" s="215"/>
      <c r="AA977" s="215"/>
      <c r="AB977" s="215"/>
      <c r="AC977" s="215"/>
      <c r="AD977" s="215"/>
      <c r="AE977" s="215"/>
      <c r="AF977" s="215"/>
      <c r="AG977" s="215"/>
      <c r="AH977" s="215"/>
      <c r="AI977" s="215"/>
      <c r="AJ977" s="215"/>
      <c r="AK977" s="215"/>
      <c r="AL977" s="215"/>
      <c r="AM977" s="215"/>
      <c r="AN977" s="215"/>
      <c r="AO977" s="215"/>
      <c r="AP977" s="215"/>
      <c r="AQ977" s="215"/>
      <c r="AR977" s="215"/>
      <c r="AS977" s="215"/>
      <c r="AT977" s="215"/>
      <c r="AU977" s="215"/>
      <c r="AV977" s="215"/>
      <c r="AW977" s="215"/>
      <c r="AX977" s="215"/>
      <c r="AY977" s="215"/>
      <c r="AZ977" s="215"/>
      <c r="BA977" s="215"/>
      <c r="BB977" s="215"/>
      <c r="BC977" s="215"/>
      <c r="BD977" s="215"/>
      <c r="BE977" s="215"/>
      <c r="BF977" s="215"/>
      <c r="BG977" s="215"/>
      <c r="BH977" s="215"/>
      <c r="BI977" s="215"/>
      <c r="BJ977" s="215"/>
      <c r="BK977" s="215"/>
      <c r="BL977" s="215"/>
      <c r="BM977" s="215"/>
      <c r="BN977" s="215"/>
      <c r="BO977" s="215"/>
      <c r="BP977" s="215"/>
      <c r="BQ977" s="215"/>
      <c r="BR977" s="215"/>
      <c r="BS977" s="215"/>
      <c r="BT977" s="215"/>
      <c r="BU977" s="215"/>
      <c r="BV977" s="215"/>
      <c r="BW977" s="215"/>
      <c r="BX977" s="215"/>
      <c r="BY977" s="215"/>
      <c r="BZ977" s="215"/>
    </row>
    <row r="978" spans="1:78" outlineLevel="1" x14ac:dyDescent="0.2">
      <c r="A978" s="2" t="str">
        <f>'Language Index'!A534</f>
        <v>Plan Assets - Fixed Income (%)</v>
      </c>
      <c r="B978" s="17"/>
      <c r="C978" s="17"/>
      <c r="D978" s="18">
        <f>_xll.ciqfunctions.udf.CIQ($C$2,"IQ_PENSION_BREAKDOWN_PCT_FI_FOREIGN",D$6,$F$2)</f>
        <v>0</v>
      </c>
      <c r="E978" s="18">
        <f>_xll.ciqfunctions.udf.CIQ($C$2,"IQ_PENSION_BREAKDOWN_PCT_FI_FOREIGN",E$6,$F$2)</f>
        <v>0</v>
      </c>
      <c r="F978" s="18">
        <f>_xll.ciqfunctions.udf.CIQ($C$2,"IQ_PENSION_BREAKDOWN_PCT_FI_FOREIGN",F$6,$F$2)</f>
        <v>51.027200000000001</v>
      </c>
      <c r="G978" s="18">
        <f>_xll.ciqfunctions.udf.CIQ($C$2,"IQ_PENSION_BREAKDOWN_PCT_FI_FOREIGN",G$6,$F$2)</f>
        <v>0</v>
      </c>
      <c r="H978" s="18">
        <f>_xll.ciqfunctions.udf.CIQ($C$2,"IQ_PENSION_BREAKDOWN_PCT_FI_FOREIGN",H$6,$F$2)</f>
        <v>0</v>
      </c>
      <c r="I978" s="18">
        <f>_xll.ciqfunctions.udf.CIQ($C$2,"IQ_PENSION_BREAKDOWN_PCT_FI_FOREIGN",I$6,$F$2)</f>
        <v>0</v>
      </c>
      <c r="J978" s="18">
        <f>_xll.ciqfunctions.udf.CIQ($C$2,"IQ_PENSION_BREAKDOWN_PCT_FI_FOREIGN",J$6,$F$2)</f>
        <v>52.596699999999998</v>
      </c>
      <c r="K978" s="18">
        <f>_xll.ciqfunctions.udf.CIQ($C$2,"IQ_PENSION_BREAKDOWN_PCT_FI_FOREIGN",K$6,$F$2)</f>
        <v>0</v>
      </c>
      <c r="L978" s="18">
        <f>_xll.ciqfunctions.udf.CIQ($C$2,"IQ_PENSION_BREAKDOWN_PCT_FI_FOREIGN",L$6,$F$2)</f>
        <v>0</v>
      </c>
      <c r="M978" s="18">
        <f>_xll.ciqfunctions.udf.CIQ($C$2,"IQ_PENSION_BREAKDOWN_PCT_FI_FOREIGN",M$6,$F$2)</f>
        <v>0</v>
      </c>
      <c r="N978" s="18">
        <f>_xll.ciqfunctions.udf.CIQ($C$2,"IQ_PENSION_BREAKDOWN_PCT_FI_FOREIGN",N$6,$F$2)</f>
        <v>52.2911</v>
      </c>
      <c r="O978" s="30"/>
      <c r="P978" s="18">
        <f>_xll.ciqfunctions.udf.CIQ($C$2,"IQ_PENSION_BREAKDOWN_PCT_FI_FOREIGN",P$6,$F$2)</f>
        <v>52.2911</v>
      </c>
      <c r="Q978" s="245"/>
      <c r="R978" s="215"/>
      <c r="S978" s="215"/>
      <c r="T978" s="215"/>
      <c r="U978" s="215"/>
      <c r="V978" s="222"/>
      <c r="W978" s="222"/>
      <c r="X978" s="222"/>
      <c r="Y978" s="215"/>
      <c r="Z978" s="215"/>
      <c r="AA978" s="215"/>
      <c r="AB978" s="215"/>
      <c r="AC978" s="215"/>
      <c r="AD978" s="215"/>
      <c r="AE978" s="215"/>
      <c r="AF978" s="215"/>
      <c r="AG978" s="215"/>
      <c r="AH978" s="215"/>
      <c r="AI978" s="215"/>
      <c r="AJ978" s="215"/>
      <c r="AK978" s="215"/>
      <c r="AL978" s="215"/>
      <c r="AM978" s="215"/>
      <c r="AN978" s="215"/>
      <c r="AO978" s="215"/>
      <c r="AP978" s="215"/>
      <c r="AQ978" s="215"/>
      <c r="AR978" s="215"/>
      <c r="AS978" s="215"/>
      <c r="AT978" s="215"/>
      <c r="AU978" s="215"/>
      <c r="AV978" s="215"/>
      <c r="AW978" s="215"/>
      <c r="AX978" s="215"/>
      <c r="AY978" s="215"/>
      <c r="AZ978" s="215"/>
      <c r="BA978" s="215"/>
      <c r="BB978" s="215"/>
      <c r="BC978" s="215"/>
      <c r="BD978" s="215"/>
      <c r="BE978" s="215"/>
      <c r="BF978" s="215"/>
      <c r="BG978" s="215"/>
      <c r="BH978" s="215"/>
      <c r="BI978" s="215"/>
      <c r="BJ978" s="215"/>
      <c r="BK978" s="215"/>
      <c r="BL978" s="215"/>
      <c r="BM978" s="215"/>
      <c r="BN978" s="215"/>
      <c r="BO978" s="215"/>
      <c r="BP978" s="215"/>
      <c r="BQ978" s="215"/>
      <c r="BR978" s="215"/>
      <c r="BS978" s="215"/>
      <c r="BT978" s="215"/>
      <c r="BU978" s="215"/>
      <c r="BV978" s="215"/>
      <c r="BW978" s="215"/>
      <c r="BX978" s="215"/>
      <c r="BY978" s="215"/>
      <c r="BZ978" s="215"/>
    </row>
    <row r="979" spans="1:78" outlineLevel="1" x14ac:dyDescent="0.2">
      <c r="A979" s="2" t="str">
        <f>'Language Index'!A535</f>
        <v>Plan Assets- Real Estate (%)</v>
      </c>
      <c r="B979" s="17"/>
      <c r="C979" s="17"/>
      <c r="D979" s="18">
        <f>_xll.ciqfunctions.udf.CIQ($C$2,"IQ_PENSION_BREAKDOWN_PCT_RE_FOREIGN",D$6,$F$2)</f>
        <v>0</v>
      </c>
      <c r="E979" s="18">
        <f>_xll.ciqfunctions.udf.CIQ($C$2,"IQ_PENSION_BREAKDOWN_PCT_RE_FOREIGN",E$6,$F$2)</f>
        <v>0</v>
      </c>
      <c r="F979" s="18">
        <f>_xll.ciqfunctions.udf.CIQ($C$2,"IQ_PENSION_BREAKDOWN_PCT_RE_FOREIGN",F$6,$F$2)</f>
        <v>1.37E-2</v>
      </c>
      <c r="G979" s="18">
        <f>_xll.ciqfunctions.udf.CIQ($C$2,"IQ_PENSION_BREAKDOWN_PCT_RE_FOREIGN",G$6,$F$2)</f>
        <v>0</v>
      </c>
      <c r="H979" s="18">
        <f>_xll.ciqfunctions.udf.CIQ($C$2,"IQ_PENSION_BREAKDOWN_PCT_RE_FOREIGN",H$6,$F$2)</f>
        <v>0</v>
      </c>
      <c r="I979" s="18">
        <f>_xll.ciqfunctions.udf.CIQ($C$2,"IQ_PENSION_BREAKDOWN_PCT_RE_FOREIGN",I$6,$F$2)</f>
        <v>0</v>
      </c>
      <c r="J979" s="18">
        <f>_xll.ciqfunctions.udf.CIQ($C$2,"IQ_PENSION_BREAKDOWN_PCT_RE_FOREIGN",J$6,$F$2)</f>
        <v>1.1900000000000001E-2</v>
      </c>
      <c r="K979" s="18">
        <f>_xll.ciqfunctions.udf.CIQ($C$2,"IQ_PENSION_BREAKDOWN_PCT_RE_FOREIGN",K$6,$F$2)</f>
        <v>0</v>
      </c>
      <c r="L979" s="18">
        <f>_xll.ciqfunctions.udf.CIQ($C$2,"IQ_PENSION_BREAKDOWN_PCT_RE_FOREIGN",L$6,$F$2)</f>
        <v>0</v>
      </c>
      <c r="M979" s="18">
        <f>_xll.ciqfunctions.udf.CIQ($C$2,"IQ_PENSION_BREAKDOWN_PCT_RE_FOREIGN",M$6,$F$2)</f>
        <v>0</v>
      </c>
      <c r="N979" s="18">
        <f>_xll.ciqfunctions.udf.CIQ($C$2,"IQ_PENSION_BREAKDOWN_PCT_RE_FOREIGN",N$6,$F$2)</f>
        <v>0</v>
      </c>
      <c r="O979" s="30"/>
      <c r="P979" s="18">
        <f>_xll.ciqfunctions.udf.CIQ($C$2,"IQ_PENSION_BREAKDOWN_PCT_RE_FOREIGN",P$6,$F$2)</f>
        <v>0</v>
      </c>
      <c r="Q979" s="245"/>
      <c r="R979" s="215"/>
      <c r="S979" s="215"/>
      <c r="T979" s="215"/>
      <c r="U979" s="215"/>
      <c r="V979" s="222"/>
      <c r="W979" s="222"/>
      <c r="X979" s="222"/>
      <c r="Y979" s="215"/>
      <c r="Z979" s="215"/>
      <c r="AA979" s="215"/>
      <c r="AB979" s="215"/>
      <c r="AC979" s="215"/>
      <c r="AD979" s="215"/>
      <c r="AE979" s="215"/>
      <c r="AF979" s="215"/>
      <c r="AG979" s="215"/>
      <c r="AH979" s="215"/>
      <c r="AI979" s="215"/>
      <c r="AJ979" s="215"/>
      <c r="AK979" s="215"/>
      <c r="AL979" s="215"/>
      <c r="AM979" s="215"/>
      <c r="AN979" s="215"/>
      <c r="AO979" s="215"/>
      <c r="AP979" s="215"/>
      <c r="AQ979" s="215"/>
      <c r="AR979" s="215"/>
      <c r="AS979" s="215"/>
      <c r="AT979" s="215"/>
      <c r="AU979" s="215"/>
      <c r="AV979" s="215"/>
      <c r="AW979" s="215"/>
      <c r="AX979" s="215"/>
      <c r="AY979" s="215"/>
      <c r="AZ979" s="215"/>
      <c r="BA979" s="215"/>
      <c r="BB979" s="215"/>
      <c r="BC979" s="215"/>
      <c r="BD979" s="215"/>
      <c r="BE979" s="215"/>
      <c r="BF979" s="215"/>
      <c r="BG979" s="215"/>
      <c r="BH979" s="215"/>
      <c r="BI979" s="215"/>
      <c r="BJ979" s="215"/>
      <c r="BK979" s="215"/>
      <c r="BL979" s="215"/>
      <c r="BM979" s="215"/>
      <c r="BN979" s="215"/>
      <c r="BO979" s="215"/>
      <c r="BP979" s="215"/>
      <c r="BQ979" s="215"/>
      <c r="BR979" s="215"/>
      <c r="BS979" s="215"/>
      <c r="BT979" s="215"/>
      <c r="BU979" s="215"/>
      <c r="BV979" s="215"/>
      <c r="BW979" s="215"/>
      <c r="BX979" s="215"/>
      <c r="BY979" s="215"/>
      <c r="BZ979" s="215"/>
    </row>
    <row r="980" spans="1:78" outlineLevel="1" x14ac:dyDescent="0.2">
      <c r="A980" s="2" t="str">
        <f>'Language Index'!A536</f>
        <v>Other Plan Assets (%)</v>
      </c>
      <c r="B980" s="17"/>
      <c r="C980" s="17"/>
      <c r="D980" s="18">
        <f>_xll.ciqfunctions.udf.CIQ($C$2,"IQ_PENSION_BREAKDOWN_PCT_OTHER_FOREIGN",D$6,$F$2)</f>
        <v>0</v>
      </c>
      <c r="E980" s="18">
        <f>_xll.ciqfunctions.udf.CIQ($C$2,"IQ_PENSION_BREAKDOWN_PCT_OTHER_FOREIGN",E$6,$F$2)</f>
        <v>0</v>
      </c>
      <c r="F980" s="18">
        <f>_xll.ciqfunctions.udf.CIQ($C$2,"IQ_PENSION_BREAKDOWN_PCT_OTHER_FOREIGN",F$6,$F$2)</f>
        <v>48.105499999999999</v>
      </c>
      <c r="G980" s="18">
        <f>_xll.ciqfunctions.udf.CIQ($C$2,"IQ_PENSION_BREAKDOWN_PCT_OTHER_FOREIGN",G$6,$F$2)</f>
        <v>0</v>
      </c>
      <c r="H980" s="18">
        <f>_xll.ciqfunctions.udf.CIQ($C$2,"IQ_PENSION_BREAKDOWN_PCT_OTHER_FOREIGN",H$6,$F$2)</f>
        <v>0</v>
      </c>
      <c r="I980" s="18">
        <f>_xll.ciqfunctions.udf.CIQ($C$2,"IQ_PENSION_BREAKDOWN_PCT_OTHER_FOREIGN",I$6,$F$2)</f>
        <v>0</v>
      </c>
      <c r="J980" s="18">
        <f>_xll.ciqfunctions.udf.CIQ($C$2,"IQ_PENSION_BREAKDOWN_PCT_OTHER_FOREIGN",J$6,$F$2)</f>
        <v>47.121600000000001</v>
      </c>
      <c r="K980" s="18">
        <f>_xll.ciqfunctions.udf.CIQ($C$2,"IQ_PENSION_BREAKDOWN_PCT_OTHER_FOREIGN",K$6,$F$2)</f>
        <v>0</v>
      </c>
      <c r="L980" s="18">
        <f>_xll.ciqfunctions.udf.CIQ($C$2,"IQ_PENSION_BREAKDOWN_PCT_OTHER_FOREIGN",L$6,$F$2)</f>
        <v>0</v>
      </c>
      <c r="M980" s="18">
        <f>_xll.ciqfunctions.udf.CIQ($C$2,"IQ_PENSION_BREAKDOWN_PCT_OTHER_FOREIGN",M$6,$F$2)</f>
        <v>0</v>
      </c>
      <c r="N980" s="18">
        <f>_xll.ciqfunctions.udf.CIQ($C$2,"IQ_PENSION_BREAKDOWN_PCT_OTHER_FOREIGN",N$6,$F$2)</f>
        <v>47.544199999999996</v>
      </c>
      <c r="O980" s="30"/>
      <c r="P980" s="18">
        <f>_xll.ciqfunctions.udf.CIQ($C$2,"IQ_PENSION_BREAKDOWN_PCT_OTHER_FOREIGN",P$6,$F$2)</f>
        <v>47.544199999999996</v>
      </c>
      <c r="Q980" s="215"/>
      <c r="R980" s="215"/>
      <c r="S980" s="215"/>
      <c r="T980" s="215"/>
      <c r="U980" s="215"/>
      <c r="V980" s="222"/>
      <c r="W980" s="222"/>
      <c r="X980" s="222"/>
      <c r="Y980" s="215"/>
      <c r="Z980" s="215"/>
      <c r="AA980" s="215"/>
      <c r="AB980" s="215"/>
      <c r="AC980" s="215"/>
      <c r="AD980" s="215"/>
      <c r="AE980" s="215"/>
      <c r="AF980" s="215"/>
      <c r="AG980" s="215"/>
      <c r="AH980" s="215"/>
      <c r="AI980" s="215"/>
      <c r="AJ980" s="215"/>
      <c r="AK980" s="215"/>
      <c r="AL980" s="215"/>
      <c r="AM980" s="215"/>
      <c r="AN980" s="215"/>
      <c r="AO980" s="215"/>
      <c r="AP980" s="215"/>
      <c r="AQ980" s="215"/>
      <c r="AR980" s="215"/>
      <c r="AS980" s="215"/>
      <c r="AT980" s="215"/>
      <c r="AU980" s="215"/>
      <c r="AV980" s="215"/>
      <c r="AW980" s="215"/>
      <c r="AX980" s="215"/>
      <c r="AY980" s="215"/>
      <c r="AZ980" s="215"/>
      <c r="BA980" s="215"/>
      <c r="BB980" s="215"/>
      <c r="BC980" s="215"/>
      <c r="BD980" s="215"/>
      <c r="BE980" s="215"/>
      <c r="BF980" s="215"/>
      <c r="BG980" s="215"/>
      <c r="BH980" s="215"/>
      <c r="BI980" s="215"/>
      <c r="BJ980" s="215"/>
      <c r="BK980" s="215"/>
      <c r="BL980" s="215"/>
      <c r="BM980" s="215"/>
      <c r="BN980" s="215"/>
      <c r="BO980" s="215"/>
      <c r="BP980" s="215"/>
      <c r="BQ980" s="215"/>
      <c r="BR980" s="215"/>
      <c r="BS980" s="215"/>
      <c r="BT980" s="215"/>
      <c r="BU980" s="215"/>
      <c r="BV980" s="215"/>
      <c r="BW980" s="215"/>
      <c r="BX980" s="215"/>
      <c r="BY980" s="215"/>
      <c r="BZ980" s="215"/>
    </row>
    <row r="981" spans="1:78" outlineLevel="1" x14ac:dyDescent="0.2">
      <c r="A981" s="9" t="str">
        <f>'Language Index'!A532</f>
        <v>Breakdown of Plan Assets</v>
      </c>
      <c r="B981" s="17"/>
      <c r="C981" s="17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30"/>
      <c r="P981" s="18"/>
      <c r="Q981" s="215"/>
      <c r="R981" s="215"/>
      <c r="S981" s="215"/>
      <c r="T981" s="215"/>
      <c r="U981" s="215"/>
      <c r="V981" s="222"/>
      <c r="W981" s="222"/>
      <c r="X981" s="222"/>
      <c r="Y981" s="215"/>
      <c r="Z981" s="215"/>
      <c r="AA981" s="215"/>
      <c r="AB981" s="215"/>
      <c r="AC981" s="215"/>
      <c r="AD981" s="215"/>
      <c r="AE981" s="215"/>
      <c r="AF981" s="215"/>
      <c r="AG981" s="215"/>
      <c r="AH981" s="215"/>
      <c r="AI981" s="215"/>
      <c r="AJ981" s="215"/>
      <c r="AK981" s="215"/>
      <c r="AL981" s="215"/>
      <c r="AM981" s="215"/>
      <c r="AN981" s="215"/>
      <c r="AO981" s="215"/>
      <c r="AP981" s="215"/>
      <c r="AQ981" s="215"/>
      <c r="AR981" s="215"/>
      <c r="AS981" s="215"/>
      <c r="AT981" s="215"/>
      <c r="AU981" s="215"/>
      <c r="AV981" s="215"/>
      <c r="AW981" s="215"/>
      <c r="AX981" s="215"/>
      <c r="AY981" s="215"/>
      <c r="AZ981" s="215"/>
      <c r="BA981" s="215"/>
      <c r="BB981" s="215"/>
      <c r="BC981" s="215"/>
      <c r="BD981" s="215"/>
      <c r="BE981" s="215"/>
      <c r="BF981" s="215"/>
      <c r="BG981" s="215"/>
      <c r="BH981" s="215"/>
      <c r="BI981" s="215"/>
      <c r="BJ981" s="215"/>
      <c r="BK981" s="215"/>
      <c r="BL981" s="215"/>
      <c r="BM981" s="215"/>
      <c r="BN981" s="215"/>
      <c r="BO981" s="215"/>
      <c r="BP981" s="215"/>
      <c r="BQ981" s="215"/>
      <c r="BR981" s="215"/>
      <c r="BS981" s="215"/>
      <c r="BT981" s="215"/>
      <c r="BU981" s="215"/>
      <c r="BV981" s="215"/>
      <c r="BW981" s="215"/>
      <c r="BX981" s="215"/>
      <c r="BY981" s="215"/>
      <c r="BZ981" s="215"/>
    </row>
    <row r="982" spans="1:78" outlineLevel="1" x14ac:dyDescent="0.2">
      <c r="A982" s="2" t="str">
        <f>'Language Index'!A537</f>
        <v>Plan Assets - Equities</v>
      </c>
      <c r="B982" s="17"/>
      <c r="C982" s="17"/>
      <c r="D982" s="18">
        <f>_xll.ciqfunctions.udf.CIQ($C$2,"IQ_PENSION_BREAKDOWN_EQ_FOREIGN",D$6,$F$2,,,Ccy,Conv)</f>
        <v>0</v>
      </c>
      <c r="E982" s="18">
        <f>_xll.ciqfunctions.udf.CIQ($C$2,"IQ_PENSION_BREAKDOWN_EQ_FOREIGN",E$6,$F$2,,,Ccy,Conv)</f>
        <v>0</v>
      </c>
      <c r="F982" s="18">
        <f>_xll.ciqfunctions.udf.CIQ($C$2,"IQ_PENSION_BREAKDOWN_EQ_FOREIGN",F$6,$F$2,,,Ccy,Conv)</f>
        <v>248</v>
      </c>
      <c r="G982" s="18">
        <f>_xll.ciqfunctions.udf.CIQ($C$2,"IQ_PENSION_BREAKDOWN_EQ_FOREIGN",G$6,$F$2,,,Ccy,Conv)</f>
        <v>0</v>
      </c>
      <c r="H982" s="18">
        <f>_xll.ciqfunctions.udf.CIQ($C$2,"IQ_PENSION_BREAKDOWN_EQ_FOREIGN",H$6,$F$2,,,Ccy,Conv)</f>
        <v>0</v>
      </c>
      <c r="I982" s="18">
        <f>_xll.ciqfunctions.udf.CIQ($C$2,"IQ_PENSION_BREAKDOWN_EQ_FOREIGN",I$6,$F$2,,,Ccy,Conv)</f>
        <v>0</v>
      </c>
      <c r="J982" s="18">
        <f>_xll.ciqfunctions.udf.CIQ($C$2,"IQ_PENSION_BREAKDOWN_EQ_FOREIGN",J$6,$F$2,,,Ccy,Conv)</f>
        <v>68</v>
      </c>
      <c r="K982" s="18">
        <f>_xll.ciqfunctions.udf.CIQ($C$2,"IQ_PENSION_BREAKDOWN_EQ_FOREIGN",K$6,$F$2,,,Ccy,Conv)</f>
        <v>0</v>
      </c>
      <c r="L982" s="18">
        <f>_xll.ciqfunctions.udf.CIQ($C$2,"IQ_PENSION_BREAKDOWN_EQ_FOREIGN",L$6,$F$2,,,Ccy,Conv)</f>
        <v>0</v>
      </c>
      <c r="M982" s="18">
        <f>_xll.ciqfunctions.udf.CIQ($C$2,"IQ_PENSION_BREAKDOWN_EQ_FOREIGN",M$6,$F$2,,,Ccy,Conv)</f>
        <v>0</v>
      </c>
      <c r="N982" s="18">
        <f>_xll.ciqfunctions.udf.CIQ($C$2,"IQ_PENSION_BREAKDOWN_EQ_FOREIGN",N$6,$F$2,,,Ccy,Conv)</f>
        <v>44</v>
      </c>
      <c r="O982" s="30"/>
      <c r="P982" s="18">
        <f>_xll.ciqfunctions.udf.CIQ($C$2,"IQ_PENSION_BREAKDOWN_EQ_FOREIGN",P$6,$F$2,,,Ccy,Conv)</f>
        <v>44</v>
      </c>
      <c r="Q982" s="215"/>
      <c r="R982" s="215"/>
      <c r="S982" s="215"/>
      <c r="T982" s="215"/>
      <c r="U982" s="215"/>
      <c r="V982" s="222"/>
      <c r="W982" s="222"/>
      <c r="X982" s="222"/>
      <c r="Y982" s="215"/>
      <c r="Z982" s="215"/>
      <c r="AA982" s="215"/>
      <c r="AB982" s="215"/>
      <c r="AC982" s="215"/>
      <c r="AD982" s="215"/>
      <c r="AE982" s="215"/>
      <c r="AF982" s="215"/>
      <c r="AG982" s="215"/>
      <c r="AH982" s="215"/>
      <c r="AI982" s="215"/>
      <c r="AJ982" s="215"/>
      <c r="AK982" s="215"/>
      <c r="AL982" s="215"/>
      <c r="AM982" s="215"/>
      <c r="AN982" s="215"/>
      <c r="AO982" s="215"/>
      <c r="AP982" s="215"/>
      <c r="AQ982" s="215"/>
      <c r="AR982" s="215"/>
      <c r="AS982" s="215"/>
      <c r="AT982" s="215"/>
      <c r="AU982" s="215"/>
      <c r="AV982" s="215"/>
      <c r="AW982" s="215"/>
      <c r="AX982" s="215"/>
      <c r="AY982" s="215"/>
      <c r="AZ982" s="215"/>
      <c r="BA982" s="215"/>
      <c r="BB982" s="215"/>
      <c r="BC982" s="215"/>
      <c r="BD982" s="215"/>
      <c r="BE982" s="215"/>
      <c r="BF982" s="215"/>
      <c r="BG982" s="215"/>
      <c r="BH982" s="215"/>
      <c r="BI982" s="215"/>
      <c r="BJ982" s="215"/>
      <c r="BK982" s="215"/>
      <c r="BL982" s="215"/>
      <c r="BM982" s="215"/>
      <c r="BN982" s="215"/>
      <c r="BO982" s="215"/>
      <c r="BP982" s="215"/>
      <c r="BQ982" s="215"/>
      <c r="BR982" s="215"/>
      <c r="BS982" s="215"/>
      <c r="BT982" s="215"/>
      <c r="BU982" s="215"/>
      <c r="BV982" s="215"/>
      <c r="BW982" s="215"/>
      <c r="BX982" s="215"/>
      <c r="BY982" s="215"/>
      <c r="BZ982" s="215"/>
    </row>
    <row r="983" spans="1:78" outlineLevel="1" x14ac:dyDescent="0.2">
      <c r="A983" s="2" t="str">
        <f>'Language Index'!A538</f>
        <v>Plan Assets - Fixed Income</v>
      </c>
      <c r="B983" s="17"/>
      <c r="C983" s="17"/>
      <c r="D983" s="18">
        <f>_xll.ciqfunctions.udf.CIQ($C$2,"IQ_PENSION_BREAKDOWN_FI_FOREIGN",D$6,$F$2,,,Ccy,Conv)</f>
        <v>0</v>
      </c>
      <c r="E983" s="18">
        <f>_xll.ciqfunctions.udf.CIQ($C$2,"IQ_PENSION_BREAKDOWN_FI_FOREIGN",E$6,$F$2,,,Ccy,Conv)</f>
        <v>0</v>
      </c>
      <c r="F983" s="18">
        <f>_xll.ciqfunctions.udf.CIQ($C$2,"IQ_PENSION_BREAKDOWN_FI_FOREIGN",F$6,$F$2,,,Ccy,Conv)</f>
        <v>14828</v>
      </c>
      <c r="G983" s="18">
        <f>_xll.ciqfunctions.udf.CIQ($C$2,"IQ_PENSION_BREAKDOWN_FI_FOREIGN",G$6,$F$2,,,Ccy,Conv)</f>
        <v>0</v>
      </c>
      <c r="H983" s="18">
        <f>_xll.ciqfunctions.udf.CIQ($C$2,"IQ_PENSION_BREAKDOWN_FI_FOREIGN",H$6,$F$2,,,Ccy,Conv)</f>
        <v>0</v>
      </c>
      <c r="I983" s="18">
        <f>_xll.ciqfunctions.udf.CIQ($C$2,"IQ_PENSION_BREAKDOWN_FI_FOREIGN",I$6,$F$2,,,Ccy,Conv)</f>
        <v>0</v>
      </c>
      <c r="J983" s="18">
        <f>_xll.ciqfunctions.udf.CIQ($C$2,"IQ_PENSION_BREAKDOWN_FI_FOREIGN",J$6,$F$2,,,Ccy,Conv)</f>
        <v>13257</v>
      </c>
      <c r="K983" s="18">
        <f>_xll.ciqfunctions.udf.CIQ($C$2,"IQ_PENSION_BREAKDOWN_FI_FOREIGN",K$6,$F$2,,,Ccy,Conv)</f>
        <v>0</v>
      </c>
      <c r="L983" s="18">
        <f>_xll.ciqfunctions.udf.CIQ($C$2,"IQ_PENSION_BREAKDOWN_FI_FOREIGN",L$6,$F$2,,,Ccy,Conv)</f>
        <v>0</v>
      </c>
      <c r="M983" s="18">
        <f>_xll.ciqfunctions.udf.CIQ($C$2,"IQ_PENSION_BREAKDOWN_FI_FOREIGN",M$6,$F$2,,,Ccy,Conv)</f>
        <v>0</v>
      </c>
      <c r="N983" s="18">
        <f>_xll.ciqfunctions.udf.CIQ($C$2,"IQ_PENSION_BREAKDOWN_FI_FOREIGN",N$6,$F$2,,,Ccy,Conv)</f>
        <v>13979</v>
      </c>
      <c r="O983" s="30"/>
      <c r="P983" s="18">
        <f>_xll.ciqfunctions.udf.CIQ($C$2,"IQ_PENSION_BREAKDOWN_FI_FOREIGN",P$6,$F$2,,,Ccy,Conv)</f>
        <v>13979</v>
      </c>
      <c r="Q983" s="215"/>
      <c r="R983" s="215"/>
      <c r="S983" s="215"/>
      <c r="T983" s="215"/>
      <c r="U983" s="215"/>
      <c r="V983" s="222"/>
      <c r="W983" s="222"/>
      <c r="X983" s="222"/>
      <c r="Y983" s="215"/>
      <c r="Z983" s="215"/>
      <c r="AA983" s="215"/>
      <c r="AB983" s="215"/>
      <c r="AC983" s="215"/>
      <c r="AD983" s="215"/>
      <c r="AE983" s="215"/>
      <c r="AF983" s="215"/>
      <c r="AG983" s="215"/>
      <c r="AH983" s="215"/>
      <c r="AI983" s="215"/>
      <c r="AJ983" s="215"/>
      <c r="AK983" s="215"/>
      <c r="AL983" s="215"/>
      <c r="AM983" s="215"/>
      <c r="AN983" s="215"/>
      <c r="AO983" s="215"/>
      <c r="AP983" s="215"/>
      <c r="AQ983" s="215"/>
      <c r="AR983" s="215"/>
      <c r="AS983" s="215"/>
      <c r="AT983" s="215"/>
      <c r="AU983" s="215"/>
      <c r="AV983" s="215"/>
      <c r="AW983" s="215"/>
      <c r="AX983" s="215"/>
      <c r="AY983" s="215"/>
      <c r="AZ983" s="215"/>
      <c r="BA983" s="215"/>
      <c r="BB983" s="215"/>
      <c r="BC983" s="215"/>
      <c r="BD983" s="215"/>
      <c r="BE983" s="215"/>
      <c r="BF983" s="215"/>
      <c r="BG983" s="215"/>
      <c r="BH983" s="215"/>
      <c r="BI983" s="215"/>
      <c r="BJ983" s="215"/>
      <c r="BK983" s="215"/>
      <c r="BL983" s="215"/>
      <c r="BM983" s="215"/>
      <c r="BN983" s="215"/>
      <c r="BO983" s="215"/>
      <c r="BP983" s="215"/>
      <c r="BQ983" s="215"/>
      <c r="BR983" s="215"/>
      <c r="BS983" s="215"/>
      <c r="BT983" s="215"/>
      <c r="BU983" s="215"/>
      <c r="BV983" s="215"/>
      <c r="BW983" s="215"/>
      <c r="BX983" s="215"/>
      <c r="BY983" s="215"/>
      <c r="BZ983" s="215"/>
    </row>
    <row r="984" spans="1:78" outlineLevel="1" x14ac:dyDescent="0.2">
      <c r="A984" s="2" t="str">
        <f>'Language Index'!A539</f>
        <v>Plan Assets- Real Estate</v>
      </c>
      <c r="B984" s="17"/>
      <c r="C984" s="17"/>
      <c r="D984" s="18">
        <f>_xll.ciqfunctions.udf.CIQ($C$2,"IQ_PENSION_BREAKDOWN_RE_FOREIGN",D$6,$F$2,,,Ccy,Conv)</f>
        <v>0</v>
      </c>
      <c r="E984" s="18">
        <f>_xll.ciqfunctions.udf.CIQ($C$2,"IQ_PENSION_BREAKDOWN_RE_FOREIGN",E$6,$F$2,,,Ccy,Conv)</f>
        <v>0</v>
      </c>
      <c r="F984" s="18">
        <f>_xll.ciqfunctions.udf.CIQ($C$2,"IQ_PENSION_BREAKDOWN_RE_FOREIGN",F$6,$F$2,,,Ccy,Conv)</f>
        <v>4</v>
      </c>
      <c r="G984" s="18">
        <f>_xll.ciqfunctions.udf.CIQ($C$2,"IQ_PENSION_BREAKDOWN_RE_FOREIGN",G$6,$F$2,,,Ccy,Conv)</f>
        <v>0</v>
      </c>
      <c r="H984" s="18">
        <f>_xll.ciqfunctions.udf.CIQ($C$2,"IQ_PENSION_BREAKDOWN_RE_FOREIGN",H$6,$F$2,,,Ccy,Conv)</f>
        <v>0</v>
      </c>
      <c r="I984" s="18">
        <f>_xll.ciqfunctions.udf.CIQ($C$2,"IQ_PENSION_BREAKDOWN_RE_FOREIGN",I$6,$F$2,,,Ccy,Conv)</f>
        <v>0</v>
      </c>
      <c r="J984" s="18">
        <f>_xll.ciqfunctions.udf.CIQ($C$2,"IQ_PENSION_BREAKDOWN_RE_FOREIGN",J$6,$F$2,,,Ccy,Conv)</f>
        <v>3</v>
      </c>
      <c r="K984" s="18">
        <f>_xll.ciqfunctions.udf.CIQ($C$2,"IQ_PENSION_BREAKDOWN_RE_FOREIGN",K$6,$F$2,,,Ccy,Conv)</f>
        <v>0</v>
      </c>
      <c r="L984" s="18">
        <f>_xll.ciqfunctions.udf.CIQ($C$2,"IQ_PENSION_BREAKDOWN_RE_FOREIGN",L$6,$F$2,,,Ccy,Conv)</f>
        <v>0</v>
      </c>
      <c r="M984" s="18">
        <f>_xll.ciqfunctions.udf.CIQ($C$2,"IQ_PENSION_BREAKDOWN_RE_FOREIGN",M$6,$F$2,,,Ccy,Conv)</f>
        <v>0</v>
      </c>
      <c r="N984" s="18">
        <f>_xll.ciqfunctions.udf.CIQ($C$2,"IQ_PENSION_BREAKDOWN_RE_FOREIGN",N$6,$F$2,,,Ccy,Conv)</f>
        <v>0</v>
      </c>
      <c r="O984" s="30"/>
      <c r="P984" s="18">
        <f>_xll.ciqfunctions.udf.CIQ($C$2,"IQ_PENSION_BREAKDOWN_RE_FOREIGN",P$6,$F$2,,,Ccy,Conv)</f>
        <v>0</v>
      </c>
      <c r="Q984" s="215"/>
      <c r="R984" s="215"/>
      <c r="S984" s="215"/>
      <c r="T984" s="215"/>
      <c r="U984" s="215"/>
      <c r="V984" s="222"/>
      <c r="W984" s="222"/>
      <c r="X984" s="222"/>
      <c r="Y984" s="215"/>
      <c r="Z984" s="215"/>
      <c r="AA984" s="215"/>
      <c r="AB984" s="215"/>
      <c r="AC984" s="215"/>
      <c r="AD984" s="215"/>
      <c r="AE984" s="215"/>
      <c r="AF984" s="215"/>
      <c r="AG984" s="215"/>
      <c r="AH984" s="215"/>
      <c r="AI984" s="215"/>
      <c r="AJ984" s="215"/>
      <c r="AK984" s="215"/>
      <c r="AL984" s="215"/>
      <c r="AM984" s="215"/>
      <c r="AN984" s="215"/>
      <c r="AO984" s="215"/>
      <c r="AP984" s="215"/>
      <c r="AQ984" s="215"/>
      <c r="AR984" s="215"/>
      <c r="AS984" s="215"/>
      <c r="AT984" s="215"/>
      <c r="AU984" s="215"/>
      <c r="AV984" s="215"/>
      <c r="AW984" s="215"/>
      <c r="AX984" s="215"/>
      <c r="AY984" s="215"/>
      <c r="AZ984" s="215"/>
      <c r="BA984" s="215"/>
      <c r="BB984" s="215"/>
      <c r="BC984" s="215"/>
      <c r="BD984" s="215"/>
      <c r="BE984" s="215"/>
      <c r="BF984" s="215"/>
      <c r="BG984" s="215"/>
      <c r="BH984" s="215"/>
      <c r="BI984" s="215"/>
      <c r="BJ984" s="215"/>
      <c r="BK984" s="215"/>
      <c r="BL984" s="215"/>
      <c r="BM984" s="215"/>
      <c r="BN984" s="215"/>
      <c r="BO984" s="215"/>
      <c r="BP984" s="215"/>
      <c r="BQ984" s="215"/>
      <c r="BR984" s="215"/>
      <c r="BS984" s="215"/>
      <c r="BT984" s="215"/>
      <c r="BU984" s="215"/>
      <c r="BV984" s="215"/>
      <c r="BW984" s="215"/>
      <c r="BX984" s="215"/>
      <c r="BY984" s="215"/>
      <c r="BZ984" s="215"/>
    </row>
    <row r="985" spans="1:78" outlineLevel="1" x14ac:dyDescent="0.2">
      <c r="A985" s="2" t="str">
        <f>'Language Index'!A540</f>
        <v>Other Plan Assets</v>
      </c>
      <c r="B985" s="17"/>
      <c r="C985" s="17"/>
      <c r="D985" s="18">
        <f>_xll.ciqfunctions.udf.CIQ($C$2,"IQ_PENSION_BREAKDOWN_OTHER_FOREIGN",D$6,$F$2,,,Ccy,Conv)</f>
        <v>0</v>
      </c>
      <c r="E985" s="18">
        <f>_xll.ciqfunctions.udf.CIQ($C$2,"IQ_PENSION_BREAKDOWN_OTHER_FOREIGN",E$6,$F$2,,,Ccy,Conv)</f>
        <v>0</v>
      </c>
      <c r="F985" s="18">
        <f>_xll.ciqfunctions.udf.CIQ($C$2,"IQ_PENSION_BREAKDOWN_OTHER_FOREIGN",F$6,$F$2,,,Ccy,Conv)</f>
        <v>13979</v>
      </c>
      <c r="G985" s="18">
        <f>_xll.ciqfunctions.udf.CIQ($C$2,"IQ_PENSION_BREAKDOWN_OTHER_FOREIGN",G$6,$F$2,,,Ccy,Conv)</f>
        <v>0</v>
      </c>
      <c r="H985" s="18">
        <f>_xll.ciqfunctions.udf.CIQ($C$2,"IQ_PENSION_BREAKDOWN_OTHER_FOREIGN",H$6,$F$2,,,Ccy,Conv)</f>
        <v>0</v>
      </c>
      <c r="I985" s="18">
        <f>_xll.ciqfunctions.udf.CIQ($C$2,"IQ_PENSION_BREAKDOWN_OTHER_FOREIGN",I$6,$F$2,,,Ccy,Conv)</f>
        <v>0</v>
      </c>
      <c r="J985" s="18">
        <f>_xll.ciqfunctions.udf.CIQ($C$2,"IQ_PENSION_BREAKDOWN_OTHER_FOREIGN",J$6,$F$2,,,Ccy,Conv)</f>
        <v>11877</v>
      </c>
      <c r="K985" s="18">
        <f>_xll.ciqfunctions.udf.CIQ($C$2,"IQ_PENSION_BREAKDOWN_OTHER_FOREIGN",K$6,$F$2,,,Ccy,Conv)</f>
        <v>0</v>
      </c>
      <c r="L985" s="18">
        <f>_xll.ciqfunctions.udf.CIQ($C$2,"IQ_PENSION_BREAKDOWN_OTHER_FOREIGN",L$6,$F$2,,,Ccy,Conv)</f>
        <v>0</v>
      </c>
      <c r="M985" s="18">
        <f>_xll.ciqfunctions.udf.CIQ($C$2,"IQ_PENSION_BREAKDOWN_OTHER_FOREIGN",M$6,$F$2,,,Ccy,Conv)</f>
        <v>0</v>
      </c>
      <c r="N985" s="18">
        <f>_xll.ciqfunctions.udf.CIQ($C$2,"IQ_PENSION_BREAKDOWN_OTHER_FOREIGN",N$6,$F$2,,,Ccy,Conv)</f>
        <v>12710</v>
      </c>
      <c r="O985" s="30"/>
      <c r="P985" s="18">
        <f>_xll.ciqfunctions.udf.CIQ($C$2,"IQ_PENSION_BREAKDOWN_OTHER_FOREIGN",P$6,$F$2,,,Ccy,Conv)</f>
        <v>12710</v>
      </c>
      <c r="Q985" s="215"/>
      <c r="R985" s="215"/>
      <c r="S985" s="215"/>
      <c r="T985" s="215"/>
      <c r="U985" s="215"/>
      <c r="V985" s="222"/>
      <c r="W985" s="222"/>
      <c r="X985" s="222"/>
      <c r="Y985" s="215"/>
      <c r="Z985" s="215"/>
      <c r="AA985" s="215"/>
      <c r="AB985" s="215"/>
      <c r="AC985" s="215"/>
      <c r="AD985" s="215"/>
      <c r="AE985" s="215"/>
      <c r="AF985" s="215"/>
      <c r="AG985" s="215"/>
      <c r="AH985" s="215"/>
      <c r="AI985" s="215"/>
      <c r="AJ985" s="215"/>
      <c r="AK985" s="215"/>
      <c r="AL985" s="215"/>
      <c r="AM985" s="215"/>
      <c r="AN985" s="215"/>
      <c r="AO985" s="215"/>
      <c r="AP985" s="215"/>
      <c r="AQ985" s="215"/>
      <c r="AR985" s="215"/>
      <c r="AS985" s="215"/>
      <c r="AT985" s="215"/>
      <c r="AU985" s="215"/>
      <c r="AV985" s="215"/>
      <c r="AW985" s="215"/>
      <c r="AX985" s="215"/>
      <c r="AY985" s="215"/>
      <c r="AZ985" s="215"/>
      <c r="BA985" s="215"/>
      <c r="BB985" s="215"/>
      <c r="BC985" s="215"/>
      <c r="BD985" s="215"/>
      <c r="BE985" s="215"/>
      <c r="BF985" s="215"/>
      <c r="BG985" s="215"/>
      <c r="BH985" s="215"/>
      <c r="BI985" s="215"/>
      <c r="BJ985" s="215"/>
      <c r="BK985" s="215"/>
      <c r="BL985" s="215"/>
      <c r="BM985" s="215"/>
      <c r="BN985" s="215"/>
      <c r="BO985" s="215"/>
      <c r="BP985" s="215"/>
      <c r="BQ985" s="215"/>
      <c r="BR985" s="215"/>
      <c r="BS985" s="215"/>
      <c r="BT985" s="215"/>
      <c r="BU985" s="215"/>
      <c r="BV985" s="215"/>
      <c r="BW985" s="215"/>
      <c r="BX985" s="215"/>
      <c r="BY985" s="215"/>
      <c r="BZ985" s="215"/>
    </row>
    <row r="986" spans="1:78" outlineLevel="1" x14ac:dyDescent="0.2">
      <c r="A986" s="9" t="str">
        <f>'Language Index'!A541</f>
        <v>Breakdown of Amounts recognized in Other Comprehensive Income in BS</v>
      </c>
      <c r="B986" s="17"/>
      <c r="C986" s="17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30"/>
      <c r="P986" s="18"/>
      <c r="Q986" s="215"/>
      <c r="R986" s="215"/>
      <c r="S986" s="215"/>
      <c r="T986" s="215"/>
      <c r="U986" s="215"/>
      <c r="V986" s="222"/>
      <c r="W986" s="222"/>
      <c r="X986" s="222"/>
      <c r="Y986" s="215"/>
      <c r="Z986" s="215"/>
      <c r="AA986" s="215"/>
      <c r="AB986" s="215"/>
      <c r="AC986" s="215"/>
      <c r="AD986" s="215"/>
      <c r="AE986" s="215"/>
      <c r="AF986" s="215"/>
      <c r="AG986" s="215"/>
      <c r="AH986" s="215"/>
      <c r="AI986" s="215"/>
      <c r="AJ986" s="215"/>
      <c r="AK986" s="215"/>
      <c r="AL986" s="215"/>
      <c r="AM986" s="215"/>
      <c r="AN986" s="215"/>
      <c r="AO986" s="215"/>
      <c r="AP986" s="215"/>
      <c r="AQ986" s="215"/>
      <c r="AR986" s="215"/>
      <c r="AS986" s="215"/>
      <c r="AT986" s="215"/>
      <c r="AU986" s="215"/>
      <c r="AV986" s="215"/>
      <c r="AW986" s="215"/>
      <c r="AX986" s="215"/>
      <c r="AY986" s="215"/>
      <c r="AZ986" s="215"/>
      <c r="BA986" s="215"/>
      <c r="BB986" s="215"/>
      <c r="BC986" s="215"/>
      <c r="BD986" s="215"/>
      <c r="BE986" s="215"/>
      <c r="BF986" s="215"/>
      <c r="BG986" s="215"/>
      <c r="BH986" s="215"/>
      <c r="BI986" s="215"/>
      <c r="BJ986" s="215"/>
      <c r="BK986" s="215"/>
      <c r="BL986" s="215"/>
      <c r="BM986" s="215"/>
      <c r="BN986" s="215"/>
      <c r="BO986" s="215"/>
      <c r="BP986" s="215"/>
      <c r="BQ986" s="215"/>
      <c r="BR986" s="215"/>
      <c r="BS986" s="215"/>
      <c r="BT986" s="215"/>
      <c r="BU986" s="215"/>
      <c r="BV986" s="215"/>
      <c r="BW986" s="215"/>
      <c r="BX986" s="215"/>
      <c r="BY986" s="215"/>
      <c r="BZ986" s="215"/>
    </row>
    <row r="987" spans="1:78" outlineLevel="1" x14ac:dyDescent="0.2">
      <c r="A987" s="2" t="str">
        <f>'Language Index'!A542</f>
        <v>Net Actuarial Loss/Gain – Compr. Inc.</v>
      </c>
      <c r="B987" s="17"/>
      <c r="C987" s="17"/>
      <c r="D987" s="18">
        <f>_xll.ciqfunctions.udf.CIQ($C$2,"IQ_PENSION_CI_ACT_FOREIGN",D$6,$F$2,,,Ccy,Conv)</f>
        <v>0</v>
      </c>
      <c r="E987" s="18">
        <f>_xll.ciqfunctions.udf.CIQ($C$2,"IQ_PENSION_CI_ACT_FOREIGN",E$6,$F$2,,,Ccy,Conv)</f>
        <v>0</v>
      </c>
      <c r="F987" s="18">
        <f>_xll.ciqfunctions.udf.CIQ($C$2,"IQ_PENSION_CI_ACT_FOREIGN",F$6,$F$2,,,Ccy,Conv)</f>
        <v>12937</v>
      </c>
      <c r="G987" s="18">
        <f>_xll.ciqfunctions.udf.CIQ($C$2,"IQ_PENSION_CI_ACT_FOREIGN",G$6,$F$2,,,Ccy,Conv)</f>
        <v>0</v>
      </c>
      <c r="H987" s="18">
        <f>_xll.ciqfunctions.udf.CIQ($C$2,"IQ_PENSION_CI_ACT_FOREIGN",H$6,$F$2,,,Ccy,Conv)</f>
        <v>0</v>
      </c>
      <c r="I987" s="18">
        <f>_xll.ciqfunctions.udf.CIQ($C$2,"IQ_PENSION_CI_ACT_FOREIGN",I$6,$F$2,,,Ccy,Conv)</f>
        <v>0</v>
      </c>
      <c r="J987" s="18">
        <f>_xll.ciqfunctions.udf.CIQ($C$2,"IQ_PENSION_CI_ACT_FOREIGN",J$6,$F$2,,,Ccy,Conv)</f>
        <v>11950</v>
      </c>
      <c r="K987" s="18">
        <f>_xll.ciqfunctions.udf.CIQ($C$2,"IQ_PENSION_CI_ACT_FOREIGN",K$6,$F$2,,,Ccy,Conv)</f>
        <v>0</v>
      </c>
      <c r="L987" s="18">
        <f>_xll.ciqfunctions.udf.CIQ($C$2,"IQ_PENSION_CI_ACT_FOREIGN",L$6,$F$2,,,Ccy,Conv)</f>
        <v>0</v>
      </c>
      <c r="M987" s="18">
        <f>_xll.ciqfunctions.udf.CIQ($C$2,"IQ_PENSION_CI_ACT_FOREIGN",M$6,$F$2,,,Ccy,Conv)</f>
        <v>0</v>
      </c>
      <c r="N987" s="18">
        <f>_xll.ciqfunctions.udf.CIQ($C$2,"IQ_PENSION_CI_ACT_FOREIGN",N$6,$F$2,,,Ccy,Conv)</f>
        <v>11307</v>
      </c>
      <c r="O987" s="30"/>
      <c r="P987" s="18">
        <f>_xll.ciqfunctions.udf.CIQ($C$2,"IQ_PENSION_CI_ACT_FOREIGN",P$6,$F$2,,,Ccy,Conv)</f>
        <v>11307</v>
      </c>
      <c r="Q987" s="215"/>
      <c r="R987" s="215"/>
      <c r="S987" s="215"/>
      <c r="T987" s="215"/>
      <c r="U987" s="215"/>
      <c r="V987" s="222"/>
      <c r="W987" s="222"/>
      <c r="X987" s="222"/>
      <c r="Y987" s="215"/>
      <c r="Z987" s="215"/>
      <c r="AA987" s="215"/>
      <c r="AB987" s="215"/>
      <c r="AC987" s="215"/>
      <c r="AD987" s="215"/>
      <c r="AE987" s="215"/>
      <c r="AF987" s="215"/>
      <c r="AG987" s="215"/>
      <c r="AH987" s="215"/>
      <c r="AI987" s="215"/>
      <c r="AJ987" s="215"/>
      <c r="AK987" s="215"/>
      <c r="AL987" s="215"/>
      <c r="AM987" s="215"/>
      <c r="AN987" s="215"/>
      <c r="AO987" s="215"/>
      <c r="AP987" s="215"/>
      <c r="AQ987" s="215"/>
      <c r="AR987" s="215"/>
      <c r="AS987" s="215"/>
      <c r="AT987" s="215"/>
      <c r="AU987" s="215"/>
      <c r="AV987" s="215"/>
      <c r="AW987" s="215"/>
      <c r="AX987" s="215"/>
      <c r="AY987" s="215"/>
      <c r="AZ987" s="215"/>
      <c r="BA987" s="215"/>
      <c r="BB987" s="215"/>
      <c r="BC987" s="215"/>
      <c r="BD987" s="215"/>
      <c r="BE987" s="215"/>
      <c r="BF987" s="215"/>
      <c r="BG987" s="215"/>
      <c r="BH987" s="215"/>
      <c r="BI987" s="215"/>
      <c r="BJ987" s="215"/>
      <c r="BK987" s="215"/>
      <c r="BL987" s="215"/>
      <c r="BM987" s="215"/>
      <c r="BN987" s="215"/>
      <c r="BO987" s="215"/>
      <c r="BP987" s="215"/>
      <c r="BQ987" s="215"/>
      <c r="BR987" s="215"/>
      <c r="BS987" s="215"/>
      <c r="BT987" s="215"/>
      <c r="BU987" s="215"/>
      <c r="BV987" s="215"/>
      <c r="BW987" s="215"/>
      <c r="BX987" s="215"/>
      <c r="BY987" s="215"/>
      <c r="BZ987" s="215"/>
    </row>
    <row r="988" spans="1:78" outlineLevel="1" x14ac:dyDescent="0.2">
      <c r="A988" s="2" t="str">
        <f>'Language Index'!A543</f>
        <v>Prior Service Cost/Benefit – Compr. Inc.</v>
      </c>
      <c r="B988" s="17"/>
      <c r="C988" s="17"/>
      <c r="D988" s="18">
        <f>_xll.ciqfunctions.udf.CIQ($C$2,"IQ_PENSION_CI_PRIOR_SERVICE_FOREIGN",D$6,$F$2,,,Ccy,Conv)</f>
        <v>0</v>
      </c>
      <c r="E988" s="18">
        <f>_xll.ciqfunctions.udf.CIQ($C$2,"IQ_PENSION_CI_PRIOR_SERVICE_FOREIGN",E$6,$F$2,,,Ccy,Conv)</f>
        <v>0</v>
      </c>
      <c r="F988" s="18">
        <f>_xll.ciqfunctions.udf.CIQ($C$2,"IQ_PENSION_CI_PRIOR_SERVICE_FOREIGN",F$6,$F$2,,,Ccy,Conv)</f>
        <v>309</v>
      </c>
      <c r="G988" s="18">
        <f>_xll.ciqfunctions.udf.CIQ($C$2,"IQ_PENSION_CI_PRIOR_SERVICE_FOREIGN",G$6,$F$2,,,Ccy,Conv)</f>
        <v>0</v>
      </c>
      <c r="H988" s="18">
        <f>_xll.ciqfunctions.udf.CIQ($C$2,"IQ_PENSION_CI_PRIOR_SERVICE_FOREIGN",H$6,$F$2,,,Ccy,Conv)</f>
        <v>0</v>
      </c>
      <c r="I988" s="18">
        <f>_xll.ciqfunctions.udf.CIQ($C$2,"IQ_PENSION_CI_PRIOR_SERVICE_FOREIGN",I$6,$F$2,,,Ccy,Conv)</f>
        <v>0</v>
      </c>
      <c r="J988" s="18">
        <f>_xll.ciqfunctions.udf.CIQ($C$2,"IQ_PENSION_CI_PRIOR_SERVICE_FOREIGN",J$6,$F$2,,,Ccy,Conv)</f>
        <v>342</v>
      </c>
      <c r="K988" s="18">
        <f>_xll.ciqfunctions.udf.CIQ($C$2,"IQ_PENSION_CI_PRIOR_SERVICE_FOREIGN",K$6,$F$2,,,Ccy,Conv)</f>
        <v>0</v>
      </c>
      <c r="L988" s="18">
        <f>_xll.ciqfunctions.udf.CIQ($C$2,"IQ_PENSION_CI_PRIOR_SERVICE_FOREIGN",L$6,$F$2,,,Ccy,Conv)</f>
        <v>0</v>
      </c>
      <c r="M988" s="18">
        <f>_xll.ciqfunctions.udf.CIQ($C$2,"IQ_PENSION_CI_PRIOR_SERVICE_FOREIGN",M$6,$F$2,,,Ccy,Conv)</f>
        <v>0</v>
      </c>
      <c r="N988" s="18">
        <f>_xll.ciqfunctions.udf.CIQ($C$2,"IQ_PENSION_CI_PRIOR_SERVICE_FOREIGN",N$6,$F$2,,,Ccy,Conv)</f>
        <v>789</v>
      </c>
      <c r="O988" s="30"/>
      <c r="P988" s="18">
        <f>_xll.ciqfunctions.udf.CIQ($C$2,"IQ_PENSION_CI_PRIOR_SERVICE_FOREIGN",P$6,$F$2,,,Ccy,Conv)</f>
        <v>789</v>
      </c>
      <c r="Q988" s="215"/>
      <c r="R988" s="215"/>
      <c r="S988" s="215"/>
      <c r="T988" s="215"/>
      <c r="U988" s="215"/>
      <c r="V988" s="222"/>
      <c r="W988" s="222"/>
      <c r="X988" s="222"/>
      <c r="Y988" s="215"/>
      <c r="Z988" s="215"/>
      <c r="AA988" s="215"/>
      <c r="AB988" s="215"/>
      <c r="AC988" s="215"/>
      <c r="AD988" s="215"/>
      <c r="AE988" s="215"/>
      <c r="AF988" s="215"/>
      <c r="AG988" s="215"/>
      <c r="AH988" s="215"/>
      <c r="AI988" s="215"/>
      <c r="AJ988" s="215"/>
      <c r="AK988" s="215"/>
      <c r="AL988" s="215"/>
      <c r="AM988" s="215"/>
      <c r="AN988" s="215"/>
      <c r="AO988" s="215"/>
      <c r="AP988" s="215"/>
      <c r="AQ988" s="215"/>
      <c r="AR988" s="215"/>
      <c r="AS988" s="215"/>
      <c r="AT988" s="215"/>
      <c r="AU988" s="215"/>
      <c r="AV988" s="215"/>
      <c r="AW988" s="215"/>
      <c r="AX988" s="215"/>
      <c r="AY988" s="215"/>
      <c r="AZ988" s="215"/>
      <c r="BA988" s="215"/>
      <c r="BB988" s="215"/>
      <c r="BC988" s="215"/>
      <c r="BD988" s="215"/>
      <c r="BE988" s="215"/>
      <c r="BF988" s="215"/>
      <c r="BG988" s="215"/>
      <c r="BH988" s="215"/>
      <c r="BI988" s="215"/>
      <c r="BJ988" s="215"/>
      <c r="BK988" s="215"/>
      <c r="BL988" s="215"/>
      <c r="BM988" s="215"/>
      <c r="BN988" s="215"/>
      <c r="BO988" s="215"/>
      <c r="BP988" s="215"/>
      <c r="BQ988" s="215"/>
      <c r="BR988" s="215"/>
      <c r="BS988" s="215"/>
      <c r="BT988" s="215"/>
      <c r="BU988" s="215"/>
      <c r="BV988" s="215"/>
      <c r="BW988" s="215"/>
      <c r="BX988" s="215"/>
      <c r="BY988" s="215"/>
      <c r="BZ988" s="215"/>
    </row>
    <row r="989" spans="1:78" outlineLevel="1" x14ac:dyDescent="0.2">
      <c r="A989" s="2" t="str">
        <f>'Language Index'!A544</f>
        <v>Transition Asset/Obligation – Compr. Inc.</v>
      </c>
      <c r="B989" s="17"/>
      <c r="C989" s="17"/>
      <c r="D989" s="18">
        <f>_xll.ciqfunctions.udf.CIQ($C$2,"IQ_PENSION_CI_TRANSITION_FOREIGN",D$6,$F$2,,,Ccy,Conv)</f>
        <v>0</v>
      </c>
      <c r="E989" s="18">
        <f>_xll.ciqfunctions.udf.CIQ($C$2,"IQ_PENSION_CI_TRANSITION_FOREIGN",E$6,$F$2,,,Ccy,Conv)</f>
        <v>0</v>
      </c>
      <c r="F989" s="18">
        <f>_xll.ciqfunctions.udf.CIQ($C$2,"IQ_PENSION_CI_TRANSITION_FOREIGN",F$6,$F$2,,,Ccy,Conv)</f>
        <v>0</v>
      </c>
      <c r="G989" s="18">
        <f>_xll.ciqfunctions.udf.CIQ($C$2,"IQ_PENSION_CI_TRANSITION_FOREIGN",G$6,$F$2,,,Ccy,Conv)</f>
        <v>0</v>
      </c>
      <c r="H989" s="18">
        <f>_xll.ciqfunctions.udf.CIQ($C$2,"IQ_PENSION_CI_TRANSITION_FOREIGN",H$6,$F$2,,,Ccy,Conv)</f>
        <v>0</v>
      </c>
      <c r="I989" s="18">
        <f>_xll.ciqfunctions.udf.CIQ($C$2,"IQ_PENSION_CI_TRANSITION_FOREIGN",I$6,$F$2,,,Ccy,Conv)</f>
        <v>0</v>
      </c>
      <c r="J989" s="18">
        <f>_xll.ciqfunctions.udf.CIQ($C$2,"IQ_PENSION_CI_TRANSITION_FOREIGN",J$6,$F$2,,,Ccy,Conv)</f>
        <v>0</v>
      </c>
      <c r="K989" s="18">
        <f>_xll.ciqfunctions.udf.CIQ($C$2,"IQ_PENSION_CI_TRANSITION_FOREIGN",K$6,$F$2,,,Ccy,Conv)</f>
        <v>0</v>
      </c>
      <c r="L989" s="18">
        <f>_xll.ciqfunctions.udf.CIQ($C$2,"IQ_PENSION_CI_TRANSITION_FOREIGN",L$6,$F$2,,,Ccy,Conv)</f>
        <v>0</v>
      </c>
      <c r="M989" s="18">
        <f>_xll.ciqfunctions.udf.CIQ($C$2,"IQ_PENSION_CI_TRANSITION_FOREIGN",M$6,$F$2,,,Ccy,Conv)</f>
        <v>0</v>
      </c>
      <c r="N989" s="18">
        <f>_xll.ciqfunctions.udf.CIQ($C$2,"IQ_PENSION_CI_TRANSITION_FOREIGN",N$6,$F$2,,,Ccy,Conv)</f>
        <v>0</v>
      </c>
      <c r="O989" s="30"/>
      <c r="P989" s="18">
        <f>_xll.ciqfunctions.udf.CIQ($C$2,"IQ_PENSION_CI_TRANSITION_FOREIGN",P$6,$F$2,,,Ccy,Conv)</f>
        <v>0</v>
      </c>
      <c r="Q989" s="215"/>
      <c r="R989" s="215"/>
      <c r="S989" s="215"/>
      <c r="T989" s="215"/>
      <c r="U989" s="215"/>
      <c r="V989" s="222"/>
      <c r="W989" s="222"/>
      <c r="X989" s="222"/>
      <c r="Y989" s="215"/>
      <c r="Z989" s="215"/>
      <c r="AA989" s="215"/>
      <c r="AB989" s="215"/>
      <c r="AC989" s="215"/>
      <c r="AD989" s="215"/>
      <c r="AE989" s="215"/>
      <c r="AF989" s="215"/>
      <c r="AG989" s="215"/>
      <c r="AH989" s="215"/>
      <c r="AI989" s="215"/>
      <c r="AJ989" s="215"/>
      <c r="AK989" s="215"/>
      <c r="AL989" s="215"/>
      <c r="AM989" s="215"/>
      <c r="AN989" s="215"/>
      <c r="AO989" s="215"/>
      <c r="AP989" s="215"/>
      <c r="AQ989" s="215"/>
      <c r="AR989" s="215"/>
      <c r="AS989" s="215"/>
      <c r="AT989" s="215"/>
      <c r="AU989" s="215"/>
      <c r="AV989" s="215"/>
      <c r="AW989" s="215"/>
      <c r="AX989" s="215"/>
      <c r="AY989" s="215"/>
      <c r="AZ989" s="215"/>
      <c r="BA989" s="215"/>
      <c r="BB989" s="215"/>
      <c r="BC989" s="215"/>
      <c r="BD989" s="215"/>
      <c r="BE989" s="215"/>
      <c r="BF989" s="215"/>
      <c r="BG989" s="215"/>
      <c r="BH989" s="215"/>
      <c r="BI989" s="215"/>
      <c r="BJ989" s="215"/>
      <c r="BK989" s="215"/>
      <c r="BL989" s="215"/>
      <c r="BM989" s="215"/>
      <c r="BN989" s="215"/>
      <c r="BO989" s="215"/>
      <c r="BP989" s="215"/>
      <c r="BQ989" s="215"/>
      <c r="BR989" s="215"/>
      <c r="BS989" s="215"/>
      <c r="BT989" s="215"/>
      <c r="BU989" s="215"/>
      <c r="BV989" s="215"/>
      <c r="BW989" s="215"/>
      <c r="BX989" s="215"/>
      <c r="BY989" s="215"/>
      <c r="BZ989" s="215"/>
    </row>
    <row r="990" spans="1:78" outlineLevel="1" x14ac:dyDescent="0.2">
      <c r="A990" s="2" t="str">
        <f>'Language Index'!A545</f>
        <v>Other Misc. Adj. – Compr. Inc.</v>
      </c>
      <c r="B990" s="17"/>
      <c r="C990" s="17"/>
      <c r="D990" s="18">
        <f>_xll.ciqfunctions.udf.CIQ($C$2,"IQ_PENSION_CI_OTHER_MISC_ADJ_FOREIGN",D$6,$F$2,,,Ccy,Conv)</f>
        <v>0</v>
      </c>
      <c r="E990" s="18">
        <f>_xll.ciqfunctions.udf.CIQ($C$2,"IQ_PENSION_CI_OTHER_MISC_ADJ_FOREIGN",E$6,$F$2,,,Ccy,Conv)</f>
        <v>0</v>
      </c>
      <c r="F990" s="18">
        <f>_xll.ciqfunctions.udf.CIQ($C$2,"IQ_PENSION_CI_OTHER_MISC_ADJ_FOREIGN",F$6,$F$2,,,Ccy,Conv)</f>
        <v>0</v>
      </c>
      <c r="G990" s="18">
        <f>_xll.ciqfunctions.udf.CIQ($C$2,"IQ_PENSION_CI_OTHER_MISC_ADJ_FOREIGN",G$6,$F$2,,,Ccy,Conv)</f>
        <v>0</v>
      </c>
      <c r="H990" s="18">
        <f>_xll.ciqfunctions.udf.CIQ($C$2,"IQ_PENSION_CI_OTHER_MISC_ADJ_FOREIGN",H$6,$F$2,,,Ccy,Conv)</f>
        <v>0</v>
      </c>
      <c r="I990" s="18">
        <f>_xll.ciqfunctions.udf.CIQ($C$2,"IQ_PENSION_CI_OTHER_MISC_ADJ_FOREIGN",I$6,$F$2,,,Ccy,Conv)</f>
        <v>0</v>
      </c>
      <c r="J990" s="18">
        <f>_xll.ciqfunctions.udf.CIQ($C$2,"IQ_PENSION_CI_OTHER_MISC_ADJ_FOREIGN",J$6,$F$2,,,Ccy,Conv)</f>
        <v>0</v>
      </c>
      <c r="K990" s="18">
        <f>_xll.ciqfunctions.udf.CIQ($C$2,"IQ_PENSION_CI_OTHER_MISC_ADJ_FOREIGN",K$6,$F$2,,,Ccy,Conv)</f>
        <v>0</v>
      </c>
      <c r="L990" s="18">
        <f>_xll.ciqfunctions.udf.CIQ($C$2,"IQ_PENSION_CI_OTHER_MISC_ADJ_FOREIGN",L$6,$F$2,,,Ccy,Conv)</f>
        <v>0</v>
      </c>
      <c r="M990" s="18">
        <f>_xll.ciqfunctions.udf.CIQ($C$2,"IQ_PENSION_CI_OTHER_MISC_ADJ_FOREIGN",M$6,$F$2,,,Ccy,Conv)</f>
        <v>0</v>
      </c>
      <c r="N990" s="18">
        <f>_xll.ciqfunctions.udf.CIQ($C$2,"IQ_PENSION_CI_OTHER_MISC_ADJ_FOREIGN",N$6,$F$2,,,Ccy,Conv)</f>
        <v>0</v>
      </c>
      <c r="O990" s="30"/>
      <c r="P990" s="18">
        <f>_xll.ciqfunctions.udf.CIQ($C$2,"IQ_PENSION_CI_OTHER_MISC_ADJ_FOREIGN",P$6,$F$2,,,Ccy,Conv)</f>
        <v>0</v>
      </c>
      <c r="Q990" s="215"/>
      <c r="R990" s="215"/>
      <c r="S990" s="215"/>
      <c r="T990" s="215"/>
      <c r="U990" s="215"/>
      <c r="V990" s="222"/>
      <c r="W990" s="222"/>
      <c r="X990" s="222"/>
      <c r="Y990" s="215"/>
      <c r="Z990" s="215"/>
      <c r="AA990" s="215"/>
      <c r="AB990" s="215"/>
      <c r="AC990" s="215"/>
      <c r="AD990" s="215"/>
      <c r="AE990" s="215"/>
      <c r="AF990" s="215"/>
      <c r="AG990" s="215"/>
      <c r="AH990" s="215"/>
      <c r="AI990" s="215"/>
      <c r="AJ990" s="215"/>
      <c r="AK990" s="215"/>
      <c r="AL990" s="215"/>
      <c r="AM990" s="215"/>
      <c r="AN990" s="215"/>
      <c r="AO990" s="215"/>
      <c r="AP990" s="215"/>
      <c r="AQ990" s="215"/>
      <c r="AR990" s="215"/>
      <c r="AS990" s="215"/>
      <c r="AT990" s="215"/>
      <c r="AU990" s="215"/>
      <c r="AV990" s="215"/>
      <c r="AW990" s="215"/>
      <c r="AX990" s="215"/>
      <c r="AY990" s="215"/>
      <c r="AZ990" s="215"/>
      <c r="BA990" s="215"/>
      <c r="BB990" s="215"/>
      <c r="BC990" s="215"/>
      <c r="BD990" s="215"/>
      <c r="BE990" s="215"/>
      <c r="BF990" s="215"/>
      <c r="BG990" s="215"/>
      <c r="BH990" s="215"/>
      <c r="BI990" s="215"/>
      <c r="BJ990" s="215"/>
      <c r="BK990" s="215"/>
      <c r="BL990" s="215"/>
      <c r="BM990" s="215"/>
      <c r="BN990" s="215"/>
      <c r="BO990" s="215"/>
      <c r="BP990" s="215"/>
      <c r="BQ990" s="215"/>
      <c r="BR990" s="215"/>
      <c r="BS990" s="215"/>
      <c r="BT990" s="215"/>
      <c r="BU990" s="215"/>
      <c r="BV990" s="215"/>
      <c r="BW990" s="215"/>
      <c r="BX990" s="215"/>
      <c r="BY990" s="215"/>
      <c r="BZ990" s="215"/>
    </row>
    <row r="991" spans="1:78" outlineLevel="1" x14ac:dyDescent="0.2">
      <c r="A991" s="2" t="str">
        <f>'Language Index'!A546</f>
        <v>Net Amount Recognized – Compr. Inc.</v>
      </c>
      <c r="B991" s="17"/>
      <c r="C991" s="17"/>
      <c r="D991" s="18">
        <f>_xll.ciqfunctions.udf.CIQ($C$2,"IQ_PENSION_CI_NET_AMT_RECOG_FOREIGN",D$6,$F$2,,,Ccy,Conv)</f>
        <v>0</v>
      </c>
      <c r="E991" s="18">
        <f>_xll.ciqfunctions.udf.CIQ($C$2,"IQ_PENSION_CI_NET_AMT_RECOG_FOREIGN",E$6,$F$2,,,Ccy,Conv)</f>
        <v>0</v>
      </c>
      <c r="F991" s="18">
        <f>_xll.ciqfunctions.udf.CIQ($C$2,"IQ_PENSION_CI_NET_AMT_RECOG_FOREIGN",F$6,$F$2,,,Ccy,Conv)</f>
        <v>13245</v>
      </c>
      <c r="G991" s="18">
        <f>_xll.ciqfunctions.udf.CIQ($C$2,"IQ_PENSION_CI_NET_AMT_RECOG_FOREIGN",G$6,$F$2,,,Ccy,Conv)</f>
        <v>0</v>
      </c>
      <c r="H991" s="18">
        <f>_xll.ciqfunctions.udf.CIQ($C$2,"IQ_PENSION_CI_NET_AMT_RECOG_FOREIGN",H$6,$F$2,,,Ccy,Conv)</f>
        <v>0</v>
      </c>
      <c r="I991" s="18">
        <f>_xll.ciqfunctions.udf.CIQ($C$2,"IQ_PENSION_CI_NET_AMT_RECOG_FOREIGN",I$6,$F$2,,,Ccy,Conv)</f>
        <v>0</v>
      </c>
      <c r="J991" s="18">
        <f>_xll.ciqfunctions.udf.CIQ($C$2,"IQ_PENSION_CI_NET_AMT_RECOG_FOREIGN",J$6,$F$2,,,Ccy,Conv)</f>
        <v>12293</v>
      </c>
      <c r="K991" s="18">
        <f>_xll.ciqfunctions.udf.CIQ($C$2,"IQ_PENSION_CI_NET_AMT_RECOG_FOREIGN",K$6,$F$2,,,Ccy,Conv)</f>
        <v>0</v>
      </c>
      <c r="L991" s="18">
        <f>_xll.ciqfunctions.udf.CIQ($C$2,"IQ_PENSION_CI_NET_AMT_RECOG_FOREIGN",L$6,$F$2,,,Ccy,Conv)</f>
        <v>0</v>
      </c>
      <c r="M991" s="18">
        <f>_xll.ciqfunctions.udf.CIQ($C$2,"IQ_PENSION_CI_NET_AMT_RECOG_FOREIGN",M$6,$F$2,,,Ccy,Conv)</f>
        <v>0</v>
      </c>
      <c r="N991" s="18">
        <f>_xll.ciqfunctions.udf.CIQ($C$2,"IQ_PENSION_CI_NET_AMT_RECOG_FOREIGN",N$6,$F$2,,,Ccy,Conv)</f>
        <v>12096</v>
      </c>
      <c r="O991" s="30"/>
      <c r="P991" s="18">
        <f>_xll.ciqfunctions.udf.CIQ($C$2,"IQ_PENSION_CI_NET_AMT_RECOG_FOREIGN",P$6,$F$2,,,Ccy,Conv)</f>
        <v>12096</v>
      </c>
      <c r="Q991" s="215"/>
      <c r="R991" s="215"/>
      <c r="S991" s="215"/>
      <c r="T991" s="215"/>
      <c r="U991" s="215"/>
      <c r="V991" s="222"/>
      <c r="W991" s="222"/>
      <c r="X991" s="222"/>
      <c r="Y991" s="215"/>
      <c r="Z991" s="215"/>
      <c r="AA991" s="215"/>
      <c r="AB991" s="215"/>
      <c r="AC991" s="215"/>
      <c r="AD991" s="215"/>
      <c r="AE991" s="215"/>
      <c r="AF991" s="215"/>
      <c r="AG991" s="215"/>
      <c r="AH991" s="215"/>
      <c r="AI991" s="215"/>
      <c r="AJ991" s="215"/>
      <c r="AK991" s="215"/>
      <c r="AL991" s="215"/>
      <c r="AM991" s="215"/>
      <c r="AN991" s="215"/>
      <c r="AO991" s="215"/>
      <c r="AP991" s="215"/>
      <c r="AQ991" s="215"/>
      <c r="AR991" s="215"/>
      <c r="AS991" s="215"/>
      <c r="AT991" s="215"/>
      <c r="AU991" s="215"/>
      <c r="AV991" s="215"/>
      <c r="AW991" s="215"/>
      <c r="AX991" s="215"/>
      <c r="AY991" s="215"/>
      <c r="AZ991" s="215"/>
      <c r="BA991" s="215"/>
      <c r="BB991" s="215"/>
      <c r="BC991" s="215"/>
      <c r="BD991" s="215"/>
      <c r="BE991" s="215"/>
      <c r="BF991" s="215"/>
      <c r="BG991" s="215"/>
      <c r="BH991" s="215"/>
      <c r="BI991" s="215"/>
      <c r="BJ991" s="215"/>
      <c r="BK991" s="215"/>
      <c r="BL991" s="215"/>
      <c r="BM991" s="215"/>
      <c r="BN991" s="215"/>
      <c r="BO991" s="215"/>
      <c r="BP991" s="215"/>
      <c r="BQ991" s="215"/>
      <c r="BR991" s="215"/>
      <c r="BS991" s="215"/>
      <c r="BT991" s="215"/>
      <c r="BU991" s="215"/>
      <c r="BV991" s="215"/>
      <c r="BW991" s="215"/>
      <c r="BX991" s="215"/>
      <c r="BY991" s="215"/>
      <c r="BZ991" s="215"/>
    </row>
    <row r="992" spans="1:78" outlineLevel="1" x14ac:dyDescent="0.2">
      <c r="A992" s="9" t="str">
        <f>'Language Index'!A547</f>
        <v>Expected to be recognized as components of net periodic benefit cost in the next year</v>
      </c>
      <c r="B992" s="17"/>
      <c r="C992" s="17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30"/>
      <c r="P992" s="18"/>
      <c r="Q992" s="215"/>
      <c r="R992" s="215"/>
      <c r="S992" s="215"/>
      <c r="T992" s="215"/>
      <c r="U992" s="215"/>
      <c r="V992" s="222"/>
      <c r="W992" s="222"/>
      <c r="X992" s="222"/>
      <c r="Y992" s="215"/>
      <c r="Z992" s="215"/>
      <c r="AA992" s="215"/>
      <c r="AB992" s="215"/>
      <c r="AC992" s="215"/>
      <c r="AD992" s="215"/>
      <c r="AE992" s="215"/>
      <c r="AF992" s="215"/>
      <c r="AG992" s="215"/>
      <c r="AH992" s="215"/>
      <c r="AI992" s="215"/>
      <c r="AJ992" s="215"/>
      <c r="AK992" s="215"/>
      <c r="AL992" s="215"/>
      <c r="AM992" s="215"/>
      <c r="AN992" s="215"/>
      <c r="AO992" s="215"/>
      <c r="AP992" s="215"/>
      <c r="AQ992" s="215"/>
      <c r="AR992" s="215"/>
      <c r="AS992" s="215"/>
      <c r="AT992" s="215"/>
      <c r="AU992" s="215"/>
      <c r="AV992" s="215"/>
      <c r="AW992" s="215"/>
      <c r="AX992" s="215"/>
      <c r="AY992" s="215"/>
      <c r="AZ992" s="215"/>
      <c r="BA992" s="215"/>
      <c r="BB992" s="215"/>
      <c r="BC992" s="215"/>
      <c r="BD992" s="215"/>
      <c r="BE992" s="215"/>
      <c r="BF992" s="215"/>
      <c r="BG992" s="215"/>
      <c r="BH992" s="215"/>
      <c r="BI992" s="215"/>
      <c r="BJ992" s="215"/>
      <c r="BK992" s="215"/>
      <c r="BL992" s="215"/>
      <c r="BM992" s="215"/>
      <c r="BN992" s="215"/>
      <c r="BO992" s="215"/>
      <c r="BP992" s="215"/>
      <c r="BQ992" s="215"/>
      <c r="BR992" s="215"/>
      <c r="BS992" s="215"/>
      <c r="BT992" s="215"/>
      <c r="BU992" s="215"/>
      <c r="BV992" s="215"/>
      <c r="BW992" s="215"/>
      <c r="BX992" s="215"/>
      <c r="BY992" s="215"/>
      <c r="BZ992" s="215"/>
    </row>
    <row r="993" spans="1:78" outlineLevel="1" x14ac:dyDescent="0.2">
      <c r="A993" s="2" t="str">
        <f>'Language Index'!A548</f>
        <v>Prior Service Cost/Benefit Recog. Next Period</v>
      </c>
      <c r="B993" s="17"/>
      <c r="C993" s="17"/>
      <c r="D993" s="18">
        <f>_xll.ciqfunctions.udf.CIQ($C$2,"IQ_PENSION_PRIOR_SERVICE_NEXT_FOREIGN",D$6,$F$2,,,Ccy,Conv)</f>
        <v>0</v>
      </c>
      <c r="E993" s="18">
        <f>_xll.ciqfunctions.udf.CIQ($C$2,"IQ_PENSION_PRIOR_SERVICE_NEXT_FOREIGN",E$6,$F$2,,,Ccy,Conv)</f>
        <v>0</v>
      </c>
      <c r="F993" s="18">
        <f>_xll.ciqfunctions.udf.CIQ($C$2,"IQ_PENSION_PRIOR_SERVICE_NEXT_FOREIGN",F$6,$F$2,,,Ccy,Conv)</f>
        <v>0</v>
      </c>
      <c r="G993" s="18">
        <f>_xll.ciqfunctions.udf.CIQ($C$2,"IQ_PENSION_PRIOR_SERVICE_NEXT_FOREIGN",G$6,$F$2,,,Ccy,Conv)</f>
        <v>0</v>
      </c>
      <c r="H993" s="18">
        <f>_xll.ciqfunctions.udf.CIQ($C$2,"IQ_PENSION_PRIOR_SERVICE_NEXT_FOREIGN",H$6,$F$2,,,Ccy,Conv)</f>
        <v>0</v>
      </c>
      <c r="I993" s="18">
        <f>_xll.ciqfunctions.udf.CIQ($C$2,"IQ_PENSION_PRIOR_SERVICE_NEXT_FOREIGN",I$6,$F$2,,,Ccy,Conv)</f>
        <v>0</v>
      </c>
      <c r="J993" s="18">
        <f>_xll.ciqfunctions.udf.CIQ($C$2,"IQ_PENSION_PRIOR_SERVICE_NEXT_FOREIGN",J$6,$F$2,,,Ccy,Conv)</f>
        <v>0</v>
      </c>
      <c r="K993" s="18">
        <f>_xll.ciqfunctions.udf.CIQ($C$2,"IQ_PENSION_PRIOR_SERVICE_NEXT_FOREIGN",K$6,$F$2,,,Ccy,Conv)</f>
        <v>0</v>
      </c>
      <c r="L993" s="18">
        <f>_xll.ciqfunctions.udf.CIQ($C$2,"IQ_PENSION_PRIOR_SERVICE_NEXT_FOREIGN",L$6,$F$2,,,Ccy,Conv)</f>
        <v>0</v>
      </c>
      <c r="M993" s="18">
        <f>_xll.ciqfunctions.udf.CIQ($C$2,"IQ_PENSION_PRIOR_SERVICE_NEXT_FOREIGN",M$6,$F$2,,,Ccy,Conv)</f>
        <v>0</v>
      </c>
      <c r="N993" s="18">
        <f>_xll.ciqfunctions.udf.CIQ($C$2,"IQ_PENSION_PRIOR_SERVICE_NEXT_FOREIGN",N$6,$F$2,,,Ccy,Conv)</f>
        <v>0</v>
      </c>
      <c r="O993" s="30"/>
      <c r="P993" s="18">
        <f>_xll.ciqfunctions.udf.CIQ($C$2,"IQ_PENSION_PRIOR_SERVICE_NEXT_FOREIGN",P$6,$F$2,,,Ccy,Conv)</f>
        <v>0</v>
      </c>
      <c r="Q993" s="215"/>
      <c r="R993" s="215"/>
      <c r="S993" s="215"/>
      <c r="T993" s="215"/>
      <c r="U993" s="215"/>
      <c r="V993" s="222"/>
      <c r="W993" s="222"/>
      <c r="X993" s="222"/>
      <c r="Y993" s="215"/>
      <c r="Z993" s="215"/>
      <c r="AA993" s="215"/>
      <c r="AB993" s="215"/>
      <c r="AC993" s="215"/>
      <c r="AD993" s="215"/>
      <c r="AE993" s="215"/>
      <c r="AF993" s="215"/>
      <c r="AG993" s="215"/>
      <c r="AH993" s="215"/>
      <c r="AI993" s="215"/>
      <c r="AJ993" s="215"/>
      <c r="AK993" s="215"/>
      <c r="AL993" s="215"/>
      <c r="AM993" s="215"/>
      <c r="AN993" s="215"/>
      <c r="AO993" s="215"/>
      <c r="AP993" s="215"/>
      <c r="AQ993" s="215"/>
      <c r="AR993" s="215"/>
      <c r="AS993" s="215"/>
      <c r="AT993" s="215"/>
      <c r="AU993" s="215"/>
      <c r="AV993" s="215"/>
      <c r="AW993" s="215"/>
      <c r="AX993" s="215"/>
      <c r="AY993" s="215"/>
      <c r="AZ993" s="215"/>
      <c r="BA993" s="215"/>
      <c r="BB993" s="215"/>
      <c r="BC993" s="215"/>
      <c r="BD993" s="215"/>
      <c r="BE993" s="215"/>
      <c r="BF993" s="215"/>
      <c r="BG993" s="215"/>
      <c r="BH993" s="215"/>
      <c r="BI993" s="215"/>
      <c r="BJ993" s="215"/>
      <c r="BK993" s="215"/>
      <c r="BL993" s="215"/>
      <c r="BM993" s="215"/>
      <c r="BN993" s="215"/>
      <c r="BO993" s="215"/>
      <c r="BP993" s="215"/>
      <c r="BQ993" s="215"/>
      <c r="BR993" s="215"/>
      <c r="BS993" s="215"/>
      <c r="BT993" s="215"/>
      <c r="BU993" s="215"/>
      <c r="BV993" s="215"/>
      <c r="BW993" s="215"/>
      <c r="BX993" s="215"/>
      <c r="BY993" s="215"/>
      <c r="BZ993" s="215"/>
    </row>
    <row r="994" spans="1:78" outlineLevel="1" x14ac:dyDescent="0.2">
      <c r="A994" s="2" t="str">
        <f>'Language Index'!A549</f>
        <v>Net Actuarial Loss/Gain Recog. Next Period</v>
      </c>
      <c r="B994" s="17"/>
      <c r="C994" s="17"/>
      <c r="D994" s="18">
        <f>_xll.ciqfunctions.udf.CIQ($C$2,"IQ_PENSION_ACT_NEXT_FOREIGN",D$6,$F$2,,,Ccy,Conv)</f>
        <v>0</v>
      </c>
      <c r="E994" s="18">
        <f>_xll.ciqfunctions.udf.CIQ($C$2,"IQ_PENSION_ACT_NEXT_FOREIGN",E$6,$F$2,,,Ccy,Conv)</f>
        <v>0</v>
      </c>
      <c r="F994" s="18">
        <f>_xll.ciqfunctions.udf.CIQ($C$2,"IQ_PENSION_ACT_NEXT_FOREIGN",F$6,$F$2,,,Ccy,Conv)</f>
        <v>0</v>
      </c>
      <c r="G994" s="18">
        <f>_xll.ciqfunctions.udf.CIQ($C$2,"IQ_PENSION_ACT_NEXT_FOREIGN",G$6,$F$2,,,Ccy,Conv)</f>
        <v>0</v>
      </c>
      <c r="H994" s="18">
        <f>_xll.ciqfunctions.udf.CIQ($C$2,"IQ_PENSION_ACT_NEXT_FOREIGN",H$6,$F$2,,,Ccy,Conv)</f>
        <v>0</v>
      </c>
      <c r="I994" s="18">
        <f>_xll.ciqfunctions.udf.CIQ($C$2,"IQ_PENSION_ACT_NEXT_FOREIGN",I$6,$F$2,,,Ccy,Conv)</f>
        <v>0</v>
      </c>
      <c r="J994" s="18">
        <f>_xll.ciqfunctions.udf.CIQ($C$2,"IQ_PENSION_ACT_NEXT_FOREIGN",J$6,$F$2,,,Ccy,Conv)</f>
        <v>0</v>
      </c>
      <c r="K994" s="18">
        <f>_xll.ciqfunctions.udf.CIQ($C$2,"IQ_PENSION_ACT_NEXT_FOREIGN",K$6,$F$2,,,Ccy,Conv)</f>
        <v>0</v>
      </c>
      <c r="L994" s="18">
        <f>_xll.ciqfunctions.udf.CIQ($C$2,"IQ_PENSION_ACT_NEXT_FOREIGN",L$6,$F$2,,,Ccy,Conv)</f>
        <v>0</v>
      </c>
      <c r="M994" s="18">
        <f>_xll.ciqfunctions.udf.CIQ($C$2,"IQ_PENSION_ACT_NEXT_FOREIGN",M$6,$F$2,,,Ccy,Conv)</f>
        <v>0</v>
      </c>
      <c r="N994" s="18">
        <f>_xll.ciqfunctions.udf.CIQ($C$2,"IQ_PENSION_ACT_NEXT_FOREIGN",N$6,$F$2,,,Ccy,Conv)</f>
        <v>0</v>
      </c>
      <c r="O994" s="30"/>
      <c r="P994" s="18">
        <f>_xll.ciqfunctions.udf.CIQ($C$2,"IQ_PENSION_ACT_NEXT_FOREIGN",P$6,$F$2,,,Ccy,Conv)</f>
        <v>0</v>
      </c>
      <c r="Q994" s="215"/>
      <c r="R994" s="215"/>
      <c r="S994" s="215"/>
      <c r="T994" s="215"/>
      <c r="U994" s="215"/>
      <c r="V994" s="222"/>
      <c r="W994" s="222"/>
      <c r="X994" s="222"/>
      <c r="Y994" s="215"/>
      <c r="Z994" s="215"/>
      <c r="AA994" s="215"/>
      <c r="AB994" s="215"/>
      <c r="AC994" s="215"/>
      <c r="AD994" s="215"/>
      <c r="AE994" s="215"/>
      <c r="AF994" s="215"/>
      <c r="AG994" s="215"/>
      <c r="AH994" s="215"/>
      <c r="AI994" s="215"/>
      <c r="AJ994" s="215"/>
      <c r="AK994" s="215"/>
      <c r="AL994" s="215"/>
      <c r="AM994" s="215"/>
      <c r="AN994" s="215"/>
      <c r="AO994" s="215"/>
      <c r="AP994" s="215"/>
      <c r="AQ994" s="215"/>
      <c r="AR994" s="215"/>
      <c r="AS994" s="215"/>
      <c r="AT994" s="215"/>
      <c r="AU994" s="215"/>
      <c r="AV994" s="215"/>
      <c r="AW994" s="215"/>
      <c r="AX994" s="215"/>
      <c r="AY994" s="215"/>
      <c r="AZ994" s="215"/>
      <c r="BA994" s="215"/>
      <c r="BB994" s="215"/>
      <c r="BC994" s="215"/>
      <c r="BD994" s="215"/>
      <c r="BE994" s="215"/>
      <c r="BF994" s="215"/>
      <c r="BG994" s="215"/>
      <c r="BH994" s="215"/>
      <c r="BI994" s="215"/>
      <c r="BJ994" s="215"/>
      <c r="BK994" s="215"/>
      <c r="BL994" s="215"/>
      <c r="BM994" s="215"/>
      <c r="BN994" s="215"/>
      <c r="BO994" s="215"/>
      <c r="BP994" s="215"/>
      <c r="BQ994" s="215"/>
      <c r="BR994" s="215"/>
      <c r="BS994" s="215"/>
      <c r="BT994" s="215"/>
      <c r="BU994" s="215"/>
      <c r="BV994" s="215"/>
      <c r="BW994" s="215"/>
      <c r="BX994" s="215"/>
      <c r="BY994" s="215"/>
      <c r="BZ994" s="215"/>
    </row>
    <row r="995" spans="1:78" outlineLevel="1" x14ac:dyDescent="0.2">
      <c r="A995" s="2" t="str">
        <f>'Language Index'!A550</f>
        <v>Transition Asset/Obligation Recog. Next Period</v>
      </c>
      <c r="B995" s="17"/>
      <c r="C995" s="17"/>
      <c r="D995" s="18">
        <f>_xll.ciqfunctions.udf.CIQ($C$2,"IQ_PENSION_TRANSITION_NEXT_FOREIGN",D$6,$F$2,,,Ccy,Conv)</f>
        <v>0</v>
      </c>
      <c r="E995" s="18">
        <f>_xll.ciqfunctions.udf.CIQ($C$2,"IQ_PENSION_TRANSITION_NEXT_FOREIGN",E$6,$F$2,,,Ccy,Conv)</f>
        <v>0</v>
      </c>
      <c r="F995" s="18">
        <f>_xll.ciqfunctions.udf.CIQ($C$2,"IQ_PENSION_TRANSITION_NEXT_FOREIGN",F$6,$F$2,,,Ccy,Conv)</f>
        <v>0</v>
      </c>
      <c r="G995" s="18">
        <f>_xll.ciqfunctions.udf.CIQ($C$2,"IQ_PENSION_TRANSITION_NEXT_FOREIGN",G$6,$F$2,,,Ccy,Conv)</f>
        <v>0</v>
      </c>
      <c r="H995" s="18">
        <f>_xll.ciqfunctions.udf.CIQ($C$2,"IQ_PENSION_TRANSITION_NEXT_FOREIGN",H$6,$F$2,,,Ccy,Conv)</f>
        <v>0</v>
      </c>
      <c r="I995" s="18">
        <f>_xll.ciqfunctions.udf.CIQ($C$2,"IQ_PENSION_TRANSITION_NEXT_FOREIGN",I$6,$F$2,,,Ccy,Conv)</f>
        <v>0</v>
      </c>
      <c r="J995" s="18">
        <f>_xll.ciqfunctions.udf.CIQ($C$2,"IQ_PENSION_TRANSITION_NEXT_FOREIGN",J$6,$F$2,,,Ccy,Conv)</f>
        <v>0</v>
      </c>
      <c r="K995" s="18">
        <f>_xll.ciqfunctions.udf.CIQ($C$2,"IQ_PENSION_TRANSITION_NEXT_FOREIGN",K$6,$F$2,,,Ccy,Conv)</f>
        <v>0</v>
      </c>
      <c r="L995" s="18">
        <f>_xll.ciqfunctions.udf.CIQ($C$2,"IQ_PENSION_TRANSITION_NEXT_FOREIGN",L$6,$F$2,,,Ccy,Conv)</f>
        <v>0</v>
      </c>
      <c r="M995" s="18">
        <f>_xll.ciqfunctions.udf.CIQ($C$2,"IQ_PENSION_TRANSITION_NEXT_FOREIGN",M$6,$F$2,,,Ccy,Conv)</f>
        <v>0</v>
      </c>
      <c r="N995" s="18">
        <f>_xll.ciqfunctions.udf.CIQ($C$2,"IQ_PENSION_TRANSITION_NEXT_FOREIGN",N$6,$F$2,,,Ccy,Conv)</f>
        <v>0</v>
      </c>
      <c r="O995" s="30"/>
      <c r="P995" s="18">
        <f>_xll.ciqfunctions.udf.CIQ($C$2,"IQ_PENSION_TRANSITION_NEXT_FOREIGN",P$6,$F$2,,,Ccy,Conv)</f>
        <v>0</v>
      </c>
      <c r="Q995" s="215"/>
      <c r="R995" s="215"/>
      <c r="S995" s="215"/>
      <c r="T995" s="215"/>
      <c r="U995" s="215"/>
      <c r="V995" s="222"/>
      <c r="W995" s="222"/>
      <c r="X995" s="222"/>
      <c r="Y995" s="215"/>
      <c r="Z995" s="215"/>
      <c r="AA995" s="215"/>
      <c r="AB995" s="215"/>
      <c r="AC995" s="215"/>
      <c r="AD995" s="215"/>
      <c r="AE995" s="215"/>
      <c r="AF995" s="215"/>
      <c r="AG995" s="215"/>
      <c r="AH995" s="215"/>
      <c r="AI995" s="215"/>
      <c r="AJ995" s="215"/>
      <c r="AK995" s="215"/>
      <c r="AL995" s="215"/>
      <c r="AM995" s="215"/>
      <c r="AN995" s="215"/>
      <c r="AO995" s="215"/>
      <c r="AP995" s="215"/>
      <c r="AQ995" s="215"/>
      <c r="AR995" s="215"/>
      <c r="AS995" s="215"/>
      <c r="AT995" s="215"/>
      <c r="AU995" s="215"/>
      <c r="AV995" s="215"/>
      <c r="AW995" s="215"/>
      <c r="AX995" s="215"/>
      <c r="AY995" s="215"/>
      <c r="AZ995" s="215"/>
      <c r="BA995" s="215"/>
      <c r="BB995" s="215"/>
      <c r="BC995" s="215"/>
      <c r="BD995" s="215"/>
      <c r="BE995" s="215"/>
      <c r="BF995" s="215"/>
      <c r="BG995" s="215"/>
      <c r="BH995" s="215"/>
      <c r="BI995" s="215"/>
      <c r="BJ995" s="215"/>
      <c r="BK995" s="215"/>
      <c r="BL995" s="215"/>
      <c r="BM995" s="215"/>
      <c r="BN995" s="215"/>
      <c r="BO995" s="215"/>
      <c r="BP995" s="215"/>
      <c r="BQ995" s="215"/>
      <c r="BR995" s="215"/>
      <c r="BS995" s="215"/>
      <c r="BT995" s="215"/>
      <c r="BU995" s="215"/>
      <c r="BV995" s="215"/>
      <c r="BW995" s="215"/>
      <c r="BX995" s="215"/>
      <c r="BY995" s="215"/>
      <c r="BZ995" s="215"/>
    </row>
    <row r="996" spans="1:78" outlineLevel="1" x14ac:dyDescent="0.2">
      <c r="A996" s="2" t="str">
        <f>'Language Index'!A551</f>
        <v>Total Amount to be Recognized Next Period</v>
      </c>
      <c r="B996" s="17"/>
      <c r="C996" s="17"/>
      <c r="D996" s="18">
        <f>_xll.ciqfunctions.udf.CIQ($C$2,"IQ_PENSION_AMT_RECOG_NEXT_FOREIGN",D$6,$F$2,,,Ccy,Conv)</f>
        <v>0</v>
      </c>
      <c r="E996" s="18">
        <f>_xll.ciqfunctions.udf.CIQ($C$2,"IQ_PENSION_AMT_RECOG_NEXT_FOREIGN",E$6,$F$2,,,Ccy,Conv)</f>
        <v>0</v>
      </c>
      <c r="F996" s="18">
        <f>_xll.ciqfunctions.udf.CIQ($C$2,"IQ_PENSION_AMT_RECOG_NEXT_FOREIGN",F$6,$F$2,,,Ccy,Conv)</f>
        <v>0</v>
      </c>
      <c r="G996" s="18">
        <f>_xll.ciqfunctions.udf.CIQ($C$2,"IQ_PENSION_AMT_RECOG_NEXT_FOREIGN",G$6,$F$2,,,Ccy,Conv)</f>
        <v>0</v>
      </c>
      <c r="H996" s="18">
        <f>_xll.ciqfunctions.udf.CIQ($C$2,"IQ_PENSION_AMT_RECOG_NEXT_FOREIGN",H$6,$F$2,,,Ccy,Conv)</f>
        <v>0</v>
      </c>
      <c r="I996" s="18">
        <f>_xll.ciqfunctions.udf.CIQ($C$2,"IQ_PENSION_AMT_RECOG_NEXT_FOREIGN",I$6,$F$2,,,Ccy,Conv)</f>
        <v>0</v>
      </c>
      <c r="J996" s="18">
        <f>_xll.ciqfunctions.udf.CIQ($C$2,"IQ_PENSION_AMT_RECOG_NEXT_FOREIGN",J$6,$F$2,,,Ccy,Conv)</f>
        <v>0</v>
      </c>
      <c r="K996" s="18">
        <f>_xll.ciqfunctions.udf.CIQ($C$2,"IQ_PENSION_AMT_RECOG_NEXT_FOREIGN",K$6,$F$2,,,Ccy,Conv)</f>
        <v>0</v>
      </c>
      <c r="L996" s="18">
        <f>_xll.ciqfunctions.udf.CIQ($C$2,"IQ_PENSION_AMT_RECOG_NEXT_FOREIGN",L$6,$F$2,,,Ccy,Conv)</f>
        <v>0</v>
      </c>
      <c r="M996" s="18">
        <f>_xll.ciqfunctions.udf.CIQ($C$2,"IQ_PENSION_AMT_RECOG_NEXT_FOREIGN",M$6,$F$2,,,Ccy,Conv)</f>
        <v>0</v>
      </c>
      <c r="N996" s="18">
        <f>_xll.ciqfunctions.udf.CIQ($C$2,"IQ_PENSION_AMT_RECOG_NEXT_FOREIGN",N$6,$F$2,,,Ccy,Conv)</f>
        <v>0</v>
      </c>
      <c r="O996" s="30"/>
      <c r="P996" s="18">
        <f>_xll.ciqfunctions.udf.CIQ($C$2,"IQ_PENSION_AMT_RECOG_NEXT_FOREIGN",P$6,$F$2,,,Ccy,Conv)</f>
        <v>0</v>
      </c>
      <c r="Q996" s="215"/>
      <c r="R996" s="215"/>
      <c r="S996" s="215"/>
      <c r="T996" s="215"/>
      <c r="U996" s="215"/>
      <c r="V996" s="222"/>
      <c r="W996" s="222"/>
      <c r="X996" s="222"/>
      <c r="Y996" s="215"/>
      <c r="Z996" s="215"/>
      <c r="AA996" s="215"/>
      <c r="AB996" s="215"/>
      <c r="AC996" s="215"/>
      <c r="AD996" s="215"/>
      <c r="AE996" s="215"/>
      <c r="AF996" s="215"/>
      <c r="AG996" s="215"/>
      <c r="AH996" s="215"/>
      <c r="AI996" s="215"/>
      <c r="AJ996" s="215"/>
      <c r="AK996" s="215"/>
      <c r="AL996" s="215"/>
      <c r="AM996" s="215"/>
      <c r="AN996" s="215"/>
      <c r="AO996" s="215"/>
      <c r="AP996" s="215"/>
      <c r="AQ996" s="215"/>
      <c r="AR996" s="215"/>
      <c r="AS996" s="215"/>
      <c r="AT996" s="215"/>
      <c r="AU996" s="215"/>
      <c r="AV996" s="215"/>
      <c r="AW996" s="215"/>
      <c r="AX996" s="215"/>
      <c r="AY996" s="215"/>
      <c r="AZ996" s="215"/>
      <c r="BA996" s="215"/>
      <c r="BB996" s="215"/>
      <c r="BC996" s="215"/>
      <c r="BD996" s="215"/>
      <c r="BE996" s="215"/>
      <c r="BF996" s="215"/>
      <c r="BG996" s="215"/>
      <c r="BH996" s="215"/>
      <c r="BI996" s="215"/>
      <c r="BJ996" s="215"/>
      <c r="BK996" s="215"/>
      <c r="BL996" s="215"/>
      <c r="BM996" s="215"/>
      <c r="BN996" s="215"/>
      <c r="BO996" s="215"/>
      <c r="BP996" s="215"/>
      <c r="BQ996" s="215"/>
      <c r="BR996" s="215"/>
      <c r="BS996" s="215"/>
      <c r="BT996" s="215"/>
      <c r="BU996" s="215"/>
      <c r="BV996" s="215"/>
      <c r="BW996" s="215"/>
      <c r="BX996" s="215"/>
      <c r="BY996" s="215"/>
      <c r="BZ996" s="215"/>
    </row>
    <row r="997" spans="1:78" outlineLevel="1" x14ac:dyDescent="0.2">
      <c r="A997" s="9" t="str">
        <f>'Language Index'!A552</f>
        <v>Weighted Avg. Assumptions on Def. Benefit Obligation</v>
      </c>
      <c r="B997" s="17"/>
      <c r="C997" s="17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30"/>
      <c r="P997" s="18"/>
      <c r="Q997" s="245"/>
      <c r="R997" s="215"/>
      <c r="S997" s="215"/>
      <c r="T997" s="215"/>
      <c r="U997" s="215"/>
      <c r="V997" s="222"/>
      <c r="W997" s="222"/>
      <c r="X997" s="222"/>
      <c r="Y997" s="215"/>
      <c r="Z997" s="215"/>
      <c r="AA997" s="215"/>
      <c r="AB997" s="215"/>
      <c r="AC997" s="215"/>
      <c r="AD997" s="215"/>
      <c r="AE997" s="215"/>
      <c r="AF997" s="215"/>
      <c r="AG997" s="215"/>
      <c r="AH997" s="215"/>
      <c r="AI997" s="215"/>
      <c r="AJ997" s="215"/>
      <c r="AK997" s="215"/>
      <c r="AL997" s="215"/>
      <c r="AM997" s="215"/>
      <c r="AN997" s="215"/>
      <c r="AO997" s="215"/>
      <c r="AP997" s="215"/>
      <c r="AQ997" s="215"/>
      <c r="AR997" s="215"/>
      <c r="AS997" s="215"/>
      <c r="AT997" s="215"/>
      <c r="AU997" s="215"/>
      <c r="AV997" s="215"/>
      <c r="AW997" s="215"/>
      <c r="AX997" s="215"/>
      <c r="AY997" s="215"/>
      <c r="AZ997" s="215"/>
      <c r="BA997" s="215"/>
      <c r="BB997" s="215"/>
      <c r="BC997" s="215"/>
      <c r="BD997" s="215"/>
      <c r="BE997" s="215"/>
      <c r="BF997" s="215"/>
      <c r="BG997" s="215"/>
      <c r="BH997" s="215"/>
      <c r="BI997" s="215"/>
      <c r="BJ997" s="215"/>
      <c r="BK997" s="215"/>
      <c r="BL997" s="215"/>
      <c r="BM997" s="215"/>
      <c r="BN997" s="215"/>
      <c r="BO997" s="215"/>
      <c r="BP997" s="215"/>
      <c r="BQ997" s="215"/>
      <c r="BR997" s="215"/>
      <c r="BS997" s="215"/>
      <c r="BT997" s="215"/>
      <c r="BU997" s="215"/>
      <c r="BV997" s="215"/>
      <c r="BW997" s="215"/>
      <c r="BX997" s="215"/>
      <c r="BY997" s="215"/>
      <c r="BZ997" s="215"/>
    </row>
    <row r="998" spans="1:78" outlineLevel="1" x14ac:dyDescent="0.2">
      <c r="A998" s="2" t="str">
        <f>'Language Index'!A553</f>
        <v>PBO Assumed Rate of Return - Min</v>
      </c>
      <c r="B998" s="17"/>
      <c r="C998" s="17"/>
      <c r="D998" s="18">
        <f>_xll.ciqfunctions.udf.CIQ($C$2,"IQ_PENSION_PBO_ASSUMED_RATE_RET_MIN_FOREIGN",D$6,$F$2)</f>
        <v>0</v>
      </c>
      <c r="E998" s="18">
        <f>_xll.ciqfunctions.udf.CIQ($C$2,"IQ_PENSION_PBO_ASSUMED_RATE_RET_MIN_FOREIGN",E$6,$F$2)</f>
        <v>0</v>
      </c>
      <c r="F998" s="18">
        <f>_xll.ciqfunctions.udf.CIQ($C$2,"IQ_PENSION_PBO_ASSUMED_RATE_RET_MIN_FOREIGN",F$6,$F$2)</f>
        <v>3.36</v>
      </c>
      <c r="G998" s="18">
        <f>_xll.ciqfunctions.udf.CIQ($C$2,"IQ_PENSION_PBO_ASSUMED_RATE_RET_MIN_FOREIGN",G$6,$F$2)</f>
        <v>0</v>
      </c>
      <c r="H998" s="18">
        <f>_xll.ciqfunctions.udf.CIQ($C$2,"IQ_PENSION_PBO_ASSUMED_RATE_RET_MIN_FOREIGN",H$6,$F$2)</f>
        <v>0</v>
      </c>
      <c r="I998" s="18">
        <f>_xll.ciqfunctions.udf.CIQ($C$2,"IQ_PENSION_PBO_ASSUMED_RATE_RET_MIN_FOREIGN",I$6,$F$2)</f>
        <v>0</v>
      </c>
      <c r="J998" s="18">
        <f>_xll.ciqfunctions.udf.CIQ($C$2,"IQ_PENSION_PBO_ASSUMED_RATE_RET_MIN_FOREIGN",J$6,$F$2)</f>
        <v>3.61</v>
      </c>
      <c r="K998" s="18">
        <f>_xll.ciqfunctions.udf.CIQ($C$2,"IQ_PENSION_PBO_ASSUMED_RATE_RET_MIN_FOREIGN",K$6,$F$2)</f>
        <v>0</v>
      </c>
      <c r="L998" s="18">
        <f>_xll.ciqfunctions.udf.CIQ($C$2,"IQ_PENSION_PBO_ASSUMED_RATE_RET_MIN_FOREIGN",L$6,$F$2)</f>
        <v>0</v>
      </c>
      <c r="M998" s="18">
        <f>_xll.ciqfunctions.udf.CIQ($C$2,"IQ_PENSION_PBO_ASSUMED_RATE_RET_MIN_FOREIGN",M$6,$F$2)</f>
        <v>0</v>
      </c>
      <c r="N998" s="18">
        <f>_xll.ciqfunctions.udf.CIQ($C$2,"IQ_PENSION_PBO_ASSUMED_RATE_RET_MIN_FOREIGN",N$6,$F$2)</f>
        <v>4.05</v>
      </c>
      <c r="O998" s="30"/>
      <c r="P998" s="18">
        <f>_xll.ciqfunctions.udf.CIQ($C$2,"IQ_PENSION_PBO_ASSUMED_RATE_RET_MIN_FOREIGN",P$6,$F$2)</f>
        <v>4.05</v>
      </c>
      <c r="Q998" s="245"/>
      <c r="R998" s="215"/>
      <c r="S998" s="215"/>
      <c r="T998" s="215"/>
      <c r="U998" s="215"/>
      <c r="V998" s="222"/>
      <c r="W998" s="222"/>
      <c r="X998" s="222"/>
      <c r="Y998" s="215"/>
      <c r="Z998" s="215"/>
      <c r="AA998" s="215"/>
      <c r="AB998" s="215"/>
      <c r="AC998" s="215"/>
      <c r="AD998" s="215"/>
      <c r="AE998" s="215"/>
      <c r="AF998" s="215"/>
      <c r="AG998" s="215"/>
      <c r="AH998" s="215"/>
      <c r="AI998" s="215"/>
      <c r="AJ998" s="215"/>
      <c r="AK998" s="215"/>
      <c r="AL998" s="215"/>
      <c r="AM998" s="215"/>
      <c r="AN998" s="215"/>
      <c r="AO998" s="215"/>
      <c r="AP998" s="215"/>
      <c r="AQ998" s="215"/>
      <c r="AR998" s="215"/>
      <c r="AS998" s="215"/>
      <c r="AT998" s="215"/>
      <c r="AU998" s="215"/>
      <c r="AV998" s="215"/>
      <c r="AW998" s="215"/>
      <c r="AX998" s="215"/>
      <c r="AY998" s="215"/>
      <c r="AZ998" s="215"/>
      <c r="BA998" s="215"/>
      <c r="BB998" s="215"/>
      <c r="BC998" s="215"/>
      <c r="BD998" s="215"/>
      <c r="BE998" s="215"/>
      <c r="BF998" s="215"/>
      <c r="BG998" s="215"/>
      <c r="BH998" s="215"/>
      <c r="BI998" s="215"/>
      <c r="BJ998" s="215"/>
      <c r="BK998" s="215"/>
      <c r="BL998" s="215"/>
      <c r="BM998" s="215"/>
      <c r="BN998" s="215"/>
      <c r="BO998" s="215"/>
      <c r="BP998" s="215"/>
      <c r="BQ998" s="215"/>
      <c r="BR998" s="215"/>
      <c r="BS998" s="215"/>
      <c r="BT998" s="215"/>
      <c r="BU998" s="215"/>
      <c r="BV998" s="215"/>
      <c r="BW998" s="215"/>
      <c r="BX998" s="215"/>
      <c r="BY998" s="215"/>
      <c r="BZ998" s="215"/>
    </row>
    <row r="999" spans="1:78" outlineLevel="1" x14ac:dyDescent="0.2">
      <c r="A999" s="2" t="str">
        <f>'Language Index'!A554</f>
        <v>PBO Assumed Rate of Return - Max</v>
      </c>
      <c r="B999" s="17"/>
      <c r="C999" s="17"/>
      <c r="D999" s="18">
        <f>_xll.ciqfunctions.udf.CIQ($C$2,"IQ_PENSION_PBO_ASSUMED_RATE_RET_MAX_FOREIGN",D$6,$F$2)</f>
        <v>0</v>
      </c>
      <c r="E999" s="18">
        <f>_xll.ciqfunctions.udf.CIQ($C$2,"IQ_PENSION_PBO_ASSUMED_RATE_RET_MAX_FOREIGN",E$6,$F$2)</f>
        <v>0</v>
      </c>
      <c r="F999" s="18">
        <f>_xll.ciqfunctions.udf.CIQ($C$2,"IQ_PENSION_PBO_ASSUMED_RATE_RET_MAX_FOREIGN",F$6,$F$2)</f>
        <v>3.36</v>
      </c>
      <c r="G999" s="18">
        <f>_xll.ciqfunctions.udf.CIQ($C$2,"IQ_PENSION_PBO_ASSUMED_RATE_RET_MAX_FOREIGN",G$6,$F$2)</f>
        <v>0</v>
      </c>
      <c r="H999" s="18">
        <f>_xll.ciqfunctions.udf.CIQ($C$2,"IQ_PENSION_PBO_ASSUMED_RATE_RET_MAX_FOREIGN",H$6,$F$2)</f>
        <v>0</v>
      </c>
      <c r="I999" s="18">
        <f>_xll.ciqfunctions.udf.CIQ($C$2,"IQ_PENSION_PBO_ASSUMED_RATE_RET_MAX_FOREIGN",I$6,$F$2)</f>
        <v>0</v>
      </c>
      <c r="J999" s="18">
        <f>_xll.ciqfunctions.udf.CIQ($C$2,"IQ_PENSION_PBO_ASSUMED_RATE_RET_MAX_FOREIGN",J$6,$F$2)</f>
        <v>3.61</v>
      </c>
      <c r="K999" s="18">
        <f>_xll.ciqfunctions.udf.CIQ($C$2,"IQ_PENSION_PBO_ASSUMED_RATE_RET_MAX_FOREIGN",K$6,$F$2)</f>
        <v>0</v>
      </c>
      <c r="L999" s="18">
        <f>_xll.ciqfunctions.udf.CIQ($C$2,"IQ_PENSION_PBO_ASSUMED_RATE_RET_MAX_FOREIGN",L$6,$F$2)</f>
        <v>0</v>
      </c>
      <c r="M999" s="18">
        <f>_xll.ciqfunctions.udf.CIQ($C$2,"IQ_PENSION_PBO_ASSUMED_RATE_RET_MAX_FOREIGN",M$6,$F$2)</f>
        <v>0</v>
      </c>
      <c r="N999" s="18">
        <f>_xll.ciqfunctions.udf.CIQ($C$2,"IQ_PENSION_PBO_ASSUMED_RATE_RET_MAX_FOREIGN",N$6,$F$2)</f>
        <v>4.05</v>
      </c>
      <c r="O999" s="30"/>
      <c r="P999" s="18">
        <f>_xll.ciqfunctions.udf.CIQ($C$2,"IQ_PENSION_PBO_ASSUMED_RATE_RET_MAX_FOREIGN",P$6,$F$2)</f>
        <v>4.05</v>
      </c>
      <c r="Q999" s="245"/>
      <c r="R999" s="215"/>
      <c r="S999" s="215"/>
      <c r="T999" s="215"/>
      <c r="U999" s="215"/>
      <c r="V999" s="222"/>
      <c r="W999" s="222"/>
      <c r="X999" s="222"/>
      <c r="Y999" s="215"/>
      <c r="Z999" s="215"/>
      <c r="AA999" s="215"/>
      <c r="AB999" s="215"/>
      <c r="AC999" s="215"/>
      <c r="AD999" s="215"/>
      <c r="AE999" s="215"/>
      <c r="AF999" s="215"/>
      <c r="AG999" s="215"/>
      <c r="AH999" s="215"/>
      <c r="AI999" s="215"/>
      <c r="AJ999" s="215"/>
      <c r="AK999" s="215"/>
      <c r="AL999" s="215"/>
      <c r="AM999" s="215"/>
      <c r="AN999" s="215"/>
      <c r="AO999" s="215"/>
      <c r="AP999" s="215"/>
      <c r="AQ999" s="215"/>
      <c r="AR999" s="215"/>
      <c r="AS999" s="215"/>
      <c r="AT999" s="215"/>
      <c r="AU999" s="215"/>
      <c r="AV999" s="215"/>
      <c r="AW999" s="215"/>
      <c r="AX999" s="215"/>
      <c r="AY999" s="215"/>
      <c r="AZ999" s="215"/>
      <c r="BA999" s="215"/>
      <c r="BB999" s="215"/>
      <c r="BC999" s="215"/>
      <c r="BD999" s="215"/>
      <c r="BE999" s="215"/>
      <c r="BF999" s="215"/>
      <c r="BG999" s="215"/>
      <c r="BH999" s="215"/>
      <c r="BI999" s="215"/>
      <c r="BJ999" s="215"/>
      <c r="BK999" s="215"/>
      <c r="BL999" s="215"/>
      <c r="BM999" s="215"/>
      <c r="BN999" s="215"/>
      <c r="BO999" s="215"/>
      <c r="BP999" s="215"/>
      <c r="BQ999" s="215"/>
      <c r="BR999" s="215"/>
      <c r="BS999" s="215"/>
      <c r="BT999" s="215"/>
      <c r="BU999" s="215"/>
      <c r="BV999" s="215"/>
      <c r="BW999" s="215"/>
      <c r="BX999" s="215"/>
      <c r="BY999" s="215"/>
      <c r="BZ999" s="215"/>
    </row>
    <row r="1000" spans="1:78" outlineLevel="1" x14ac:dyDescent="0.2">
      <c r="A1000" s="2" t="str">
        <f>'Language Index'!A555</f>
        <v>Rate of PBO Compensation Increase - Min</v>
      </c>
      <c r="B1000" s="17"/>
      <c r="C1000" s="17"/>
      <c r="D1000" s="18">
        <f>_xll.ciqfunctions.udf.CIQ($C$2,"IQ_PENSION_PBO_RATE_COMP_INCREASE_MIN_FOREIGN",D$6,$F$2)</f>
        <v>0</v>
      </c>
      <c r="E1000" s="18">
        <f>_xll.ciqfunctions.udf.CIQ($C$2,"IQ_PENSION_PBO_RATE_COMP_INCREASE_MIN_FOREIGN",E$6,$F$2)</f>
        <v>0</v>
      </c>
      <c r="F1000" s="18">
        <f>_xll.ciqfunctions.udf.CIQ($C$2,"IQ_PENSION_PBO_RATE_COMP_INCREASE_MIN_FOREIGN",F$6,$F$2)</f>
        <v>4.18</v>
      </c>
      <c r="G1000" s="18">
        <f>_xll.ciqfunctions.udf.CIQ($C$2,"IQ_PENSION_PBO_RATE_COMP_INCREASE_MIN_FOREIGN",G$6,$F$2)</f>
        <v>0</v>
      </c>
      <c r="H1000" s="18">
        <f>_xll.ciqfunctions.udf.CIQ($C$2,"IQ_PENSION_PBO_RATE_COMP_INCREASE_MIN_FOREIGN",H$6,$F$2)</f>
        <v>0</v>
      </c>
      <c r="I1000" s="18">
        <f>_xll.ciqfunctions.udf.CIQ($C$2,"IQ_PENSION_PBO_RATE_COMP_INCREASE_MIN_FOREIGN",I$6,$F$2)</f>
        <v>0</v>
      </c>
      <c r="J1000" s="18">
        <f>_xll.ciqfunctions.udf.CIQ($C$2,"IQ_PENSION_PBO_RATE_COMP_INCREASE_MIN_FOREIGN",J$6,$F$2)</f>
        <v>4.04</v>
      </c>
      <c r="K1000" s="18">
        <f>_xll.ciqfunctions.udf.CIQ($C$2,"IQ_PENSION_PBO_RATE_COMP_INCREASE_MIN_FOREIGN",K$6,$F$2)</f>
        <v>0</v>
      </c>
      <c r="L1000" s="18">
        <f>_xll.ciqfunctions.udf.CIQ($C$2,"IQ_PENSION_PBO_RATE_COMP_INCREASE_MIN_FOREIGN",L$6,$F$2)</f>
        <v>0</v>
      </c>
      <c r="M1000" s="18">
        <f>_xll.ciqfunctions.udf.CIQ($C$2,"IQ_PENSION_PBO_RATE_COMP_INCREASE_MIN_FOREIGN",M$6,$F$2)</f>
        <v>0</v>
      </c>
      <c r="N1000" s="18">
        <f>_xll.ciqfunctions.udf.CIQ($C$2,"IQ_PENSION_PBO_RATE_COMP_INCREASE_MIN_FOREIGN",N$6,$F$2)</f>
        <v>4.3600000000000003</v>
      </c>
      <c r="O1000" s="30"/>
      <c r="P1000" s="18">
        <f>_xll.ciqfunctions.udf.CIQ($C$2,"IQ_PENSION_PBO_RATE_COMP_INCREASE_MIN_FOREIGN",P$6,$F$2)</f>
        <v>4.3600000000000003</v>
      </c>
      <c r="Q1000" s="215"/>
      <c r="R1000" s="215"/>
      <c r="S1000" s="215"/>
      <c r="T1000" s="215"/>
      <c r="U1000" s="215"/>
      <c r="V1000" s="222"/>
      <c r="W1000" s="222"/>
      <c r="X1000" s="222"/>
      <c r="Y1000" s="215"/>
      <c r="Z1000" s="215"/>
      <c r="AA1000" s="215"/>
      <c r="AB1000" s="215"/>
      <c r="AC1000" s="215"/>
      <c r="AD1000" s="215"/>
      <c r="AE1000" s="215"/>
      <c r="AF1000" s="215"/>
      <c r="AG1000" s="215"/>
      <c r="AH1000" s="215"/>
      <c r="AI1000" s="215"/>
      <c r="AJ1000" s="215"/>
      <c r="AK1000" s="215"/>
      <c r="AL1000" s="215"/>
      <c r="AM1000" s="215"/>
      <c r="AN1000" s="215"/>
      <c r="AO1000" s="215"/>
      <c r="AP1000" s="215"/>
      <c r="AQ1000" s="215"/>
      <c r="AR1000" s="215"/>
      <c r="AS1000" s="215"/>
      <c r="AT1000" s="215"/>
      <c r="AU1000" s="215"/>
      <c r="AV1000" s="215"/>
      <c r="AW1000" s="215"/>
      <c r="AX1000" s="215"/>
      <c r="AY1000" s="215"/>
      <c r="AZ1000" s="215"/>
      <c r="BA1000" s="215"/>
      <c r="BB1000" s="215"/>
      <c r="BC1000" s="215"/>
      <c r="BD1000" s="215"/>
      <c r="BE1000" s="215"/>
      <c r="BF1000" s="215"/>
      <c r="BG1000" s="215"/>
      <c r="BH1000" s="215"/>
      <c r="BI1000" s="215"/>
      <c r="BJ1000" s="215"/>
      <c r="BK1000" s="215"/>
      <c r="BL1000" s="215"/>
      <c r="BM1000" s="215"/>
      <c r="BN1000" s="215"/>
      <c r="BO1000" s="215"/>
      <c r="BP1000" s="215"/>
      <c r="BQ1000" s="215"/>
      <c r="BR1000" s="215"/>
      <c r="BS1000" s="215"/>
      <c r="BT1000" s="215"/>
      <c r="BU1000" s="215"/>
      <c r="BV1000" s="215"/>
      <c r="BW1000" s="215"/>
      <c r="BX1000" s="215"/>
      <c r="BY1000" s="215"/>
      <c r="BZ1000" s="215"/>
    </row>
    <row r="1001" spans="1:78" outlineLevel="1" x14ac:dyDescent="0.2">
      <c r="A1001" s="2" t="str">
        <f>'Language Index'!A556</f>
        <v>Rate of PBO Compensation Increase - Max</v>
      </c>
      <c r="B1001" s="17"/>
      <c r="C1001" s="17"/>
      <c r="D1001" s="18">
        <f>_xll.ciqfunctions.udf.CIQ($C$2,"IQ_PENSION_PBO_RATE_COMP_INCREASE_MAX_FOREIGN",D$6,$F$2)</f>
        <v>0</v>
      </c>
      <c r="E1001" s="18">
        <f>_xll.ciqfunctions.udf.CIQ($C$2,"IQ_PENSION_PBO_RATE_COMP_INCREASE_MAX_FOREIGN",E$6,$F$2)</f>
        <v>0</v>
      </c>
      <c r="F1001" s="18">
        <f>_xll.ciqfunctions.udf.CIQ($C$2,"IQ_PENSION_PBO_RATE_COMP_INCREASE_MAX_FOREIGN",F$6,$F$2)</f>
        <v>4.18</v>
      </c>
      <c r="G1001" s="18">
        <f>_xll.ciqfunctions.udf.CIQ($C$2,"IQ_PENSION_PBO_RATE_COMP_INCREASE_MAX_FOREIGN",G$6,$F$2)</f>
        <v>0</v>
      </c>
      <c r="H1001" s="18">
        <f>_xll.ciqfunctions.udf.CIQ($C$2,"IQ_PENSION_PBO_RATE_COMP_INCREASE_MAX_FOREIGN",H$6,$F$2)</f>
        <v>0</v>
      </c>
      <c r="I1001" s="18">
        <f>_xll.ciqfunctions.udf.CIQ($C$2,"IQ_PENSION_PBO_RATE_COMP_INCREASE_MAX_FOREIGN",I$6,$F$2)</f>
        <v>0</v>
      </c>
      <c r="J1001" s="18">
        <f>_xll.ciqfunctions.udf.CIQ($C$2,"IQ_PENSION_PBO_RATE_COMP_INCREASE_MAX_FOREIGN",J$6,$F$2)</f>
        <v>4.04</v>
      </c>
      <c r="K1001" s="18">
        <f>_xll.ciqfunctions.udf.CIQ($C$2,"IQ_PENSION_PBO_RATE_COMP_INCREASE_MAX_FOREIGN",K$6,$F$2)</f>
        <v>0</v>
      </c>
      <c r="L1001" s="18">
        <f>_xll.ciqfunctions.udf.CIQ($C$2,"IQ_PENSION_PBO_RATE_COMP_INCREASE_MAX_FOREIGN",L$6,$F$2)</f>
        <v>0</v>
      </c>
      <c r="M1001" s="18">
        <f>_xll.ciqfunctions.udf.CIQ($C$2,"IQ_PENSION_PBO_RATE_COMP_INCREASE_MAX_FOREIGN",M$6,$F$2)</f>
        <v>0</v>
      </c>
      <c r="N1001" s="18">
        <f>_xll.ciqfunctions.udf.CIQ($C$2,"IQ_PENSION_PBO_RATE_COMP_INCREASE_MAX_FOREIGN",N$6,$F$2)</f>
        <v>4.3600000000000003</v>
      </c>
      <c r="O1001" s="30"/>
      <c r="P1001" s="18">
        <f>_xll.ciqfunctions.udf.CIQ($C$2,"IQ_PENSION_PBO_RATE_COMP_INCREASE_MAX_FOREIGN",P$6,$F$2)</f>
        <v>4.3600000000000003</v>
      </c>
      <c r="Q1001" s="215"/>
      <c r="R1001" s="215"/>
      <c r="S1001" s="215"/>
      <c r="T1001" s="215"/>
      <c r="U1001" s="215"/>
      <c r="V1001" s="222"/>
      <c r="W1001" s="222"/>
      <c r="X1001" s="222"/>
      <c r="Y1001" s="215"/>
      <c r="Z1001" s="215"/>
      <c r="AA1001" s="215"/>
      <c r="AB1001" s="215"/>
      <c r="AC1001" s="215"/>
      <c r="AD1001" s="215"/>
      <c r="AE1001" s="215"/>
      <c r="AF1001" s="215"/>
      <c r="AG1001" s="215"/>
      <c r="AH1001" s="215"/>
      <c r="AI1001" s="215"/>
      <c r="AJ1001" s="215"/>
      <c r="AK1001" s="215"/>
      <c r="AL1001" s="215"/>
      <c r="AM1001" s="215"/>
      <c r="AN1001" s="215"/>
      <c r="AO1001" s="215"/>
      <c r="AP1001" s="215"/>
      <c r="AQ1001" s="215"/>
      <c r="AR1001" s="215"/>
      <c r="AS1001" s="215"/>
      <c r="AT1001" s="215"/>
      <c r="AU1001" s="215"/>
      <c r="AV1001" s="215"/>
      <c r="AW1001" s="215"/>
      <c r="AX1001" s="215"/>
      <c r="AY1001" s="215"/>
      <c r="AZ1001" s="215"/>
      <c r="BA1001" s="215"/>
      <c r="BB1001" s="215"/>
      <c r="BC1001" s="215"/>
      <c r="BD1001" s="215"/>
      <c r="BE1001" s="215"/>
      <c r="BF1001" s="215"/>
      <c r="BG1001" s="215"/>
      <c r="BH1001" s="215"/>
      <c r="BI1001" s="215"/>
      <c r="BJ1001" s="215"/>
      <c r="BK1001" s="215"/>
      <c r="BL1001" s="215"/>
      <c r="BM1001" s="215"/>
      <c r="BN1001" s="215"/>
      <c r="BO1001" s="215"/>
      <c r="BP1001" s="215"/>
      <c r="BQ1001" s="215"/>
      <c r="BR1001" s="215"/>
      <c r="BS1001" s="215"/>
      <c r="BT1001" s="215"/>
      <c r="BU1001" s="215"/>
      <c r="BV1001" s="215"/>
      <c r="BW1001" s="215"/>
      <c r="BX1001" s="215"/>
      <c r="BY1001" s="215"/>
      <c r="BZ1001" s="215"/>
    </row>
    <row r="1002" spans="1:78" outlineLevel="1" x14ac:dyDescent="0.2">
      <c r="A1002" s="9" t="str">
        <f>'Language Index'!A557</f>
        <v>Estimated Future Benefits Paid</v>
      </c>
      <c r="B1002" s="17"/>
      <c r="C1002" s="17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30"/>
      <c r="P1002" s="18"/>
      <c r="Q1002" s="215"/>
      <c r="R1002" s="215"/>
      <c r="S1002" s="215"/>
      <c r="T1002" s="215"/>
      <c r="U1002" s="215"/>
      <c r="V1002" s="222"/>
      <c r="W1002" s="222"/>
      <c r="X1002" s="222"/>
      <c r="Y1002" s="215"/>
      <c r="Z1002" s="215"/>
      <c r="AA1002" s="215"/>
      <c r="AB1002" s="215"/>
      <c r="AC1002" s="215"/>
      <c r="AD1002" s="215"/>
      <c r="AE1002" s="215"/>
      <c r="AF1002" s="215"/>
      <c r="AG1002" s="215"/>
      <c r="AH1002" s="215"/>
      <c r="AI1002" s="215"/>
      <c r="AJ1002" s="215"/>
      <c r="AK1002" s="215"/>
      <c r="AL1002" s="215"/>
      <c r="AM1002" s="215"/>
      <c r="AN1002" s="215"/>
      <c r="AO1002" s="215"/>
      <c r="AP1002" s="215"/>
      <c r="AQ1002" s="215"/>
      <c r="AR1002" s="215"/>
      <c r="AS1002" s="215"/>
      <c r="AT1002" s="215"/>
      <c r="AU1002" s="215"/>
      <c r="AV1002" s="215"/>
      <c r="AW1002" s="215"/>
      <c r="AX1002" s="215"/>
      <c r="AY1002" s="215"/>
      <c r="AZ1002" s="215"/>
      <c r="BA1002" s="215"/>
      <c r="BB1002" s="215"/>
      <c r="BC1002" s="215"/>
      <c r="BD1002" s="215"/>
      <c r="BE1002" s="215"/>
      <c r="BF1002" s="215"/>
      <c r="BG1002" s="215"/>
      <c r="BH1002" s="215"/>
      <c r="BI1002" s="215"/>
      <c r="BJ1002" s="215"/>
      <c r="BK1002" s="215"/>
      <c r="BL1002" s="215"/>
      <c r="BM1002" s="215"/>
      <c r="BN1002" s="215"/>
      <c r="BO1002" s="215"/>
      <c r="BP1002" s="215"/>
      <c r="BQ1002" s="215"/>
      <c r="BR1002" s="215"/>
      <c r="BS1002" s="215"/>
      <c r="BT1002" s="215"/>
      <c r="BU1002" s="215"/>
      <c r="BV1002" s="215"/>
      <c r="BW1002" s="215"/>
      <c r="BX1002" s="215"/>
      <c r="BY1002" s="215"/>
      <c r="BZ1002" s="215"/>
    </row>
    <row r="1003" spans="1:78" outlineLevel="1" x14ac:dyDescent="0.2">
      <c r="A1003" s="2" t="str">
        <f>'Language Index'!A558</f>
        <v>Est. Future Benefits Paid - 1st Yr</v>
      </c>
      <c r="B1003" s="17"/>
      <c r="C1003" s="17"/>
      <c r="D1003" s="18">
        <f>_xll.ciqfunctions.udf.CIQ($C$2,"IQ_PENSION_EST_BENEFIT_1YR_FOREIGN",D$6,$F$2,,,Ccy,Conv)</f>
        <v>0</v>
      </c>
      <c r="E1003" s="18">
        <f>_xll.ciqfunctions.udf.CIQ($C$2,"IQ_PENSION_EST_BENEFIT_1YR_FOREIGN",E$6,$F$2,,,Ccy,Conv)</f>
        <v>0</v>
      </c>
      <c r="F1003" s="18">
        <f>_xll.ciqfunctions.udf.CIQ($C$2,"IQ_PENSION_EST_BENEFIT_1YR_FOREIGN",F$6,$F$2,,,Ccy,Conv)</f>
        <v>2370</v>
      </c>
      <c r="G1003" s="18">
        <f>_xll.ciqfunctions.udf.CIQ($C$2,"IQ_PENSION_EST_BENEFIT_1YR_FOREIGN",G$6,$F$2,,,Ccy,Conv)</f>
        <v>0</v>
      </c>
      <c r="H1003" s="18">
        <f>_xll.ciqfunctions.udf.CIQ($C$2,"IQ_PENSION_EST_BENEFIT_1YR_FOREIGN",H$6,$F$2,,,Ccy,Conv)</f>
        <v>0</v>
      </c>
      <c r="I1003" s="18">
        <f>_xll.ciqfunctions.udf.CIQ($C$2,"IQ_PENSION_EST_BENEFIT_1YR_FOREIGN",I$6,$F$2,,,Ccy,Conv)</f>
        <v>0</v>
      </c>
      <c r="J1003" s="18">
        <f>_xll.ciqfunctions.udf.CIQ($C$2,"IQ_PENSION_EST_BENEFIT_1YR_FOREIGN",J$6,$F$2,,,Ccy,Conv)</f>
        <v>2081</v>
      </c>
      <c r="K1003" s="18">
        <f>_xll.ciqfunctions.udf.CIQ($C$2,"IQ_PENSION_EST_BENEFIT_1YR_FOREIGN",K$6,$F$2,,,Ccy,Conv)</f>
        <v>0</v>
      </c>
      <c r="L1003" s="18">
        <f>_xll.ciqfunctions.udf.CIQ($C$2,"IQ_PENSION_EST_BENEFIT_1YR_FOREIGN",L$6,$F$2,,,Ccy,Conv)</f>
        <v>0</v>
      </c>
      <c r="M1003" s="18">
        <f>_xll.ciqfunctions.udf.CIQ($C$2,"IQ_PENSION_EST_BENEFIT_1YR_FOREIGN",M$6,$F$2,,,Ccy,Conv)</f>
        <v>0</v>
      </c>
      <c r="N1003" s="18">
        <f>_xll.ciqfunctions.udf.CIQ($C$2,"IQ_PENSION_EST_BENEFIT_1YR_FOREIGN",N$6,$F$2,,,Ccy,Conv)</f>
        <v>2414</v>
      </c>
      <c r="O1003" s="30"/>
      <c r="P1003" s="18">
        <f>_xll.ciqfunctions.udf.CIQ($C$2,"IQ_PENSION_EST_BENEFIT_1YR_FOREIGN",P$6,$F$2,,,Ccy,Conv)</f>
        <v>2414</v>
      </c>
      <c r="Q1003" s="215"/>
      <c r="R1003" s="215"/>
      <c r="S1003" s="215"/>
      <c r="T1003" s="215"/>
      <c r="U1003" s="215"/>
      <c r="V1003" s="222"/>
      <c r="W1003" s="222"/>
      <c r="X1003" s="222"/>
      <c r="Y1003" s="215"/>
      <c r="Z1003" s="215"/>
      <c r="AA1003" s="215"/>
      <c r="AB1003" s="215"/>
      <c r="AC1003" s="215"/>
      <c r="AD1003" s="215"/>
      <c r="AE1003" s="215"/>
      <c r="AF1003" s="215"/>
      <c r="AG1003" s="215"/>
      <c r="AH1003" s="215"/>
      <c r="AI1003" s="215"/>
      <c r="AJ1003" s="215"/>
      <c r="AK1003" s="215"/>
      <c r="AL1003" s="215"/>
      <c r="AM1003" s="215"/>
      <c r="AN1003" s="215"/>
      <c r="AO1003" s="215"/>
      <c r="AP1003" s="215"/>
      <c r="AQ1003" s="215"/>
      <c r="AR1003" s="215"/>
      <c r="AS1003" s="215"/>
      <c r="AT1003" s="215"/>
      <c r="AU1003" s="215"/>
      <c r="AV1003" s="215"/>
      <c r="AW1003" s="215"/>
      <c r="AX1003" s="215"/>
      <c r="AY1003" s="215"/>
      <c r="AZ1003" s="215"/>
      <c r="BA1003" s="215"/>
      <c r="BB1003" s="215"/>
      <c r="BC1003" s="215"/>
      <c r="BD1003" s="215"/>
      <c r="BE1003" s="215"/>
      <c r="BF1003" s="215"/>
      <c r="BG1003" s="215"/>
      <c r="BH1003" s="215"/>
      <c r="BI1003" s="215"/>
      <c r="BJ1003" s="215"/>
      <c r="BK1003" s="215"/>
      <c r="BL1003" s="215"/>
      <c r="BM1003" s="215"/>
      <c r="BN1003" s="215"/>
      <c r="BO1003" s="215"/>
      <c r="BP1003" s="215"/>
      <c r="BQ1003" s="215"/>
      <c r="BR1003" s="215"/>
      <c r="BS1003" s="215"/>
      <c r="BT1003" s="215"/>
      <c r="BU1003" s="215"/>
      <c r="BV1003" s="215"/>
      <c r="BW1003" s="215"/>
      <c r="BX1003" s="215"/>
      <c r="BY1003" s="215"/>
      <c r="BZ1003" s="215"/>
    </row>
    <row r="1004" spans="1:78" outlineLevel="1" x14ac:dyDescent="0.2">
      <c r="A1004" s="2" t="str">
        <f>'Language Index'!A559</f>
        <v>Est. Future Benefits Paid - 2nd Yr</v>
      </c>
      <c r="B1004" s="17"/>
      <c r="C1004" s="17"/>
      <c r="D1004" s="18">
        <f>_xll.ciqfunctions.udf.CIQ($C$2,"IQ_PENSION_EST_BENEFIT_2YR_FOREIGN",D$6,$F$2,,,Ccy,Conv)</f>
        <v>0</v>
      </c>
      <c r="E1004" s="18">
        <f>_xll.ciqfunctions.udf.CIQ($C$2,"IQ_PENSION_EST_BENEFIT_2YR_FOREIGN",E$6,$F$2,,,Ccy,Conv)</f>
        <v>0</v>
      </c>
      <c r="F1004" s="18">
        <f>_xll.ciqfunctions.udf.CIQ($C$2,"IQ_PENSION_EST_BENEFIT_2YR_FOREIGN",F$6,$F$2,,,Ccy,Conv)</f>
        <v>2336</v>
      </c>
      <c r="G1004" s="18">
        <f>_xll.ciqfunctions.udf.CIQ($C$2,"IQ_PENSION_EST_BENEFIT_2YR_FOREIGN",G$6,$F$2,,,Ccy,Conv)</f>
        <v>0</v>
      </c>
      <c r="H1004" s="18">
        <f>_xll.ciqfunctions.udf.CIQ($C$2,"IQ_PENSION_EST_BENEFIT_2YR_FOREIGN",H$6,$F$2,,,Ccy,Conv)</f>
        <v>0</v>
      </c>
      <c r="I1004" s="18">
        <f>_xll.ciqfunctions.udf.CIQ($C$2,"IQ_PENSION_EST_BENEFIT_2YR_FOREIGN",I$6,$F$2,,,Ccy,Conv)</f>
        <v>0</v>
      </c>
      <c r="J1004" s="18">
        <f>_xll.ciqfunctions.udf.CIQ($C$2,"IQ_PENSION_EST_BENEFIT_2YR_FOREIGN",J$6,$F$2,,,Ccy,Conv)</f>
        <v>1984</v>
      </c>
      <c r="K1004" s="18">
        <f>_xll.ciqfunctions.udf.CIQ($C$2,"IQ_PENSION_EST_BENEFIT_2YR_FOREIGN",K$6,$F$2,,,Ccy,Conv)</f>
        <v>0</v>
      </c>
      <c r="L1004" s="18">
        <f>_xll.ciqfunctions.udf.CIQ($C$2,"IQ_PENSION_EST_BENEFIT_2YR_FOREIGN",L$6,$F$2,,,Ccy,Conv)</f>
        <v>0</v>
      </c>
      <c r="M1004" s="18">
        <f>_xll.ciqfunctions.udf.CIQ($C$2,"IQ_PENSION_EST_BENEFIT_2YR_FOREIGN",M$6,$F$2,,,Ccy,Conv)</f>
        <v>0</v>
      </c>
      <c r="N1004" s="18">
        <f>_xll.ciqfunctions.udf.CIQ($C$2,"IQ_PENSION_EST_BENEFIT_2YR_FOREIGN",N$6,$F$2,,,Ccy,Conv)</f>
        <v>2309</v>
      </c>
      <c r="O1004" s="30"/>
      <c r="P1004" s="18">
        <f>_xll.ciqfunctions.udf.CIQ($C$2,"IQ_PENSION_EST_BENEFIT_2YR_FOREIGN",P$6,$F$2,,,Ccy,Conv)</f>
        <v>2309</v>
      </c>
      <c r="Q1004" s="215"/>
      <c r="R1004" s="215"/>
      <c r="S1004" s="215"/>
      <c r="T1004" s="215"/>
      <c r="U1004" s="215"/>
      <c r="V1004" s="222"/>
      <c r="W1004" s="222"/>
      <c r="X1004" s="222"/>
      <c r="Y1004" s="215"/>
      <c r="Z1004" s="215"/>
      <c r="AA1004" s="215"/>
      <c r="AB1004" s="215"/>
      <c r="AC1004" s="215"/>
      <c r="AD1004" s="215"/>
      <c r="AE1004" s="215"/>
      <c r="AF1004" s="215"/>
      <c r="AG1004" s="215"/>
      <c r="AH1004" s="215"/>
      <c r="AI1004" s="215"/>
      <c r="AJ1004" s="215"/>
      <c r="AK1004" s="215"/>
      <c r="AL1004" s="215"/>
      <c r="AM1004" s="215"/>
      <c r="AN1004" s="215"/>
      <c r="AO1004" s="215"/>
      <c r="AP1004" s="215"/>
      <c r="AQ1004" s="215"/>
      <c r="AR1004" s="215"/>
      <c r="AS1004" s="215"/>
      <c r="AT1004" s="215"/>
      <c r="AU1004" s="215"/>
      <c r="AV1004" s="215"/>
      <c r="AW1004" s="215"/>
      <c r="AX1004" s="215"/>
      <c r="AY1004" s="215"/>
      <c r="AZ1004" s="215"/>
      <c r="BA1004" s="215"/>
      <c r="BB1004" s="215"/>
      <c r="BC1004" s="215"/>
      <c r="BD1004" s="215"/>
      <c r="BE1004" s="215"/>
      <c r="BF1004" s="215"/>
      <c r="BG1004" s="215"/>
      <c r="BH1004" s="215"/>
      <c r="BI1004" s="215"/>
      <c r="BJ1004" s="215"/>
      <c r="BK1004" s="215"/>
      <c r="BL1004" s="215"/>
      <c r="BM1004" s="215"/>
      <c r="BN1004" s="215"/>
      <c r="BO1004" s="215"/>
      <c r="BP1004" s="215"/>
      <c r="BQ1004" s="215"/>
      <c r="BR1004" s="215"/>
      <c r="BS1004" s="215"/>
      <c r="BT1004" s="215"/>
      <c r="BU1004" s="215"/>
      <c r="BV1004" s="215"/>
      <c r="BW1004" s="215"/>
      <c r="BX1004" s="215"/>
      <c r="BY1004" s="215"/>
      <c r="BZ1004" s="215"/>
    </row>
    <row r="1005" spans="1:78" outlineLevel="1" x14ac:dyDescent="0.2">
      <c r="A1005" s="2" t="str">
        <f>'Language Index'!A560</f>
        <v>Est. Future Benefits Paid - 3rd Yr</v>
      </c>
      <c r="B1005" s="17"/>
      <c r="C1005" s="17"/>
      <c r="D1005" s="18">
        <f>_xll.ciqfunctions.udf.CIQ($C$2,"IQ_PENSION_EST_BENEFIT_3YR_FOREIGN",D$6,$F$2,,,Ccy,Conv)</f>
        <v>0</v>
      </c>
      <c r="E1005" s="18">
        <f>_xll.ciqfunctions.udf.CIQ($C$2,"IQ_PENSION_EST_BENEFIT_3YR_FOREIGN",E$6,$F$2,,,Ccy,Conv)</f>
        <v>0</v>
      </c>
      <c r="F1005" s="18">
        <f>_xll.ciqfunctions.udf.CIQ($C$2,"IQ_PENSION_EST_BENEFIT_3YR_FOREIGN",F$6,$F$2,,,Ccy,Conv)</f>
        <v>2316</v>
      </c>
      <c r="G1005" s="18">
        <f>_xll.ciqfunctions.udf.CIQ($C$2,"IQ_PENSION_EST_BENEFIT_3YR_FOREIGN",G$6,$F$2,,,Ccy,Conv)</f>
        <v>0</v>
      </c>
      <c r="H1005" s="18">
        <f>_xll.ciqfunctions.udf.CIQ($C$2,"IQ_PENSION_EST_BENEFIT_3YR_FOREIGN",H$6,$F$2,,,Ccy,Conv)</f>
        <v>0</v>
      </c>
      <c r="I1005" s="18">
        <f>_xll.ciqfunctions.udf.CIQ($C$2,"IQ_PENSION_EST_BENEFIT_3YR_FOREIGN",I$6,$F$2,,,Ccy,Conv)</f>
        <v>0</v>
      </c>
      <c r="J1005" s="18">
        <f>_xll.ciqfunctions.udf.CIQ($C$2,"IQ_PENSION_EST_BENEFIT_3YR_FOREIGN",J$6,$F$2,,,Ccy,Conv)</f>
        <v>1970</v>
      </c>
      <c r="K1005" s="18">
        <f>_xll.ciqfunctions.udf.CIQ($C$2,"IQ_PENSION_EST_BENEFIT_3YR_FOREIGN",K$6,$F$2,,,Ccy,Conv)</f>
        <v>0</v>
      </c>
      <c r="L1005" s="18">
        <f>_xll.ciqfunctions.udf.CIQ($C$2,"IQ_PENSION_EST_BENEFIT_3YR_FOREIGN",L$6,$F$2,,,Ccy,Conv)</f>
        <v>0</v>
      </c>
      <c r="M1005" s="18">
        <f>_xll.ciqfunctions.udf.CIQ($C$2,"IQ_PENSION_EST_BENEFIT_3YR_FOREIGN",M$6,$F$2,,,Ccy,Conv)</f>
        <v>0</v>
      </c>
      <c r="N1005" s="18">
        <f>_xll.ciqfunctions.udf.CIQ($C$2,"IQ_PENSION_EST_BENEFIT_3YR_FOREIGN",N$6,$F$2,,,Ccy,Conv)</f>
        <v>2288</v>
      </c>
      <c r="O1005" s="30"/>
      <c r="P1005" s="18">
        <f>_xll.ciqfunctions.udf.CIQ($C$2,"IQ_PENSION_EST_BENEFIT_3YR_FOREIGN",P$6,$F$2,,,Ccy,Conv)</f>
        <v>2288</v>
      </c>
      <c r="Q1005" s="215"/>
      <c r="R1005" s="215"/>
      <c r="S1005" s="215"/>
      <c r="T1005" s="215"/>
      <c r="U1005" s="215"/>
      <c r="V1005" s="222"/>
      <c r="W1005" s="222"/>
      <c r="X1005" s="222"/>
      <c r="Y1005" s="215"/>
      <c r="Z1005" s="215"/>
      <c r="AA1005" s="215"/>
      <c r="AB1005" s="215"/>
      <c r="AC1005" s="215"/>
      <c r="AD1005" s="215"/>
      <c r="AE1005" s="215"/>
      <c r="AF1005" s="215"/>
      <c r="AG1005" s="215"/>
      <c r="AH1005" s="215"/>
      <c r="AI1005" s="215"/>
      <c r="AJ1005" s="215"/>
      <c r="AK1005" s="215"/>
      <c r="AL1005" s="215"/>
      <c r="AM1005" s="215"/>
      <c r="AN1005" s="215"/>
      <c r="AO1005" s="215"/>
      <c r="AP1005" s="215"/>
      <c r="AQ1005" s="215"/>
      <c r="AR1005" s="215"/>
      <c r="AS1005" s="215"/>
      <c r="AT1005" s="215"/>
      <c r="AU1005" s="215"/>
      <c r="AV1005" s="215"/>
      <c r="AW1005" s="215"/>
      <c r="AX1005" s="215"/>
      <c r="AY1005" s="215"/>
      <c r="AZ1005" s="215"/>
      <c r="BA1005" s="215"/>
      <c r="BB1005" s="215"/>
      <c r="BC1005" s="215"/>
      <c r="BD1005" s="215"/>
      <c r="BE1005" s="215"/>
      <c r="BF1005" s="215"/>
      <c r="BG1005" s="215"/>
      <c r="BH1005" s="215"/>
      <c r="BI1005" s="215"/>
      <c r="BJ1005" s="215"/>
      <c r="BK1005" s="215"/>
      <c r="BL1005" s="215"/>
      <c r="BM1005" s="215"/>
      <c r="BN1005" s="215"/>
      <c r="BO1005" s="215"/>
      <c r="BP1005" s="215"/>
      <c r="BQ1005" s="215"/>
      <c r="BR1005" s="215"/>
      <c r="BS1005" s="215"/>
      <c r="BT1005" s="215"/>
      <c r="BU1005" s="215"/>
      <c r="BV1005" s="215"/>
      <c r="BW1005" s="215"/>
      <c r="BX1005" s="215"/>
      <c r="BY1005" s="215"/>
      <c r="BZ1005" s="215"/>
    </row>
    <row r="1006" spans="1:78" outlineLevel="1" x14ac:dyDescent="0.2">
      <c r="A1006" s="2" t="str">
        <f>'Language Index'!A561</f>
        <v>Est. Future Benefits Paid - 4th Yr</v>
      </c>
      <c r="B1006" s="17"/>
      <c r="C1006" s="17"/>
      <c r="D1006" s="18">
        <f>_xll.ciqfunctions.udf.CIQ($C$2,"IQ_PENSION_EST_BENEFIT_4YR_FOREIGN",D$6,$F$2,,,Ccy,Conv)</f>
        <v>0</v>
      </c>
      <c r="E1006" s="18">
        <f>_xll.ciqfunctions.udf.CIQ($C$2,"IQ_PENSION_EST_BENEFIT_4YR_FOREIGN",E$6,$F$2,,,Ccy,Conv)</f>
        <v>0</v>
      </c>
      <c r="F1006" s="18">
        <f>_xll.ciqfunctions.udf.CIQ($C$2,"IQ_PENSION_EST_BENEFIT_4YR_FOREIGN",F$6,$F$2,,,Ccy,Conv)</f>
        <v>2287</v>
      </c>
      <c r="G1006" s="18">
        <f>_xll.ciqfunctions.udf.CIQ($C$2,"IQ_PENSION_EST_BENEFIT_4YR_FOREIGN",G$6,$F$2,,,Ccy,Conv)</f>
        <v>0</v>
      </c>
      <c r="H1006" s="18">
        <f>_xll.ciqfunctions.udf.CIQ($C$2,"IQ_PENSION_EST_BENEFIT_4YR_FOREIGN",H$6,$F$2,,,Ccy,Conv)</f>
        <v>0</v>
      </c>
      <c r="I1006" s="18">
        <f>_xll.ciqfunctions.udf.CIQ($C$2,"IQ_PENSION_EST_BENEFIT_4YR_FOREIGN",I$6,$F$2,,,Ccy,Conv)</f>
        <v>0</v>
      </c>
      <c r="J1006" s="18">
        <f>_xll.ciqfunctions.udf.CIQ($C$2,"IQ_PENSION_EST_BENEFIT_4YR_FOREIGN",J$6,$F$2,,,Ccy,Conv)</f>
        <v>1927</v>
      </c>
      <c r="K1006" s="18">
        <f>_xll.ciqfunctions.udf.CIQ($C$2,"IQ_PENSION_EST_BENEFIT_4YR_FOREIGN",K$6,$F$2,,,Ccy,Conv)</f>
        <v>0</v>
      </c>
      <c r="L1006" s="18">
        <f>_xll.ciqfunctions.udf.CIQ($C$2,"IQ_PENSION_EST_BENEFIT_4YR_FOREIGN",L$6,$F$2,,,Ccy,Conv)</f>
        <v>0</v>
      </c>
      <c r="M1006" s="18">
        <f>_xll.ciqfunctions.udf.CIQ($C$2,"IQ_PENSION_EST_BENEFIT_4YR_FOREIGN",M$6,$F$2,,,Ccy,Conv)</f>
        <v>0</v>
      </c>
      <c r="N1006" s="18">
        <f>_xll.ciqfunctions.udf.CIQ($C$2,"IQ_PENSION_EST_BENEFIT_4YR_FOREIGN",N$6,$F$2,,,Ccy,Conv)</f>
        <v>2269</v>
      </c>
      <c r="O1006" s="30"/>
      <c r="P1006" s="18">
        <f>_xll.ciqfunctions.udf.CIQ($C$2,"IQ_PENSION_EST_BENEFIT_4YR_FOREIGN",P$6,$F$2,,,Ccy,Conv)</f>
        <v>2269</v>
      </c>
      <c r="Q1006" s="215"/>
      <c r="R1006" s="215"/>
      <c r="S1006" s="215"/>
      <c r="T1006" s="215"/>
      <c r="U1006" s="215"/>
      <c r="V1006" s="222"/>
      <c r="W1006" s="222"/>
      <c r="X1006" s="222"/>
      <c r="Y1006" s="215"/>
      <c r="Z1006" s="215"/>
      <c r="AA1006" s="215"/>
      <c r="AB1006" s="215"/>
      <c r="AC1006" s="215"/>
      <c r="AD1006" s="215"/>
      <c r="AE1006" s="215"/>
      <c r="AF1006" s="215"/>
      <c r="AG1006" s="215"/>
      <c r="AH1006" s="215"/>
      <c r="AI1006" s="215"/>
      <c r="AJ1006" s="215"/>
      <c r="AK1006" s="215"/>
      <c r="AL1006" s="215"/>
      <c r="AM1006" s="215"/>
      <c r="AN1006" s="215"/>
      <c r="AO1006" s="215"/>
      <c r="AP1006" s="215"/>
      <c r="AQ1006" s="215"/>
      <c r="AR1006" s="215"/>
      <c r="AS1006" s="215"/>
      <c r="AT1006" s="215"/>
      <c r="AU1006" s="215"/>
      <c r="AV1006" s="215"/>
      <c r="AW1006" s="215"/>
      <c r="AX1006" s="215"/>
      <c r="AY1006" s="215"/>
      <c r="AZ1006" s="215"/>
      <c r="BA1006" s="215"/>
      <c r="BB1006" s="215"/>
      <c r="BC1006" s="215"/>
      <c r="BD1006" s="215"/>
      <c r="BE1006" s="215"/>
      <c r="BF1006" s="215"/>
      <c r="BG1006" s="215"/>
      <c r="BH1006" s="215"/>
      <c r="BI1006" s="215"/>
      <c r="BJ1006" s="215"/>
      <c r="BK1006" s="215"/>
      <c r="BL1006" s="215"/>
      <c r="BM1006" s="215"/>
      <c r="BN1006" s="215"/>
      <c r="BO1006" s="215"/>
      <c r="BP1006" s="215"/>
      <c r="BQ1006" s="215"/>
      <c r="BR1006" s="215"/>
      <c r="BS1006" s="215"/>
      <c r="BT1006" s="215"/>
      <c r="BU1006" s="215"/>
      <c r="BV1006" s="215"/>
      <c r="BW1006" s="215"/>
      <c r="BX1006" s="215"/>
      <c r="BY1006" s="215"/>
      <c r="BZ1006" s="215"/>
    </row>
    <row r="1007" spans="1:78" outlineLevel="1" x14ac:dyDescent="0.2">
      <c r="A1007" s="2" t="str">
        <f>'Language Index'!A562</f>
        <v>Est. Future Benefits Paid - 5th Yr</v>
      </c>
      <c r="B1007" s="17"/>
      <c r="C1007" s="17"/>
      <c r="D1007" s="18">
        <f>_xll.ciqfunctions.udf.CIQ($C$2,"IQ_PENSION_EST_BENEFIT_5YR_FOREIGN",D$6,$F$2,,,Ccy,Conv)</f>
        <v>0</v>
      </c>
      <c r="E1007" s="18">
        <f>_xll.ciqfunctions.udf.CIQ($C$2,"IQ_PENSION_EST_BENEFIT_5YR_FOREIGN",E$6,$F$2,,,Ccy,Conv)</f>
        <v>0</v>
      </c>
      <c r="F1007" s="18">
        <f>_xll.ciqfunctions.udf.CIQ($C$2,"IQ_PENSION_EST_BENEFIT_5YR_FOREIGN",F$6,$F$2,,,Ccy,Conv)</f>
        <v>2252</v>
      </c>
      <c r="G1007" s="18">
        <f>_xll.ciqfunctions.udf.CIQ($C$2,"IQ_PENSION_EST_BENEFIT_5YR_FOREIGN",G$6,$F$2,,,Ccy,Conv)</f>
        <v>0</v>
      </c>
      <c r="H1007" s="18">
        <f>_xll.ciqfunctions.udf.CIQ($C$2,"IQ_PENSION_EST_BENEFIT_5YR_FOREIGN",H$6,$F$2,,,Ccy,Conv)</f>
        <v>0</v>
      </c>
      <c r="I1007" s="18">
        <f>_xll.ciqfunctions.udf.CIQ($C$2,"IQ_PENSION_EST_BENEFIT_5YR_FOREIGN",I$6,$F$2,,,Ccy,Conv)</f>
        <v>0</v>
      </c>
      <c r="J1007" s="18">
        <f>_xll.ciqfunctions.udf.CIQ($C$2,"IQ_PENSION_EST_BENEFIT_5YR_FOREIGN",J$6,$F$2,,,Ccy,Conv)</f>
        <v>1923</v>
      </c>
      <c r="K1007" s="18">
        <f>_xll.ciqfunctions.udf.CIQ($C$2,"IQ_PENSION_EST_BENEFIT_5YR_FOREIGN",K$6,$F$2,,,Ccy,Conv)</f>
        <v>0</v>
      </c>
      <c r="L1007" s="18">
        <f>_xll.ciqfunctions.udf.CIQ($C$2,"IQ_PENSION_EST_BENEFIT_5YR_FOREIGN",L$6,$F$2,,,Ccy,Conv)</f>
        <v>0</v>
      </c>
      <c r="M1007" s="18">
        <f>_xll.ciqfunctions.udf.CIQ($C$2,"IQ_PENSION_EST_BENEFIT_5YR_FOREIGN",M$6,$F$2,,,Ccy,Conv)</f>
        <v>0</v>
      </c>
      <c r="N1007" s="18">
        <f>_xll.ciqfunctions.udf.CIQ($C$2,"IQ_PENSION_EST_BENEFIT_5YR_FOREIGN",N$6,$F$2,,,Ccy,Conv)</f>
        <v>2237</v>
      </c>
      <c r="O1007" s="30"/>
      <c r="P1007" s="18">
        <f>_xll.ciqfunctions.udf.CIQ($C$2,"IQ_PENSION_EST_BENEFIT_5YR_FOREIGN",P$6,$F$2,,,Ccy,Conv)</f>
        <v>2237</v>
      </c>
      <c r="Q1007" s="215"/>
      <c r="R1007" s="215"/>
      <c r="S1007" s="215"/>
      <c r="T1007" s="215"/>
      <c r="U1007" s="215"/>
      <c r="V1007" s="222"/>
      <c r="W1007" s="222"/>
      <c r="X1007" s="222"/>
      <c r="Y1007" s="215"/>
      <c r="Z1007" s="215"/>
      <c r="AA1007" s="215"/>
      <c r="AB1007" s="215"/>
      <c r="AC1007" s="215"/>
      <c r="AD1007" s="215"/>
      <c r="AE1007" s="215"/>
      <c r="AF1007" s="215"/>
      <c r="AG1007" s="215"/>
      <c r="AH1007" s="215"/>
      <c r="AI1007" s="215"/>
      <c r="AJ1007" s="215"/>
      <c r="AK1007" s="215"/>
      <c r="AL1007" s="215"/>
      <c r="AM1007" s="215"/>
      <c r="AN1007" s="215"/>
      <c r="AO1007" s="215"/>
      <c r="AP1007" s="215"/>
      <c r="AQ1007" s="215"/>
      <c r="AR1007" s="215"/>
      <c r="AS1007" s="215"/>
      <c r="AT1007" s="215"/>
      <c r="AU1007" s="215"/>
      <c r="AV1007" s="215"/>
      <c r="AW1007" s="215"/>
      <c r="AX1007" s="215"/>
      <c r="AY1007" s="215"/>
      <c r="AZ1007" s="215"/>
      <c r="BA1007" s="215"/>
      <c r="BB1007" s="215"/>
      <c r="BC1007" s="215"/>
      <c r="BD1007" s="215"/>
      <c r="BE1007" s="215"/>
      <c r="BF1007" s="215"/>
      <c r="BG1007" s="215"/>
      <c r="BH1007" s="215"/>
      <c r="BI1007" s="215"/>
      <c r="BJ1007" s="215"/>
      <c r="BK1007" s="215"/>
      <c r="BL1007" s="215"/>
      <c r="BM1007" s="215"/>
      <c r="BN1007" s="215"/>
      <c r="BO1007" s="215"/>
      <c r="BP1007" s="215"/>
      <c r="BQ1007" s="215"/>
      <c r="BR1007" s="215"/>
      <c r="BS1007" s="215"/>
      <c r="BT1007" s="215"/>
      <c r="BU1007" s="215"/>
      <c r="BV1007" s="215"/>
      <c r="BW1007" s="215"/>
      <c r="BX1007" s="215"/>
      <c r="BY1007" s="215"/>
      <c r="BZ1007" s="215"/>
    </row>
    <row r="1008" spans="1:78" outlineLevel="1" x14ac:dyDescent="0.2">
      <c r="A1008" s="2" t="str">
        <f>'Language Index'!A563</f>
        <v>Est. Future Benefits Paid - Thereafter</v>
      </c>
      <c r="B1008" s="17"/>
      <c r="C1008" s="17"/>
      <c r="D1008" s="18">
        <f>_xll.ciqfunctions.udf.CIQ($C$2,"IQ_PENSION_EST_BENEFIT_AFTER5_FOREIGN",D$6,$F$2,,,Ccy,Conv)</f>
        <v>0</v>
      </c>
      <c r="E1008" s="18">
        <f>_xll.ciqfunctions.udf.CIQ($C$2,"IQ_PENSION_EST_BENEFIT_AFTER5_FOREIGN",E$6,$F$2,,,Ccy,Conv)</f>
        <v>0</v>
      </c>
      <c r="F1008" s="18">
        <f>_xll.ciqfunctions.udf.CIQ($C$2,"IQ_PENSION_EST_BENEFIT_AFTER5_FOREIGN",F$6,$F$2,,,Ccy,Conv)</f>
        <v>10785</v>
      </c>
      <c r="G1008" s="18">
        <f>_xll.ciqfunctions.udf.CIQ($C$2,"IQ_PENSION_EST_BENEFIT_AFTER5_FOREIGN",G$6,$F$2,,,Ccy,Conv)</f>
        <v>0</v>
      </c>
      <c r="H1008" s="18">
        <f>_xll.ciqfunctions.udf.CIQ($C$2,"IQ_PENSION_EST_BENEFIT_AFTER5_FOREIGN",H$6,$F$2,,,Ccy,Conv)</f>
        <v>0</v>
      </c>
      <c r="I1008" s="18">
        <f>_xll.ciqfunctions.udf.CIQ($C$2,"IQ_PENSION_EST_BENEFIT_AFTER5_FOREIGN",I$6,$F$2,,,Ccy,Conv)</f>
        <v>0</v>
      </c>
      <c r="J1008" s="18">
        <f>_xll.ciqfunctions.udf.CIQ($C$2,"IQ_PENSION_EST_BENEFIT_AFTER5_FOREIGN",J$6,$F$2,,,Ccy,Conv)</f>
        <v>9065</v>
      </c>
      <c r="K1008" s="18">
        <f>_xll.ciqfunctions.udf.CIQ($C$2,"IQ_PENSION_EST_BENEFIT_AFTER5_FOREIGN",K$6,$F$2,,,Ccy,Conv)</f>
        <v>0</v>
      </c>
      <c r="L1008" s="18">
        <f>_xll.ciqfunctions.udf.CIQ($C$2,"IQ_PENSION_EST_BENEFIT_AFTER5_FOREIGN",L$6,$F$2,,,Ccy,Conv)</f>
        <v>0</v>
      </c>
      <c r="M1008" s="18">
        <f>_xll.ciqfunctions.udf.CIQ($C$2,"IQ_PENSION_EST_BENEFIT_AFTER5_FOREIGN",M$6,$F$2,,,Ccy,Conv)</f>
        <v>0</v>
      </c>
      <c r="N1008" s="18">
        <f>_xll.ciqfunctions.udf.CIQ($C$2,"IQ_PENSION_EST_BENEFIT_AFTER5_FOREIGN",N$6,$F$2,,,Ccy,Conv)</f>
        <v>10588</v>
      </c>
      <c r="O1008" s="30"/>
      <c r="P1008" s="18">
        <f>_xll.ciqfunctions.udf.CIQ($C$2,"IQ_PENSION_EST_BENEFIT_AFTER5_FOREIGN",P$6,$F$2,,,Ccy,Conv)</f>
        <v>10588</v>
      </c>
      <c r="Q1008" s="215"/>
      <c r="R1008" s="215"/>
      <c r="S1008" s="215"/>
      <c r="T1008" s="215"/>
      <c r="U1008" s="215"/>
      <c r="V1008" s="222"/>
      <c r="W1008" s="222"/>
      <c r="X1008" s="222"/>
      <c r="Y1008" s="215"/>
      <c r="Z1008" s="215"/>
      <c r="AA1008" s="215"/>
      <c r="AB1008" s="215"/>
      <c r="AC1008" s="215"/>
      <c r="AD1008" s="215"/>
      <c r="AE1008" s="215"/>
      <c r="AF1008" s="215"/>
      <c r="AG1008" s="215"/>
      <c r="AH1008" s="215"/>
      <c r="AI1008" s="215"/>
      <c r="AJ1008" s="215"/>
      <c r="AK1008" s="215"/>
      <c r="AL1008" s="215"/>
      <c r="AM1008" s="215"/>
      <c r="AN1008" s="215"/>
      <c r="AO1008" s="215"/>
      <c r="AP1008" s="215"/>
      <c r="AQ1008" s="215"/>
      <c r="AR1008" s="215"/>
      <c r="AS1008" s="215"/>
      <c r="AT1008" s="215"/>
      <c r="AU1008" s="215"/>
      <c r="AV1008" s="215"/>
      <c r="AW1008" s="215"/>
      <c r="AX1008" s="215"/>
      <c r="AY1008" s="215"/>
      <c r="AZ1008" s="215"/>
      <c r="BA1008" s="215"/>
      <c r="BB1008" s="215"/>
      <c r="BC1008" s="215"/>
      <c r="BD1008" s="215"/>
      <c r="BE1008" s="215"/>
      <c r="BF1008" s="215"/>
      <c r="BG1008" s="215"/>
      <c r="BH1008" s="215"/>
      <c r="BI1008" s="215"/>
      <c r="BJ1008" s="215"/>
      <c r="BK1008" s="215"/>
      <c r="BL1008" s="215"/>
      <c r="BM1008" s="215"/>
      <c r="BN1008" s="215"/>
      <c r="BO1008" s="215"/>
      <c r="BP1008" s="215"/>
      <c r="BQ1008" s="215"/>
      <c r="BR1008" s="215"/>
      <c r="BS1008" s="215"/>
      <c r="BT1008" s="215"/>
      <c r="BU1008" s="215"/>
      <c r="BV1008" s="215"/>
      <c r="BW1008" s="215"/>
      <c r="BX1008" s="215"/>
      <c r="BY1008" s="215"/>
      <c r="BZ1008" s="215"/>
    </row>
    <row r="1009" spans="1:78" outlineLevel="1" x14ac:dyDescent="0.2">
      <c r="A1009" s="9" t="str">
        <f>'Language Index'!A564</f>
        <v>Balance Sheet Reconciliation Items</v>
      </c>
      <c r="B1009" s="17"/>
      <c r="C1009" s="17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30"/>
      <c r="P1009" s="18"/>
      <c r="Q1009" s="215"/>
      <c r="R1009" s="215"/>
      <c r="S1009" s="215"/>
      <c r="T1009" s="215"/>
      <c r="U1009" s="215"/>
      <c r="V1009" s="222"/>
      <c r="W1009" s="222"/>
      <c r="X1009" s="222"/>
      <c r="Y1009" s="215"/>
      <c r="Z1009" s="215"/>
      <c r="AA1009" s="215"/>
      <c r="AB1009" s="215"/>
      <c r="AC1009" s="215"/>
      <c r="AD1009" s="215"/>
      <c r="AE1009" s="215"/>
      <c r="AF1009" s="215"/>
      <c r="AG1009" s="215"/>
      <c r="AH1009" s="215"/>
      <c r="AI1009" s="215"/>
      <c r="AJ1009" s="215"/>
      <c r="AK1009" s="215"/>
      <c r="AL1009" s="215"/>
      <c r="AM1009" s="215"/>
      <c r="AN1009" s="215"/>
      <c r="AO1009" s="215"/>
      <c r="AP1009" s="215"/>
      <c r="AQ1009" s="215"/>
      <c r="AR1009" s="215"/>
      <c r="AS1009" s="215"/>
      <c r="AT1009" s="215"/>
      <c r="AU1009" s="215"/>
      <c r="AV1009" s="215"/>
      <c r="AW1009" s="215"/>
      <c r="AX1009" s="215"/>
      <c r="AY1009" s="215"/>
      <c r="AZ1009" s="215"/>
      <c r="BA1009" s="215"/>
      <c r="BB1009" s="215"/>
      <c r="BC1009" s="215"/>
      <c r="BD1009" s="215"/>
      <c r="BE1009" s="215"/>
      <c r="BF1009" s="215"/>
      <c r="BG1009" s="215"/>
      <c r="BH1009" s="215"/>
      <c r="BI1009" s="215"/>
      <c r="BJ1009" s="215"/>
      <c r="BK1009" s="215"/>
      <c r="BL1009" s="215"/>
      <c r="BM1009" s="215"/>
      <c r="BN1009" s="215"/>
      <c r="BO1009" s="215"/>
      <c r="BP1009" s="215"/>
      <c r="BQ1009" s="215"/>
      <c r="BR1009" s="215"/>
      <c r="BS1009" s="215"/>
      <c r="BT1009" s="215"/>
      <c r="BU1009" s="215"/>
      <c r="BV1009" s="215"/>
      <c r="BW1009" s="215"/>
      <c r="BX1009" s="215"/>
      <c r="BY1009" s="215"/>
      <c r="BZ1009" s="215"/>
    </row>
    <row r="1010" spans="1:78" outlineLevel="1" x14ac:dyDescent="0.2">
      <c r="A1010" s="2" t="str">
        <f>'Language Index'!A565</f>
        <v>Prepaid Benefit Cost</v>
      </c>
      <c r="B1010" s="17"/>
      <c r="C1010" s="17"/>
      <c r="D1010" s="18">
        <f>_xll.ciqfunctions.udf.CIQ($C$2,"IQ_PENSION_PREPAID_COST_FOREIGN",D$6,$F$2,,,Ccy,Conv)</f>
        <v>0</v>
      </c>
      <c r="E1010" s="18">
        <f>_xll.ciqfunctions.udf.CIQ($C$2,"IQ_PENSION_PREPAID_COST_FOREIGN",E$6,$F$2,,,Ccy,Conv)</f>
        <v>0</v>
      </c>
      <c r="F1010" s="18">
        <f>_xll.ciqfunctions.udf.CIQ($C$2,"IQ_PENSION_PREPAID_COST_FOREIGN",F$6,$F$2,,,Ccy,Conv)</f>
        <v>0</v>
      </c>
      <c r="G1010" s="18">
        <f>_xll.ciqfunctions.udf.CIQ($C$2,"IQ_PENSION_PREPAID_COST_FOREIGN",G$6,$F$2,,,Ccy,Conv)</f>
        <v>0</v>
      </c>
      <c r="H1010" s="18">
        <f>_xll.ciqfunctions.udf.CIQ($C$2,"IQ_PENSION_PREPAID_COST_FOREIGN",H$6,$F$2,,,Ccy,Conv)</f>
        <v>0</v>
      </c>
      <c r="I1010" s="18">
        <f>_xll.ciqfunctions.udf.CIQ($C$2,"IQ_PENSION_PREPAID_COST_FOREIGN",I$6,$F$2,,,Ccy,Conv)</f>
        <v>0</v>
      </c>
      <c r="J1010" s="18">
        <f>_xll.ciqfunctions.udf.CIQ($C$2,"IQ_PENSION_PREPAID_COST_FOREIGN",J$6,$F$2,,,Ccy,Conv)</f>
        <v>0</v>
      </c>
      <c r="K1010" s="18">
        <f>_xll.ciqfunctions.udf.CIQ($C$2,"IQ_PENSION_PREPAID_COST_FOREIGN",K$6,$F$2,,,Ccy,Conv)</f>
        <v>0</v>
      </c>
      <c r="L1010" s="18">
        <f>_xll.ciqfunctions.udf.CIQ($C$2,"IQ_PENSION_PREPAID_COST_FOREIGN",L$6,$F$2,,,Ccy,Conv)</f>
        <v>0</v>
      </c>
      <c r="M1010" s="18">
        <f>_xll.ciqfunctions.udf.CIQ($C$2,"IQ_PENSION_PREPAID_COST_FOREIGN",M$6,$F$2,,,Ccy,Conv)</f>
        <v>0</v>
      </c>
      <c r="N1010" s="18">
        <f>_xll.ciqfunctions.udf.CIQ($C$2,"IQ_PENSION_PREPAID_COST_FOREIGN",N$6,$F$2,,,Ccy,Conv)</f>
        <v>0</v>
      </c>
      <c r="O1010" s="30"/>
      <c r="P1010" s="18">
        <f>_xll.ciqfunctions.udf.CIQ($C$2,"IQ_PENSION_PREPAID_COST_FOREIGN",P$6,$F$2,,,Ccy,Conv)</f>
        <v>0</v>
      </c>
      <c r="Q1010" s="245"/>
      <c r="R1010" s="215"/>
      <c r="S1010" s="215"/>
      <c r="T1010" s="215"/>
      <c r="U1010" s="215"/>
      <c r="V1010" s="222"/>
      <c r="W1010" s="222"/>
      <c r="X1010" s="222"/>
      <c r="Y1010" s="215"/>
      <c r="Z1010" s="215"/>
      <c r="AA1010" s="215"/>
      <c r="AB1010" s="215"/>
      <c r="AC1010" s="215"/>
      <c r="AD1010" s="215"/>
      <c r="AE1010" s="215"/>
      <c r="AF1010" s="215"/>
      <c r="AG1010" s="215"/>
      <c r="AH1010" s="215"/>
      <c r="AI1010" s="215"/>
      <c r="AJ1010" s="215"/>
      <c r="AK1010" s="215"/>
      <c r="AL1010" s="215"/>
      <c r="AM1010" s="215"/>
      <c r="AN1010" s="215"/>
      <c r="AO1010" s="215"/>
      <c r="AP1010" s="215"/>
      <c r="AQ1010" s="215"/>
      <c r="AR1010" s="215"/>
      <c r="AS1010" s="215"/>
      <c r="AT1010" s="215"/>
      <c r="AU1010" s="215"/>
      <c r="AV1010" s="215"/>
      <c r="AW1010" s="215"/>
      <c r="AX1010" s="215"/>
      <c r="AY1010" s="215"/>
      <c r="AZ1010" s="215"/>
      <c r="BA1010" s="215"/>
      <c r="BB1010" s="215"/>
      <c r="BC1010" s="215"/>
      <c r="BD1010" s="215"/>
      <c r="BE1010" s="215"/>
      <c r="BF1010" s="215"/>
      <c r="BG1010" s="215"/>
      <c r="BH1010" s="215"/>
      <c r="BI1010" s="215"/>
      <c r="BJ1010" s="215"/>
      <c r="BK1010" s="215"/>
      <c r="BL1010" s="215"/>
      <c r="BM1010" s="215"/>
      <c r="BN1010" s="215"/>
      <c r="BO1010" s="215"/>
      <c r="BP1010" s="215"/>
      <c r="BQ1010" s="215"/>
      <c r="BR1010" s="215"/>
      <c r="BS1010" s="215"/>
      <c r="BT1010" s="215"/>
      <c r="BU1010" s="215"/>
      <c r="BV1010" s="215"/>
      <c r="BW1010" s="215"/>
      <c r="BX1010" s="215"/>
      <c r="BY1010" s="215"/>
      <c r="BZ1010" s="215"/>
    </row>
    <row r="1011" spans="1:78" outlineLevel="1" x14ac:dyDescent="0.2">
      <c r="A1011" s="2" t="str">
        <f>'Language Index'!A566</f>
        <v>Accrued Benefit Liability</v>
      </c>
      <c r="B1011" s="17"/>
      <c r="C1011" s="17"/>
      <c r="D1011" s="18">
        <f>_xll.ciqfunctions.udf.CIQ($C$2,"IQ_PENSION_ACCRUED_LIAB_FOREIGN",D$6,$F$2,,,Ccy,Conv)</f>
        <v>0</v>
      </c>
      <c r="E1011" s="18">
        <f>_xll.ciqfunctions.udf.CIQ($C$2,"IQ_PENSION_ACCRUED_LIAB_FOREIGN",E$6,$F$2,,,Ccy,Conv)</f>
        <v>0</v>
      </c>
      <c r="F1011" s="18">
        <f>_xll.ciqfunctions.udf.CIQ($C$2,"IQ_PENSION_ACCRUED_LIAB_FOREIGN",F$6,$F$2,,,Ccy,Conv)</f>
        <v>0</v>
      </c>
      <c r="G1011" s="18">
        <f>_xll.ciqfunctions.udf.CIQ($C$2,"IQ_PENSION_ACCRUED_LIAB_FOREIGN",G$6,$F$2,,,Ccy,Conv)</f>
        <v>0</v>
      </c>
      <c r="H1011" s="18">
        <f>_xll.ciqfunctions.udf.CIQ($C$2,"IQ_PENSION_ACCRUED_LIAB_FOREIGN",H$6,$F$2,,,Ccy,Conv)</f>
        <v>0</v>
      </c>
      <c r="I1011" s="18">
        <f>_xll.ciqfunctions.udf.CIQ($C$2,"IQ_PENSION_ACCRUED_LIAB_FOREIGN",I$6,$F$2,,,Ccy,Conv)</f>
        <v>0</v>
      </c>
      <c r="J1011" s="18">
        <f>_xll.ciqfunctions.udf.CIQ($C$2,"IQ_PENSION_ACCRUED_LIAB_FOREIGN",J$6,$F$2,,,Ccy,Conv)</f>
        <v>0</v>
      </c>
      <c r="K1011" s="18">
        <f>_xll.ciqfunctions.udf.CIQ($C$2,"IQ_PENSION_ACCRUED_LIAB_FOREIGN",K$6,$F$2,,,Ccy,Conv)</f>
        <v>0</v>
      </c>
      <c r="L1011" s="18">
        <f>_xll.ciqfunctions.udf.CIQ($C$2,"IQ_PENSION_ACCRUED_LIAB_FOREIGN",L$6,$F$2,,,Ccy,Conv)</f>
        <v>0</v>
      </c>
      <c r="M1011" s="18">
        <f>_xll.ciqfunctions.udf.CIQ($C$2,"IQ_PENSION_ACCRUED_LIAB_FOREIGN",M$6,$F$2,,,Ccy,Conv)</f>
        <v>0</v>
      </c>
      <c r="N1011" s="18">
        <f>_xll.ciqfunctions.udf.CIQ($C$2,"IQ_PENSION_ACCRUED_LIAB_FOREIGN",N$6,$F$2,,,Ccy,Conv)</f>
        <v>0</v>
      </c>
      <c r="O1011" s="30"/>
      <c r="P1011" s="18">
        <f>_xll.ciqfunctions.udf.CIQ($C$2,"IQ_PENSION_ACCRUED_LIAB_FOREIGN",P$6,$F$2,,,Ccy,Conv)</f>
        <v>0</v>
      </c>
      <c r="Q1011" s="215"/>
      <c r="R1011" s="215"/>
      <c r="S1011" s="215"/>
      <c r="T1011" s="215"/>
      <c r="U1011" s="215"/>
      <c r="V1011" s="222"/>
      <c r="W1011" s="222"/>
      <c r="X1011" s="222"/>
      <c r="Y1011" s="215"/>
      <c r="Z1011" s="215"/>
      <c r="AA1011" s="215"/>
      <c r="AB1011" s="215"/>
      <c r="AC1011" s="215"/>
      <c r="AD1011" s="215"/>
      <c r="AE1011" s="215"/>
      <c r="AF1011" s="215"/>
      <c r="AG1011" s="215"/>
      <c r="AH1011" s="215"/>
      <c r="AI1011" s="215"/>
      <c r="AJ1011" s="215"/>
      <c r="AK1011" s="215"/>
      <c r="AL1011" s="215"/>
      <c r="AM1011" s="215"/>
      <c r="AN1011" s="215"/>
      <c r="AO1011" s="215"/>
      <c r="AP1011" s="215"/>
      <c r="AQ1011" s="215"/>
      <c r="AR1011" s="215"/>
      <c r="AS1011" s="215"/>
      <c r="AT1011" s="215"/>
      <c r="AU1011" s="215"/>
      <c r="AV1011" s="215"/>
      <c r="AW1011" s="215"/>
      <c r="AX1011" s="215"/>
      <c r="AY1011" s="215"/>
      <c r="AZ1011" s="215"/>
      <c r="BA1011" s="215"/>
      <c r="BB1011" s="215"/>
      <c r="BC1011" s="215"/>
      <c r="BD1011" s="215"/>
      <c r="BE1011" s="215"/>
      <c r="BF1011" s="215"/>
      <c r="BG1011" s="215"/>
      <c r="BH1011" s="215"/>
      <c r="BI1011" s="215"/>
      <c r="BJ1011" s="215"/>
      <c r="BK1011" s="215"/>
      <c r="BL1011" s="215"/>
      <c r="BM1011" s="215"/>
      <c r="BN1011" s="215"/>
      <c r="BO1011" s="215"/>
      <c r="BP1011" s="215"/>
      <c r="BQ1011" s="215"/>
      <c r="BR1011" s="215"/>
      <c r="BS1011" s="215"/>
      <c r="BT1011" s="215"/>
      <c r="BU1011" s="215"/>
      <c r="BV1011" s="215"/>
      <c r="BW1011" s="215"/>
      <c r="BX1011" s="215"/>
      <c r="BY1011" s="215"/>
      <c r="BZ1011" s="215"/>
    </row>
    <row r="1012" spans="1:78" outlineLevel="1" x14ac:dyDescent="0.2">
      <c r="A1012" s="2" t="str">
        <f>'Language Index'!A567</f>
        <v>Intangible Assets</v>
      </c>
      <c r="B1012" s="17"/>
      <c r="C1012" s="17"/>
      <c r="D1012" s="18">
        <f>_xll.ciqfunctions.udf.CIQ($C$2,"IQ_PENSION_INTAN_ASSETS_FOREIGN",D$6,$F$2,,,Ccy,Conv)</f>
        <v>0</v>
      </c>
      <c r="E1012" s="18">
        <f>_xll.ciqfunctions.udf.CIQ($C$2,"IQ_PENSION_INTAN_ASSETS_FOREIGN",E$6,$F$2,,,Ccy,Conv)</f>
        <v>0</v>
      </c>
      <c r="F1012" s="18">
        <f>_xll.ciqfunctions.udf.CIQ($C$2,"IQ_PENSION_INTAN_ASSETS_FOREIGN",F$6,$F$2,,,Ccy,Conv)</f>
        <v>0</v>
      </c>
      <c r="G1012" s="18">
        <f>_xll.ciqfunctions.udf.CIQ($C$2,"IQ_PENSION_INTAN_ASSETS_FOREIGN",G$6,$F$2,,,Ccy,Conv)</f>
        <v>0</v>
      </c>
      <c r="H1012" s="18">
        <f>_xll.ciqfunctions.udf.CIQ($C$2,"IQ_PENSION_INTAN_ASSETS_FOREIGN",H$6,$F$2,,,Ccy,Conv)</f>
        <v>0</v>
      </c>
      <c r="I1012" s="18">
        <f>_xll.ciqfunctions.udf.CIQ($C$2,"IQ_PENSION_INTAN_ASSETS_FOREIGN",I$6,$F$2,,,Ccy,Conv)</f>
        <v>0</v>
      </c>
      <c r="J1012" s="18">
        <f>_xll.ciqfunctions.udf.CIQ($C$2,"IQ_PENSION_INTAN_ASSETS_FOREIGN",J$6,$F$2,,,Ccy,Conv)</f>
        <v>0</v>
      </c>
      <c r="K1012" s="18">
        <f>_xll.ciqfunctions.udf.CIQ($C$2,"IQ_PENSION_INTAN_ASSETS_FOREIGN",K$6,$F$2,,,Ccy,Conv)</f>
        <v>0</v>
      </c>
      <c r="L1012" s="18">
        <f>_xll.ciqfunctions.udf.CIQ($C$2,"IQ_PENSION_INTAN_ASSETS_FOREIGN",L$6,$F$2,,,Ccy,Conv)</f>
        <v>0</v>
      </c>
      <c r="M1012" s="18">
        <f>_xll.ciqfunctions.udf.CIQ($C$2,"IQ_PENSION_INTAN_ASSETS_FOREIGN",M$6,$F$2,,,Ccy,Conv)</f>
        <v>0</v>
      </c>
      <c r="N1012" s="18">
        <f>_xll.ciqfunctions.udf.CIQ($C$2,"IQ_PENSION_INTAN_ASSETS_FOREIGN",N$6,$F$2,,,Ccy,Conv)</f>
        <v>0</v>
      </c>
      <c r="O1012" s="30"/>
      <c r="P1012" s="18">
        <f>_xll.ciqfunctions.udf.CIQ($C$2,"IQ_PENSION_INTAN_ASSETS_FOREIGN",P$6,$F$2,,,Ccy,Conv)</f>
        <v>0</v>
      </c>
      <c r="Q1012" s="215"/>
      <c r="R1012" s="215"/>
      <c r="S1012" s="215"/>
      <c r="T1012" s="215"/>
      <c r="U1012" s="215"/>
      <c r="V1012" s="222"/>
      <c r="W1012" s="222"/>
      <c r="X1012" s="222"/>
      <c r="Y1012" s="215"/>
      <c r="Z1012" s="215"/>
      <c r="AA1012" s="215"/>
      <c r="AB1012" s="215"/>
      <c r="AC1012" s="215"/>
      <c r="AD1012" s="215"/>
      <c r="AE1012" s="215"/>
      <c r="AF1012" s="215"/>
      <c r="AG1012" s="215"/>
      <c r="AH1012" s="215"/>
      <c r="AI1012" s="215"/>
      <c r="AJ1012" s="215"/>
      <c r="AK1012" s="215"/>
      <c r="AL1012" s="215"/>
      <c r="AM1012" s="215"/>
      <c r="AN1012" s="215"/>
      <c r="AO1012" s="215"/>
      <c r="AP1012" s="215"/>
      <c r="AQ1012" s="215"/>
      <c r="AR1012" s="215"/>
      <c r="AS1012" s="215"/>
      <c r="AT1012" s="215"/>
      <c r="AU1012" s="215"/>
      <c r="AV1012" s="215"/>
      <c r="AW1012" s="215"/>
      <c r="AX1012" s="215"/>
      <c r="AY1012" s="215"/>
      <c r="AZ1012" s="215"/>
      <c r="BA1012" s="215"/>
      <c r="BB1012" s="215"/>
      <c r="BC1012" s="215"/>
      <c r="BD1012" s="215"/>
      <c r="BE1012" s="215"/>
      <c r="BF1012" s="215"/>
      <c r="BG1012" s="215"/>
      <c r="BH1012" s="215"/>
      <c r="BI1012" s="215"/>
      <c r="BJ1012" s="215"/>
      <c r="BK1012" s="215"/>
      <c r="BL1012" s="215"/>
      <c r="BM1012" s="215"/>
      <c r="BN1012" s="215"/>
      <c r="BO1012" s="215"/>
      <c r="BP1012" s="215"/>
      <c r="BQ1012" s="215"/>
      <c r="BR1012" s="215"/>
      <c r="BS1012" s="215"/>
      <c r="BT1012" s="215"/>
      <c r="BU1012" s="215"/>
      <c r="BV1012" s="215"/>
      <c r="BW1012" s="215"/>
      <c r="BX1012" s="215"/>
      <c r="BY1012" s="215"/>
      <c r="BZ1012" s="215"/>
    </row>
    <row r="1013" spans="1:78" outlineLevel="1" x14ac:dyDescent="0.2">
      <c r="A1013" s="2" t="str">
        <f>'Language Index'!A568</f>
        <v>Accum. Other Comp. Income</v>
      </c>
      <c r="B1013" s="17"/>
      <c r="C1013" s="17"/>
      <c r="D1013" s="18">
        <f>_xll.ciqfunctions.udf.CIQ($C$2,"IQ_PENSION_ACCUM_OTHER_CI_FOREIGN",D$6,$F$2,,,Ccy,Conv)</f>
        <v>0</v>
      </c>
      <c r="E1013" s="18">
        <f>_xll.ciqfunctions.udf.CIQ($C$2,"IQ_PENSION_ACCUM_OTHER_CI_FOREIGN",E$6,$F$2,,,Ccy,Conv)</f>
        <v>0</v>
      </c>
      <c r="F1013" s="18">
        <f>_xll.ciqfunctions.udf.CIQ($C$2,"IQ_PENSION_ACCUM_OTHER_CI_FOREIGN",F$6,$F$2,,,Ccy,Conv)</f>
        <v>0</v>
      </c>
      <c r="G1013" s="18">
        <f>_xll.ciqfunctions.udf.CIQ($C$2,"IQ_PENSION_ACCUM_OTHER_CI_FOREIGN",G$6,$F$2,,,Ccy,Conv)</f>
        <v>0</v>
      </c>
      <c r="H1013" s="18">
        <f>_xll.ciqfunctions.udf.CIQ($C$2,"IQ_PENSION_ACCUM_OTHER_CI_FOREIGN",H$6,$F$2,,,Ccy,Conv)</f>
        <v>0</v>
      </c>
      <c r="I1013" s="18">
        <f>_xll.ciqfunctions.udf.CIQ($C$2,"IQ_PENSION_ACCUM_OTHER_CI_FOREIGN",I$6,$F$2,,,Ccy,Conv)</f>
        <v>0</v>
      </c>
      <c r="J1013" s="18">
        <f>_xll.ciqfunctions.udf.CIQ($C$2,"IQ_PENSION_ACCUM_OTHER_CI_FOREIGN",J$6,$F$2,,,Ccy,Conv)</f>
        <v>0</v>
      </c>
      <c r="K1013" s="18">
        <f>_xll.ciqfunctions.udf.CIQ($C$2,"IQ_PENSION_ACCUM_OTHER_CI_FOREIGN",K$6,$F$2,,,Ccy,Conv)</f>
        <v>0</v>
      </c>
      <c r="L1013" s="18">
        <f>_xll.ciqfunctions.udf.CIQ($C$2,"IQ_PENSION_ACCUM_OTHER_CI_FOREIGN",L$6,$F$2,,,Ccy,Conv)</f>
        <v>0</v>
      </c>
      <c r="M1013" s="18">
        <f>_xll.ciqfunctions.udf.CIQ($C$2,"IQ_PENSION_ACCUM_OTHER_CI_FOREIGN",M$6,$F$2,,,Ccy,Conv)</f>
        <v>0</v>
      </c>
      <c r="N1013" s="18">
        <f>_xll.ciqfunctions.udf.CIQ($C$2,"IQ_PENSION_ACCUM_OTHER_CI_FOREIGN",N$6,$F$2,,,Ccy,Conv)</f>
        <v>0</v>
      </c>
      <c r="O1013" s="30"/>
      <c r="P1013" s="18">
        <f>_xll.ciqfunctions.udf.CIQ($C$2,"IQ_PENSION_ACCUM_OTHER_CI_FOREIGN",P$6,$F$2,,,Ccy,Conv)</f>
        <v>0</v>
      </c>
      <c r="Q1013" s="215"/>
      <c r="R1013" s="215"/>
      <c r="S1013" s="215"/>
      <c r="T1013" s="215"/>
      <c r="U1013" s="215"/>
      <c r="V1013" s="222"/>
      <c r="W1013" s="222"/>
      <c r="X1013" s="222"/>
      <c r="Y1013" s="215"/>
      <c r="Z1013" s="215"/>
      <c r="AA1013" s="215"/>
      <c r="AB1013" s="215"/>
      <c r="AC1013" s="215"/>
      <c r="AD1013" s="215"/>
      <c r="AE1013" s="215"/>
      <c r="AF1013" s="215"/>
      <c r="AG1013" s="215"/>
      <c r="AH1013" s="215"/>
      <c r="AI1013" s="215"/>
      <c r="AJ1013" s="215"/>
      <c r="AK1013" s="215"/>
      <c r="AL1013" s="215"/>
      <c r="AM1013" s="215"/>
      <c r="AN1013" s="215"/>
      <c r="AO1013" s="215"/>
      <c r="AP1013" s="215"/>
      <c r="AQ1013" s="215"/>
      <c r="AR1013" s="215"/>
      <c r="AS1013" s="215"/>
      <c r="AT1013" s="215"/>
      <c r="AU1013" s="215"/>
      <c r="AV1013" s="215"/>
      <c r="AW1013" s="215"/>
      <c r="AX1013" s="215"/>
      <c r="AY1013" s="215"/>
      <c r="AZ1013" s="215"/>
      <c r="BA1013" s="215"/>
      <c r="BB1013" s="215"/>
      <c r="BC1013" s="215"/>
      <c r="BD1013" s="215"/>
      <c r="BE1013" s="215"/>
      <c r="BF1013" s="215"/>
      <c r="BG1013" s="215"/>
      <c r="BH1013" s="215"/>
      <c r="BI1013" s="215"/>
      <c r="BJ1013" s="215"/>
      <c r="BK1013" s="215"/>
      <c r="BL1013" s="215"/>
      <c r="BM1013" s="215"/>
      <c r="BN1013" s="215"/>
      <c r="BO1013" s="215"/>
      <c r="BP1013" s="215"/>
      <c r="BQ1013" s="215"/>
      <c r="BR1013" s="215"/>
      <c r="BS1013" s="215"/>
      <c r="BT1013" s="215"/>
      <c r="BU1013" s="215"/>
      <c r="BV1013" s="215"/>
      <c r="BW1013" s="215"/>
      <c r="BX1013" s="215"/>
      <c r="BY1013" s="215"/>
      <c r="BZ1013" s="215"/>
    </row>
    <row r="1014" spans="1:78" outlineLevel="1" x14ac:dyDescent="0.2">
      <c r="A1014" s="2" t="str">
        <f>'Language Index'!A569</f>
        <v>Long Term Assets</v>
      </c>
      <c r="B1014" s="17"/>
      <c r="C1014" s="17"/>
      <c r="D1014" s="18">
        <f>_xll.ciqfunctions.udf.CIQ($C$2,"IQ_PENSION_LT_ASSETS_FOREIGN",D$6,$F$2,,,Ccy,Conv)</f>
        <v>0</v>
      </c>
      <c r="E1014" s="18">
        <f>_xll.ciqfunctions.udf.CIQ($C$2,"IQ_PENSION_LT_ASSETS_FOREIGN",E$6,$F$2,,,Ccy,Conv)</f>
        <v>0</v>
      </c>
      <c r="F1014" s="18">
        <f>_xll.ciqfunctions.udf.CIQ($C$2,"IQ_PENSION_LT_ASSETS_FOREIGN",F$6,$F$2,,,Ccy,Conv)</f>
        <v>2923</v>
      </c>
      <c r="G1014" s="18">
        <f>_xll.ciqfunctions.udf.CIQ($C$2,"IQ_PENSION_LT_ASSETS_FOREIGN",G$6,$F$2,,,Ccy,Conv)</f>
        <v>0</v>
      </c>
      <c r="H1014" s="18">
        <f>_xll.ciqfunctions.udf.CIQ($C$2,"IQ_PENSION_LT_ASSETS_FOREIGN",H$6,$F$2,,,Ccy,Conv)</f>
        <v>0</v>
      </c>
      <c r="I1014" s="18">
        <f>_xll.ciqfunctions.udf.CIQ($C$2,"IQ_PENSION_LT_ASSETS_FOREIGN",I$6,$F$2,,,Ccy,Conv)</f>
        <v>0</v>
      </c>
      <c r="J1014" s="18">
        <f>_xll.ciqfunctions.udf.CIQ($C$2,"IQ_PENSION_LT_ASSETS_FOREIGN",J$6,$F$2,,,Ccy,Conv)</f>
        <v>2842</v>
      </c>
      <c r="K1014" s="18">
        <f>_xll.ciqfunctions.udf.CIQ($C$2,"IQ_PENSION_LT_ASSETS_FOREIGN",K$6,$F$2,,,Ccy,Conv)</f>
        <v>0</v>
      </c>
      <c r="L1014" s="18">
        <f>_xll.ciqfunctions.udf.CIQ($C$2,"IQ_PENSION_LT_ASSETS_FOREIGN",L$6,$F$2,,,Ccy,Conv)</f>
        <v>0</v>
      </c>
      <c r="M1014" s="18">
        <f>_xll.ciqfunctions.udf.CIQ($C$2,"IQ_PENSION_LT_ASSETS_FOREIGN",M$6,$F$2,,,Ccy,Conv)</f>
        <v>0</v>
      </c>
      <c r="N1014" s="18">
        <f>_xll.ciqfunctions.udf.CIQ($C$2,"IQ_PENSION_LT_ASSETS_FOREIGN",N$6,$F$2,,,Ccy,Conv)</f>
        <v>2679</v>
      </c>
      <c r="O1014" s="30"/>
      <c r="P1014" s="18">
        <f>_xll.ciqfunctions.udf.CIQ($C$2,"IQ_PENSION_LT_ASSETS_FOREIGN",P$6,$F$2,,,Ccy,Conv)</f>
        <v>2679</v>
      </c>
      <c r="Q1014" s="215"/>
      <c r="R1014" s="215"/>
      <c r="S1014" s="215"/>
      <c r="T1014" s="215"/>
      <c r="U1014" s="215"/>
      <c r="V1014" s="222"/>
      <c r="W1014" s="222"/>
      <c r="X1014" s="222"/>
      <c r="Y1014" s="215"/>
      <c r="Z1014" s="215"/>
      <c r="AA1014" s="215"/>
      <c r="AB1014" s="215"/>
      <c r="AC1014" s="215"/>
      <c r="AD1014" s="215"/>
      <c r="AE1014" s="215"/>
      <c r="AF1014" s="215"/>
      <c r="AG1014" s="215"/>
      <c r="AH1014" s="215"/>
      <c r="AI1014" s="215"/>
      <c r="AJ1014" s="215"/>
      <c r="AK1014" s="215"/>
      <c r="AL1014" s="215"/>
      <c r="AM1014" s="215"/>
      <c r="AN1014" s="215"/>
      <c r="AO1014" s="215"/>
      <c r="AP1014" s="215"/>
      <c r="AQ1014" s="215"/>
      <c r="AR1014" s="215"/>
      <c r="AS1014" s="215"/>
      <c r="AT1014" s="215"/>
      <c r="AU1014" s="215"/>
      <c r="AV1014" s="215"/>
      <c r="AW1014" s="215"/>
      <c r="AX1014" s="215"/>
      <c r="AY1014" s="215"/>
      <c r="AZ1014" s="215"/>
      <c r="BA1014" s="215"/>
      <c r="BB1014" s="215"/>
      <c r="BC1014" s="215"/>
      <c r="BD1014" s="215"/>
      <c r="BE1014" s="215"/>
      <c r="BF1014" s="215"/>
      <c r="BG1014" s="215"/>
      <c r="BH1014" s="215"/>
      <c r="BI1014" s="215"/>
      <c r="BJ1014" s="215"/>
      <c r="BK1014" s="215"/>
      <c r="BL1014" s="215"/>
      <c r="BM1014" s="215"/>
      <c r="BN1014" s="215"/>
      <c r="BO1014" s="215"/>
      <c r="BP1014" s="215"/>
      <c r="BQ1014" s="215"/>
      <c r="BR1014" s="215"/>
      <c r="BS1014" s="215"/>
      <c r="BT1014" s="215"/>
      <c r="BU1014" s="215"/>
      <c r="BV1014" s="215"/>
      <c r="BW1014" s="215"/>
      <c r="BX1014" s="215"/>
      <c r="BY1014" s="215"/>
      <c r="BZ1014" s="215"/>
    </row>
    <row r="1015" spans="1:78" outlineLevel="1" x14ac:dyDescent="0.2">
      <c r="A1015" s="2" t="str">
        <f>'Language Index'!A570</f>
        <v>Current Liabilities</v>
      </c>
      <c r="B1015" s="17"/>
      <c r="C1015" s="17"/>
      <c r="D1015" s="18">
        <f>_xll.ciqfunctions.udf.CIQ($C$2,"IQ_PENSION_CL_FOREIGN",D$6,$F$2,,,Ccy,Conv)</f>
        <v>0</v>
      </c>
      <c r="E1015" s="18">
        <f>_xll.ciqfunctions.udf.CIQ($C$2,"IQ_PENSION_CL_FOREIGN",E$6,$F$2,,,Ccy,Conv)</f>
        <v>0</v>
      </c>
      <c r="F1015" s="18">
        <f>_xll.ciqfunctions.udf.CIQ($C$2,"IQ_PENSION_CL_FOREIGN",F$6,$F$2,,,Ccy,Conv)</f>
        <v>-366</v>
      </c>
      <c r="G1015" s="18">
        <f>_xll.ciqfunctions.udf.CIQ($C$2,"IQ_PENSION_CL_FOREIGN",G$6,$F$2,,,Ccy,Conv)</f>
        <v>0</v>
      </c>
      <c r="H1015" s="18">
        <f>_xll.ciqfunctions.udf.CIQ($C$2,"IQ_PENSION_CL_FOREIGN",H$6,$F$2,,,Ccy,Conv)</f>
        <v>0</v>
      </c>
      <c r="I1015" s="18">
        <f>_xll.ciqfunctions.udf.CIQ($C$2,"IQ_PENSION_CL_FOREIGN",I$6,$F$2,,,Ccy,Conv)</f>
        <v>0</v>
      </c>
      <c r="J1015" s="18">
        <f>_xll.ciqfunctions.udf.CIQ($C$2,"IQ_PENSION_CL_FOREIGN",J$6,$F$2,,,Ccy,Conv)</f>
        <v>-362</v>
      </c>
      <c r="K1015" s="18">
        <f>_xll.ciqfunctions.udf.CIQ($C$2,"IQ_PENSION_CL_FOREIGN",K$6,$F$2,,,Ccy,Conv)</f>
        <v>0</v>
      </c>
      <c r="L1015" s="18">
        <f>_xll.ciqfunctions.udf.CIQ($C$2,"IQ_PENSION_CL_FOREIGN",L$6,$F$2,,,Ccy,Conv)</f>
        <v>0</v>
      </c>
      <c r="M1015" s="18">
        <f>_xll.ciqfunctions.udf.CIQ($C$2,"IQ_PENSION_CL_FOREIGN",M$6,$F$2,,,Ccy,Conv)</f>
        <v>0</v>
      </c>
      <c r="N1015" s="18">
        <f>_xll.ciqfunctions.udf.CIQ($C$2,"IQ_PENSION_CL_FOREIGN",N$6,$F$2,,,Ccy,Conv)</f>
        <v>-407</v>
      </c>
      <c r="O1015" s="30"/>
      <c r="P1015" s="18">
        <f>_xll.ciqfunctions.udf.CIQ($C$2,"IQ_PENSION_CL_FOREIGN",P$6,$F$2,,,Ccy,Conv)</f>
        <v>-407</v>
      </c>
      <c r="Q1015" s="215"/>
      <c r="R1015" s="215"/>
      <c r="S1015" s="215"/>
      <c r="T1015" s="215"/>
      <c r="U1015" s="215"/>
      <c r="V1015" s="222"/>
      <c r="W1015" s="222"/>
      <c r="X1015" s="222"/>
      <c r="Y1015" s="215"/>
      <c r="Z1015" s="215"/>
      <c r="AA1015" s="215"/>
      <c r="AB1015" s="215"/>
      <c r="AC1015" s="215"/>
      <c r="AD1015" s="215"/>
      <c r="AE1015" s="215"/>
      <c r="AF1015" s="215"/>
      <c r="AG1015" s="215"/>
      <c r="AH1015" s="215"/>
      <c r="AI1015" s="215"/>
      <c r="AJ1015" s="215"/>
      <c r="AK1015" s="215"/>
      <c r="AL1015" s="215"/>
      <c r="AM1015" s="215"/>
      <c r="AN1015" s="215"/>
      <c r="AO1015" s="215"/>
      <c r="AP1015" s="215"/>
      <c r="AQ1015" s="215"/>
      <c r="AR1015" s="215"/>
      <c r="AS1015" s="215"/>
      <c r="AT1015" s="215"/>
      <c r="AU1015" s="215"/>
      <c r="AV1015" s="215"/>
      <c r="AW1015" s="215"/>
      <c r="AX1015" s="215"/>
      <c r="AY1015" s="215"/>
      <c r="AZ1015" s="215"/>
      <c r="BA1015" s="215"/>
      <c r="BB1015" s="215"/>
      <c r="BC1015" s="215"/>
      <c r="BD1015" s="215"/>
      <c r="BE1015" s="215"/>
      <c r="BF1015" s="215"/>
      <c r="BG1015" s="215"/>
      <c r="BH1015" s="215"/>
      <c r="BI1015" s="215"/>
      <c r="BJ1015" s="215"/>
      <c r="BK1015" s="215"/>
      <c r="BL1015" s="215"/>
      <c r="BM1015" s="215"/>
      <c r="BN1015" s="215"/>
      <c r="BO1015" s="215"/>
      <c r="BP1015" s="215"/>
      <c r="BQ1015" s="215"/>
      <c r="BR1015" s="215"/>
      <c r="BS1015" s="215"/>
      <c r="BT1015" s="215"/>
      <c r="BU1015" s="215"/>
      <c r="BV1015" s="215"/>
      <c r="BW1015" s="215"/>
      <c r="BX1015" s="215"/>
      <c r="BY1015" s="215"/>
      <c r="BZ1015" s="215"/>
    </row>
    <row r="1016" spans="1:78" outlineLevel="1" x14ac:dyDescent="0.2">
      <c r="A1016" s="2" t="str">
        <f>'Language Index'!A571</f>
        <v>Long Term Liabilities</v>
      </c>
      <c r="B1016" s="17"/>
      <c r="C1016" s="17"/>
      <c r="D1016" s="18">
        <f>_xll.ciqfunctions.udf.CIQ($C$2,"IQ_PENSION_LT_LIAB_FOREIGN",D$6,$F$2,,,Ccy,Conv)</f>
        <v>0</v>
      </c>
      <c r="E1016" s="18">
        <f>_xll.ciqfunctions.udf.CIQ($C$2,"IQ_PENSION_LT_LIAB_FOREIGN",E$6,$F$2,,,Ccy,Conv)</f>
        <v>0</v>
      </c>
      <c r="F1016" s="18">
        <f>_xll.ciqfunctions.udf.CIQ($C$2,"IQ_PENSION_LT_LIAB_FOREIGN",F$6,$F$2,,,Ccy,Conv)</f>
        <v>-6977</v>
      </c>
      <c r="G1016" s="18">
        <f>_xll.ciqfunctions.udf.CIQ($C$2,"IQ_PENSION_LT_LIAB_FOREIGN",G$6,$F$2,,,Ccy,Conv)</f>
        <v>0</v>
      </c>
      <c r="H1016" s="18">
        <f>_xll.ciqfunctions.udf.CIQ($C$2,"IQ_PENSION_LT_LIAB_FOREIGN",H$6,$F$2,,,Ccy,Conv)</f>
        <v>0</v>
      </c>
      <c r="I1016" s="18">
        <f>_xll.ciqfunctions.udf.CIQ($C$2,"IQ_PENSION_LT_LIAB_FOREIGN",I$6,$F$2,,,Ccy,Conv)</f>
        <v>0</v>
      </c>
      <c r="J1016" s="18">
        <f>_xll.ciqfunctions.udf.CIQ($C$2,"IQ_PENSION_LT_LIAB_FOREIGN",J$6,$F$2,,,Ccy,Conv)</f>
        <v>-5766</v>
      </c>
      <c r="K1016" s="18">
        <f>_xll.ciqfunctions.udf.CIQ($C$2,"IQ_PENSION_LT_LIAB_FOREIGN",K$6,$F$2,,,Ccy,Conv)</f>
        <v>0</v>
      </c>
      <c r="L1016" s="18">
        <f>_xll.ciqfunctions.udf.CIQ($C$2,"IQ_PENSION_LT_LIAB_FOREIGN",L$6,$F$2,,,Ccy,Conv)</f>
        <v>0</v>
      </c>
      <c r="M1016" s="18">
        <f>_xll.ciqfunctions.udf.CIQ($C$2,"IQ_PENSION_LT_LIAB_FOREIGN",M$6,$F$2,,,Ccy,Conv)</f>
        <v>0</v>
      </c>
      <c r="N1016" s="18">
        <f>_xll.ciqfunctions.udf.CIQ($C$2,"IQ_PENSION_LT_LIAB_FOREIGN",N$6,$F$2,,,Ccy,Conv)</f>
        <v>-5411</v>
      </c>
      <c r="O1016" s="30"/>
      <c r="P1016" s="18">
        <f>_xll.ciqfunctions.udf.CIQ($C$2,"IQ_PENSION_LT_LIAB_FOREIGN",P$6,$F$2,,,Ccy,Conv)</f>
        <v>-5411</v>
      </c>
      <c r="Q1016" s="215"/>
      <c r="R1016" s="215"/>
      <c r="S1016" s="215"/>
      <c r="T1016" s="215"/>
      <c r="U1016" s="215"/>
      <c r="V1016" s="222"/>
      <c r="W1016" s="222"/>
      <c r="X1016" s="222"/>
      <c r="Y1016" s="215"/>
      <c r="Z1016" s="215"/>
      <c r="AA1016" s="215"/>
      <c r="AB1016" s="215"/>
      <c r="AC1016" s="215"/>
      <c r="AD1016" s="215"/>
      <c r="AE1016" s="215"/>
      <c r="AF1016" s="215"/>
      <c r="AG1016" s="215"/>
      <c r="AH1016" s="215"/>
      <c r="AI1016" s="215"/>
      <c r="AJ1016" s="215"/>
      <c r="AK1016" s="215"/>
      <c r="AL1016" s="215"/>
      <c r="AM1016" s="215"/>
      <c r="AN1016" s="215"/>
      <c r="AO1016" s="215"/>
      <c r="AP1016" s="215"/>
      <c r="AQ1016" s="215"/>
      <c r="AR1016" s="215"/>
      <c r="AS1016" s="215"/>
      <c r="AT1016" s="215"/>
      <c r="AU1016" s="215"/>
      <c r="AV1016" s="215"/>
      <c r="AW1016" s="215"/>
      <c r="AX1016" s="215"/>
      <c r="AY1016" s="215"/>
      <c r="AZ1016" s="215"/>
      <c r="BA1016" s="215"/>
      <c r="BB1016" s="215"/>
      <c r="BC1016" s="215"/>
      <c r="BD1016" s="215"/>
      <c r="BE1016" s="215"/>
      <c r="BF1016" s="215"/>
      <c r="BG1016" s="215"/>
      <c r="BH1016" s="215"/>
      <c r="BI1016" s="215"/>
      <c r="BJ1016" s="215"/>
      <c r="BK1016" s="215"/>
      <c r="BL1016" s="215"/>
      <c r="BM1016" s="215"/>
      <c r="BN1016" s="215"/>
      <c r="BO1016" s="215"/>
      <c r="BP1016" s="215"/>
      <c r="BQ1016" s="215"/>
      <c r="BR1016" s="215"/>
      <c r="BS1016" s="215"/>
      <c r="BT1016" s="215"/>
      <c r="BU1016" s="215"/>
      <c r="BV1016" s="215"/>
      <c r="BW1016" s="215"/>
      <c r="BX1016" s="215"/>
      <c r="BY1016" s="215"/>
      <c r="BZ1016" s="215"/>
    </row>
    <row r="1017" spans="1:78" outlineLevel="1" x14ac:dyDescent="0.2">
      <c r="A1017" s="2" t="str">
        <f>'Language Index'!A572</f>
        <v>Other Assets/Liabilities</v>
      </c>
      <c r="B1017" s="17"/>
      <c r="C1017" s="17"/>
      <c r="D1017" s="18">
        <f>_xll.ciqfunctions.udf.CIQ($C$2,"IQ_PENSION_OTHER_FOREIGN",D$6,$F$2,,,Ccy,Conv)</f>
        <v>0</v>
      </c>
      <c r="E1017" s="18">
        <f>_xll.ciqfunctions.udf.CIQ($C$2,"IQ_PENSION_OTHER_FOREIGN",E$6,$F$2,,,Ccy,Conv)</f>
        <v>0</v>
      </c>
      <c r="F1017" s="18">
        <f>_xll.ciqfunctions.udf.CIQ($C$2,"IQ_PENSION_OTHER_FOREIGN",F$6,$F$2,,,Ccy,Conv)</f>
        <v>0</v>
      </c>
      <c r="G1017" s="18">
        <f>_xll.ciqfunctions.udf.CIQ($C$2,"IQ_PENSION_OTHER_FOREIGN",G$6,$F$2,,,Ccy,Conv)</f>
        <v>0</v>
      </c>
      <c r="H1017" s="18">
        <f>_xll.ciqfunctions.udf.CIQ($C$2,"IQ_PENSION_OTHER_FOREIGN",H$6,$F$2,,,Ccy,Conv)</f>
        <v>0</v>
      </c>
      <c r="I1017" s="18">
        <f>_xll.ciqfunctions.udf.CIQ($C$2,"IQ_PENSION_OTHER_FOREIGN",I$6,$F$2,,,Ccy,Conv)</f>
        <v>0</v>
      </c>
      <c r="J1017" s="18">
        <f>_xll.ciqfunctions.udf.CIQ($C$2,"IQ_PENSION_OTHER_FOREIGN",J$6,$F$2,,,Ccy,Conv)</f>
        <v>0</v>
      </c>
      <c r="K1017" s="18">
        <f>_xll.ciqfunctions.udf.CIQ($C$2,"IQ_PENSION_OTHER_FOREIGN",K$6,$F$2,,,Ccy,Conv)</f>
        <v>0</v>
      </c>
      <c r="L1017" s="18">
        <f>_xll.ciqfunctions.udf.CIQ($C$2,"IQ_PENSION_OTHER_FOREIGN",L$6,$F$2,,,Ccy,Conv)</f>
        <v>0</v>
      </c>
      <c r="M1017" s="18">
        <f>_xll.ciqfunctions.udf.CIQ($C$2,"IQ_PENSION_OTHER_FOREIGN",M$6,$F$2,,,Ccy,Conv)</f>
        <v>0</v>
      </c>
      <c r="N1017" s="18">
        <f>_xll.ciqfunctions.udf.CIQ($C$2,"IQ_PENSION_OTHER_FOREIGN",N$6,$F$2,,,Ccy,Conv)</f>
        <v>0</v>
      </c>
      <c r="O1017" s="30"/>
      <c r="P1017" s="18">
        <f>_xll.ciqfunctions.udf.CIQ($C$2,"IQ_PENSION_OTHER_FOREIGN",P$6,$F$2,,,Ccy,Conv)</f>
        <v>0</v>
      </c>
      <c r="Q1017" s="215"/>
      <c r="R1017" s="215"/>
      <c r="S1017" s="215"/>
      <c r="T1017" s="215"/>
      <c r="U1017" s="215"/>
      <c r="V1017" s="222"/>
      <c r="W1017" s="222"/>
      <c r="X1017" s="222"/>
      <c r="Y1017" s="215"/>
      <c r="Z1017" s="215"/>
      <c r="AA1017" s="215"/>
      <c r="AB1017" s="215"/>
      <c r="AC1017" s="215"/>
      <c r="AD1017" s="215"/>
      <c r="AE1017" s="215"/>
      <c r="AF1017" s="215"/>
      <c r="AG1017" s="215"/>
      <c r="AH1017" s="215"/>
      <c r="AI1017" s="215"/>
      <c r="AJ1017" s="215"/>
      <c r="AK1017" s="215"/>
      <c r="AL1017" s="215"/>
      <c r="AM1017" s="215"/>
      <c r="AN1017" s="215"/>
      <c r="AO1017" s="215"/>
      <c r="AP1017" s="215"/>
      <c r="AQ1017" s="215"/>
      <c r="AR1017" s="215"/>
      <c r="AS1017" s="215"/>
      <c r="AT1017" s="215"/>
      <c r="AU1017" s="215"/>
      <c r="AV1017" s="215"/>
      <c r="AW1017" s="215"/>
      <c r="AX1017" s="215"/>
      <c r="AY1017" s="215"/>
      <c r="AZ1017" s="215"/>
      <c r="BA1017" s="215"/>
      <c r="BB1017" s="215"/>
      <c r="BC1017" s="215"/>
      <c r="BD1017" s="215"/>
      <c r="BE1017" s="215"/>
      <c r="BF1017" s="215"/>
      <c r="BG1017" s="215"/>
      <c r="BH1017" s="215"/>
      <c r="BI1017" s="215"/>
      <c r="BJ1017" s="215"/>
      <c r="BK1017" s="215"/>
      <c r="BL1017" s="215"/>
      <c r="BM1017" s="215"/>
      <c r="BN1017" s="215"/>
      <c r="BO1017" s="215"/>
      <c r="BP1017" s="215"/>
      <c r="BQ1017" s="215"/>
      <c r="BR1017" s="215"/>
      <c r="BS1017" s="215"/>
      <c r="BT1017" s="215"/>
      <c r="BU1017" s="215"/>
      <c r="BV1017" s="215"/>
      <c r="BW1017" s="215"/>
      <c r="BX1017" s="215"/>
      <c r="BY1017" s="215"/>
      <c r="BZ1017" s="215"/>
    </row>
    <row r="1018" spans="1:78" outlineLevel="1" x14ac:dyDescent="0.2">
      <c r="A1018" s="9" t="str">
        <f>'Language Index'!A573</f>
        <v>Adj. for Liability Recognized on Balance Sheet</v>
      </c>
      <c r="B1018" s="17"/>
      <c r="C1018" s="17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30"/>
      <c r="P1018" s="18"/>
      <c r="Q1018" s="215"/>
      <c r="R1018" s="215"/>
      <c r="S1018" s="215"/>
      <c r="T1018" s="215"/>
      <c r="U1018" s="215"/>
      <c r="V1018" s="222"/>
      <c r="W1018" s="222"/>
      <c r="X1018" s="222"/>
      <c r="Y1018" s="215"/>
      <c r="Z1018" s="215"/>
      <c r="AA1018" s="215"/>
      <c r="AB1018" s="215"/>
      <c r="AC1018" s="215"/>
      <c r="AD1018" s="215"/>
      <c r="AE1018" s="215"/>
      <c r="AF1018" s="215"/>
      <c r="AG1018" s="215"/>
      <c r="AH1018" s="215"/>
      <c r="AI1018" s="215"/>
      <c r="AJ1018" s="215"/>
      <c r="AK1018" s="215"/>
      <c r="AL1018" s="215"/>
      <c r="AM1018" s="215"/>
      <c r="AN1018" s="215"/>
      <c r="AO1018" s="215"/>
      <c r="AP1018" s="215"/>
      <c r="AQ1018" s="215"/>
      <c r="AR1018" s="215"/>
      <c r="AS1018" s="215"/>
      <c r="AT1018" s="215"/>
      <c r="AU1018" s="215"/>
      <c r="AV1018" s="215"/>
      <c r="AW1018" s="215"/>
      <c r="AX1018" s="215"/>
      <c r="AY1018" s="215"/>
      <c r="AZ1018" s="215"/>
      <c r="BA1018" s="215"/>
      <c r="BB1018" s="215"/>
      <c r="BC1018" s="215"/>
      <c r="BD1018" s="215"/>
      <c r="BE1018" s="215"/>
      <c r="BF1018" s="215"/>
      <c r="BG1018" s="215"/>
      <c r="BH1018" s="215"/>
      <c r="BI1018" s="215"/>
      <c r="BJ1018" s="215"/>
      <c r="BK1018" s="215"/>
      <c r="BL1018" s="215"/>
      <c r="BM1018" s="215"/>
      <c r="BN1018" s="215"/>
      <c r="BO1018" s="215"/>
      <c r="BP1018" s="215"/>
      <c r="BQ1018" s="215"/>
      <c r="BR1018" s="215"/>
      <c r="BS1018" s="215"/>
      <c r="BT1018" s="215"/>
      <c r="BU1018" s="215"/>
      <c r="BV1018" s="215"/>
      <c r="BW1018" s="215"/>
      <c r="BX1018" s="215"/>
      <c r="BY1018" s="215"/>
      <c r="BZ1018" s="215"/>
    </row>
    <row r="1019" spans="1:78" outlineLevel="1" x14ac:dyDescent="0.2">
      <c r="A1019" s="2" t="str">
        <f>'Language Index'!A574</f>
        <v>Unrecog. Prior Plan Service Cost</v>
      </c>
      <c r="B1019" s="17"/>
      <c r="C1019" s="17"/>
      <c r="D1019" s="18">
        <f>_xll.ciqfunctions.udf.CIQ($C$2,"IQ_PENSION_UNRECOG_PRIOR_FOREIGN",D$6,$F$2,,,Ccy,Conv)</f>
        <v>0</v>
      </c>
      <c r="E1019" s="18">
        <f>_xll.ciqfunctions.udf.CIQ($C$2,"IQ_PENSION_UNRECOG_PRIOR_FOREIGN",E$6,$F$2,,,Ccy,Conv)</f>
        <v>0</v>
      </c>
      <c r="F1019" s="18">
        <f>_xll.ciqfunctions.udf.CIQ($C$2,"IQ_PENSION_UNRECOG_PRIOR_FOREIGN",F$6,$F$2,,,Ccy,Conv)</f>
        <v>0</v>
      </c>
      <c r="G1019" s="18">
        <f>_xll.ciqfunctions.udf.CIQ($C$2,"IQ_PENSION_UNRECOG_PRIOR_FOREIGN",G$6,$F$2,,,Ccy,Conv)</f>
        <v>0</v>
      </c>
      <c r="H1019" s="18">
        <f>_xll.ciqfunctions.udf.CIQ($C$2,"IQ_PENSION_UNRECOG_PRIOR_FOREIGN",H$6,$F$2,,,Ccy,Conv)</f>
        <v>0</v>
      </c>
      <c r="I1019" s="18">
        <f>_xll.ciqfunctions.udf.CIQ($C$2,"IQ_PENSION_UNRECOG_PRIOR_FOREIGN",I$6,$F$2,,,Ccy,Conv)</f>
        <v>0</v>
      </c>
      <c r="J1019" s="18">
        <f>_xll.ciqfunctions.udf.CIQ($C$2,"IQ_PENSION_UNRECOG_PRIOR_FOREIGN",J$6,$F$2,,,Ccy,Conv)</f>
        <v>0</v>
      </c>
      <c r="K1019" s="18">
        <f>_xll.ciqfunctions.udf.CIQ($C$2,"IQ_PENSION_UNRECOG_PRIOR_FOREIGN",K$6,$F$2,,,Ccy,Conv)</f>
        <v>0</v>
      </c>
      <c r="L1019" s="18">
        <f>_xll.ciqfunctions.udf.CIQ($C$2,"IQ_PENSION_UNRECOG_PRIOR_FOREIGN",L$6,$F$2,,,Ccy,Conv)</f>
        <v>0</v>
      </c>
      <c r="M1019" s="18">
        <f>_xll.ciqfunctions.udf.CIQ($C$2,"IQ_PENSION_UNRECOG_PRIOR_FOREIGN",M$6,$F$2,,,Ccy,Conv)</f>
        <v>0</v>
      </c>
      <c r="N1019" s="18">
        <f>_xll.ciqfunctions.udf.CIQ($C$2,"IQ_PENSION_UNRECOG_PRIOR_FOREIGN",N$6,$F$2,,,Ccy,Conv)</f>
        <v>0</v>
      </c>
      <c r="O1019" s="30"/>
      <c r="P1019" s="18">
        <f>_xll.ciqfunctions.udf.CIQ($C$2,"IQ_PENSION_UNRECOG_PRIOR_FOREIGN",P$6,$F$2,,,Ccy,Conv)</f>
        <v>0</v>
      </c>
      <c r="Q1019" s="215"/>
      <c r="R1019" s="215"/>
      <c r="S1019" s="215"/>
      <c r="T1019" s="215"/>
      <c r="U1019" s="215"/>
      <c r="V1019" s="222"/>
      <c r="W1019" s="222"/>
      <c r="X1019" s="222"/>
      <c r="Y1019" s="215"/>
      <c r="Z1019" s="215"/>
      <c r="AA1019" s="215"/>
      <c r="AB1019" s="215"/>
      <c r="AC1019" s="215"/>
      <c r="AD1019" s="215"/>
      <c r="AE1019" s="215"/>
      <c r="AF1019" s="215"/>
      <c r="AG1019" s="215"/>
      <c r="AH1019" s="215"/>
      <c r="AI1019" s="215"/>
      <c r="AJ1019" s="215"/>
      <c r="AK1019" s="215"/>
      <c r="AL1019" s="215"/>
      <c r="AM1019" s="215"/>
      <c r="AN1019" s="215"/>
      <c r="AO1019" s="215"/>
      <c r="AP1019" s="215"/>
      <c r="AQ1019" s="215"/>
      <c r="AR1019" s="215"/>
      <c r="AS1019" s="215"/>
      <c r="AT1019" s="215"/>
      <c r="AU1019" s="215"/>
      <c r="AV1019" s="215"/>
      <c r="AW1019" s="215"/>
      <c r="AX1019" s="215"/>
      <c r="AY1019" s="215"/>
      <c r="AZ1019" s="215"/>
      <c r="BA1019" s="215"/>
      <c r="BB1019" s="215"/>
      <c r="BC1019" s="215"/>
      <c r="BD1019" s="215"/>
      <c r="BE1019" s="215"/>
      <c r="BF1019" s="215"/>
      <c r="BG1019" s="215"/>
      <c r="BH1019" s="215"/>
      <c r="BI1019" s="215"/>
      <c r="BJ1019" s="215"/>
      <c r="BK1019" s="215"/>
      <c r="BL1019" s="215"/>
      <c r="BM1019" s="215"/>
      <c r="BN1019" s="215"/>
      <c r="BO1019" s="215"/>
      <c r="BP1019" s="215"/>
      <c r="BQ1019" s="215"/>
      <c r="BR1019" s="215"/>
      <c r="BS1019" s="215"/>
      <c r="BT1019" s="215"/>
      <c r="BU1019" s="215"/>
      <c r="BV1019" s="215"/>
      <c r="BW1019" s="215"/>
      <c r="BX1019" s="215"/>
      <c r="BY1019" s="215"/>
      <c r="BZ1019" s="215"/>
    </row>
    <row r="1020" spans="1:78" outlineLevel="1" x14ac:dyDescent="0.2">
      <c r="A1020" s="2" t="str">
        <f>'Language Index'!A575</f>
        <v>Other Adj. (Net Benefit Asset/Liab.)</v>
      </c>
      <c r="B1020" s="17"/>
      <c r="C1020" s="17"/>
      <c r="D1020" s="18">
        <f>_xll.ciqfunctions.udf.CIQ($C$2,"IQ_PENSION_OTHER_ADJ_FOREIGN",D$6,$F$2,,,Ccy,Conv)</f>
        <v>0</v>
      </c>
      <c r="E1020" s="18">
        <f>_xll.ciqfunctions.udf.CIQ($C$2,"IQ_PENSION_OTHER_ADJ_FOREIGN",E$6,$F$2,,,Ccy,Conv)</f>
        <v>0</v>
      </c>
      <c r="F1020" s="18">
        <f>_xll.ciqfunctions.udf.CIQ($C$2,"IQ_PENSION_OTHER_ADJ_FOREIGN",F$6,$F$2,,,Ccy,Conv)</f>
        <v>0</v>
      </c>
      <c r="G1020" s="18">
        <f>_xll.ciqfunctions.udf.CIQ($C$2,"IQ_PENSION_OTHER_ADJ_FOREIGN",G$6,$F$2,,,Ccy,Conv)</f>
        <v>0</v>
      </c>
      <c r="H1020" s="18">
        <f>_xll.ciqfunctions.udf.CIQ($C$2,"IQ_PENSION_OTHER_ADJ_FOREIGN",H$6,$F$2,,,Ccy,Conv)</f>
        <v>0</v>
      </c>
      <c r="I1020" s="18">
        <f>_xll.ciqfunctions.udf.CIQ($C$2,"IQ_PENSION_OTHER_ADJ_FOREIGN",I$6,$F$2,,,Ccy,Conv)</f>
        <v>0</v>
      </c>
      <c r="J1020" s="18">
        <f>_xll.ciqfunctions.udf.CIQ($C$2,"IQ_PENSION_OTHER_ADJ_FOREIGN",J$6,$F$2,,,Ccy,Conv)</f>
        <v>0</v>
      </c>
      <c r="K1020" s="18">
        <f>_xll.ciqfunctions.udf.CIQ($C$2,"IQ_PENSION_OTHER_ADJ_FOREIGN",K$6,$F$2,,,Ccy,Conv)</f>
        <v>0</v>
      </c>
      <c r="L1020" s="18">
        <f>_xll.ciqfunctions.udf.CIQ($C$2,"IQ_PENSION_OTHER_ADJ_FOREIGN",L$6,$F$2,,,Ccy,Conv)</f>
        <v>0</v>
      </c>
      <c r="M1020" s="18">
        <f>_xll.ciqfunctions.udf.CIQ($C$2,"IQ_PENSION_OTHER_ADJ_FOREIGN",M$6,$F$2,,,Ccy,Conv)</f>
        <v>0</v>
      </c>
      <c r="N1020" s="18">
        <f>_xll.ciqfunctions.udf.CIQ($C$2,"IQ_PENSION_OTHER_ADJ_FOREIGN",N$6,$F$2,,,Ccy,Conv)</f>
        <v>0</v>
      </c>
      <c r="O1020" s="30"/>
      <c r="P1020" s="18">
        <f>_xll.ciqfunctions.udf.CIQ($C$2,"IQ_PENSION_OTHER_ADJ_FOREIGN",P$6,$F$2,,,Ccy,Conv)</f>
        <v>0</v>
      </c>
      <c r="Q1020" s="215"/>
      <c r="R1020" s="215"/>
      <c r="S1020" s="215"/>
      <c r="T1020" s="215"/>
      <c r="U1020" s="215"/>
      <c r="V1020" s="222"/>
      <c r="W1020" s="222"/>
      <c r="X1020" s="222"/>
      <c r="Y1020" s="215"/>
      <c r="Z1020" s="215"/>
      <c r="AA1020" s="215"/>
      <c r="AB1020" s="215"/>
      <c r="AC1020" s="215"/>
      <c r="AD1020" s="215"/>
      <c r="AE1020" s="215"/>
      <c r="AF1020" s="215"/>
      <c r="AG1020" s="215"/>
      <c r="AH1020" s="215"/>
      <c r="AI1020" s="215"/>
      <c r="AJ1020" s="215"/>
      <c r="AK1020" s="215"/>
      <c r="AL1020" s="215"/>
      <c r="AM1020" s="215"/>
      <c r="AN1020" s="215"/>
      <c r="AO1020" s="215"/>
      <c r="AP1020" s="215"/>
      <c r="AQ1020" s="215"/>
      <c r="AR1020" s="215"/>
      <c r="AS1020" s="215"/>
      <c r="AT1020" s="215"/>
      <c r="AU1020" s="215"/>
      <c r="AV1020" s="215"/>
      <c r="AW1020" s="215"/>
      <c r="AX1020" s="215"/>
      <c r="AY1020" s="215"/>
      <c r="AZ1020" s="215"/>
      <c r="BA1020" s="215"/>
      <c r="BB1020" s="215"/>
      <c r="BC1020" s="215"/>
      <c r="BD1020" s="215"/>
      <c r="BE1020" s="215"/>
      <c r="BF1020" s="215"/>
      <c r="BG1020" s="215"/>
      <c r="BH1020" s="215"/>
      <c r="BI1020" s="215"/>
      <c r="BJ1020" s="215"/>
      <c r="BK1020" s="215"/>
      <c r="BL1020" s="215"/>
      <c r="BM1020" s="215"/>
      <c r="BN1020" s="215"/>
      <c r="BO1020" s="215"/>
      <c r="BP1020" s="215"/>
      <c r="BQ1020" s="215"/>
      <c r="BR1020" s="215"/>
      <c r="BS1020" s="215"/>
      <c r="BT1020" s="215"/>
      <c r="BU1020" s="215"/>
      <c r="BV1020" s="215"/>
      <c r="BW1020" s="215"/>
      <c r="BX1020" s="215"/>
      <c r="BY1020" s="215"/>
      <c r="BZ1020" s="215"/>
    </row>
    <row r="1021" spans="1:78" outlineLevel="1" x14ac:dyDescent="0.2">
      <c r="A1021" s="2" t="str">
        <f>'Language Index'!A576</f>
        <v>Net Asset/Liability Recognized on Balance Sheet</v>
      </c>
      <c r="B1021" s="17"/>
      <c r="C1021" s="17"/>
      <c r="D1021" s="18">
        <f>_xll.ciqfunctions.udf.CIQ($C$2,"IQ_PENSION_NET_ASSET_RECOG_FOREIGN",D$6,$F$2,,,Ccy,Conv)</f>
        <v>0</v>
      </c>
      <c r="E1021" s="18">
        <f>_xll.ciqfunctions.udf.CIQ($C$2,"IQ_PENSION_NET_ASSET_RECOG_FOREIGN",E$6,$F$2,,,Ccy,Conv)</f>
        <v>0</v>
      </c>
      <c r="F1021" s="18">
        <f>_xll.ciqfunctions.udf.CIQ($C$2,"IQ_PENSION_NET_ASSET_RECOG_FOREIGN",F$6,$F$2,,,Ccy,Conv)</f>
        <v>-4420</v>
      </c>
      <c r="G1021" s="18">
        <f>_xll.ciqfunctions.udf.CIQ($C$2,"IQ_PENSION_NET_ASSET_RECOG_FOREIGN",G$6,$F$2,,,Ccy,Conv)</f>
        <v>0</v>
      </c>
      <c r="H1021" s="18">
        <f>_xll.ciqfunctions.udf.CIQ($C$2,"IQ_PENSION_NET_ASSET_RECOG_FOREIGN",H$6,$F$2,,,Ccy,Conv)</f>
        <v>0</v>
      </c>
      <c r="I1021" s="18">
        <f>_xll.ciqfunctions.udf.CIQ($C$2,"IQ_PENSION_NET_ASSET_RECOG_FOREIGN",I$6,$F$2,,,Ccy,Conv)</f>
        <v>0</v>
      </c>
      <c r="J1021" s="18">
        <f>_xll.ciqfunctions.udf.CIQ($C$2,"IQ_PENSION_NET_ASSET_RECOG_FOREIGN",J$6,$F$2,,,Ccy,Conv)</f>
        <v>-3286</v>
      </c>
      <c r="K1021" s="18">
        <f>_xll.ciqfunctions.udf.CIQ($C$2,"IQ_PENSION_NET_ASSET_RECOG_FOREIGN",K$6,$F$2,,,Ccy,Conv)</f>
        <v>0</v>
      </c>
      <c r="L1021" s="18">
        <f>_xll.ciqfunctions.udf.CIQ($C$2,"IQ_PENSION_NET_ASSET_RECOG_FOREIGN",L$6,$F$2,,,Ccy,Conv)</f>
        <v>0</v>
      </c>
      <c r="M1021" s="18">
        <f>_xll.ciqfunctions.udf.CIQ($C$2,"IQ_PENSION_NET_ASSET_RECOG_FOREIGN",M$6,$F$2,,,Ccy,Conv)</f>
        <v>0</v>
      </c>
      <c r="N1021" s="18">
        <f>_xll.ciqfunctions.udf.CIQ($C$2,"IQ_PENSION_NET_ASSET_RECOG_FOREIGN",N$6,$F$2,,,Ccy,Conv)</f>
        <v>-3139</v>
      </c>
      <c r="O1021" s="30"/>
      <c r="P1021" s="18">
        <f>_xll.ciqfunctions.udf.CIQ($C$2,"IQ_PENSION_NET_ASSET_RECOG_FOREIGN",P$6,$F$2,,,Ccy,Conv)</f>
        <v>-3139</v>
      </c>
      <c r="Q1021" s="215"/>
      <c r="R1021" s="215"/>
      <c r="S1021" s="215"/>
      <c r="T1021" s="215"/>
      <c r="U1021" s="215"/>
      <c r="V1021" s="222"/>
      <c r="W1021" s="222"/>
      <c r="X1021" s="222"/>
      <c r="Y1021" s="215"/>
      <c r="Z1021" s="215"/>
      <c r="AA1021" s="215"/>
      <c r="AB1021" s="215"/>
      <c r="AC1021" s="215"/>
      <c r="AD1021" s="215"/>
      <c r="AE1021" s="215"/>
      <c r="AF1021" s="215"/>
      <c r="AG1021" s="215"/>
      <c r="AH1021" s="215"/>
      <c r="AI1021" s="215"/>
      <c r="AJ1021" s="215"/>
      <c r="AK1021" s="215"/>
      <c r="AL1021" s="215"/>
      <c r="AM1021" s="215"/>
      <c r="AN1021" s="215"/>
      <c r="AO1021" s="215"/>
      <c r="AP1021" s="215"/>
      <c r="AQ1021" s="215"/>
      <c r="AR1021" s="215"/>
      <c r="AS1021" s="215"/>
      <c r="AT1021" s="215"/>
      <c r="AU1021" s="215"/>
      <c r="AV1021" s="215"/>
      <c r="AW1021" s="215"/>
      <c r="AX1021" s="215"/>
      <c r="AY1021" s="215"/>
      <c r="AZ1021" s="215"/>
      <c r="BA1021" s="215"/>
      <c r="BB1021" s="215"/>
      <c r="BC1021" s="215"/>
      <c r="BD1021" s="215"/>
      <c r="BE1021" s="215"/>
      <c r="BF1021" s="215"/>
      <c r="BG1021" s="215"/>
      <c r="BH1021" s="215"/>
      <c r="BI1021" s="215"/>
      <c r="BJ1021" s="215"/>
      <c r="BK1021" s="215"/>
      <c r="BL1021" s="215"/>
      <c r="BM1021" s="215"/>
      <c r="BN1021" s="215"/>
      <c r="BO1021" s="215"/>
      <c r="BP1021" s="215"/>
      <c r="BQ1021" s="215"/>
      <c r="BR1021" s="215"/>
      <c r="BS1021" s="215"/>
      <c r="BT1021" s="215"/>
      <c r="BU1021" s="215"/>
      <c r="BV1021" s="215"/>
      <c r="BW1021" s="215"/>
      <c r="BX1021" s="215"/>
      <c r="BY1021" s="215"/>
      <c r="BZ1021" s="215"/>
    </row>
    <row r="1022" spans="1:78" outlineLevel="1" x14ac:dyDescent="0.2">
      <c r="A1022" s="9" t="str">
        <f>'Language Index'!A577</f>
        <v>Other Pension Related Items</v>
      </c>
      <c r="B1022" s="17"/>
      <c r="C1022" s="17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30"/>
      <c r="P1022" s="18"/>
      <c r="Q1022" s="215"/>
      <c r="R1022" s="215"/>
      <c r="S1022" s="215"/>
      <c r="T1022" s="215"/>
      <c r="U1022" s="215"/>
      <c r="V1022" s="222"/>
      <c r="W1022" s="222"/>
      <c r="X1022" s="222"/>
      <c r="Y1022" s="215"/>
      <c r="Z1022" s="215"/>
      <c r="AA1022" s="215"/>
      <c r="AB1022" s="215"/>
      <c r="AC1022" s="215"/>
      <c r="AD1022" s="215"/>
      <c r="AE1022" s="215"/>
      <c r="AF1022" s="215"/>
      <c r="AG1022" s="215"/>
      <c r="AH1022" s="215"/>
      <c r="AI1022" s="215"/>
      <c r="AJ1022" s="215"/>
      <c r="AK1022" s="215"/>
      <c r="AL1022" s="215"/>
      <c r="AM1022" s="215"/>
      <c r="AN1022" s="215"/>
      <c r="AO1022" s="215"/>
      <c r="AP1022" s="215"/>
      <c r="AQ1022" s="215"/>
      <c r="AR1022" s="215"/>
      <c r="AS1022" s="215"/>
      <c r="AT1022" s="215"/>
      <c r="AU1022" s="215"/>
      <c r="AV1022" s="215"/>
      <c r="AW1022" s="215"/>
      <c r="AX1022" s="215"/>
      <c r="AY1022" s="215"/>
      <c r="AZ1022" s="215"/>
      <c r="BA1022" s="215"/>
      <c r="BB1022" s="215"/>
      <c r="BC1022" s="215"/>
      <c r="BD1022" s="215"/>
      <c r="BE1022" s="215"/>
      <c r="BF1022" s="215"/>
      <c r="BG1022" s="215"/>
      <c r="BH1022" s="215"/>
      <c r="BI1022" s="215"/>
      <c r="BJ1022" s="215"/>
      <c r="BK1022" s="215"/>
      <c r="BL1022" s="215"/>
      <c r="BM1022" s="215"/>
      <c r="BN1022" s="215"/>
      <c r="BO1022" s="215"/>
      <c r="BP1022" s="215"/>
      <c r="BQ1022" s="215"/>
      <c r="BR1022" s="215"/>
      <c r="BS1022" s="215"/>
      <c r="BT1022" s="215"/>
      <c r="BU1022" s="215"/>
      <c r="BV1022" s="215"/>
      <c r="BW1022" s="215"/>
      <c r="BX1022" s="215"/>
      <c r="BY1022" s="215"/>
      <c r="BZ1022" s="215"/>
    </row>
    <row r="1023" spans="1:78" outlineLevel="1" x14ac:dyDescent="0.2">
      <c r="A1023" s="2" t="str">
        <f>'Language Index'!A579</f>
        <v>Est. Contributions - Next Year</v>
      </c>
      <c r="B1023" s="17"/>
      <c r="C1023" s="17"/>
      <c r="D1023" s="18">
        <f>_xll.ciqfunctions.udf.CIQ($C$2,"IQ_PENSION_EST_CONTRIBUTIONS_NEXTYR_FOREIGN",D$6,$F$2,,,Ccy,Conv)</f>
        <v>0</v>
      </c>
      <c r="E1023" s="18">
        <f>_xll.ciqfunctions.udf.CIQ($C$2,"IQ_PENSION_EST_CONTRIBUTIONS_NEXTYR_FOREIGN",E$6,$F$2,,,Ccy,Conv)</f>
        <v>0</v>
      </c>
      <c r="F1023" s="18">
        <f>_xll.ciqfunctions.udf.CIQ($C$2,"IQ_PENSION_EST_CONTRIBUTIONS_NEXTYR_FOREIGN",F$6,$F$2,,,Ccy,Conv)</f>
        <v>200</v>
      </c>
      <c r="G1023" s="18">
        <f>_xll.ciqfunctions.udf.CIQ($C$2,"IQ_PENSION_EST_CONTRIBUTIONS_NEXTYR_FOREIGN",G$6,$F$2,,,Ccy,Conv)</f>
        <v>0</v>
      </c>
      <c r="H1023" s="18">
        <f>_xll.ciqfunctions.udf.CIQ($C$2,"IQ_PENSION_EST_CONTRIBUTIONS_NEXTYR_FOREIGN",H$6,$F$2,,,Ccy,Conv)</f>
        <v>0</v>
      </c>
      <c r="I1023" s="18">
        <f>_xll.ciqfunctions.udf.CIQ($C$2,"IQ_PENSION_EST_CONTRIBUTIONS_NEXTYR_FOREIGN",I$6,$F$2,,,Ccy,Conv)</f>
        <v>0</v>
      </c>
      <c r="J1023" s="18">
        <f>_xll.ciqfunctions.udf.CIQ($C$2,"IQ_PENSION_EST_CONTRIBUTIONS_NEXTYR_FOREIGN",J$6,$F$2,,,Ccy,Conv)</f>
        <v>100</v>
      </c>
      <c r="K1023" s="18">
        <f>_xll.ciqfunctions.udf.CIQ($C$2,"IQ_PENSION_EST_CONTRIBUTIONS_NEXTYR_FOREIGN",K$6,$F$2,,,Ccy,Conv)</f>
        <v>0</v>
      </c>
      <c r="L1023" s="18">
        <f>_xll.ciqfunctions.udf.CIQ($C$2,"IQ_PENSION_EST_CONTRIBUTIONS_NEXTYR_FOREIGN",L$6,$F$2,,,Ccy,Conv)</f>
        <v>0</v>
      </c>
      <c r="M1023" s="18">
        <f>_xll.ciqfunctions.udf.CIQ($C$2,"IQ_PENSION_EST_CONTRIBUTIONS_NEXTYR_FOREIGN",M$6,$F$2,,,Ccy,Conv)</f>
        <v>0</v>
      </c>
      <c r="N1023" s="18">
        <f>_xll.ciqfunctions.udf.CIQ($C$2,"IQ_PENSION_EST_CONTRIBUTIONS_NEXTYR_FOREIGN",N$6,$F$2,,,Ccy,Conv)</f>
        <v>100</v>
      </c>
      <c r="O1023" s="30"/>
      <c r="P1023" s="18">
        <f>_xll.ciqfunctions.udf.CIQ($C$2,"IQ_PENSION_EST_CONTRIBUTIONS_NEXTYR_FOREIGN",P$6,$F$2,,,Ccy,Conv)</f>
        <v>100</v>
      </c>
      <c r="Q1023" s="215"/>
      <c r="R1023" s="215"/>
      <c r="S1023" s="215"/>
      <c r="T1023" s="215"/>
      <c r="U1023" s="215"/>
      <c r="V1023" s="222"/>
      <c r="W1023" s="222"/>
      <c r="X1023" s="222"/>
      <c r="Y1023" s="215"/>
      <c r="Z1023" s="215"/>
      <c r="AA1023" s="215"/>
      <c r="AB1023" s="215"/>
      <c r="AC1023" s="215"/>
      <c r="AD1023" s="215"/>
      <c r="AE1023" s="215"/>
      <c r="AF1023" s="215"/>
      <c r="AG1023" s="215"/>
      <c r="AH1023" s="215"/>
      <c r="AI1023" s="215"/>
      <c r="AJ1023" s="215"/>
      <c r="AK1023" s="215"/>
      <c r="AL1023" s="215"/>
      <c r="AM1023" s="215"/>
      <c r="AN1023" s="215"/>
      <c r="AO1023" s="215"/>
      <c r="AP1023" s="215"/>
      <c r="AQ1023" s="215"/>
      <c r="AR1023" s="215"/>
      <c r="AS1023" s="215"/>
      <c r="AT1023" s="215"/>
      <c r="AU1023" s="215"/>
      <c r="AV1023" s="215"/>
      <c r="AW1023" s="215"/>
      <c r="AX1023" s="215"/>
      <c r="AY1023" s="215"/>
      <c r="AZ1023" s="215"/>
      <c r="BA1023" s="215"/>
      <c r="BB1023" s="215"/>
      <c r="BC1023" s="215"/>
      <c r="BD1023" s="215"/>
      <c r="BE1023" s="215"/>
      <c r="BF1023" s="215"/>
      <c r="BG1023" s="215"/>
      <c r="BH1023" s="215"/>
      <c r="BI1023" s="215"/>
      <c r="BJ1023" s="215"/>
      <c r="BK1023" s="215"/>
      <c r="BL1023" s="215"/>
      <c r="BM1023" s="215"/>
      <c r="BN1023" s="215"/>
      <c r="BO1023" s="215"/>
      <c r="BP1023" s="215"/>
      <c r="BQ1023" s="215"/>
      <c r="BR1023" s="215"/>
      <c r="BS1023" s="215"/>
      <c r="BT1023" s="215"/>
      <c r="BU1023" s="215"/>
      <c r="BV1023" s="215"/>
      <c r="BW1023" s="215"/>
      <c r="BX1023" s="215"/>
      <c r="BY1023" s="215"/>
      <c r="BZ1023" s="215"/>
    </row>
    <row r="1024" spans="1:78" outlineLevel="1" x14ac:dyDescent="0.2">
      <c r="A1024" s="2" t="str">
        <f>'Language Index'!A580</f>
        <v>Quarterly Employer Contribution</v>
      </c>
      <c r="B1024" s="17"/>
      <c r="C1024" s="17"/>
      <c r="D1024" s="18">
        <f>_xll.ciqfunctions.udf.CIQ($C$2,"IQ_PENSION_QUART_EMPLOYER_CONTRIBUTIONS_FOREIGN",D$6,$F$2,,,Ccy,Conv)</f>
        <v>0</v>
      </c>
      <c r="E1024" s="18">
        <f>_xll.ciqfunctions.udf.CIQ($C$2,"IQ_PENSION_QUART_EMPLOYER_CONTRIBUTIONS_FOREIGN",E$6,$F$2,,,Ccy,Conv)</f>
        <v>0</v>
      </c>
      <c r="F1024" s="18">
        <f>_xll.ciqfunctions.udf.CIQ($C$2,"IQ_PENSION_QUART_EMPLOYER_CONTRIBUTIONS_FOREIGN",F$6,$F$2,,,Ccy,Conv)</f>
        <v>0</v>
      </c>
      <c r="G1024" s="18">
        <f>_xll.ciqfunctions.udf.CIQ($C$2,"IQ_PENSION_QUART_EMPLOYER_CONTRIBUTIONS_FOREIGN",G$6,$F$2,,,Ccy,Conv)</f>
        <v>0</v>
      </c>
      <c r="H1024" s="18">
        <f>_xll.ciqfunctions.udf.CIQ($C$2,"IQ_PENSION_QUART_EMPLOYER_CONTRIBUTIONS_FOREIGN",H$6,$F$2,,,Ccy,Conv)</f>
        <v>0</v>
      </c>
      <c r="I1024" s="18">
        <f>_xll.ciqfunctions.udf.CIQ($C$2,"IQ_PENSION_QUART_EMPLOYER_CONTRIBUTIONS_FOREIGN",I$6,$F$2,,,Ccy,Conv)</f>
        <v>0</v>
      </c>
      <c r="J1024" s="18">
        <f>_xll.ciqfunctions.udf.CIQ($C$2,"IQ_PENSION_QUART_EMPLOYER_CONTRIBUTIONS_FOREIGN",J$6,$F$2,,,Ccy,Conv)</f>
        <v>0</v>
      </c>
      <c r="K1024" s="18">
        <f>_xll.ciqfunctions.udf.CIQ($C$2,"IQ_PENSION_QUART_EMPLOYER_CONTRIBUTIONS_FOREIGN",K$6,$F$2,,,Ccy,Conv)</f>
        <v>0</v>
      </c>
      <c r="L1024" s="18">
        <f>_xll.ciqfunctions.udf.CIQ($C$2,"IQ_PENSION_QUART_EMPLOYER_CONTRIBUTIONS_FOREIGN",L$6,$F$2,,,Ccy,Conv)</f>
        <v>0</v>
      </c>
      <c r="M1024" s="18">
        <f>_xll.ciqfunctions.udf.CIQ($C$2,"IQ_PENSION_QUART_EMPLOYER_CONTRIBUTIONS_FOREIGN",M$6,$F$2,,,Ccy,Conv)</f>
        <v>0</v>
      </c>
      <c r="N1024" s="18">
        <f>_xll.ciqfunctions.udf.CIQ($C$2,"IQ_PENSION_QUART_EMPLOYER_CONTRIBUTIONS_FOREIGN",N$6,$F$2,,,Ccy,Conv)</f>
        <v>0</v>
      </c>
      <c r="O1024" s="30"/>
      <c r="P1024" s="18">
        <f>_xll.ciqfunctions.udf.CIQ($C$2,"IQ_PENSION_QUART_EMPLOYER_CONTRIBUTIONS_FOREIGN",P$6,$F$2,,,Ccy,Conv)</f>
        <v>0</v>
      </c>
      <c r="Q1024" s="215"/>
      <c r="R1024" s="215"/>
      <c r="S1024" s="215"/>
      <c r="T1024" s="215"/>
      <c r="U1024" s="215"/>
      <c r="V1024" s="222"/>
      <c r="W1024" s="222"/>
      <c r="X1024" s="222"/>
      <c r="Y1024" s="215"/>
      <c r="Z1024" s="215"/>
      <c r="AA1024" s="215"/>
      <c r="AB1024" s="215"/>
      <c r="AC1024" s="215"/>
      <c r="AD1024" s="215"/>
      <c r="AE1024" s="215"/>
      <c r="AF1024" s="215"/>
      <c r="AG1024" s="215"/>
      <c r="AH1024" s="215"/>
      <c r="AI1024" s="215"/>
      <c r="AJ1024" s="215"/>
      <c r="AK1024" s="215"/>
      <c r="AL1024" s="215"/>
      <c r="AM1024" s="215"/>
      <c r="AN1024" s="215"/>
      <c r="AO1024" s="215"/>
      <c r="AP1024" s="215"/>
      <c r="AQ1024" s="215"/>
      <c r="AR1024" s="215"/>
      <c r="AS1024" s="215"/>
      <c r="AT1024" s="215"/>
      <c r="AU1024" s="215"/>
      <c r="AV1024" s="215"/>
      <c r="AW1024" s="215"/>
      <c r="AX1024" s="215"/>
      <c r="AY1024" s="215"/>
      <c r="AZ1024" s="215"/>
      <c r="BA1024" s="215"/>
      <c r="BB1024" s="215"/>
      <c r="BC1024" s="215"/>
      <c r="BD1024" s="215"/>
      <c r="BE1024" s="215"/>
      <c r="BF1024" s="215"/>
      <c r="BG1024" s="215"/>
      <c r="BH1024" s="215"/>
      <c r="BI1024" s="215"/>
      <c r="BJ1024" s="215"/>
      <c r="BK1024" s="215"/>
      <c r="BL1024" s="215"/>
      <c r="BM1024" s="215"/>
      <c r="BN1024" s="215"/>
      <c r="BO1024" s="215"/>
      <c r="BP1024" s="215"/>
      <c r="BQ1024" s="215"/>
      <c r="BR1024" s="215"/>
      <c r="BS1024" s="215"/>
      <c r="BT1024" s="215"/>
      <c r="BU1024" s="215"/>
      <c r="BV1024" s="215"/>
      <c r="BW1024" s="215"/>
      <c r="BX1024" s="215"/>
      <c r="BY1024" s="215"/>
      <c r="BZ1024" s="215"/>
    </row>
    <row r="1025" spans="1:78" outlineLevel="1" x14ac:dyDescent="0.2">
      <c r="A1025" s="2" t="str">
        <f>'Language Index'!A581</f>
        <v>Quarterly Additional Contributions Expected</v>
      </c>
      <c r="B1025" s="17"/>
      <c r="C1025" s="17"/>
      <c r="D1025" s="18">
        <f>_xll.ciqfunctions.udf.CIQ($C$2,"IQ_PENSION_QUART_ADDL_CONTRIBUTIONS_EXP_FOREIGN",D$6,$F$2,,,Ccy,Conv)</f>
        <v>0</v>
      </c>
      <c r="E1025" s="18">
        <f>_xll.ciqfunctions.udf.CIQ($C$2,"IQ_PENSION_QUART_ADDL_CONTRIBUTIONS_EXP_FOREIGN",E$6,$F$2,,,Ccy,Conv)</f>
        <v>0</v>
      </c>
      <c r="F1025" s="18">
        <f>_xll.ciqfunctions.udf.CIQ($C$2,"IQ_PENSION_QUART_ADDL_CONTRIBUTIONS_EXP_FOREIGN",F$6,$F$2,,,Ccy,Conv)</f>
        <v>0</v>
      </c>
      <c r="G1025" s="18">
        <f>_xll.ciqfunctions.udf.CIQ($C$2,"IQ_PENSION_QUART_ADDL_CONTRIBUTIONS_EXP_FOREIGN",G$6,$F$2,,,Ccy,Conv)</f>
        <v>0</v>
      </c>
      <c r="H1025" s="18">
        <f>_xll.ciqfunctions.udf.CIQ($C$2,"IQ_PENSION_QUART_ADDL_CONTRIBUTIONS_EXP_FOREIGN",H$6,$F$2,,,Ccy,Conv)</f>
        <v>0</v>
      </c>
      <c r="I1025" s="18">
        <f>_xll.ciqfunctions.udf.CIQ($C$2,"IQ_PENSION_QUART_ADDL_CONTRIBUTIONS_EXP_FOREIGN",I$6,$F$2,,,Ccy,Conv)</f>
        <v>0</v>
      </c>
      <c r="J1025" s="18">
        <f>_xll.ciqfunctions.udf.CIQ($C$2,"IQ_PENSION_QUART_ADDL_CONTRIBUTIONS_EXP_FOREIGN",J$6,$F$2,,,Ccy,Conv)</f>
        <v>0</v>
      </c>
      <c r="K1025" s="18">
        <f>_xll.ciqfunctions.udf.CIQ($C$2,"IQ_PENSION_QUART_ADDL_CONTRIBUTIONS_EXP_FOREIGN",K$6,$F$2,,,Ccy,Conv)</f>
        <v>0</v>
      </c>
      <c r="L1025" s="18">
        <f>_xll.ciqfunctions.udf.CIQ($C$2,"IQ_PENSION_QUART_ADDL_CONTRIBUTIONS_EXP_FOREIGN",L$6,$F$2,,,Ccy,Conv)</f>
        <v>0</v>
      </c>
      <c r="M1025" s="18">
        <f>_xll.ciqfunctions.udf.CIQ($C$2,"IQ_PENSION_QUART_ADDL_CONTRIBUTIONS_EXP_FOREIGN",M$6,$F$2,,,Ccy,Conv)</f>
        <v>0</v>
      </c>
      <c r="N1025" s="18">
        <f>_xll.ciqfunctions.udf.CIQ($C$2,"IQ_PENSION_QUART_ADDL_CONTRIBUTIONS_EXP_FOREIGN",N$6,$F$2,,,Ccy,Conv)</f>
        <v>0</v>
      </c>
      <c r="O1025" s="30"/>
      <c r="P1025" s="18">
        <f>_xll.ciqfunctions.udf.CIQ($C$2,"IQ_PENSION_QUART_ADDL_CONTRIBUTIONS_EXP_FOREIGN",P$6,$F$2,,,Ccy,Conv)</f>
        <v>0</v>
      </c>
      <c r="Q1025" s="215"/>
      <c r="R1025" s="215"/>
      <c r="S1025" s="215"/>
      <c r="T1025" s="215"/>
      <c r="U1025" s="215"/>
      <c r="V1025" s="222"/>
      <c r="W1025" s="222"/>
      <c r="X1025" s="222"/>
      <c r="Y1025" s="215"/>
      <c r="Z1025" s="215"/>
      <c r="AA1025" s="215"/>
      <c r="AB1025" s="215"/>
      <c r="AC1025" s="215"/>
      <c r="AD1025" s="215"/>
      <c r="AE1025" s="215"/>
      <c r="AF1025" s="215"/>
      <c r="AG1025" s="215"/>
      <c r="AH1025" s="215"/>
      <c r="AI1025" s="215"/>
      <c r="AJ1025" s="215"/>
      <c r="AK1025" s="215"/>
      <c r="AL1025" s="215"/>
      <c r="AM1025" s="215"/>
      <c r="AN1025" s="215"/>
      <c r="AO1025" s="215"/>
      <c r="AP1025" s="215"/>
      <c r="AQ1025" s="215"/>
      <c r="AR1025" s="215"/>
      <c r="AS1025" s="215"/>
      <c r="AT1025" s="215"/>
      <c r="AU1025" s="215"/>
      <c r="AV1025" s="215"/>
      <c r="AW1025" s="215"/>
      <c r="AX1025" s="215"/>
      <c r="AY1025" s="215"/>
      <c r="AZ1025" s="215"/>
      <c r="BA1025" s="215"/>
      <c r="BB1025" s="215"/>
      <c r="BC1025" s="215"/>
      <c r="BD1025" s="215"/>
      <c r="BE1025" s="215"/>
      <c r="BF1025" s="215"/>
      <c r="BG1025" s="215"/>
      <c r="BH1025" s="215"/>
      <c r="BI1025" s="215"/>
      <c r="BJ1025" s="215"/>
      <c r="BK1025" s="215"/>
      <c r="BL1025" s="215"/>
      <c r="BM1025" s="215"/>
      <c r="BN1025" s="215"/>
      <c r="BO1025" s="215"/>
      <c r="BP1025" s="215"/>
      <c r="BQ1025" s="215"/>
      <c r="BR1025" s="215"/>
      <c r="BS1025" s="215"/>
      <c r="BT1025" s="215"/>
      <c r="BU1025" s="215"/>
      <c r="BV1025" s="215"/>
      <c r="BW1025" s="215"/>
      <c r="BX1025" s="215"/>
      <c r="BY1025" s="215"/>
      <c r="BZ1025" s="215"/>
    </row>
    <row r="1026" spans="1:78" outlineLevel="1" x14ac:dyDescent="0.2">
      <c r="A1026" s="2" t="str">
        <f>'Language Index'!A582</f>
        <v>Unfunded Additional Minimum Liab.</v>
      </c>
      <c r="B1026" s="17"/>
      <c r="C1026" s="17"/>
      <c r="D1026" s="18">
        <f>_xll.ciqfunctions.udf.CIQ($C$2,"IQ_PENSION_UNFUNDED_ADDL_MIN_LIAB_FOREIGN",D$6,$F$2,,,Ccy,Conv)</f>
        <v>0</v>
      </c>
      <c r="E1026" s="18">
        <f>_xll.ciqfunctions.udf.CIQ($C$2,"IQ_PENSION_UNFUNDED_ADDL_MIN_LIAB_FOREIGN",E$6,$F$2,,,Ccy,Conv)</f>
        <v>0</v>
      </c>
      <c r="F1026" s="18">
        <f>_xll.ciqfunctions.udf.CIQ($C$2,"IQ_PENSION_UNFUNDED_ADDL_MIN_LIAB_FOREIGN",F$6,$F$2,,,Ccy,Conv)</f>
        <v>0</v>
      </c>
      <c r="G1026" s="18">
        <f>_xll.ciqfunctions.udf.CIQ($C$2,"IQ_PENSION_UNFUNDED_ADDL_MIN_LIAB_FOREIGN",G$6,$F$2,,,Ccy,Conv)</f>
        <v>0</v>
      </c>
      <c r="H1026" s="18">
        <f>_xll.ciqfunctions.udf.CIQ($C$2,"IQ_PENSION_UNFUNDED_ADDL_MIN_LIAB_FOREIGN",H$6,$F$2,,,Ccy,Conv)</f>
        <v>0</v>
      </c>
      <c r="I1026" s="18">
        <f>_xll.ciqfunctions.udf.CIQ($C$2,"IQ_PENSION_UNFUNDED_ADDL_MIN_LIAB_FOREIGN",I$6,$F$2,,,Ccy,Conv)</f>
        <v>0</v>
      </c>
      <c r="J1026" s="18">
        <f>_xll.ciqfunctions.udf.CIQ($C$2,"IQ_PENSION_UNFUNDED_ADDL_MIN_LIAB_FOREIGN",J$6,$F$2,,,Ccy,Conv)</f>
        <v>0</v>
      </c>
      <c r="K1026" s="18">
        <f>_xll.ciqfunctions.udf.CIQ($C$2,"IQ_PENSION_UNFUNDED_ADDL_MIN_LIAB_FOREIGN",K$6,$F$2,,,Ccy,Conv)</f>
        <v>0</v>
      </c>
      <c r="L1026" s="18">
        <f>_xll.ciqfunctions.udf.CIQ($C$2,"IQ_PENSION_UNFUNDED_ADDL_MIN_LIAB_FOREIGN",L$6,$F$2,,,Ccy,Conv)</f>
        <v>0</v>
      </c>
      <c r="M1026" s="18">
        <f>_xll.ciqfunctions.udf.CIQ($C$2,"IQ_PENSION_UNFUNDED_ADDL_MIN_LIAB_FOREIGN",M$6,$F$2,,,Ccy,Conv)</f>
        <v>0</v>
      </c>
      <c r="N1026" s="18">
        <f>_xll.ciqfunctions.udf.CIQ($C$2,"IQ_PENSION_UNFUNDED_ADDL_MIN_LIAB_FOREIGN",N$6,$F$2,,,Ccy,Conv)</f>
        <v>0</v>
      </c>
      <c r="O1026" s="30"/>
      <c r="P1026" s="18">
        <f>_xll.ciqfunctions.udf.CIQ($C$2,"IQ_PENSION_UNFUNDED_ADDL_MIN_LIAB_FOREIGN",P$6,$F$2,,,Ccy,Conv)</f>
        <v>0</v>
      </c>
      <c r="Q1026" s="215"/>
      <c r="R1026" s="215"/>
      <c r="S1026" s="215"/>
      <c r="T1026" s="215"/>
      <c r="U1026" s="215"/>
      <c r="V1026" s="222"/>
      <c r="W1026" s="222"/>
      <c r="X1026" s="222"/>
      <c r="Y1026" s="215"/>
      <c r="Z1026" s="215"/>
      <c r="AA1026" s="215"/>
      <c r="AB1026" s="215"/>
      <c r="AC1026" s="215"/>
      <c r="AD1026" s="215"/>
      <c r="AE1026" s="215"/>
      <c r="AF1026" s="215"/>
      <c r="AG1026" s="215"/>
      <c r="AH1026" s="215"/>
      <c r="AI1026" s="215"/>
      <c r="AJ1026" s="215"/>
      <c r="AK1026" s="215"/>
      <c r="AL1026" s="215"/>
      <c r="AM1026" s="215"/>
      <c r="AN1026" s="215"/>
      <c r="AO1026" s="215"/>
      <c r="AP1026" s="215"/>
      <c r="AQ1026" s="215"/>
      <c r="AR1026" s="215"/>
      <c r="AS1026" s="215"/>
      <c r="AT1026" s="215"/>
      <c r="AU1026" s="215"/>
      <c r="AV1026" s="215"/>
      <c r="AW1026" s="215"/>
      <c r="AX1026" s="215"/>
      <c r="AY1026" s="215"/>
      <c r="AZ1026" s="215"/>
      <c r="BA1026" s="215"/>
      <c r="BB1026" s="215"/>
      <c r="BC1026" s="215"/>
      <c r="BD1026" s="215"/>
      <c r="BE1026" s="215"/>
      <c r="BF1026" s="215"/>
      <c r="BG1026" s="215"/>
      <c r="BH1026" s="215"/>
      <c r="BI1026" s="215"/>
      <c r="BJ1026" s="215"/>
      <c r="BK1026" s="215"/>
      <c r="BL1026" s="215"/>
      <c r="BM1026" s="215"/>
      <c r="BN1026" s="215"/>
      <c r="BO1026" s="215"/>
      <c r="BP1026" s="215"/>
      <c r="BQ1026" s="215"/>
      <c r="BR1026" s="215"/>
      <c r="BS1026" s="215"/>
      <c r="BT1026" s="215"/>
      <c r="BU1026" s="215"/>
      <c r="BV1026" s="215"/>
      <c r="BW1026" s="215"/>
      <c r="BX1026" s="215"/>
      <c r="BY1026" s="215"/>
      <c r="BZ1026" s="215"/>
    </row>
    <row r="1027" spans="1:78" outlineLevel="1" x14ac:dyDescent="0.2">
      <c r="A1027" s="2" t="str">
        <f>'Language Index'!A583</f>
        <v>Benefit Info Date</v>
      </c>
      <c r="B1027" s="17"/>
      <c r="C1027" s="17"/>
      <c r="D1027" s="35" t="str">
        <f>IF(_xll.ciqfunctions.udf.CIQ($C$2,"IQ_PENSION_BENEFIT_INFO_DATE_FOREIGN",D$6,$F$2)=0,"NA ",_xll.ciqfunctions.udf.CIQ($C$2,"IQ_PENSION_BENEFIT_INFO_DATE_FOREIGN",D$6,$F$2))</f>
        <v xml:space="preserve">NA </v>
      </c>
      <c r="E1027" s="35" t="str">
        <f>IF(_xll.ciqfunctions.udf.CIQ($C$2,"IQ_PENSION_BENEFIT_INFO_DATE_FOREIGN",E$6,$F$2)=0,"NA ",_xll.ciqfunctions.udf.CIQ($C$2,"IQ_PENSION_BENEFIT_INFO_DATE_FOREIGN",E$6,$F$2))</f>
        <v xml:space="preserve">NA </v>
      </c>
      <c r="F1027" s="35">
        <f>IF(_xll.ciqfunctions.udf.CIQ($C$2,"IQ_PENSION_BENEFIT_INFO_DATE_FOREIGN",F$6,$F$2)=0,"NA ",_xll.ciqfunctions.udf.CIQ($C$2,"IQ_PENSION_BENEFIT_INFO_DATE_FOREIGN",F$6,$F$2))</f>
        <v>45291</v>
      </c>
      <c r="G1027" s="35" t="str">
        <f>IF(_xll.ciqfunctions.udf.CIQ($C$2,"IQ_PENSION_BENEFIT_INFO_DATE_FOREIGN",G$6,$F$2)=0,"NA ",_xll.ciqfunctions.udf.CIQ($C$2,"IQ_PENSION_BENEFIT_INFO_DATE_FOREIGN",G$6,$F$2))</f>
        <v xml:space="preserve">NA </v>
      </c>
      <c r="H1027" s="35" t="str">
        <f>IF(_xll.ciqfunctions.udf.CIQ($C$2,"IQ_PENSION_BENEFIT_INFO_DATE_FOREIGN",H$6,$F$2)=0,"NA ",_xll.ciqfunctions.udf.CIQ($C$2,"IQ_PENSION_BENEFIT_INFO_DATE_FOREIGN",H$6,$F$2))</f>
        <v xml:space="preserve">NA </v>
      </c>
      <c r="I1027" s="35" t="str">
        <f>IF(_xll.ciqfunctions.udf.CIQ($C$2,"IQ_PENSION_BENEFIT_INFO_DATE_FOREIGN",I$6,$F$2)=0,"NA ",_xll.ciqfunctions.udf.CIQ($C$2,"IQ_PENSION_BENEFIT_INFO_DATE_FOREIGN",I$6,$F$2))</f>
        <v xml:space="preserve">NA </v>
      </c>
      <c r="J1027" s="35">
        <f>IF(_xll.ciqfunctions.udf.CIQ($C$2,"IQ_PENSION_BENEFIT_INFO_DATE_FOREIGN",J$6,$F$2)=0,"NA ",_xll.ciqfunctions.udf.CIQ($C$2,"IQ_PENSION_BENEFIT_INFO_DATE_FOREIGN",J$6,$F$2))</f>
        <v>45657</v>
      </c>
      <c r="K1027" s="35" t="str">
        <f>IF(_xll.ciqfunctions.udf.CIQ($C$2,"IQ_PENSION_BENEFIT_INFO_DATE_FOREIGN",K$6,$F$2)=0,"NA ",_xll.ciqfunctions.udf.CIQ($C$2,"IQ_PENSION_BENEFIT_INFO_DATE_FOREIGN",K$6,$F$2))</f>
        <v xml:space="preserve">NA </v>
      </c>
      <c r="L1027" s="35" t="str">
        <f>IF(_xll.ciqfunctions.udf.CIQ($C$2,"IQ_PENSION_BENEFIT_INFO_DATE_FOREIGN",L$6,$F$2)=0,"NA ",_xll.ciqfunctions.udf.CIQ($C$2,"IQ_PENSION_BENEFIT_INFO_DATE_FOREIGN",L$6,$F$2))</f>
        <v xml:space="preserve">NA </v>
      </c>
      <c r="M1027" s="35" t="str">
        <f>IF(_xll.ciqfunctions.udf.CIQ($C$2,"IQ_PENSION_BENEFIT_INFO_DATE_FOREIGN",M$6,$F$2)=0,"NA ",_xll.ciqfunctions.udf.CIQ($C$2,"IQ_PENSION_BENEFIT_INFO_DATE_FOREIGN",M$6,$F$2))</f>
        <v xml:space="preserve">NA </v>
      </c>
      <c r="N1027" s="35">
        <f>IF(_xll.ciqfunctions.udf.CIQ($C$2,"IQ_PENSION_BENEFIT_INFO_DATE_FOREIGN",N$6,$F$2)=0,"NA ",_xll.ciqfunctions.udf.CIQ($C$2,"IQ_PENSION_BENEFIT_INFO_DATE_FOREIGN",N$6,$F$2))</f>
        <v>46022</v>
      </c>
      <c r="O1027" s="35"/>
      <c r="P1027" s="35">
        <f>IF(_xll.ciqfunctions.udf.CIQ($C$2,"IQ_PENSION_BENEFIT_INFO_DATE_FOREIGN",P$6,$F$2)=0,"NA ",_xll.ciqfunctions.udf.CIQ($C$2,"IQ_PENSION_BENEFIT_INFO_DATE_FOREIGN",P$6,$F$2))</f>
        <v>46022</v>
      </c>
      <c r="Q1027" s="215"/>
      <c r="R1027" s="215"/>
      <c r="S1027" s="215"/>
      <c r="T1027" s="215"/>
      <c r="U1027" s="215"/>
      <c r="V1027" s="222"/>
      <c r="W1027" s="222"/>
      <c r="X1027" s="222"/>
      <c r="Y1027" s="215"/>
      <c r="Z1027" s="215"/>
      <c r="AA1027" s="215"/>
      <c r="AB1027" s="215"/>
      <c r="AC1027" s="215"/>
      <c r="AD1027" s="215"/>
      <c r="AE1027" s="215"/>
      <c r="AF1027" s="215"/>
      <c r="AG1027" s="215"/>
      <c r="AH1027" s="215"/>
      <c r="AI1027" s="215"/>
      <c r="AJ1027" s="215"/>
      <c r="AK1027" s="215"/>
      <c r="AL1027" s="215"/>
      <c r="AM1027" s="215"/>
      <c r="AN1027" s="215"/>
      <c r="AO1027" s="215"/>
      <c r="AP1027" s="215"/>
      <c r="AQ1027" s="215"/>
      <c r="AR1027" s="215"/>
      <c r="AS1027" s="215"/>
      <c r="AT1027" s="215"/>
      <c r="AU1027" s="215"/>
      <c r="AV1027" s="215"/>
      <c r="AW1027" s="215"/>
      <c r="AX1027" s="215"/>
      <c r="AY1027" s="215"/>
      <c r="AZ1027" s="215"/>
      <c r="BA1027" s="215"/>
      <c r="BB1027" s="215"/>
      <c r="BC1027" s="215"/>
      <c r="BD1027" s="215"/>
      <c r="BE1027" s="215"/>
      <c r="BF1027" s="215"/>
      <c r="BG1027" s="215"/>
      <c r="BH1027" s="215"/>
      <c r="BI1027" s="215"/>
      <c r="BJ1027" s="215"/>
      <c r="BK1027" s="215"/>
      <c r="BL1027" s="215"/>
      <c r="BM1027" s="215"/>
      <c r="BN1027" s="215"/>
      <c r="BO1027" s="215"/>
      <c r="BP1027" s="215"/>
      <c r="BQ1027" s="215"/>
      <c r="BR1027" s="215"/>
      <c r="BS1027" s="215"/>
      <c r="BT1027" s="215"/>
      <c r="BU1027" s="215"/>
      <c r="BV1027" s="215"/>
      <c r="BW1027" s="215"/>
      <c r="BX1027" s="215"/>
      <c r="BY1027" s="215"/>
      <c r="BZ1027" s="215"/>
    </row>
    <row r="1028" spans="1:78" outlineLevel="1" x14ac:dyDescent="0.2">
      <c r="A1028" s="2"/>
      <c r="B1028" s="17"/>
      <c r="C1028" s="17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30"/>
      <c r="P1028" s="18"/>
      <c r="Q1028" s="215"/>
      <c r="R1028" s="215"/>
      <c r="S1028" s="215"/>
      <c r="T1028" s="215"/>
      <c r="U1028" s="215"/>
      <c r="V1028" s="222"/>
      <c r="W1028" s="222"/>
      <c r="X1028" s="222"/>
      <c r="Y1028" s="215"/>
      <c r="Z1028" s="215"/>
      <c r="AA1028" s="215"/>
      <c r="AB1028" s="215"/>
      <c r="AC1028" s="215"/>
      <c r="AD1028" s="215"/>
      <c r="AE1028" s="215"/>
      <c r="AF1028" s="215"/>
      <c r="AG1028" s="215"/>
      <c r="AH1028" s="215"/>
      <c r="AI1028" s="215"/>
      <c r="AJ1028" s="215"/>
      <c r="AK1028" s="215"/>
      <c r="AL1028" s="215"/>
      <c r="AM1028" s="215"/>
      <c r="AN1028" s="215"/>
      <c r="AO1028" s="215"/>
      <c r="AP1028" s="215"/>
      <c r="AQ1028" s="215"/>
      <c r="AR1028" s="215"/>
      <c r="AS1028" s="215"/>
      <c r="AT1028" s="215"/>
      <c r="AU1028" s="215"/>
      <c r="AV1028" s="215"/>
      <c r="AW1028" s="215"/>
      <c r="AX1028" s="215"/>
      <c r="AY1028" s="215"/>
      <c r="AZ1028" s="215"/>
      <c r="BA1028" s="215"/>
      <c r="BB1028" s="215"/>
      <c r="BC1028" s="215"/>
      <c r="BD1028" s="215"/>
      <c r="BE1028" s="215"/>
      <c r="BF1028" s="215"/>
      <c r="BG1028" s="215"/>
      <c r="BH1028" s="215"/>
      <c r="BI1028" s="215"/>
      <c r="BJ1028" s="215"/>
      <c r="BK1028" s="215"/>
      <c r="BL1028" s="215"/>
      <c r="BM1028" s="215"/>
      <c r="BN1028" s="215"/>
      <c r="BO1028" s="215"/>
      <c r="BP1028" s="215"/>
      <c r="BQ1028" s="215"/>
      <c r="BR1028" s="215"/>
      <c r="BS1028" s="215"/>
      <c r="BT1028" s="215"/>
      <c r="BU1028" s="215"/>
      <c r="BV1028" s="215"/>
      <c r="BW1028" s="215"/>
      <c r="BX1028" s="215"/>
      <c r="BY1028" s="215"/>
      <c r="BZ1028" s="215"/>
    </row>
    <row r="1029" spans="1:78" outlineLevel="1" x14ac:dyDescent="0.2">
      <c r="A1029" s="9" t="str">
        <f>'Language Index'!A605</f>
        <v>OPEB - Foreign</v>
      </c>
      <c r="B1029" s="17"/>
      <c r="C1029" s="17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30"/>
      <c r="P1029" s="18"/>
      <c r="Q1029" s="215"/>
      <c r="R1029" s="215"/>
      <c r="S1029" s="215"/>
      <c r="T1029" s="215"/>
      <c r="U1029" s="215"/>
      <c r="V1029" s="222"/>
      <c r="W1029" s="222"/>
      <c r="X1029" s="222"/>
      <c r="Y1029" s="215"/>
      <c r="Z1029" s="215"/>
      <c r="AA1029" s="215"/>
      <c r="AB1029" s="215"/>
      <c r="AC1029" s="215"/>
      <c r="AD1029" s="215"/>
      <c r="AE1029" s="215"/>
      <c r="AF1029" s="215"/>
      <c r="AG1029" s="215"/>
      <c r="AH1029" s="215"/>
      <c r="AI1029" s="215"/>
      <c r="AJ1029" s="215"/>
      <c r="AK1029" s="215"/>
      <c r="AL1029" s="215"/>
      <c r="AM1029" s="215"/>
      <c r="AN1029" s="215"/>
      <c r="AO1029" s="215"/>
      <c r="AP1029" s="215"/>
      <c r="AQ1029" s="215"/>
      <c r="AR1029" s="215"/>
      <c r="AS1029" s="215"/>
      <c r="AT1029" s="215"/>
      <c r="AU1029" s="215"/>
      <c r="AV1029" s="215"/>
      <c r="AW1029" s="215"/>
      <c r="AX1029" s="215"/>
      <c r="AY1029" s="215"/>
      <c r="AZ1029" s="215"/>
      <c r="BA1029" s="215"/>
      <c r="BB1029" s="215"/>
      <c r="BC1029" s="215"/>
      <c r="BD1029" s="215"/>
      <c r="BE1029" s="215"/>
      <c r="BF1029" s="215"/>
      <c r="BG1029" s="215"/>
      <c r="BH1029" s="215"/>
      <c r="BI1029" s="215"/>
      <c r="BJ1029" s="215"/>
      <c r="BK1029" s="215"/>
      <c r="BL1029" s="215"/>
      <c r="BM1029" s="215"/>
      <c r="BN1029" s="215"/>
      <c r="BO1029" s="215"/>
      <c r="BP1029" s="215"/>
      <c r="BQ1029" s="215"/>
      <c r="BR1029" s="215"/>
      <c r="BS1029" s="215"/>
      <c r="BT1029" s="215"/>
      <c r="BU1029" s="215"/>
      <c r="BV1029" s="215"/>
      <c r="BW1029" s="215"/>
      <c r="BX1029" s="215"/>
      <c r="BY1029" s="215"/>
      <c r="BZ1029" s="215"/>
    </row>
    <row r="1030" spans="1:78" outlineLevel="1" x14ac:dyDescent="0.2">
      <c r="A1030" s="9" t="str">
        <f>'Language Index'!A494</f>
        <v>Defined Benefit Net Periodic Cost</v>
      </c>
      <c r="B1030" s="17"/>
      <c r="C1030" s="17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30"/>
      <c r="P1030" s="18"/>
      <c r="Q1030" s="215"/>
      <c r="R1030" s="215"/>
      <c r="S1030" s="215"/>
      <c r="T1030" s="215"/>
      <c r="U1030" s="215"/>
      <c r="V1030" s="222"/>
      <c r="W1030" s="222"/>
      <c r="X1030" s="222"/>
      <c r="Y1030" s="215"/>
      <c r="Z1030" s="215"/>
      <c r="AA1030" s="215"/>
      <c r="AB1030" s="215"/>
      <c r="AC1030" s="215"/>
      <c r="AD1030" s="215"/>
      <c r="AE1030" s="215"/>
      <c r="AF1030" s="215"/>
      <c r="AG1030" s="215"/>
      <c r="AH1030" s="215"/>
      <c r="AI1030" s="215"/>
      <c r="AJ1030" s="215"/>
      <c r="AK1030" s="215"/>
      <c r="AL1030" s="215"/>
      <c r="AM1030" s="215"/>
      <c r="AN1030" s="215"/>
      <c r="AO1030" s="215"/>
      <c r="AP1030" s="215"/>
      <c r="AQ1030" s="215"/>
      <c r="AR1030" s="215"/>
      <c r="AS1030" s="215"/>
      <c r="AT1030" s="215"/>
      <c r="AU1030" s="215"/>
      <c r="AV1030" s="215"/>
      <c r="AW1030" s="215"/>
      <c r="AX1030" s="215"/>
      <c r="AY1030" s="215"/>
      <c r="AZ1030" s="215"/>
      <c r="BA1030" s="215"/>
      <c r="BB1030" s="215"/>
      <c r="BC1030" s="215"/>
      <c r="BD1030" s="215"/>
      <c r="BE1030" s="215"/>
      <c r="BF1030" s="215"/>
      <c r="BG1030" s="215"/>
      <c r="BH1030" s="215"/>
      <c r="BI1030" s="215"/>
      <c r="BJ1030" s="215"/>
      <c r="BK1030" s="215"/>
      <c r="BL1030" s="215"/>
      <c r="BM1030" s="215"/>
      <c r="BN1030" s="215"/>
      <c r="BO1030" s="215"/>
      <c r="BP1030" s="215"/>
      <c r="BQ1030" s="215"/>
      <c r="BR1030" s="215"/>
      <c r="BS1030" s="215"/>
      <c r="BT1030" s="215"/>
      <c r="BU1030" s="215"/>
      <c r="BV1030" s="215"/>
      <c r="BW1030" s="215"/>
      <c r="BX1030" s="215"/>
      <c r="BY1030" s="215"/>
      <c r="BZ1030" s="215"/>
    </row>
    <row r="1031" spans="1:78" outlineLevel="1" x14ac:dyDescent="0.2">
      <c r="A1031" s="2" t="str">
        <f>'Language Index'!A495</f>
        <v>Def. Benefit Service Cost</v>
      </c>
      <c r="B1031" s="17"/>
      <c r="C1031" s="17"/>
      <c r="D1031" s="18">
        <f>_xll.ciqfunctions.udf.CIQ($C$2,"IQ_OPEB_SERVICE_COST_FOREIGN",D$6,$F$2,,,Ccy,Conv)</f>
        <v>0</v>
      </c>
      <c r="E1031" s="18">
        <f>_xll.ciqfunctions.udf.CIQ($C$2,"IQ_OPEB_SERVICE_COST_FOREIGN",E$6,$F$2,,,Ccy,Conv)</f>
        <v>0</v>
      </c>
      <c r="F1031" s="18">
        <f>_xll.ciqfunctions.udf.CIQ($C$2,"IQ_OPEB_SERVICE_COST_FOREIGN",F$6,$F$2,,,Ccy,Conv)</f>
        <v>2</v>
      </c>
      <c r="G1031" s="18">
        <f>_xll.ciqfunctions.udf.CIQ($C$2,"IQ_OPEB_SERVICE_COST_FOREIGN",G$6,$F$2,,,Ccy,Conv)</f>
        <v>0</v>
      </c>
      <c r="H1031" s="18">
        <f>_xll.ciqfunctions.udf.CIQ($C$2,"IQ_OPEB_SERVICE_COST_FOREIGN",H$6,$F$2,,,Ccy,Conv)</f>
        <v>0</v>
      </c>
      <c r="I1031" s="18">
        <f>_xll.ciqfunctions.udf.CIQ($C$2,"IQ_OPEB_SERVICE_COST_FOREIGN",I$6,$F$2,,,Ccy,Conv)</f>
        <v>0</v>
      </c>
      <c r="J1031" s="18">
        <f>_xll.ciqfunctions.udf.CIQ($C$2,"IQ_OPEB_SERVICE_COST_FOREIGN",J$6,$F$2,,,Ccy,Conv)</f>
        <v>2</v>
      </c>
      <c r="K1031" s="18">
        <f>_xll.ciqfunctions.udf.CIQ($C$2,"IQ_OPEB_SERVICE_COST_FOREIGN",K$6,$F$2,,,Ccy,Conv)</f>
        <v>0</v>
      </c>
      <c r="L1031" s="18">
        <f>_xll.ciqfunctions.udf.CIQ($C$2,"IQ_OPEB_SERVICE_COST_FOREIGN",L$6,$F$2,,,Ccy,Conv)</f>
        <v>0</v>
      </c>
      <c r="M1031" s="18">
        <f>_xll.ciqfunctions.udf.CIQ($C$2,"IQ_OPEB_SERVICE_COST_FOREIGN",M$6,$F$2,,,Ccy,Conv)</f>
        <v>0</v>
      </c>
      <c r="N1031" s="18">
        <f>_xll.ciqfunctions.udf.CIQ($C$2,"IQ_OPEB_SERVICE_COST_FOREIGN",N$6,$F$2,,,Ccy,Conv)</f>
        <v>2</v>
      </c>
      <c r="O1031" s="30"/>
      <c r="P1031" s="18">
        <f>_xll.ciqfunctions.udf.CIQ($C$2,"IQ_OPEB_SERVICE_COST_FOREIGN",P$6,$F$2,,,Ccy,Conv)</f>
        <v>2</v>
      </c>
      <c r="Q1031" s="215"/>
      <c r="R1031" s="215"/>
      <c r="S1031" s="215"/>
      <c r="T1031" s="215"/>
      <c r="U1031" s="215"/>
      <c r="V1031" s="222"/>
      <c r="W1031" s="222"/>
      <c r="X1031" s="222"/>
      <c r="Y1031" s="215"/>
      <c r="Z1031" s="215"/>
      <c r="AA1031" s="215"/>
      <c r="AB1031" s="215"/>
      <c r="AC1031" s="215"/>
      <c r="AD1031" s="215"/>
      <c r="AE1031" s="215"/>
      <c r="AF1031" s="215"/>
      <c r="AG1031" s="215"/>
      <c r="AH1031" s="215"/>
      <c r="AI1031" s="215"/>
      <c r="AJ1031" s="215"/>
      <c r="AK1031" s="215"/>
      <c r="AL1031" s="215"/>
      <c r="AM1031" s="215"/>
      <c r="AN1031" s="215"/>
      <c r="AO1031" s="215"/>
      <c r="AP1031" s="215"/>
      <c r="AQ1031" s="215"/>
      <c r="AR1031" s="215"/>
      <c r="AS1031" s="215"/>
      <c r="AT1031" s="215"/>
      <c r="AU1031" s="215"/>
      <c r="AV1031" s="215"/>
      <c r="AW1031" s="215"/>
      <c r="AX1031" s="215"/>
      <c r="AY1031" s="215"/>
      <c r="AZ1031" s="215"/>
      <c r="BA1031" s="215"/>
      <c r="BB1031" s="215"/>
      <c r="BC1031" s="215"/>
      <c r="BD1031" s="215"/>
      <c r="BE1031" s="215"/>
      <c r="BF1031" s="215"/>
      <c r="BG1031" s="215"/>
      <c r="BH1031" s="215"/>
      <c r="BI1031" s="215"/>
      <c r="BJ1031" s="215"/>
      <c r="BK1031" s="215"/>
      <c r="BL1031" s="215"/>
      <c r="BM1031" s="215"/>
      <c r="BN1031" s="215"/>
      <c r="BO1031" s="215"/>
      <c r="BP1031" s="215"/>
      <c r="BQ1031" s="215"/>
      <c r="BR1031" s="215"/>
      <c r="BS1031" s="215"/>
      <c r="BT1031" s="215"/>
      <c r="BU1031" s="215"/>
      <c r="BV1031" s="215"/>
      <c r="BW1031" s="215"/>
      <c r="BX1031" s="215"/>
      <c r="BY1031" s="215"/>
      <c r="BZ1031" s="215"/>
    </row>
    <row r="1032" spans="1:78" outlineLevel="1" x14ac:dyDescent="0.2">
      <c r="A1032" s="2" t="str">
        <f>'Language Index'!A496</f>
        <v>Def. Benefit Interest Cost</v>
      </c>
      <c r="B1032" s="17"/>
      <c r="C1032" s="17"/>
      <c r="D1032" s="18">
        <f>_xll.ciqfunctions.udf.CIQ($C$2,"IQ_OPEB_INTEREST_COST_FOREIGN",D$6,$F$2,,,Ccy,Conv)</f>
        <v>0</v>
      </c>
      <c r="E1032" s="18">
        <f>_xll.ciqfunctions.udf.CIQ($C$2,"IQ_OPEB_INTEREST_COST_FOREIGN",E$6,$F$2,,,Ccy,Conv)</f>
        <v>0</v>
      </c>
      <c r="F1032" s="18">
        <f>_xll.ciqfunctions.udf.CIQ($C$2,"IQ_OPEB_INTEREST_COST_FOREIGN",F$6,$F$2,,,Ccy,Conv)</f>
        <v>39</v>
      </c>
      <c r="G1032" s="18">
        <f>_xll.ciqfunctions.udf.CIQ($C$2,"IQ_OPEB_INTEREST_COST_FOREIGN",G$6,$F$2,,,Ccy,Conv)</f>
        <v>0</v>
      </c>
      <c r="H1032" s="18">
        <f>_xll.ciqfunctions.udf.CIQ($C$2,"IQ_OPEB_INTEREST_COST_FOREIGN",H$6,$F$2,,,Ccy,Conv)</f>
        <v>0</v>
      </c>
      <c r="I1032" s="18">
        <f>_xll.ciqfunctions.udf.CIQ($C$2,"IQ_OPEB_INTEREST_COST_FOREIGN",I$6,$F$2,,,Ccy,Conv)</f>
        <v>0</v>
      </c>
      <c r="J1032" s="18">
        <f>_xll.ciqfunctions.udf.CIQ($C$2,"IQ_OPEB_INTEREST_COST_FOREIGN",J$6,$F$2,,,Ccy,Conv)</f>
        <v>41</v>
      </c>
      <c r="K1032" s="18">
        <f>_xll.ciqfunctions.udf.CIQ($C$2,"IQ_OPEB_INTEREST_COST_FOREIGN",K$6,$F$2,,,Ccy,Conv)</f>
        <v>0</v>
      </c>
      <c r="L1032" s="18">
        <f>_xll.ciqfunctions.udf.CIQ($C$2,"IQ_OPEB_INTEREST_COST_FOREIGN",L$6,$F$2,,,Ccy,Conv)</f>
        <v>0</v>
      </c>
      <c r="M1032" s="18">
        <f>_xll.ciqfunctions.udf.CIQ($C$2,"IQ_OPEB_INTEREST_COST_FOREIGN",M$6,$F$2,,,Ccy,Conv)</f>
        <v>0</v>
      </c>
      <c r="N1032" s="18">
        <f>_xll.ciqfunctions.udf.CIQ($C$2,"IQ_OPEB_INTEREST_COST_FOREIGN",N$6,$F$2,,,Ccy,Conv)</f>
        <v>42</v>
      </c>
      <c r="O1032" s="30"/>
      <c r="P1032" s="18">
        <f>_xll.ciqfunctions.udf.CIQ($C$2,"IQ_OPEB_INTEREST_COST_FOREIGN",P$6,$F$2,,,Ccy,Conv)</f>
        <v>42</v>
      </c>
      <c r="Q1032" s="215"/>
      <c r="R1032" s="215"/>
      <c r="S1032" s="215"/>
      <c r="T1032" s="215"/>
      <c r="U1032" s="215"/>
      <c r="V1032" s="222"/>
      <c r="W1032" s="222"/>
      <c r="X1032" s="222"/>
      <c r="Y1032" s="215"/>
      <c r="Z1032" s="215"/>
      <c r="AA1032" s="215"/>
      <c r="AB1032" s="215"/>
      <c r="AC1032" s="215"/>
      <c r="AD1032" s="215"/>
      <c r="AE1032" s="215"/>
      <c r="AF1032" s="215"/>
      <c r="AG1032" s="215"/>
      <c r="AH1032" s="215"/>
      <c r="AI1032" s="215"/>
      <c r="AJ1032" s="215"/>
      <c r="AK1032" s="215"/>
      <c r="AL1032" s="215"/>
      <c r="AM1032" s="215"/>
      <c r="AN1032" s="215"/>
      <c r="AO1032" s="215"/>
      <c r="AP1032" s="215"/>
      <c r="AQ1032" s="215"/>
      <c r="AR1032" s="215"/>
      <c r="AS1032" s="215"/>
      <c r="AT1032" s="215"/>
      <c r="AU1032" s="215"/>
      <c r="AV1032" s="215"/>
      <c r="AW1032" s="215"/>
      <c r="AX1032" s="215"/>
      <c r="AY1032" s="215"/>
      <c r="AZ1032" s="215"/>
      <c r="BA1032" s="215"/>
      <c r="BB1032" s="215"/>
      <c r="BC1032" s="215"/>
      <c r="BD1032" s="215"/>
      <c r="BE1032" s="215"/>
      <c r="BF1032" s="215"/>
      <c r="BG1032" s="215"/>
      <c r="BH1032" s="215"/>
      <c r="BI1032" s="215"/>
      <c r="BJ1032" s="215"/>
      <c r="BK1032" s="215"/>
      <c r="BL1032" s="215"/>
      <c r="BM1032" s="215"/>
      <c r="BN1032" s="215"/>
      <c r="BO1032" s="215"/>
      <c r="BP1032" s="215"/>
      <c r="BQ1032" s="215"/>
      <c r="BR1032" s="215"/>
      <c r="BS1032" s="215"/>
      <c r="BT1032" s="215"/>
      <c r="BU1032" s="215"/>
      <c r="BV1032" s="215"/>
      <c r="BW1032" s="215"/>
      <c r="BX1032" s="215"/>
      <c r="BY1032" s="215"/>
      <c r="BZ1032" s="215"/>
    </row>
    <row r="1033" spans="1:78" outlineLevel="1" x14ac:dyDescent="0.2">
      <c r="A1033" s="2" t="str">
        <f>'Language Index'!A585</f>
        <v>Def. Benefit Expected Return on Assets</v>
      </c>
      <c r="B1033" s="17"/>
      <c r="C1033" s="17"/>
      <c r="D1033" s="18">
        <f>_xll.ciqfunctions.udf.CIQ($C$2,"IQ_OPEB_EXP_RETURN_FOREIGN",D$6,$F$2,,,Ccy,Conv)</f>
        <v>0</v>
      </c>
      <c r="E1033" s="18">
        <f>_xll.ciqfunctions.udf.CIQ($C$2,"IQ_OPEB_EXP_RETURN_FOREIGN",E$6,$F$2,,,Ccy,Conv)</f>
        <v>0</v>
      </c>
      <c r="F1033" s="18">
        <f>_xll.ciqfunctions.udf.CIQ($C$2,"IQ_OPEB_EXP_RETURN_FOREIGN",F$6,$F$2,,,Ccy,Conv)</f>
        <v>-2</v>
      </c>
      <c r="G1033" s="18">
        <f>_xll.ciqfunctions.udf.CIQ($C$2,"IQ_OPEB_EXP_RETURN_FOREIGN",G$6,$F$2,,,Ccy,Conv)</f>
        <v>0</v>
      </c>
      <c r="H1033" s="18">
        <f>_xll.ciqfunctions.udf.CIQ($C$2,"IQ_OPEB_EXP_RETURN_FOREIGN",H$6,$F$2,,,Ccy,Conv)</f>
        <v>0</v>
      </c>
      <c r="I1033" s="18">
        <f>_xll.ciqfunctions.udf.CIQ($C$2,"IQ_OPEB_EXP_RETURN_FOREIGN",I$6,$F$2,,,Ccy,Conv)</f>
        <v>0</v>
      </c>
      <c r="J1033" s="18">
        <f>_xll.ciqfunctions.udf.CIQ($C$2,"IQ_OPEB_EXP_RETURN_FOREIGN",J$6,$F$2,,,Ccy,Conv)</f>
        <v>-1</v>
      </c>
      <c r="K1033" s="18">
        <f>_xll.ciqfunctions.udf.CIQ($C$2,"IQ_OPEB_EXP_RETURN_FOREIGN",K$6,$F$2,,,Ccy,Conv)</f>
        <v>0</v>
      </c>
      <c r="L1033" s="18">
        <f>_xll.ciqfunctions.udf.CIQ($C$2,"IQ_OPEB_EXP_RETURN_FOREIGN",L$6,$F$2,,,Ccy,Conv)</f>
        <v>0</v>
      </c>
      <c r="M1033" s="18">
        <f>_xll.ciqfunctions.udf.CIQ($C$2,"IQ_OPEB_EXP_RETURN_FOREIGN",M$6,$F$2,,,Ccy,Conv)</f>
        <v>0</v>
      </c>
      <c r="N1033" s="18">
        <f>_xll.ciqfunctions.udf.CIQ($C$2,"IQ_OPEB_EXP_RETURN_FOREIGN",N$6,$F$2,,,Ccy,Conv)</f>
        <v>-1</v>
      </c>
      <c r="O1033" s="30"/>
      <c r="P1033" s="18">
        <f>_xll.ciqfunctions.udf.CIQ($C$2,"IQ_OPEB_EXP_RETURN_FOREIGN",P$6,$F$2,,,Ccy,Conv)</f>
        <v>-1</v>
      </c>
      <c r="Q1033" s="215"/>
      <c r="R1033" s="215"/>
      <c r="S1033" s="215"/>
      <c r="T1033" s="215"/>
      <c r="U1033" s="215"/>
      <c r="V1033" s="222"/>
      <c r="W1033" s="222"/>
      <c r="X1033" s="222"/>
      <c r="Y1033" s="215"/>
      <c r="Z1033" s="215"/>
      <c r="AA1033" s="215"/>
      <c r="AB1033" s="215"/>
      <c r="AC1033" s="215"/>
      <c r="AD1033" s="215"/>
      <c r="AE1033" s="215"/>
      <c r="AF1033" s="215"/>
      <c r="AG1033" s="215"/>
      <c r="AH1033" s="215"/>
      <c r="AI1033" s="215"/>
      <c r="AJ1033" s="215"/>
      <c r="AK1033" s="215"/>
      <c r="AL1033" s="215"/>
      <c r="AM1033" s="215"/>
      <c r="AN1033" s="215"/>
      <c r="AO1033" s="215"/>
      <c r="AP1033" s="215"/>
      <c r="AQ1033" s="215"/>
      <c r="AR1033" s="215"/>
      <c r="AS1033" s="215"/>
      <c r="AT1033" s="215"/>
      <c r="AU1033" s="215"/>
      <c r="AV1033" s="215"/>
      <c r="AW1033" s="215"/>
      <c r="AX1033" s="215"/>
      <c r="AY1033" s="215"/>
      <c r="AZ1033" s="215"/>
      <c r="BA1033" s="215"/>
      <c r="BB1033" s="215"/>
      <c r="BC1033" s="215"/>
      <c r="BD1033" s="215"/>
      <c r="BE1033" s="215"/>
      <c r="BF1033" s="215"/>
      <c r="BG1033" s="215"/>
      <c r="BH1033" s="215"/>
      <c r="BI1033" s="215"/>
      <c r="BJ1033" s="215"/>
      <c r="BK1033" s="215"/>
      <c r="BL1033" s="215"/>
      <c r="BM1033" s="215"/>
      <c r="BN1033" s="215"/>
      <c r="BO1033" s="215"/>
      <c r="BP1033" s="215"/>
      <c r="BQ1033" s="215"/>
      <c r="BR1033" s="215"/>
      <c r="BS1033" s="215"/>
      <c r="BT1033" s="215"/>
      <c r="BU1033" s="215"/>
      <c r="BV1033" s="215"/>
      <c r="BW1033" s="215"/>
      <c r="BX1033" s="215"/>
      <c r="BY1033" s="215"/>
      <c r="BZ1033" s="215"/>
    </row>
    <row r="1034" spans="1:78" outlineLevel="1" x14ac:dyDescent="0.2">
      <c r="A1034" s="2" t="str">
        <f>'Language Index'!A498</f>
        <v>Def. Benefit Other Cost</v>
      </c>
      <c r="B1034" s="17"/>
      <c r="C1034" s="17"/>
      <c r="D1034" s="18">
        <f>_xll.ciqfunctions.udf.CIQ($C$2,"IQ_OPEB_OTHER_COST_FOREIGN",D$6,$F$2,,,Ccy,Conv)</f>
        <v>0</v>
      </c>
      <c r="E1034" s="18">
        <f>_xll.ciqfunctions.udf.CIQ($C$2,"IQ_OPEB_OTHER_COST_FOREIGN",E$6,$F$2,,,Ccy,Conv)</f>
        <v>0</v>
      </c>
      <c r="F1034" s="18">
        <f>_xll.ciqfunctions.udf.CIQ($C$2,"IQ_OPEB_OTHER_COST_FOREIGN",F$6,$F$2,,,Ccy,Conv)</f>
        <v>-3</v>
      </c>
      <c r="G1034" s="18">
        <f>_xll.ciqfunctions.udf.CIQ($C$2,"IQ_OPEB_OTHER_COST_FOREIGN",G$6,$F$2,,,Ccy,Conv)</f>
        <v>0</v>
      </c>
      <c r="H1034" s="18">
        <f>_xll.ciqfunctions.udf.CIQ($C$2,"IQ_OPEB_OTHER_COST_FOREIGN",H$6,$F$2,,,Ccy,Conv)</f>
        <v>0</v>
      </c>
      <c r="I1034" s="18">
        <f>_xll.ciqfunctions.udf.CIQ($C$2,"IQ_OPEB_OTHER_COST_FOREIGN",I$6,$F$2,,,Ccy,Conv)</f>
        <v>0</v>
      </c>
      <c r="J1034" s="18">
        <f>_xll.ciqfunctions.udf.CIQ($C$2,"IQ_OPEB_OTHER_COST_FOREIGN",J$6,$F$2,,,Ccy,Conv)</f>
        <v>-1</v>
      </c>
      <c r="K1034" s="18">
        <f>_xll.ciqfunctions.udf.CIQ($C$2,"IQ_OPEB_OTHER_COST_FOREIGN",K$6,$F$2,,,Ccy,Conv)</f>
        <v>0</v>
      </c>
      <c r="L1034" s="18">
        <f>_xll.ciqfunctions.udf.CIQ($C$2,"IQ_OPEB_OTHER_COST_FOREIGN",L$6,$F$2,,,Ccy,Conv)</f>
        <v>0</v>
      </c>
      <c r="M1034" s="18">
        <f>_xll.ciqfunctions.udf.CIQ($C$2,"IQ_OPEB_OTHER_COST_FOREIGN",M$6,$F$2,,,Ccy,Conv)</f>
        <v>0</v>
      </c>
      <c r="N1034" s="18">
        <f>_xll.ciqfunctions.udf.CIQ($C$2,"IQ_OPEB_OTHER_COST_FOREIGN",N$6,$F$2,,,Ccy,Conv)</f>
        <v>1</v>
      </c>
      <c r="O1034" s="30"/>
      <c r="P1034" s="18">
        <f>_xll.ciqfunctions.udf.CIQ($C$2,"IQ_OPEB_OTHER_COST_FOREIGN",P$6,$F$2,,,Ccy,Conv)</f>
        <v>1</v>
      </c>
      <c r="Q1034" s="215"/>
      <c r="R1034" s="215"/>
      <c r="S1034" s="215"/>
      <c r="T1034" s="215"/>
      <c r="U1034" s="215"/>
      <c r="V1034" s="222"/>
      <c r="W1034" s="222"/>
      <c r="X1034" s="222"/>
      <c r="Y1034" s="215"/>
      <c r="Z1034" s="215"/>
      <c r="AA1034" s="215"/>
      <c r="AB1034" s="215"/>
      <c r="AC1034" s="215"/>
      <c r="AD1034" s="215"/>
      <c r="AE1034" s="215"/>
      <c r="AF1034" s="215"/>
      <c r="AG1034" s="215"/>
      <c r="AH1034" s="215"/>
      <c r="AI1034" s="215"/>
      <c r="AJ1034" s="215"/>
      <c r="AK1034" s="215"/>
      <c r="AL1034" s="215"/>
      <c r="AM1034" s="215"/>
      <c r="AN1034" s="215"/>
      <c r="AO1034" s="215"/>
      <c r="AP1034" s="215"/>
      <c r="AQ1034" s="215"/>
      <c r="AR1034" s="215"/>
      <c r="AS1034" s="215"/>
      <c r="AT1034" s="215"/>
      <c r="AU1034" s="215"/>
      <c r="AV1034" s="215"/>
      <c r="AW1034" s="215"/>
      <c r="AX1034" s="215"/>
      <c r="AY1034" s="215"/>
      <c r="AZ1034" s="215"/>
      <c r="BA1034" s="215"/>
      <c r="BB1034" s="215"/>
      <c r="BC1034" s="215"/>
      <c r="BD1034" s="215"/>
      <c r="BE1034" s="215"/>
      <c r="BF1034" s="215"/>
      <c r="BG1034" s="215"/>
      <c r="BH1034" s="215"/>
      <c r="BI1034" s="215"/>
      <c r="BJ1034" s="215"/>
      <c r="BK1034" s="215"/>
      <c r="BL1034" s="215"/>
      <c r="BM1034" s="215"/>
      <c r="BN1034" s="215"/>
      <c r="BO1034" s="215"/>
      <c r="BP1034" s="215"/>
      <c r="BQ1034" s="215"/>
      <c r="BR1034" s="215"/>
      <c r="BS1034" s="215"/>
      <c r="BT1034" s="215"/>
      <c r="BU1034" s="215"/>
      <c r="BV1034" s="215"/>
      <c r="BW1034" s="215"/>
      <c r="BX1034" s="215"/>
      <c r="BY1034" s="215"/>
      <c r="BZ1034" s="215"/>
    </row>
    <row r="1035" spans="1:78" outlineLevel="1" x14ac:dyDescent="0.2">
      <c r="A1035" s="2" t="str">
        <f>'Language Index'!A586</f>
        <v>Def. Benefit Benefit Total Cost</v>
      </c>
      <c r="B1035" s="17"/>
      <c r="C1035" s="17"/>
      <c r="D1035" s="18">
        <f>_xll.ciqfunctions.udf.CIQ($C$2,"IQ_OPEB_TOTAL_COST_FOREIGN",D$6,$F$2,,,Ccy,Conv)</f>
        <v>0</v>
      </c>
      <c r="E1035" s="18">
        <f>_xll.ciqfunctions.udf.CIQ($C$2,"IQ_OPEB_TOTAL_COST_FOREIGN",E$6,$F$2,,,Ccy,Conv)</f>
        <v>0</v>
      </c>
      <c r="F1035" s="18">
        <f>_xll.ciqfunctions.udf.CIQ($C$2,"IQ_OPEB_TOTAL_COST_FOREIGN",F$6,$F$2,,,Ccy,Conv)</f>
        <v>36</v>
      </c>
      <c r="G1035" s="18">
        <f>_xll.ciqfunctions.udf.CIQ($C$2,"IQ_OPEB_TOTAL_COST_FOREIGN",G$6,$F$2,,,Ccy,Conv)</f>
        <v>0</v>
      </c>
      <c r="H1035" s="18">
        <f>_xll.ciqfunctions.udf.CIQ($C$2,"IQ_OPEB_TOTAL_COST_FOREIGN",H$6,$F$2,,,Ccy,Conv)</f>
        <v>0</v>
      </c>
      <c r="I1035" s="18">
        <f>_xll.ciqfunctions.udf.CIQ($C$2,"IQ_OPEB_TOTAL_COST_FOREIGN",I$6,$F$2,,,Ccy,Conv)</f>
        <v>0</v>
      </c>
      <c r="J1035" s="18">
        <f>_xll.ciqfunctions.udf.CIQ($C$2,"IQ_OPEB_TOTAL_COST_FOREIGN",J$6,$F$2,,,Ccy,Conv)</f>
        <v>41</v>
      </c>
      <c r="K1035" s="18">
        <f>_xll.ciqfunctions.udf.CIQ($C$2,"IQ_OPEB_TOTAL_COST_FOREIGN",K$6,$F$2,,,Ccy,Conv)</f>
        <v>0</v>
      </c>
      <c r="L1035" s="18">
        <f>_xll.ciqfunctions.udf.CIQ($C$2,"IQ_OPEB_TOTAL_COST_FOREIGN",L$6,$F$2,,,Ccy,Conv)</f>
        <v>0</v>
      </c>
      <c r="M1035" s="18">
        <f>_xll.ciqfunctions.udf.CIQ($C$2,"IQ_OPEB_TOTAL_COST_FOREIGN",M$6,$F$2,,,Ccy,Conv)</f>
        <v>0</v>
      </c>
      <c r="N1035" s="18">
        <f>_xll.ciqfunctions.udf.CIQ($C$2,"IQ_OPEB_TOTAL_COST_FOREIGN",N$6,$F$2,,,Ccy,Conv)</f>
        <v>44</v>
      </c>
      <c r="O1035" s="30"/>
      <c r="P1035" s="18">
        <f>_xll.ciqfunctions.udf.CIQ($C$2,"IQ_OPEB_TOTAL_COST_FOREIGN",P$6,$F$2,,,Ccy,Conv)</f>
        <v>44</v>
      </c>
      <c r="Q1035" s="215"/>
      <c r="R1035" s="215"/>
      <c r="S1035" s="215"/>
      <c r="T1035" s="215"/>
      <c r="U1035" s="215"/>
      <c r="V1035" s="222"/>
      <c r="W1035" s="222"/>
      <c r="X1035" s="222"/>
      <c r="Y1035" s="215"/>
      <c r="Z1035" s="215"/>
      <c r="AA1035" s="215"/>
      <c r="AB1035" s="215"/>
      <c r="AC1035" s="215"/>
      <c r="AD1035" s="215"/>
      <c r="AE1035" s="215"/>
      <c r="AF1035" s="215"/>
      <c r="AG1035" s="215"/>
      <c r="AH1035" s="215"/>
      <c r="AI1035" s="215"/>
      <c r="AJ1035" s="215"/>
      <c r="AK1035" s="215"/>
      <c r="AL1035" s="215"/>
      <c r="AM1035" s="215"/>
      <c r="AN1035" s="215"/>
      <c r="AO1035" s="215"/>
      <c r="AP1035" s="215"/>
      <c r="AQ1035" s="215"/>
      <c r="AR1035" s="215"/>
      <c r="AS1035" s="215"/>
      <c r="AT1035" s="215"/>
      <c r="AU1035" s="215"/>
      <c r="AV1035" s="215"/>
      <c r="AW1035" s="215"/>
      <c r="AX1035" s="215"/>
      <c r="AY1035" s="215"/>
      <c r="AZ1035" s="215"/>
      <c r="BA1035" s="215"/>
      <c r="BB1035" s="215"/>
      <c r="BC1035" s="215"/>
      <c r="BD1035" s="215"/>
      <c r="BE1035" s="215"/>
      <c r="BF1035" s="215"/>
      <c r="BG1035" s="215"/>
      <c r="BH1035" s="215"/>
      <c r="BI1035" s="215"/>
      <c r="BJ1035" s="215"/>
      <c r="BK1035" s="215"/>
      <c r="BL1035" s="215"/>
      <c r="BM1035" s="215"/>
      <c r="BN1035" s="215"/>
      <c r="BO1035" s="215"/>
      <c r="BP1035" s="215"/>
      <c r="BQ1035" s="215"/>
      <c r="BR1035" s="215"/>
      <c r="BS1035" s="215"/>
      <c r="BT1035" s="215"/>
      <c r="BU1035" s="215"/>
      <c r="BV1035" s="215"/>
      <c r="BW1035" s="215"/>
      <c r="BX1035" s="215"/>
      <c r="BY1035" s="215"/>
      <c r="BZ1035" s="215"/>
    </row>
    <row r="1036" spans="1:78" outlineLevel="1" x14ac:dyDescent="0.2">
      <c r="A1036" s="2" t="str">
        <f>'Language Index'!A500</f>
        <v>Def. Benefit Total Cost of Supple Plans</v>
      </c>
      <c r="B1036" s="17"/>
      <c r="C1036" s="17"/>
      <c r="D1036" s="18">
        <f>_xll.ciqfunctions.udf.CIQ($C$2,"IQ_OPEB_SUPPLE_PLANS_TOTAL_COST_FOREIGN",D$6,$F$2,,,Ccy,Conv)</f>
        <v>0</v>
      </c>
      <c r="E1036" s="18">
        <f>_xll.ciqfunctions.udf.CIQ($C$2,"IQ_OPEB_SUPPLE_PLANS_TOTAL_COST_FOREIGN",E$6,$F$2,,,Ccy,Conv)</f>
        <v>0</v>
      </c>
      <c r="F1036" s="18">
        <f>_xll.ciqfunctions.udf.CIQ($C$2,"IQ_OPEB_SUPPLE_PLANS_TOTAL_COST_FOREIGN",F$6,$F$2,,,Ccy,Conv)</f>
        <v>0</v>
      </c>
      <c r="G1036" s="18">
        <f>_xll.ciqfunctions.udf.CIQ($C$2,"IQ_OPEB_SUPPLE_PLANS_TOTAL_COST_FOREIGN",G$6,$F$2,,,Ccy,Conv)</f>
        <v>0</v>
      </c>
      <c r="H1036" s="18">
        <f>_xll.ciqfunctions.udf.CIQ($C$2,"IQ_OPEB_SUPPLE_PLANS_TOTAL_COST_FOREIGN",H$6,$F$2,,,Ccy,Conv)</f>
        <v>0</v>
      </c>
      <c r="I1036" s="18">
        <f>_xll.ciqfunctions.udf.CIQ($C$2,"IQ_OPEB_SUPPLE_PLANS_TOTAL_COST_FOREIGN",I$6,$F$2,,,Ccy,Conv)</f>
        <v>0</v>
      </c>
      <c r="J1036" s="18">
        <f>_xll.ciqfunctions.udf.CIQ($C$2,"IQ_OPEB_SUPPLE_PLANS_TOTAL_COST_FOREIGN",J$6,$F$2,,,Ccy,Conv)</f>
        <v>0</v>
      </c>
      <c r="K1036" s="18">
        <f>_xll.ciqfunctions.udf.CIQ($C$2,"IQ_OPEB_SUPPLE_PLANS_TOTAL_COST_FOREIGN",K$6,$F$2,,,Ccy,Conv)</f>
        <v>0</v>
      </c>
      <c r="L1036" s="18">
        <f>_xll.ciqfunctions.udf.CIQ($C$2,"IQ_OPEB_SUPPLE_PLANS_TOTAL_COST_FOREIGN",L$6,$F$2,,,Ccy,Conv)</f>
        <v>0</v>
      </c>
      <c r="M1036" s="18">
        <f>_xll.ciqfunctions.udf.CIQ($C$2,"IQ_OPEB_SUPPLE_PLANS_TOTAL_COST_FOREIGN",M$6,$F$2,,,Ccy,Conv)</f>
        <v>0</v>
      </c>
      <c r="N1036" s="18">
        <f>_xll.ciqfunctions.udf.CIQ($C$2,"IQ_OPEB_SUPPLE_PLANS_TOTAL_COST_FOREIGN",N$6,$F$2,,,Ccy,Conv)</f>
        <v>0</v>
      </c>
      <c r="O1036" s="30"/>
      <c r="P1036" s="18">
        <f>_xll.ciqfunctions.udf.CIQ($C$2,"IQ_OPEB_SUPPLE_PLANS_TOTAL_COST_FOREIGN",P$6,$F$2,,,Ccy,Conv)</f>
        <v>0</v>
      </c>
      <c r="Q1036" s="215"/>
      <c r="R1036" s="215"/>
      <c r="S1036" s="215"/>
      <c r="T1036" s="215"/>
      <c r="U1036" s="215"/>
      <c r="V1036" s="222"/>
      <c r="W1036" s="222"/>
      <c r="X1036" s="222"/>
      <c r="Y1036" s="215"/>
      <c r="Z1036" s="215"/>
      <c r="AA1036" s="215"/>
      <c r="AB1036" s="215"/>
      <c r="AC1036" s="215"/>
      <c r="AD1036" s="215"/>
      <c r="AE1036" s="215"/>
      <c r="AF1036" s="215"/>
      <c r="AG1036" s="215"/>
      <c r="AH1036" s="215"/>
      <c r="AI1036" s="215"/>
      <c r="AJ1036" s="215"/>
      <c r="AK1036" s="215"/>
      <c r="AL1036" s="215"/>
      <c r="AM1036" s="215"/>
      <c r="AN1036" s="215"/>
      <c r="AO1036" s="215"/>
      <c r="AP1036" s="215"/>
      <c r="AQ1036" s="215"/>
      <c r="AR1036" s="215"/>
      <c r="AS1036" s="215"/>
      <c r="AT1036" s="215"/>
      <c r="AU1036" s="215"/>
      <c r="AV1036" s="215"/>
      <c r="AW1036" s="215"/>
      <c r="AX1036" s="215"/>
      <c r="AY1036" s="215"/>
      <c r="AZ1036" s="215"/>
      <c r="BA1036" s="215"/>
      <c r="BB1036" s="215"/>
      <c r="BC1036" s="215"/>
      <c r="BD1036" s="215"/>
      <c r="BE1036" s="215"/>
      <c r="BF1036" s="215"/>
      <c r="BG1036" s="215"/>
      <c r="BH1036" s="215"/>
      <c r="BI1036" s="215"/>
      <c r="BJ1036" s="215"/>
      <c r="BK1036" s="215"/>
      <c r="BL1036" s="215"/>
      <c r="BM1036" s="215"/>
      <c r="BN1036" s="215"/>
      <c r="BO1036" s="215"/>
      <c r="BP1036" s="215"/>
      <c r="BQ1036" s="215"/>
      <c r="BR1036" s="215"/>
      <c r="BS1036" s="215"/>
      <c r="BT1036" s="215"/>
      <c r="BU1036" s="215"/>
      <c r="BV1036" s="215"/>
      <c r="BW1036" s="215"/>
      <c r="BX1036" s="215"/>
      <c r="BY1036" s="215"/>
      <c r="BZ1036" s="215"/>
    </row>
    <row r="1037" spans="1:78" outlineLevel="1" x14ac:dyDescent="0.2">
      <c r="A1037" s="2" t="str">
        <f>'Language Index'!A599</f>
        <v>Def. Benefit Total Cost Incl. Supple Plans</v>
      </c>
      <c r="B1037" s="17"/>
      <c r="C1037" s="17"/>
      <c r="D1037" s="18">
        <f>_xll.ciqfunctions.udf.CIQ($C$2,"IQ_OPEB_TOTAL_COST_INCL_SUPPLE_PLANS_FOREIGN",D$6,$F$2,,,Ccy,Conv)</f>
        <v>0</v>
      </c>
      <c r="E1037" s="18">
        <f>_xll.ciqfunctions.udf.CIQ($C$2,"IQ_OPEB_TOTAL_COST_INCL_SUPPLE_PLANS_FOREIGN",E$6,$F$2,,,Ccy,Conv)</f>
        <v>0</v>
      </c>
      <c r="F1037" s="18">
        <f>_xll.ciqfunctions.udf.CIQ($C$2,"IQ_OPEB_TOTAL_COST_INCL_SUPPLE_PLANS_FOREIGN",F$6,$F$2,,,Ccy,Conv)</f>
        <v>0</v>
      </c>
      <c r="G1037" s="18">
        <f>_xll.ciqfunctions.udf.CIQ($C$2,"IQ_OPEB_TOTAL_COST_INCL_SUPPLE_PLANS_FOREIGN",G$6,$F$2,,,Ccy,Conv)</f>
        <v>0</v>
      </c>
      <c r="H1037" s="18">
        <f>_xll.ciqfunctions.udf.CIQ($C$2,"IQ_OPEB_TOTAL_COST_INCL_SUPPLE_PLANS_FOREIGN",H$6,$F$2,,,Ccy,Conv)</f>
        <v>0</v>
      </c>
      <c r="I1037" s="18">
        <f>_xll.ciqfunctions.udf.CIQ($C$2,"IQ_OPEB_TOTAL_COST_INCL_SUPPLE_PLANS_FOREIGN",I$6,$F$2,,,Ccy,Conv)</f>
        <v>0</v>
      </c>
      <c r="J1037" s="18">
        <f>_xll.ciqfunctions.udf.CIQ($C$2,"IQ_OPEB_TOTAL_COST_INCL_SUPPLE_PLANS_FOREIGN",J$6,$F$2,,,Ccy,Conv)</f>
        <v>0</v>
      </c>
      <c r="K1037" s="18">
        <f>_xll.ciqfunctions.udf.CIQ($C$2,"IQ_OPEB_TOTAL_COST_INCL_SUPPLE_PLANS_FOREIGN",K$6,$F$2,,,Ccy,Conv)</f>
        <v>0</v>
      </c>
      <c r="L1037" s="18">
        <f>_xll.ciqfunctions.udf.CIQ($C$2,"IQ_OPEB_TOTAL_COST_INCL_SUPPLE_PLANS_FOREIGN",L$6,$F$2,,,Ccy,Conv)</f>
        <v>0</v>
      </c>
      <c r="M1037" s="18">
        <f>_xll.ciqfunctions.udf.CIQ($C$2,"IQ_OPEB_TOTAL_COST_INCL_SUPPLE_PLANS_FOREIGN",M$6,$F$2,,,Ccy,Conv)</f>
        <v>0</v>
      </c>
      <c r="N1037" s="18">
        <f>_xll.ciqfunctions.udf.CIQ($C$2,"IQ_OPEB_TOTAL_COST_INCL_SUPPLE_PLANS_FOREIGN",N$6,$F$2,,,Ccy,Conv)</f>
        <v>0</v>
      </c>
      <c r="O1037" s="30"/>
      <c r="P1037" s="18">
        <f>_xll.ciqfunctions.udf.CIQ($C$2,"IQ_OPEB_TOTAL_COST_INCL_SUPPLE_PLANS_FOREIGN",P$6,$F$2,,,Ccy,Conv)</f>
        <v>0</v>
      </c>
      <c r="Q1037" s="215"/>
      <c r="R1037" s="215"/>
      <c r="S1037" s="215"/>
      <c r="T1037" s="215"/>
      <c r="U1037" s="215"/>
      <c r="V1037" s="222"/>
      <c r="W1037" s="222"/>
      <c r="X1037" s="222"/>
      <c r="Y1037" s="215"/>
      <c r="Z1037" s="215"/>
      <c r="AA1037" s="215"/>
      <c r="AB1037" s="215"/>
      <c r="AC1037" s="215"/>
      <c r="AD1037" s="215"/>
      <c r="AE1037" s="215"/>
      <c r="AF1037" s="215"/>
      <c r="AG1037" s="215"/>
      <c r="AH1037" s="215"/>
      <c r="AI1037" s="215"/>
      <c r="AJ1037" s="215"/>
      <c r="AK1037" s="215"/>
      <c r="AL1037" s="215"/>
      <c r="AM1037" s="215"/>
      <c r="AN1037" s="215"/>
      <c r="AO1037" s="215"/>
      <c r="AP1037" s="215"/>
      <c r="AQ1037" s="215"/>
      <c r="AR1037" s="215"/>
      <c r="AS1037" s="215"/>
      <c r="AT1037" s="215"/>
      <c r="AU1037" s="215"/>
      <c r="AV1037" s="215"/>
      <c r="AW1037" s="215"/>
      <c r="AX1037" s="215"/>
      <c r="AY1037" s="215"/>
      <c r="AZ1037" s="215"/>
      <c r="BA1037" s="215"/>
      <c r="BB1037" s="215"/>
      <c r="BC1037" s="215"/>
      <c r="BD1037" s="215"/>
      <c r="BE1037" s="215"/>
      <c r="BF1037" s="215"/>
      <c r="BG1037" s="215"/>
      <c r="BH1037" s="215"/>
      <c r="BI1037" s="215"/>
      <c r="BJ1037" s="215"/>
      <c r="BK1037" s="215"/>
      <c r="BL1037" s="215"/>
      <c r="BM1037" s="215"/>
      <c r="BN1037" s="215"/>
      <c r="BO1037" s="215"/>
      <c r="BP1037" s="215"/>
      <c r="BQ1037" s="215"/>
      <c r="BR1037" s="215"/>
      <c r="BS1037" s="215"/>
      <c r="BT1037" s="215"/>
      <c r="BU1037" s="215"/>
      <c r="BV1037" s="215"/>
      <c r="BW1037" s="215"/>
      <c r="BX1037" s="215"/>
      <c r="BY1037" s="215"/>
      <c r="BZ1037" s="215"/>
    </row>
    <row r="1038" spans="1:78" outlineLevel="1" x14ac:dyDescent="0.2">
      <c r="A1038" s="9" t="str">
        <f>'Language Index'!A503</f>
        <v>Defined Benefit Obligation</v>
      </c>
      <c r="B1038" s="17"/>
      <c r="C1038" s="17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30"/>
      <c r="P1038" s="18"/>
      <c r="Q1038" s="215"/>
      <c r="R1038" s="215"/>
      <c r="S1038" s="215"/>
      <c r="T1038" s="215"/>
      <c r="U1038" s="215"/>
      <c r="V1038" s="222"/>
      <c r="W1038" s="222"/>
      <c r="X1038" s="222"/>
      <c r="Y1038" s="215"/>
      <c r="Z1038" s="215"/>
      <c r="AA1038" s="215"/>
      <c r="AB1038" s="215"/>
      <c r="AC1038" s="215"/>
      <c r="AD1038" s="215"/>
      <c r="AE1038" s="215"/>
      <c r="AF1038" s="215"/>
      <c r="AG1038" s="215"/>
      <c r="AH1038" s="215"/>
      <c r="AI1038" s="215"/>
      <c r="AJ1038" s="215"/>
      <c r="AK1038" s="215"/>
      <c r="AL1038" s="215"/>
      <c r="AM1038" s="215"/>
      <c r="AN1038" s="215"/>
      <c r="AO1038" s="215"/>
      <c r="AP1038" s="215"/>
      <c r="AQ1038" s="215"/>
      <c r="AR1038" s="215"/>
      <c r="AS1038" s="215"/>
      <c r="AT1038" s="215"/>
      <c r="AU1038" s="215"/>
      <c r="AV1038" s="215"/>
      <c r="AW1038" s="215"/>
      <c r="AX1038" s="215"/>
      <c r="AY1038" s="215"/>
      <c r="AZ1038" s="215"/>
      <c r="BA1038" s="215"/>
      <c r="BB1038" s="215"/>
      <c r="BC1038" s="215"/>
      <c r="BD1038" s="215"/>
      <c r="BE1038" s="215"/>
      <c r="BF1038" s="215"/>
      <c r="BG1038" s="215"/>
      <c r="BH1038" s="215"/>
      <c r="BI1038" s="215"/>
      <c r="BJ1038" s="215"/>
      <c r="BK1038" s="215"/>
      <c r="BL1038" s="215"/>
      <c r="BM1038" s="215"/>
      <c r="BN1038" s="215"/>
      <c r="BO1038" s="215"/>
      <c r="BP1038" s="215"/>
      <c r="BQ1038" s="215"/>
      <c r="BR1038" s="215"/>
      <c r="BS1038" s="215"/>
      <c r="BT1038" s="215"/>
      <c r="BU1038" s="215"/>
      <c r="BV1038" s="215"/>
      <c r="BW1038" s="215"/>
      <c r="BX1038" s="215"/>
      <c r="BY1038" s="215"/>
      <c r="BZ1038" s="215"/>
    </row>
    <row r="1039" spans="1:78" outlineLevel="1" x14ac:dyDescent="0.2">
      <c r="A1039" s="2" t="str">
        <f>'Language Index'!A504</f>
        <v>Beg. Def. Benefit Obligation</v>
      </c>
      <c r="B1039" s="17"/>
      <c r="C1039" s="17"/>
      <c r="D1039" s="18">
        <f>_xll.ciqfunctions.udf.CIQ($C$2,"IQ_OPEB_OBLIGATION_BEG_FOREIGN",D$6,$F$2,,,Ccy,Conv)</f>
        <v>0</v>
      </c>
      <c r="E1039" s="18">
        <f>_xll.ciqfunctions.udf.CIQ($C$2,"IQ_OPEB_OBLIGATION_BEG_FOREIGN",E$6,$F$2,,,Ccy,Conv)</f>
        <v>0</v>
      </c>
      <c r="F1039" s="18">
        <f>_xll.ciqfunctions.udf.CIQ($C$2,"IQ_OPEB_OBLIGATION_BEG_FOREIGN",F$6,$F$2,,,Ccy,Conv)</f>
        <v>531</v>
      </c>
      <c r="G1039" s="18">
        <f>_xll.ciqfunctions.udf.CIQ($C$2,"IQ_OPEB_OBLIGATION_BEG_FOREIGN",G$6,$F$2,,,Ccy,Conv)</f>
        <v>0</v>
      </c>
      <c r="H1039" s="18">
        <f>_xll.ciqfunctions.udf.CIQ($C$2,"IQ_OPEB_OBLIGATION_BEG_FOREIGN",H$6,$F$2,,,Ccy,Conv)</f>
        <v>0</v>
      </c>
      <c r="I1039" s="18">
        <f>_xll.ciqfunctions.udf.CIQ($C$2,"IQ_OPEB_OBLIGATION_BEG_FOREIGN",I$6,$F$2,,,Ccy,Conv)</f>
        <v>0</v>
      </c>
      <c r="J1039" s="18">
        <f>_xll.ciqfunctions.udf.CIQ($C$2,"IQ_OPEB_OBLIGATION_BEG_FOREIGN",J$6,$F$2,,,Ccy,Conv)</f>
        <v>586</v>
      </c>
      <c r="K1039" s="18">
        <f>_xll.ciqfunctions.udf.CIQ($C$2,"IQ_OPEB_OBLIGATION_BEG_FOREIGN",K$6,$F$2,,,Ccy,Conv)</f>
        <v>0</v>
      </c>
      <c r="L1039" s="18">
        <f>_xll.ciqfunctions.udf.CIQ($C$2,"IQ_OPEB_OBLIGATION_BEG_FOREIGN",L$6,$F$2,,,Ccy,Conv)</f>
        <v>0</v>
      </c>
      <c r="M1039" s="18">
        <f>_xll.ciqfunctions.udf.CIQ($C$2,"IQ_OPEB_OBLIGATION_BEG_FOREIGN",M$6,$F$2,,,Ccy,Conv)</f>
        <v>0</v>
      </c>
      <c r="N1039" s="18">
        <f>_xll.ciqfunctions.udf.CIQ($C$2,"IQ_OPEB_OBLIGATION_BEG_FOREIGN",N$6,$F$2,,,Ccy,Conv)</f>
        <v>507</v>
      </c>
      <c r="O1039" s="30"/>
      <c r="P1039" s="18">
        <f>_xll.ciqfunctions.udf.CIQ($C$2,"IQ_OPEB_OBLIGATION_BEG_FOREIGN",P$6,$F$2,,,Ccy,Conv)</f>
        <v>507</v>
      </c>
      <c r="Q1039" s="215"/>
      <c r="R1039" s="215"/>
      <c r="S1039" s="215"/>
      <c r="T1039" s="215"/>
      <c r="U1039" s="215"/>
      <c r="V1039" s="222"/>
      <c r="W1039" s="222"/>
      <c r="X1039" s="222"/>
      <c r="Y1039" s="215"/>
      <c r="Z1039" s="215"/>
      <c r="AA1039" s="215"/>
      <c r="AB1039" s="215"/>
      <c r="AC1039" s="215"/>
      <c r="AD1039" s="215"/>
      <c r="AE1039" s="215"/>
      <c r="AF1039" s="215"/>
      <c r="AG1039" s="215"/>
      <c r="AH1039" s="215"/>
      <c r="AI1039" s="215"/>
      <c r="AJ1039" s="215"/>
      <c r="AK1039" s="215"/>
      <c r="AL1039" s="215"/>
      <c r="AM1039" s="215"/>
      <c r="AN1039" s="215"/>
      <c r="AO1039" s="215"/>
      <c r="AP1039" s="215"/>
      <c r="AQ1039" s="215"/>
      <c r="AR1039" s="215"/>
      <c r="AS1039" s="215"/>
      <c r="AT1039" s="215"/>
      <c r="AU1039" s="215"/>
      <c r="AV1039" s="215"/>
      <c r="AW1039" s="215"/>
      <c r="AX1039" s="215"/>
      <c r="AY1039" s="215"/>
      <c r="AZ1039" s="215"/>
      <c r="BA1039" s="215"/>
      <c r="BB1039" s="215"/>
      <c r="BC1039" s="215"/>
      <c r="BD1039" s="215"/>
      <c r="BE1039" s="215"/>
      <c r="BF1039" s="215"/>
      <c r="BG1039" s="215"/>
      <c r="BH1039" s="215"/>
      <c r="BI1039" s="215"/>
      <c r="BJ1039" s="215"/>
      <c r="BK1039" s="215"/>
      <c r="BL1039" s="215"/>
      <c r="BM1039" s="215"/>
      <c r="BN1039" s="215"/>
      <c r="BO1039" s="215"/>
      <c r="BP1039" s="215"/>
      <c r="BQ1039" s="215"/>
      <c r="BR1039" s="215"/>
      <c r="BS1039" s="215"/>
      <c r="BT1039" s="215"/>
      <c r="BU1039" s="215"/>
      <c r="BV1039" s="215"/>
      <c r="BW1039" s="215"/>
      <c r="BX1039" s="215"/>
      <c r="BY1039" s="215"/>
      <c r="BZ1039" s="215"/>
    </row>
    <row r="1040" spans="1:78" outlineLevel="1" x14ac:dyDescent="0.2">
      <c r="A1040" s="2" t="str">
        <f>'Language Index'!A495</f>
        <v>Def. Benefit Service Cost</v>
      </c>
      <c r="B1040" s="17"/>
      <c r="C1040" s="17"/>
      <c r="D1040" s="18">
        <f>_xll.ciqfunctions.udf.CIQ($C$2,"IQ_OPEB_OBLIGATION_SERVICE_COST_FOREIGN",D$6,$F$2,,,Ccy,Conv)</f>
        <v>0</v>
      </c>
      <c r="E1040" s="18">
        <f>_xll.ciqfunctions.udf.CIQ($C$2,"IQ_OPEB_OBLIGATION_SERVICE_COST_FOREIGN",E$6,$F$2,,,Ccy,Conv)</f>
        <v>0</v>
      </c>
      <c r="F1040" s="18">
        <f>_xll.ciqfunctions.udf.CIQ($C$2,"IQ_OPEB_OBLIGATION_SERVICE_COST_FOREIGN",F$6,$F$2,,,Ccy,Conv)</f>
        <v>2</v>
      </c>
      <c r="G1040" s="18">
        <f>_xll.ciqfunctions.udf.CIQ($C$2,"IQ_OPEB_OBLIGATION_SERVICE_COST_FOREIGN",G$6,$F$2,,,Ccy,Conv)</f>
        <v>0</v>
      </c>
      <c r="H1040" s="18">
        <f>_xll.ciqfunctions.udf.CIQ($C$2,"IQ_OPEB_OBLIGATION_SERVICE_COST_FOREIGN",H$6,$F$2,,,Ccy,Conv)</f>
        <v>0</v>
      </c>
      <c r="I1040" s="18">
        <f>_xll.ciqfunctions.udf.CIQ($C$2,"IQ_OPEB_OBLIGATION_SERVICE_COST_FOREIGN",I$6,$F$2,,,Ccy,Conv)</f>
        <v>0</v>
      </c>
      <c r="J1040" s="18">
        <f>_xll.ciqfunctions.udf.CIQ($C$2,"IQ_OPEB_OBLIGATION_SERVICE_COST_FOREIGN",J$6,$F$2,,,Ccy,Conv)</f>
        <v>2</v>
      </c>
      <c r="K1040" s="18">
        <f>_xll.ciqfunctions.udf.CIQ($C$2,"IQ_OPEB_OBLIGATION_SERVICE_COST_FOREIGN",K$6,$F$2,,,Ccy,Conv)</f>
        <v>0</v>
      </c>
      <c r="L1040" s="18">
        <f>_xll.ciqfunctions.udf.CIQ($C$2,"IQ_OPEB_OBLIGATION_SERVICE_COST_FOREIGN",L$6,$F$2,,,Ccy,Conv)</f>
        <v>0</v>
      </c>
      <c r="M1040" s="18">
        <f>_xll.ciqfunctions.udf.CIQ($C$2,"IQ_OPEB_OBLIGATION_SERVICE_COST_FOREIGN",M$6,$F$2,,,Ccy,Conv)</f>
        <v>0</v>
      </c>
      <c r="N1040" s="18">
        <f>_xll.ciqfunctions.udf.CIQ($C$2,"IQ_OPEB_OBLIGATION_SERVICE_COST_FOREIGN",N$6,$F$2,,,Ccy,Conv)</f>
        <v>2</v>
      </c>
      <c r="O1040" s="30"/>
      <c r="P1040" s="18">
        <f>_xll.ciqfunctions.udf.CIQ($C$2,"IQ_OPEB_OBLIGATION_SERVICE_COST_FOREIGN",P$6,$F$2,,,Ccy,Conv)</f>
        <v>2</v>
      </c>
      <c r="Q1040" s="215"/>
      <c r="R1040" s="215"/>
      <c r="S1040" s="215"/>
      <c r="T1040" s="215"/>
      <c r="U1040" s="215"/>
      <c r="V1040" s="222"/>
      <c r="W1040" s="222"/>
      <c r="X1040" s="222"/>
      <c r="Y1040" s="215"/>
      <c r="Z1040" s="215"/>
      <c r="AA1040" s="215"/>
      <c r="AB1040" s="215"/>
      <c r="AC1040" s="215"/>
      <c r="AD1040" s="215"/>
      <c r="AE1040" s="215"/>
      <c r="AF1040" s="215"/>
      <c r="AG1040" s="215"/>
      <c r="AH1040" s="215"/>
      <c r="AI1040" s="215"/>
      <c r="AJ1040" s="215"/>
      <c r="AK1040" s="215"/>
      <c r="AL1040" s="215"/>
      <c r="AM1040" s="215"/>
      <c r="AN1040" s="215"/>
      <c r="AO1040" s="215"/>
      <c r="AP1040" s="215"/>
      <c r="AQ1040" s="215"/>
      <c r="AR1040" s="215"/>
      <c r="AS1040" s="215"/>
      <c r="AT1040" s="215"/>
      <c r="AU1040" s="215"/>
      <c r="AV1040" s="215"/>
      <c r="AW1040" s="215"/>
      <c r="AX1040" s="215"/>
      <c r="AY1040" s="215"/>
      <c r="AZ1040" s="215"/>
      <c r="BA1040" s="215"/>
      <c r="BB1040" s="215"/>
      <c r="BC1040" s="215"/>
      <c r="BD1040" s="215"/>
      <c r="BE1040" s="215"/>
      <c r="BF1040" s="215"/>
      <c r="BG1040" s="215"/>
      <c r="BH1040" s="215"/>
      <c r="BI1040" s="215"/>
      <c r="BJ1040" s="215"/>
      <c r="BK1040" s="215"/>
      <c r="BL1040" s="215"/>
      <c r="BM1040" s="215"/>
      <c r="BN1040" s="215"/>
      <c r="BO1040" s="215"/>
      <c r="BP1040" s="215"/>
      <c r="BQ1040" s="215"/>
      <c r="BR1040" s="215"/>
      <c r="BS1040" s="215"/>
      <c r="BT1040" s="215"/>
      <c r="BU1040" s="215"/>
      <c r="BV1040" s="215"/>
      <c r="BW1040" s="215"/>
      <c r="BX1040" s="215"/>
      <c r="BY1040" s="215"/>
      <c r="BZ1040" s="215"/>
    </row>
    <row r="1041" spans="1:78" outlineLevel="1" x14ac:dyDescent="0.2">
      <c r="A1041" s="2" t="str">
        <f>'Language Index'!A496</f>
        <v>Def. Benefit Interest Cost</v>
      </c>
      <c r="B1041" s="17"/>
      <c r="C1041" s="17"/>
      <c r="D1041" s="18">
        <f>_xll.ciqfunctions.udf.CIQ($C$2,"IQ_OPEB_OBLIGATION_INTEREST_COST_FOREIGN",D$6,$F$2,,,Ccy,Conv)</f>
        <v>0</v>
      </c>
      <c r="E1041" s="18">
        <f>_xll.ciqfunctions.udf.CIQ($C$2,"IQ_OPEB_OBLIGATION_INTEREST_COST_FOREIGN",E$6,$F$2,,,Ccy,Conv)</f>
        <v>0</v>
      </c>
      <c r="F1041" s="18">
        <f>_xll.ciqfunctions.udf.CIQ($C$2,"IQ_OPEB_OBLIGATION_INTEREST_COST_FOREIGN",F$6,$F$2,,,Ccy,Conv)</f>
        <v>39</v>
      </c>
      <c r="G1041" s="18">
        <f>_xll.ciqfunctions.udf.CIQ($C$2,"IQ_OPEB_OBLIGATION_INTEREST_COST_FOREIGN",G$6,$F$2,,,Ccy,Conv)</f>
        <v>0</v>
      </c>
      <c r="H1041" s="18">
        <f>_xll.ciqfunctions.udf.CIQ($C$2,"IQ_OPEB_OBLIGATION_INTEREST_COST_FOREIGN",H$6,$F$2,,,Ccy,Conv)</f>
        <v>0</v>
      </c>
      <c r="I1041" s="18">
        <f>_xll.ciqfunctions.udf.CIQ($C$2,"IQ_OPEB_OBLIGATION_INTEREST_COST_FOREIGN",I$6,$F$2,,,Ccy,Conv)</f>
        <v>0</v>
      </c>
      <c r="J1041" s="18">
        <f>_xll.ciqfunctions.udf.CIQ($C$2,"IQ_OPEB_OBLIGATION_INTEREST_COST_FOREIGN",J$6,$F$2,,,Ccy,Conv)</f>
        <v>41</v>
      </c>
      <c r="K1041" s="18">
        <f>_xll.ciqfunctions.udf.CIQ($C$2,"IQ_OPEB_OBLIGATION_INTEREST_COST_FOREIGN",K$6,$F$2,,,Ccy,Conv)</f>
        <v>0</v>
      </c>
      <c r="L1041" s="18">
        <f>_xll.ciqfunctions.udf.CIQ($C$2,"IQ_OPEB_OBLIGATION_INTEREST_COST_FOREIGN",L$6,$F$2,,,Ccy,Conv)</f>
        <v>0</v>
      </c>
      <c r="M1041" s="18">
        <f>_xll.ciqfunctions.udf.CIQ($C$2,"IQ_OPEB_OBLIGATION_INTEREST_COST_FOREIGN",M$6,$F$2,,,Ccy,Conv)</f>
        <v>0</v>
      </c>
      <c r="N1041" s="18">
        <f>_xll.ciqfunctions.udf.CIQ($C$2,"IQ_OPEB_OBLIGATION_INTEREST_COST_FOREIGN",N$6,$F$2,,,Ccy,Conv)</f>
        <v>42</v>
      </c>
      <c r="O1041" s="30"/>
      <c r="P1041" s="18">
        <f>_xll.ciqfunctions.udf.CIQ($C$2,"IQ_OPEB_OBLIGATION_INTEREST_COST_FOREIGN",P$6,$F$2,,,Ccy,Conv)</f>
        <v>42</v>
      </c>
      <c r="Q1041" s="215"/>
      <c r="R1041" s="215"/>
      <c r="S1041" s="215"/>
      <c r="T1041" s="215"/>
      <c r="U1041" s="215"/>
      <c r="V1041" s="222"/>
      <c r="W1041" s="222"/>
      <c r="X1041" s="222"/>
      <c r="Y1041" s="215"/>
      <c r="Z1041" s="215"/>
      <c r="AA1041" s="215"/>
      <c r="AB1041" s="215"/>
      <c r="AC1041" s="215"/>
      <c r="AD1041" s="215"/>
      <c r="AE1041" s="215"/>
      <c r="AF1041" s="215"/>
      <c r="AG1041" s="215"/>
      <c r="AH1041" s="215"/>
      <c r="AI1041" s="215"/>
      <c r="AJ1041" s="215"/>
      <c r="AK1041" s="215"/>
      <c r="AL1041" s="215"/>
      <c r="AM1041" s="215"/>
      <c r="AN1041" s="215"/>
      <c r="AO1041" s="215"/>
      <c r="AP1041" s="215"/>
      <c r="AQ1041" s="215"/>
      <c r="AR1041" s="215"/>
      <c r="AS1041" s="215"/>
      <c r="AT1041" s="215"/>
      <c r="AU1041" s="215"/>
      <c r="AV1041" s="215"/>
      <c r="AW1041" s="215"/>
      <c r="AX1041" s="215"/>
      <c r="AY1041" s="215"/>
      <c r="AZ1041" s="215"/>
      <c r="BA1041" s="215"/>
      <c r="BB1041" s="215"/>
      <c r="BC1041" s="215"/>
      <c r="BD1041" s="215"/>
      <c r="BE1041" s="215"/>
      <c r="BF1041" s="215"/>
      <c r="BG1041" s="215"/>
      <c r="BH1041" s="215"/>
      <c r="BI1041" s="215"/>
      <c r="BJ1041" s="215"/>
      <c r="BK1041" s="215"/>
      <c r="BL1041" s="215"/>
      <c r="BM1041" s="215"/>
      <c r="BN1041" s="215"/>
      <c r="BO1041" s="215"/>
      <c r="BP1041" s="215"/>
      <c r="BQ1041" s="215"/>
      <c r="BR1041" s="215"/>
      <c r="BS1041" s="215"/>
      <c r="BT1041" s="215"/>
      <c r="BU1041" s="215"/>
      <c r="BV1041" s="215"/>
      <c r="BW1041" s="215"/>
      <c r="BX1041" s="215"/>
      <c r="BY1041" s="215"/>
      <c r="BZ1041" s="215"/>
    </row>
    <row r="1042" spans="1:78" outlineLevel="1" x14ac:dyDescent="0.2">
      <c r="A1042" s="2" t="str">
        <f>'Language Index'!A505</f>
        <v>Def. Benefit Employee Contributions</v>
      </c>
      <c r="B1042" s="17"/>
      <c r="C1042" s="17"/>
      <c r="D1042" s="18">
        <f>_xll.ciqfunctions.udf.CIQ($C$2,"IQ_OPEB_OBLIGATION_EMPLOYEE_CONTRIBUTIONS_FOREIGN",D$6,$F$2,,,Ccy,Conv)</f>
        <v>0</v>
      </c>
      <c r="E1042" s="18">
        <f>_xll.ciqfunctions.udf.CIQ($C$2,"IQ_OPEB_OBLIGATION_EMPLOYEE_CONTRIBUTIONS_FOREIGN",E$6,$F$2,,,Ccy,Conv)</f>
        <v>0</v>
      </c>
      <c r="F1042" s="18">
        <f>_xll.ciqfunctions.udf.CIQ($C$2,"IQ_OPEB_OBLIGATION_EMPLOYEE_CONTRIBUTIONS_FOREIGN",F$6,$F$2,,,Ccy,Conv)</f>
        <v>0</v>
      </c>
      <c r="G1042" s="18">
        <f>_xll.ciqfunctions.udf.CIQ($C$2,"IQ_OPEB_OBLIGATION_EMPLOYEE_CONTRIBUTIONS_FOREIGN",G$6,$F$2,,,Ccy,Conv)</f>
        <v>0</v>
      </c>
      <c r="H1042" s="18">
        <f>_xll.ciqfunctions.udf.CIQ($C$2,"IQ_OPEB_OBLIGATION_EMPLOYEE_CONTRIBUTIONS_FOREIGN",H$6,$F$2,,,Ccy,Conv)</f>
        <v>0</v>
      </c>
      <c r="I1042" s="18">
        <f>_xll.ciqfunctions.udf.CIQ($C$2,"IQ_OPEB_OBLIGATION_EMPLOYEE_CONTRIBUTIONS_FOREIGN",I$6,$F$2,,,Ccy,Conv)</f>
        <v>0</v>
      </c>
      <c r="J1042" s="18">
        <f>_xll.ciqfunctions.udf.CIQ($C$2,"IQ_OPEB_OBLIGATION_EMPLOYEE_CONTRIBUTIONS_FOREIGN",J$6,$F$2,,,Ccy,Conv)</f>
        <v>0</v>
      </c>
      <c r="K1042" s="18">
        <f>_xll.ciqfunctions.udf.CIQ($C$2,"IQ_OPEB_OBLIGATION_EMPLOYEE_CONTRIBUTIONS_FOREIGN",K$6,$F$2,,,Ccy,Conv)</f>
        <v>0</v>
      </c>
      <c r="L1042" s="18">
        <f>_xll.ciqfunctions.udf.CIQ($C$2,"IQ_OPEB_OBLIGATION_EMPLOYEE_CONTRIBUTIONS_FOREIGN",L$6,$F$2,,,Ccy,Conv)</f>
        <v>0</v>
      </c>
      <c r="M1042" s="18">
        <f>_xll.ciqfunctions.udf.CIQ($C$2,"IQ_OPEB_OBLIGATION_EMPLOYEE_CONTRIBUTIONS_FOREIGN",M$6,$F$2,,,Ccy,Conv)</f>
        <v>0</v>
      </c>
      <c r="N1042" s="18">
        <f>_xll.ciqfunctions.udf.CIQ($C$2,"IQ_OPEB_OBLIGATION_EMPLOYEE_CONTRIBUTIONS_FOREIGN",N$6,$F$2,,,Ccy,Conv)</f>
        <v>0</v>
      </c>
      <c r="O1042" s="30"/>
      <c r="P1042" s="18">
        <f>_xll.ciqfunctions.udf.CIQ($C$2,"IQ_OPEB_OBLIGATION_EMPLOYEE_CONTRIBUTIONS_FOREIGN",P$6,$F$2,,,Ccy,Conv)</f>
        <v>0</v>
      </c>
      <c r="Q1042" s="215"/>
      <c r="R1042" s="215"/>
      <c r="S1042" s="215"/>
      <c r="T1042" s="215"/>
      <c r="U1042" s="215"/>
      <c r="V1042" s="222"/>
      <c r="W1042" s="222"/>
      <c r="X1042" s="222"/>
      <c r="Y1042" s="215"/>
      <c r="Z1042" s="215"/>
      <c r="AA1042" s="215"/>
      <c r="AB1042" s="215"/>
      <c r="AC1042" s="215"/>
      <c r="AD1042" s="215"/>
      <c r="AE1042" s="215"/>
      <c r="AF1042" s="215"/>
      <c r="AG1042" s="215"/>
      <c r="AH1042" s="215"/>
      <c r="AI1042" s="215"/>
      <c r="AJ1042" s="215"/>
      <c r="AK1042" s="215"/>
      <c r="AL1042" s="215"/>
      <c r="AM1042" s="215"/>
      <c r="AN1042" s="215"/>
      <c r="AO1042" s="215"/>
      <c r="AP1042" s="215"/>
      <c r="AQ1042" s="215"/>
      <c r="AR1042" s="215"/>
      <c r="AS1042" s="215"/>
      <c r="AT1042" s="215"/>
      <c r="AU1042" s="215"/>
      <c r="AV1042" s="215"/>
      <c r="AW1042" s="215"/>
      <c r="AX1042" s="215"/>
      <c r="AY1042" s="215"/>
      <c r="AZ1042" s="215"/>
      <c r="BA1042" s="215"/>
      <c r="BB1042" s="215"/>
      <c r="BC1042" s="215"/>
      <c r="BD1042" s="215"/>
      <c r="BE1042" s="215"/>
      <c r="BF1042" s="215"/>
      <c r="BG1042" s="215"/>
      <c r="BH1042" s="215"/>
      <c r="BI1042" s="215"/>
      <c r="BJ1042" s="215"/>
      <c r="BK1042" s="215"/>
      <c r="BL1042" s="215"/>
      <c r="BM1042" s="215"/>
      <c r="BN1042" s="215"/>
      <c r="BO1042" s="215"/>
      <c r="BP1042" s="215"/>
      <c r="BQ1042" s="215"/>
      <c r="BR1042" s="215"/>
      <c r="BS1042" s="215"/>
      <c r="BT1042" s="215"/>
      <c r="BU1042" s="215"/>
      <c r="BV1042" s="215"/>
      <c r="BW1042" s="215"/>
      <c r="BX1042" s="215"/>
      <c r="BY1042" s="215"/>
      <c r="BZ1042" s="215"/>
    </row>
    <row r="1043" spans="1:78" outlineLevel="1" x14ac:dyDescent="0.2">
      <c r="A1043" s="2" t="str">
        <f>'Language Index'!A506</f>
        <v>Def. Benefit Actuarial Gain/Losses</v>
      </c>
      <c r="B1043" s="17"/>
      <c r="C1043" s="17"/>
      <c r="D1043" s="18">
        <f>_xll.ciqfunctions.udf.CIQ($C$2,"IQ_OPEB_OBLIGATION_ACTUARIAL_GAIN_LOSS_FOREIGN",D$6,$F$2,,,Ccy,Conv)</f>
        <v>0</v>
      </c>
      <c r="E1043" s="18">
        <f>_xll.ciqfunctions.udf.CIQ($C$2,"IQ_OPEB_OBLIGATION_ACTUARIAL_GAIN_LOSS_FOREIGN",E$6,$F$2,,,Ccy,Conv)</f>
        <v>0</v>
      </c>
      <c r="F1043" s="18">
        <f>_xll.ciqfunctions.udf.CIQ($C$2,"IQ_OPEB_OBLIGATION_ACTUARIAL_GAIN_LOSS_FOREIGN",F$6,$F$2,,,Ccy,Conv)</f>
        <v>35</v>
      </c>
      <c r="G1043" s="18">
        <f>_xll.ciqfunctions.udf.CIQ($C$2,"IQ_OPEB_OBLIGATION_ACTUARIAL_GAIN_LOSS_FOREIGN",G$6,$F$2,,,Ccy,Conv)</f>
        <v>0</v>
      </c>
      <c r="H1043" s="18">
        <f>_xll.ciqfunctions.udf.CIQ($C$2,"IQ_OPEB_OBLIGATION_ACTUARIAL_GAIN_LOSS_FOREIGN",H$6,$F$2,,,Ccy,Conv)</f>
        <v>0</v>
      </c>
      <c r="I1043" s="18">
        <f>_xll.ciqfunctions.udf.CIQ($C$2,"IQ_OPEB_OBLIGATION_ACTUARIAL_GAIN_LOSS_FOREIGN",I$6,$F$2,,,Ccy,Conv)</f>
        <v>0</v>
      </c>
      <c r="J1043" s="18">
        <f>_xll.ciqfunctions.udf.CIQ($C$2,"IQ_OPEB_OBLIGATION_ACTUARIAL_GAIN_LOSS_FOREIGN",J$6,$F$2,,,Ccy,Conv)</f>
        <v>0</v>
      </c>
      <c r="K1043" s="18">
        <f>_xll.ciqfunctions.udf.CIQ($C$2,"IQ_OPEB_OBLIGATION_ACTUARIAL_GAIN_LOSS_FOREIGN",K$6,$F$2,,,Ccy,Conv)</f>
        <v>0</v>
      </c>
      <c r="L1043" s="18">
        <f>_xll.ciqfunctions.udf.CIQ($C$2,"IQ_OPEB_OBLIGATION_ACTUARIAL_GAIN_LOSS_FOREIGN",L$6,$F$2,,,Ccy,Conv)</f>
        <v>0</v>
      </c>
      <c r="M1043" s="18">
        <f>_xll.ciqfunctions.udf.CIQ($C$2,"IQ_OPEB_OBLIGATION_ACTUARIAL_GAIN_LOSS_FOREIGN",M$6,$F$2,,,Ccy,Conv)</f>
        <v>0</v>
      </c>
      <c r="N1043" s="18">
        <f>_xll.ciqfunctions.udf.CIQ($C$2,"IQ_OPEB_OBLIGATION_ACTUARIAL_GAIN_LOSS_FOREIGN",N$6,$F$2,,,Ccy,Conv)</f>
        <v>1</v>
      </c>
      <c r="O1043" s="30"/>
      <c r="P1043" s="18">
        <f>_xll.ciqfunctions.udf.CIQ($C$2,"IQ_OPEB_OBLIGATION_ACTUARIAL_GAIN_LOSS_FOREIGN",P$6,$F$2,,,Ccy,Conv)</f>
        <v>1</v>
      </c>
      <c r="Q1043" s="215"/>
      <c r="R1043" s="215"/>
      <c r="S1043" s="215"/>
      <c r="T1043" s="215"/>
      <c r="U1043" s="215"/>
      <c r="V1043" s="222"/>
      <c r="W1043" s="222"/>
      <c r="X1043" s="222"/>
      <c r="Y1043" s="215"/>
      <c r="Z1043" s="215"/>
      <c r="AA1043" s="215"/>
      <c r="AB1043" s="215"/>
      <c r="AC1043" s="215"/>
      <c r="AD1043" s="215"/>
      <c r="AE1043" s="215"/>
      <c r="AF1043" s="215"/>
      <c r="AG1043" s="215"/>
      <c r="AH1043" s="215"/>
      <c r="AI1043" s="215"/>
      <c r="AJ1043" s="215"/>
      <c r="AK1043" s="215"/>
      <c r="AL1043" s="215"/>
      <c r="AM1043" s="215"/>
      <c r="AN1043" s="215"/>
      <c r="AO1043" s="215"/>
      <c r="AP1043" s="215"/>
      <c r="AQ1043" s="215"/>
      <c r="AR1043" s="215"/>
      <c r="AS1043" s="215"/>
      <c r="AT1043" s="215"/>
      <c r="AU1043" s="215"/>
      <c r="AV1043" s="215"/>
      <c r="AW1043" s="215"/>
      <c r="AX1043" s="215"/>
      <c r="AY1043" s="215"/>
      <c r="AZ1043" s="215"/>
      <c r="BA1043" s="215"/>
      <c r="BB1043" s="215"/>
      <c r="BC1043" s="215"/>
      <c r="BD1043" s="215"/>
      <c r="BE1043" s="215"/>
      <c r="BF1043" s="215"/>
      <c r="BG1043" s="215"/>
      <c r="BH1043" s="215"/>
      <c r="BI1043" s="215"/>
      <c r="BJ1043" s="215"/>
      <c r="BK1043" s="215"/>
      <c r="BL1043" s="215"/>
      <c r="BM1043" s="215"/>
      <c r="BN1043" s="215"/>
      <c r="BO1043" s="215"/>
      <c r="BP1043" s="215"/>
      <c r="BQ1043" s="215"/>
      <c r="BR1043" s="215"/>
      <c r="BS1043" s="215"/>
      <c r="BT1043" s="215"/>
      <c r="BU1043" s="215"/>
      <c r="BV1043" s="215"/>
      <c r="BW1043" s="215"/>
      <c r="BX1043" s="215"/>
      <c r="BY1043" s="215"/>
      <c r="BZ1043" s="215"/>
    </row>
    <row r="1044" spans="1:78" outlineLevel="1" x14ac:dyDescent="0.2">
      <c r="A1044" s="2" t="str">
        <f>'Language Index'!A507</f>
        <v>Def. Benefits Paid</v>
      </c>
      <c r="B1044" s="17"/>
      <c r="C1044" s="17"/>
      <c r="D1044" s="18">
        <f>_xll.ciqfunctions.udf.CIQ($C$2,"IQ_OPEB_OBLIGATION_PAID_FOREIGN",D$6,$F$2,,,Ccy,Conv)</f>
        <v>0</v>
      </c>
      <c r="E1044" s="18">
        <f>_xll.ciqfunctions.udf.CIQ($C$2,"IQ_OPEB_OBLIGATION_PAID_FOREIGN",E$6,$F$2,,,Ccy,Conv)</f>
        <v>0</v>
      </c>
      <c r="F1044" s="18">
        <f>_xll.ciqfunctions.udf.CIQ($C$2,"IQ_OPEB_OBLIGATION_PAID_FOREIGN",F$6,$F$2,,,Ccy,Conv)</f>
        <v>-38</v>
      </c>
      <c r="G1044" s="18">
        <f>_xll.ciqfunctions.udf.CIQ($C$2,"IQ_OPEB_OBLIGATION_PAID_FOREIGN",G$6,$F$2,,,Ccy,Conv)</f>
        <v>0</v>
      </c>
      <c r="H1044" s="18">
        <f>_xll.ciqfunctions.udf.CIQ($C$2,"IQ_OPEB_OBLIGATION_PAID_FOREIGN",H$6,$F$2,,,Ccy,Conv)</f>
        <v>0</v>
      </c>
      <c r="I1044" s="18">
        <f>_xll.ciqfunctions.udf.CIQ($C$2,"IQ_OPEB_OBLIGATION_PAID_FOREIGN",I$6,$F$2,,,Ccy,Conv)</f>
        <v>0</v>
      </c>
      <c r="J1044" s="18">
        <f>_xll.ciqfunctions.udf.CIQ($C$2,"IQ_OPEB_OBLIGATION_PAID_FOREIGN",J$6,$F$2,,,Ccy,Conv)</f>
        <v>-36</v>
      </c>
      <c r="K1044" s="18">
        <f>_xll.ciqfunctions.udf.CIQ($C$2,"IQ_OPEB_OBLIGATION_PAID_FOREIGN",K$6,$F$2,,,Ccy,Conv)</f>
        <v>0</v>
      </c>
      <c r="L1044" s="18">
        <f>_xll.ciqfunctions.udf.CIQ($C$2,"IQ_OPEB_OBLIGATION_PAID_FOREIGN",L$6,$F$2,,,Ccy,Conv)</f>
        <v>0</v>
      </c>
      <c r="M1044" s="18">
        <f>_xll.ciqfunctions.udf.CIQ($C$2,"IQ_OPEB_OBLIGATION_PAID_FOREIGN",M$6,$F$2,,,Ccy,Conv)</f>
        <v>0</v>
      </c>
      <c r="N1044" s="18">
        <f>_xll.ciqfunctions.udf.CIQ($C$2,"IQ_OPEB_OBLIGATION_PAID_FOREIGN",N$6,$F$2,,,Ccy,Conv)</f>
        <v>-42</v>
      </c>
      <c r="O1044" s="30"/>
      <c r="P1044" s="18">
        <f>_xll.ciqfunctions.udf.CIQ($C$2,"IQ_OPEB_OBLIGATION_PAID_FOREIGN",P$6,$F$2,,,Ccy,Conv)</f>
        <v>-42</v>
      </c>
      <c r="Q1044" s="215"/>
      <c r="R1044" s="215"/>
      <c r="S1044" s="215"/>
      <c r="T1044" s="215"/>
      <c r="U1044" s="215"/>
      <c r="V1044" s="222"/>
      <c r="W1044" s="222"/>
      <c r="X1044" s="222"/>
      <c r="Y1044" s="215"/>
      <c r="Z1044" s="215"/>
      <c r="AA1044" s="215"/>
      <c r="AB1044" s="215"/>
      <c r="AC1044" s="215"/>
      <c r="AD1044" s="215"/>
      <c r="AE1044" s="215"/>
      <c r="AF1044" s="215"/>
      <c r="AG1044" s="215"/>
      <c r="AH1044" s="215"/>
      <c r="AI1044" s="215"/>
      <c r="AJ1044" s="215"/>
      <c r="AK1044" s="215"/>
      <c r="AL1044" s="215"/>
      <c r="AM1044" s="215"/>
      <c r="AN1044" s="215"/>
      <c r="AO1044" s="215"/>
      <c r="AP1044" s="215"/>
      <c r="AQ1044" s="215"/>
      <c r="AR1044" s="215"/>
      <c r="AS1044" s="215"/>
      <c r="AT1044" s="215"/>
      <c r="AU1044" s="215"/>
      <c r="AV1044" s="215"/>
      <c r="AW1044" s="215"/>
      <c r="AX1044" s="215"/>
      <c r="AY1044" s="215"/>
      <c r="AZ1044" s="215"/>
      <c r="BA1044" s="215"/>
      <c r="BB1044" s="215"/>
      <c r="BC1044" s="215"/>
      <c r="BD1044" s="215"/>
      <c r="BE1044" s="215"/>
      <c r="BF1044" s="215"/>
      <c r="BG1044" s="215"/>
      <c r="BH1044" s="215"/>
      <c r="BI1044" s="215"/>
      <c r="BJ1044" s="215"/>
      <c r="BK1044" s="215"/>
      <c r="BL1044" s="215"/>
      <c r="BM1044" s="215"/>
      <c r="BN1044" s="215"/>
      <c r="BO1044" s="215"/>
      <c r="BP1044" s="215"/>
      <c r="BQ1044" s="215"/>
      <c r="BR1044" s="215"/>
      <c r="BS1044" s="215"/>
      <c r="BT1044" s="215"/>
      <c r="BU1044" s="215"/>
      <c r="BV1044" s="215"/>
      <c r="BW1044" s="215"/>
      <c r="BX1044" s="215"/>
      <c r="BY1044" s="215"/>
      <c r="BZ1044" s="215"/>
    </row>
    <row r="1045" spans="1:78" outlineLevel="1" x14ac:dyDescent="0.2">
      <c r="A1045" s="2" t="str">
        <f>'Language Index'!A508</f>
        <v>Foreign Exchange Adj.</v>
      </c>
      <c r="B1045" s="17"/>
      <c r="C1045" s="17"/>
      <c r="D1045" s="18">
        <f>_xll.ciqfunctions.udf.CIQ($C$2,"IQ_OPEB_OBLIGATION_FX_ADJ_FOREIGN",D$6,$F$2,,,Ccy,Conv)</f>
        <v>0</v>
      </c>
      <c r="E1045" s="18">
        <f>_xll.ciqfunctions.udf.CIQ($C$2,"IQ_OPEB_OBLIGATION_FX_ADJ_FOREIGN",E$6,$F$2,,,Ccy,Conv)</f>
        <v>0</v>
      </c>
      <c r="F1045" s="18">
        <f>_xll.ciqfunctions.udf.CIQ($C$2,"IQ_OPEB_OBLIGATION_FX_ADJ_FOREIGN",F$6,$F$2,,,Ccy,Conv)</f>
        <v>22</v>
      </c>
      <c r="G1045" s="18">
        <f>_xll.ciqfunctions.udf.CIQ($C$2,"IQ_OPEB_OBLIGATION_FX_ADJ_FOREIGN",G$6,$F$2,,,Ccy,Conv)</f>
        <v>0</v>
      </c>
      <c r="H1045" s="18">
        <f>_xll.ciqfunctions.udf.CIQ($C$2,"IQ_OPEB_OBLIGATION_FX_ADJ_FOREIGN",H$6,$F$2,,,Ccy,Conv)</f>
        <v>0</v>
      </c>
      <c r="I1045" s="18">
        <f>_xll.ciqfunctions.udf.CIQ($C$2,"IQ_OPEB_OBLIGATION_FX_ADJ_FOREIGN",I$6,$F$2,,,Ccy,Conv)</f>
        <v>0</v>
      </c>
      <c r="J1045" s="18">
        <f>_xll.ciqfunctions.udf.CIQ($C$2,"IQ_OPEB_OBLIGATION_FX_ADJ_FOREIGN",J$6,$F$2,,,Ccy,Conv)</f>
        <v>-85</v>
      </c>
      <c r="K1045" s="18">
        <f>_xll.ciqfunctions.udf.CIQ($C$2,"IQ_OPEB_OBLIGATION_FX_ADJ_FOREIGN",K$6,$F$2,,,Ccy,Conv)</f>
        <v>0</v>
      </c>
      <c r="L1045" s="18">
        <f>_xll.ciqfunctions.udf.CIQ($C$2,"IQ_OPEB_OBLIGATION_FX_ADJ_FOREIGN",L$6,$F$2,,,Ccy,Conv)</f>
        <v>0</v>
      </c>
      <c r="M1045" s="18">
        <f>_xll.ciqfunctions.udf.CIQ($C$2,"IQ_OPEB_OBLIGATION_FX_ADJ_FOREIGN",M$6,$F$2,,,Ccy,Conv)</f>
        <v>0</v>
      </c>
      <c r="N1045" s="18">
        <f>_xll.ciqfunctions.udf.CIQ($C$2,"IQ_OPEB_OBLIGATION_FX_ADJ_FOREIGN",N$6,$F$2,,,Ccy,Conv)</f>
        <v>36</v>
      </c>
      <c r="O1045" s="30"/>
      <c r="P1045" s="18">
        <f>_xll.ciqfunctions.udf.CIQ($C$2,"IQ_OPEB_OBLIGATION_FX_ADJ_FOREIGN",P$6,$F$2,,,Ccy,Conv)</f>
        <v>36</v>
      </c>
      <c r="Q1045" s="215"/>
      <c r="R1045" s="215"/>
      <c r="S1045" s="215"/>
      <c r="T1045" s="215"/>
      <c r="U1045" s="215"/>
      <c r="V1045" s="222"/>
      <c r="W1045" s="222"/>
      <c r="X1045" s="222"/>
      <c r="Y1045" s="215"/>
      <c r="Z1045" s="215"/>
      <c r="AA1045" s="215"/>
      <c r="AB1045" s="215"/>
      <c r="AC1045" s="215"/>
      <c r="AD1045" s="215"/>
      <c r="AE1045" s="215"/>
      <c r="AF1045" s="215"/>
      <c r="AG1045" s="215"/>
      <c r="AH1045" s="215"/>
      <c r="AI1045" s="215"/>
      <c r="AJ1045" s="215"/>
      <c r="AK1045" s="215"/>
      <c r="AL1045" s="215"/>
      <c r="AM1045" s="215"/>
      <c r="AN1045" s="215"/>
      <c r="AO1045" s="215"/>
      <c r="AP1045" s="215"/>
      <c r="AQ1045" s="215"/>
      <c r="AR1045" s="215"/>
      <c r="AS1045" s="215"/>
      <c r="AT1045" s="215"/>
      <c r="AU1045" s="215"/>
      <c r="AV1045" s="215"/>
      <c r="AW1045" s="215"/>
      <c r="AX1045" s="215"/>
      <c r="AY1045" s="215"/>
      <c r="AZ1045" s="215"/>
      <c r="BA1045" s="215"/>
      <c r="BB1045" s="215"/>
      <c r="BC1045" s="215"/>
      <c r="BD1045" s="215"/>
      <c r="BE1045" s="215"/>
      <c r="BF1045" s="215"/>
      <c r="BG1045" s="215"/>
      <c r="BH1045" s="215"/>
      <c r="BI1045" s="215"/>
      <c r="BJ1045" s="215"/>
      <c r="BK1045" s="215"/>
      <c r="BL1045" s="215"/>
      <c r="BM1045" s="215"/>
      <c r="BN1045" s="215"/>
      <c r="BO1045" s="215"/>
      <c r="BP1045" s="215"/>
      <c r="BQ1045" s="215"/>
      <c r="BR1045" s="215"/>
      <c r="BS1045" s="215"/>
      <c r="BT1045" s="215"/>
      <c r="BU1045" s="215"/>
      <c r="BV1045" s="215"/>
      <c r="BW1045" s="215"/>
      <c r="BX1045" s="215"/>
      <c r="BY1045" s="215"/>
      <c r="BZ1045" s="215"/>
    </row>
    <row r="1046" spans="1:78" outlineLevel="1" x14ac:dyDescent="0.2">
      <c r="A1046" s="2" t="str">
        <f>'Language Index'!A509</f>
        <v>Acq. Benefit Obligation</v>
      </c>
      <c r="B1046" s="17"/>
      <c r="C1046" s="17"/>
      <c r="D1046" s="18">
        <f>_xll.ciqfunctions.udf.CIQ($C$2,"IQ_OPEB_OBLIGATION_ACQ_FOREIGN",D$6,$F$2,,,Ccy,Conv)</f>
        <v>0</v>
      </c>
      <c r="E1046" s="18">
        <f>_xll.ciqfunctions.udf.CIQ($C$2,"IQ_OPEB_OBLIGATION_ACQ_FOREIGN",E$6,$F$2,,,Ccy,Conv)</f>
        <v>0</v>
      </c>
      <c r="F1046" s="18">
        <f>_xll.ciqfunctions.udf.CIQ($C$2,"IQ_OPEB_OBLIGATION_ACQ_FOREIGN",F$6,$F$2,,,Ccy,Conv)</f>
        <v>0</v>
      </c>
      <c r="G1046" s="18">
        <f>_xll.ciqfunctions.udf.CIQ($C$2,"IQ_OPEB_OBLIGATION_ACQ_FOREIGN",G$6,$F$2,,,Ccy,Conv)</f>
        <v>0</v>
      </c>
      <c r="H1046" s="18">
        <f>_xll.ciqfunctions.udf.CIQ($C$2,"IQ_OPEB_OBLIGATION_ACQ_FOREIGN",H$6,$F$2,,,Ccy,Conv)</f>
        <v>0</v>
      </c>
      <c r="I1046" s="18">
        <f>_xll.ciqfunctions.udf.CIQ($C$2,"IQ_OPEB_OBLIGATION_ACQ_FOREIGN",I$6,$F$2,,,Ccy,Conv)</f>
        <v>0</v>
      </c>
      <c r="J1046" s="18">
        <f>_xll.ciqfunctions.udf.CIQ($C$2,"IQ_OPEB_OBLIGATION_ACQ_FOREIGN",J$6,$F$2,,,Ccy,Conv)</f>
        <v>0</v>
      </c>
      <c r="K1046" s="18">
        <f>_xll.ciqfunctions.udf.CIQ($C$2,"IQ_OPEB_OBLIGATION_ACQ_FOREIGN",K$6,$F$2,,,Ccy,Conv)</f>
        <v>0</v>
      </c>
      <c r="L1046" s="18">
        <f>_xll.ciqfunctions.udf.CIQ($C$2,"IQ_OPEB_OBLIGATION_ACQ_FOREIGN",L$6,$F$2,,,Ccy,Conv)</f>
        <v>0</v>
      </c>
      <c r="M1046" s="18">
        <f>_xll.ciqfunctions.udf.CIQ($C$2,"IQ_OPEB_OBLIGATION_ACQ_FOREIGN",M$6,$F$2,,,Ccy,Conv)</f>
        <v>0</v>
      </c>
      <c r="N1046" s="18">
        <f>_xll.ciqfunctions.udf.CIQ($C$2,"IQ_OPEB_OBLIGATION_ACQ_FOREIGN",N$6,$F$2,,,Ccy,Conv)</f>
        <v>0</v>
      </c>
      <c r="O1046" s="30"/>
      <c r="P1046" s="18">
        <f>_xll.ciqfunctions.udf.CIQ($C$2,"IQ_OPEB_OBLIGATION_ACQ_FOREIGN",P$6,$F$2,,,Ccy,Conv)</f>
        <v>0</v>
      </c>
      <c r="Q1046" s="215"/>
      <c r="R1046" s="215"/>
      <c r="S1046" s="215"/>
      <c r="T1046" s="215"/>
      <c r="U1046" s="215"/>
      <c r="V1046" s="222"/>
      <c r="W1046" s="222"/>
      <c r="X1046" s="222"/>
      <c r="Y1046" s="215"/>
      <c r="Z1046" s="215"/>
      <c r="AA1046" s="215"/>
      <c r="AB1046" s="215"/>
      <c r="AC1046" s="215"/>
      <c r="AD1046" s="215"/>
      <c r="AE1046" s="215"/>
      <c r="AF1046" s="215"/>
      <c r="AG1046" s="215"/>
      <c r="AH1046" s="215"/>
      <c r="AI1046" s="215"/>
      <c r="AJ1046" s="215"/>
      <c r="AK1046" s="215"/>
      <c r="AL1046" s="215"/>
      <c r="AM1046" s="215"/>
      <c r="AN1046" s="215"/>
      <c r="AO1046" s="215"/>
      <c r="AP1046" s="215"/>
      <c r="AQ1046" s="215"/>
      <c r="AR1046" s="215"/>
      <c r="AS1046" s="215"/>
      <c r="AT1046" s="215"/>
      <c r="AU1046" s="215"/>
      <c r="AV1046" s="215"/>
      <c r="AW1046" s="215"/>
      <c r="AX1046" s="215"/>
      <c r="AY1046" s="215"/>
      <c r="AZ1046" s="215"/>
      <c r="BA1046" s="215"/>
      <c r="BB1046" s="215"/>
      <c r="BC1046" s="215"/>
      <c r="BD1046" s="215"/>
      <c r="BE1046" s="215"/>
      <c r="BF1046" s="215"/>
      <c r="BG1046" s="215"/>
      <c r="BH1046" s="215"/>
      <c r="BI1046" s="215"/>
      <c r="BJ1046" s="215"/>
      <c r="BK1046" s="215"/>
      <c r="BL1046" s="215"/>
      <c r="BM1046" s="215"/>
      <c r="BN1046" s="215"/>
      <c r="BO1046" s="215"/>
      <c r="BP1046" s="215"/>
      <c r="BQ1046" s="215"/>
      <c r="BR1046" s="215"/>
      <c r="BS1046" s="215"/>
      <c r="BT1046" s="215"/>
      <c r="BU1046" s="215"/>
      <c r="BV1046" s="215"/>
      <c r="BW1046" s="215"/>
      <c r="BX1046" s="215"/>
      <c r="BY1046" s="215"/>
      <c r="BZ1046" s="215"/>
    </row>
    <row r="1047" spans="1:78" outlineLevel="1" x14ac:dyDescent="0.2">
      <c r="A1047" s="2" t="str">
        <f>'Language Index'!A510</f>
        <v>Def. Benefit Settlement/Curtailment</v>
      </c>
      <c r="B1047" s="17"/>
      <c r="C1047" s="17"/>
      <c r="D1047" s="18">
        <f>_xll.ciqfunctions.udf.CIQ($C$2,"IQ_OPEB_OBLIGATION_CURTAIL_FOREIGN",D$6,$F$2,,,Ccy,Conv)</f>
        <v>0</v>
      </c>
      <c r="E1047" s="18">
        <f>_xll.ciqfunctions.udf.CIQ($C$2,"IQ_OPEB_OBLIGATION_CURTAIL_FOREIGN",E$6,$F$2,,,Ccy,Conv)</f>
        <v>0</v>
      </c>
      <c r="F1047" s="18">
        <f>_xll.ciqfunctions.udf.CIQ($C$2,"IQ_OPEB_OBLIGATION_CURTAIL_FOREIGN",F$6,$F$2,,,Ccy,Conv)</f>
        <v>0</v>
      </c>
      <c r="G1047" s="18">
        <f>_xll.ciqfunctions.udf.CIQ($C$2,"IQ_OPEB_OBLIGATION_CURTAIL_FOREIGN",G$6,$F$2,,,Ccy,Conv)</f>
        <v>0</v>
      </c>
      <c r="H1047" s="18">
        <f>_xll.ciqfunctions.udf.CIQ($C$2,"IQ_OPEB_OBLIGATION_CURTAIL_FOREIGN",H$6,$F$2,,,Ccy,Conv)</f>
        <v>0</v>
      </c>
      <c r="I1047" s="18">
        <f>_xll.ciqfunctions.udf.CIQ($C$2,"IQ_OPEB_OBLIGATION_CURTAIL_FOREIGN",I$6,$F$2,,,Ccy,Conv)</f>
        <v>0</v>
      </c>
      <c r="J1047" s="18">
        <f>_xll.ciqfunctions.udf.CIQ($C$2,"IQ_OPEB_OBLIGATION_CURTAIL_FOREIGN",J$6,$F$2,,,Ccy,Conv)</f>
        <v>0</v>
      </c>
      <c r="K1047" s="18">
        <f>_xll.ciqfunctions.udf.CIQ($C$2,"IQ_OPEB_OBLIGATION_CURTAIL_FOREIGN",K$6,$F$2,,,Ccy,Conv)</f>
        <v>0</v>
      </c>
      <c r="L1047" s="18">
        <f>_xll.ciqfunctions.udf.CIQ($C$2,"IQ_OPEB_OBLIGATION_CURTAIL_FOREIGN",L$6,$F$2,,,Ccy,Conv)</f>
        <v>0</v>
      </c>
      <c r="M1047" s="18">
        <f>_xll.ciqfunctions.udf.CIQ($C$2,"IQ_OPEB_OBLIGATION_CURTAIL_FOREIGN",M$6,$F$2,,,Ccy,Conv)</f>
        <v>0</v>
      </c>
      <c r="N1047" s="18">
        <f>_xll.ciqfunctions.udf.CIQ($C$2,"IQ_OPEB_OBLIGATION_CURTAIL_FOREIGN",N$6,$F$2,,,Ccy,Conv)</f>
        <v>0</v>
      </c>
      <c r="O1047" s="30"/>
      <c r="P1047" s="18">
        <f>_xll.ciqfunctions.udf.CIQ($C$2,"IQ_OPEB_OBLIGATION_CURTAIL_FOREIGN",P$6,$F$2,,,Ccy,Conv)</f>
        <v>0</v>
      </c>
      <c r="Q1047" s="215"/>
      <c r="R1047" s="215"/>
      <c r="S1047" s="215"/>
      <c r="T1047" s="215"/>
      <c r="U1047" s="215"/>
      <c r="V1047" s="222"/>
      <c r="W1047" s="222"/>
      <c r="X1047" s="222"/>
      <c r="Y1047" s="215"/>
      <c r="Z1047" s="215"/>
      <c r="AA1047" s="215"/>
      <c r="AB1047" s="215"/>
      <c r="AC1047" s="215"/>
      <c r="AD1047" s="215"/>
      <c r="AE1047" s="215"/>
      <c r="AF1047" s="215"/>
      <c r="AG1047" s="215"/>
      <c r="AH1047" s="215"/>
      <c r="AI1047" s="215"/>
      <c r="AJ1047" s="215"/>
      <c r="AK1047" s="215"/>
      <c r="AL1047" s="215"/>
      <c r="AM1047" s="215"/>
      <c r="AN1047" s="215"/>
      <c r="AO1047" s="215"/>
      <c r="AP1047" s="215"/>
      <c r="AQ1047" s="215"/>
      <c r="AR1047" s="215"/>
      <c r="AS1047" s="215"/>
      <c r="AT1047" s="215"/>
      <c r="AU1047" s="215"/>
      <c r="AV1047" s="215"/>
      <c r="AW1047" s="215"/>
      <c r="AX1047" s="215"/>
      <c r="AY1047" s="215"/>
      <c r="AZ1047" s="215"/>
      <c r="BA1047" s="215"/>
      <c r="BB1047" s="215"/>
      <c r="BC1047" s="215"/>
      <c r="BD1047" s="215"/>
      <c r="BE1047" s="215"/>
      <c r="BF1047" s="215"/>
      <c r="BG1047" s="215"/>
      <c r="BH1047" s="215"/>
      <c r="BI1047" s="215"/>
      <c r="BJ1047" s="215"/>
      <c r="BK1047" s="215"/>
      <c r="BL1047" s="215"/>
      <c r="BM1047" s="215"/>
      <c r="BN1047" s="215"/>
      <c r="BO1047" s="215"/>
      <c r="BP1047" s="215"/>
      <c r="BQ1047" s="215"/>
      <c r="BR1047" s="215"/>
      <c r="BS1047" s="215"/>
      <c r="BT1047" s="215"/>
      <c r="BU1047" s="215"/>
      <c r="BV1047" s="215"/>
      <c r="BW1047" s="215"/>
      <c r="BX1047" s="215"/>
      <c r="BY1047" s="215"/>
      <c r="BZ1047" s="215"/>
    </row>
    <row r="1048" spans="1:78" outlineLevel="1" x14ac:dyDescent="0.2">
      <c r="A1048" s="2" t="str">
        <f>'Language Index'!A511</f>
        <v>Other Adj. To Def. Benefit Obligation</v>
      </c>
      <c r="B1048" s="17"/>
      <c r="C1048" s="17"/>
      <c r="D1048" s="18">
        <f>_xll.ciqfunctions.udf.CIQ($C$2,"IQ_OPEB_OBLIGATION_OTHER_PLAN_ADJ_FOREIGN",D$6,$F$2,,,Ccy,Conv)</f>
        <v>0</v>
      </c>
      <c r="E1048" s="18">
        <f>_xll.ciqfunctions.udf.CIQ($C$2,"IQ_OPEB_OBLIGATION_OTHER_PLAN_ADJ_FOREIGN",E$6,$F$2,,,Ccy,Conv)</f>
        <v>0</v>
      </c>
      <c r="F1048" s="18">
        <f>_xll.ciqfunctions.udf.CIQ($C$2,"IQ_OPEB_OBLIGATION_OTHER_PLAN_ADJ_FOREIGN",F$6,$F$2,,,Ccy,Conv)</f>
        <v>-4</v>
      </c>
      <c r="G1048" s="18">
        <f>_xll.ciqfunctions.udf.CIQ($C$2,"IQ_OPEB_OBLIGATION_OTHER_PLAN_ADJ_FOREIGN",G$6,$F$2,,,Ccy,Conv)</f>
        <v>0</v>
      </c>
      <c r="H1048" s="18">
        <f>_xll.ciqfunctions.udf.CIQ($C$2,"IQ_OPEB_OBLIGATION_OTHER_PLAN_ADJ_FOREIGN",H$6,$F$2,,,Ccy,Conv)</f>
        <v>0</v>
      </c>
      <c r="I1048" s="18">
        <f>_xll.ciqfunctions.udf.CIQ($C$2,"IQ_OPEB_OBLIGATION_OTHER_PLAN_ADJ_FOREIGN",I$6,$F$2,,,Ccy,Conv)</f>
        <v>0</v>
      </c>
      <c r="J1048" s="18">
        <f>_xll.ciqfunctions.udf.CIQ($C$2,"IQ_OPEB_OBLIGATION_OTHER_PLAN_ADJ_FOREIGN",J$6,$F$2,,,Ccy,Conv)</f>
        <v>-1</v>
      </c>
      <c r="K1048" s="18">
        <f>_xll.ciqfunctions.udf.CIQ($C$2,"IQ_OPEB_OBLIGATION_OTHER_PLAN_ADJ_FOREIGN",K$6,$F$2,,,Ccy,Conv)</f>
        <v>0</v>
      </c>
      <c r="L1048" s="18">
        <f>_xll.ciqfunctions.udf.CIQ($C$2,"IQ_OPEB_OBLIGATION_OTHER_PLAN_ADJ_FOREIGN",L$6,$F$2,,,Ccy,Conv)</f>
        <v>0</v>
      </c>
      <c r="M1048" s="18">
        <f>_xll.ciqfunctions.udf.CIQ($C$2,"IQ_OPEB_OBLIGATION_OTHER_PLAN_ADJ_FOREIGN",M$6,$F$2,,,Ccy,Conv)</f>
        <v>0</v>
      </c>
      <c r="N1048" s="18">
        <f>_xll.ciqfunctions.udf.CIQ($C$2,"IQ_OPEB_OBLIGATION_OTHER_PLAN_ADJ_FOREIGN",N$6,$F$2,,,Ccy,Conv)</f>
        <v>0</v>
      </c>
      <c r="O1048" s="30"/>
      <c r="P1048" s="18">
        <f>_xll.ciqfunctions.udf.CIQ($C$2,"IQ_OPEB_OBLIGATION_OTHER_PLAN_ADJ_FOREIGN",P$6,$F$2,,,Ccy,Conv)</f>
        <v>0</v>
      </c>
      <c r="Q1048" s="215"/>
      <c r="R1048" s="215"/>
      <c r="S1048" s="215"/>
      <c r="T1048" s="215"/>
      <c r="U1048" s="215"/>
      <c r="V1048" s="222"/>
      <c r="W1048" s="222"/>
      <c r="X1048" s="222"/>
      <c r="Y1048" s="215"/>
      <c r="Z1048" s="215"/>
      <c r="AA1048" s="215"/>
      <c r="AB1048" s="215"/>
      <c r="AC1048" s="215"/>
      <c r="AD1048" s="215"/>
      <c r="AE1048" s="215"/>
      <c r="AF1048" s="215"/>
      <c r="AG1048" s="215"/>
      <c r="AH1048" s="215"/>
      <c r="AI1048" s="215"/>
      <c r="AJ1048" s="215"/>
      <c r="AK1048" s="215"/>
      <c r="AL1048" s="215"/>
      <c r="AM1048" s="215"/>
      <c r="AN1048" s="215"/>
      <c r="AO1048" s="215"/>
      <c r="AP1048" s="215"/>
      <c r="AQ1048" s="215"/>
      <c r="AR1048" s="215"/>
      <c r="AS1048" s="215"/>
      <c r="AT1048" s="215"/>
      <c r="AU1048" s="215"/>
      <c r="AV1048" s="215"/>
      <c r="AW1048" s="215"/>
      <c r="AX1048" s="215"/>
      <c r="AY1048" s="215"/>
      <c r="AZ1048" s="215"/>
      <c r="BA1048" s="215"/>
      <c r="BB1048" s="215"/>
      <c r="BC1048" s="215"/>
      <c r="BD1048" s="215"/>
      <c r="BE1048" s="215"/>
      <c r="BF1048" s="215"/>
      <c r="BG1048" s="215"/>
      <c r="BH1048" s="215"/>
      <c r="BI1048" s="215"/>
      <c r="BJ1048" s="215"/>
      <c r="BK1048" s="215"/>
      <c r="BL1048" s="215"/>
      <c r="BM1048" s="215"/>
      <c r="BN1048" s="215"/>
      <c r="BO1048" s="215"/>
      <c r="BP1048" s="215"/>
      <c r="BQ1048" s="215"/>
      <c r="BR1048" s="215"/>
      <c r="BS1048" s="215"/>
      <c r="BT1048" s="215"/>
      <c r="BU1048" s="215"/>
      <c r="BV1048" s="215"/>
      <c r="BW1048" s="215"/>
      <c r="BX1048" s="215"/>
      <c r="BY1048" s="215"/>
      <c r="BZ1048" s="215"/>
    </row>
    <row r="1049" spans="1:78" outlineLevel="1" x14ac:dyDescent="0.2">
      <c r="A1049" s="2" t="str">
        <f>'Language Index'!A588</f>
        <v>Projected Benefit Obligation</v>
      </c>
      <c r="B1049" s="17"/>
      <c r="C1049" s="17"/>
      <c r="D1049" s="18">
        <f>_xll.ciqfunctions.udf.CIQ($C$2,"IQ_OPEB_OBLIGATION_PROJECTED_FOREIGN",D$6,$F$2,,,Ccy,Conv)</f>
        <v>0</v>
      </c>
      <c r="E1049" s="18">
        <f>_xll.ciqfunctions.udf.CIQ($C$2,"IQ_OPEB_OBLIGATION_PROJECTED_FOREIGN",E$6,$F$2,,,Ccy,Conv)</f>
        <v>0</v>
      </c>
      <c r="F1049" s="18">
        <f>_xll.ciqfunctions.udf.CIQ($C$2,"IQ_OPEB_OBLIGATION_PROJECTED_FOREIGN",F$6,$F$2,,,Ccy,Conv)</f>
        <v>586</v>
      </c>
      <c r="G1049" s="18">
        <f>_xll.ciqfunctions.udf.CIQ($C$2,"IQ_OPEB_OBLIGATION_PROJECTED_FOREIGN",G$6,$F$2,,,Ccy,Conv)</f>
        <v>0</v>
      </c>
      <c r="H1049" s="18">
        <f>_xll.ciqfunctions.udf.CIQ($C$2,"IQ_OPEB_OBLIGATION_PROJECTED_FOREIGN",H$6,$F$2,,,Ccy,Conv)</f>
        <v>0</v>
      </c>
      <c r="I1049" s="18">
        <f>_xll.ciqfunctions.udf.CIQ($C$2,"IQ_OPEB_OBLIGATION_PROJECTED_FOREIGN",I$6,$F$2,,,Ccy,Conv)</f>
        <v>0</v>
      </c>
      <c r="J1049" s="18">
        <f>_xll.ciqfunctions.udf.CIQ($C$2,"IQ_OPEB_OBLIGATION_PROJECTED_FOREIGN",J$6,$F$2,,,Ccy,Conv)</f>
        <v>507</v>
      </c>
      <c r="K1049" s="18">
        <f>_xll.ciqfunctions.udf.CIQ($C$2,"IQ_OPEB_OBLIGATION_PROJECTED_FOREIGN",K$6,$F$2,,,Ccy,Conv)</f>
        <v>0</v>
      </c>
      <c r="L1049" s="18">
        <f>_xll.ciqfunctions.udf.CIQ($C$2,"IQ_OPEB_OBLIGATION_PROJECTED_FOREIGN",L$6,$F$2,,,Ccy,Conv)</f>
        <v>0</v>
      </c>
      <c r="M1049" s="18">
        <f>_xll.ciqfunctions.udf.CIQ($C$2,"IQ_OPEB_OBLIGATION_PROJECTED_FOREIGN",M$6,$F$2,,,Ccy,Conv)</f>
        <v>0</v>
      </c>
      <c r="N1049" s="18">
        <f>_xll.ciqfunctions.udf.CIQ($C$2,"IQ_OPEB_OBLIGATION_PROJECTED_FOREIGN",N$6,$F$2,,,Ccy,Conv)</f>
        <v>547</v>
      </c>
      <c r="O1049" s="30"/>
      <c r="P1049" s="18">
        <f>_xll.ciqfunctions.udf.CIQ($C$2,"IQ_OPEB_OBLIGATION_PROJECTED_FOREIGN",P$6,$F$2,,,Ccy,Conv)</f>
        <v>547</v>
      </c>
      <c r="Q1049" s="215"/>
      <c r="R1049" s="215"/>
      <c r="S1049" s="215"/>
      <c r="T1049" s="215"/>
      <c r="U1049" s="215"/>
      <c r="V1049" s="222"/>
      <c r="W1049" s="222"/>
      <c r="X1049" s="222"/>
      <c r="Y1049" s="215"/>
      <c r="Z1049" s="215"/>
      <c r="AA1049" s="215"/>
      <c r="AB1049" s="215"/>
      <c r="AC1049" s="215"/>
      <c r="AD1049" s="215"/>
      <c r="AE1049" s="215"/>
      <c r="AF1049" s="215"/>
      <c r="AG1049" s="215"/>
      <c r="AH1049" s="215"/>
      <c r="AI1049" s="215"/>
      <c r="AJ1049" s="215"/>
      <c r="AK1049" s="215"/>
      <c r="AL1049" s="215"/>
      <c r="AM1049" s="215"/>
      <c r="AN1049" s="215"/>
      <c r="AO1049" s="215"/>
      <c r="AP1049" s="215"/>
      <c r="AQ1049" s="215"/>
      <c r="AR1049" s="215"/>
      <c r="AS1049" s="215"/>
      <c r="AT1049" s="215"/>
      <c r="AU1049" s="215"/>
      <c r="AV1049" s="215"/>
      <c r="AW1049" s="215"/>
      <c r="AX1049" s="215"/>
      <c r="AY1049" s="215"/>
      <c r="AZ1049" s="215"/>
      <c r="BA1049" s="215"/>
      <c r="BB1049" s="215"/>
      <c r="BC1049" s="215"/>
      <c r="BD1049" s="215"/>
      <c r="BE1049" s="215"/>
      <c r="BF1049" s="215"/>
      <c r="BG1049" s="215"/>
      <c r="BH1049" s="215"/>
      <c r="BI1049" s="215"/>
      <c r="BJ1049" s="215"/>
      <c r="BK1049" s="215"/>
      <c r="BL1049" s="215"/>
      <c r="BM1049" s="215"/>
      <c r="BN1049" s="215"/>
      <c r="BO1049" s="215"/>
      <c r="BP1049" s="215"/>
      <c r="BQ1049" s="215"/>
      <c r="BR1049" s="215"/>
      <c r="BS1049" s="215"/>
      <c r="BT1049" s="215"/>
      <c r="BU1049" s="215"/>
      <c r="BV1049" s="215"/>
      <c r="BW1049" s="215"/>
      <c r="BX1049" s="215"/>
      <c r="BY1049" s="215"/>
      <c r="BZ1049" s="215"/>
    </row>
    <row r="1050" spans="1:78" outlineLevel="1" x14ac:dyDescent="0.2">
      <c r="A1050" s="2" t="str">
        <f>'Language Index'!A589</f>
        <v>Accumulated Benefit Obligation</v>
      </c>
      <c r="B1050" s="17"/>
      <c r="C1050" s="17"/>
      <c r="D1050" s="18">
        <f>_xll.ciqfunctions.udf.CIQ($C$2,"IQ_OPEB_OBLIGATION_ACCUMULATED_FOREIGN",D$6,$F$2,,,Ccy,Conv)</f>
        <v>0</v>
      </c>
      <c r="E1050" s="18">
        <f>_xll.ciqfunctions.udf.CIQ($C$2,"IQ_OPEB_OBLIGATION_ACCUMULATED_FOREIGN",E$6,$F$2,,,Ccy,Conv)</f>
        <v>0</v>
      </c>
      <c r="F1050" s="18">
        <f>_xll.ciqfunctions.udf.CIQ($C$2,"IQ_OPEB_OBLIGATION_ACCUMULATED_FOREIGN",F$6,$F$2,,,Ccy,Conv)</f>
        <v>0</v>
      </c>
      <c r="G1050" s="18">
        <f>_xll.ciqfunctions.udf.CIQ($C$2,"IQ_OPEB_OBLIGATION_ACCUMULATED_FOREIGN",G$6,$F$2,,,Ccy,Conv)</f>
        <v>0</v>
      </c>
      <c r="H1050" s="18">
        <f>_xll.ciqfunctions.udf.CIQ($C$2,"IQ_OPEB_OBLIGATION_ACCUMULATED_FOREIGN",H$6,$F$2,,,Ccy,Conv)</f>
        <v>0</v>
      </c>
      <c r="I1050" s="18">
        <f>_xll.ciqfunctions.udf.CIQ($C$2,"IQ_OPEB_OBLIGATION_ACCUMULATED_FOREIGN",I$6,$F$2,,,Ccy,Conv)</f>
        <v>0</v>
      </c>
      <c r="J1050" s="18">
        <f>_xll.ciqfunctions.udf.CIQ($C$2,"IQ_OPEB_OBLIGATION_ACCUMULATED_FOREIGN",J$6,$F$2,,,Ccy,Conv)</f>
        <v>0</v>
      </c>
      <c r="K1050" s="18">
        <f>_xll.ciqfunctions.udf.CIQ($C$2,"IQ_OPEB_OBLIGATION_ACCUMULATED_FOREIGN",K$6,$F$2,,,Ccy,Conv)</f>
        <v>0</v>
      </c>
      <c r="L1050" s="18">
        <f>_xll.ciqfunctions.udf.CIQ($C$2,"IQ_OPEB_OBLIGATION_ACCUMULATED_FOREIGN",L$6,$F$2,,,Ccy,Conv)</f>
        <v>0</v>
      </c>
      <c r="M1050" s="18">
        <f>_xll.ciqfunctions.udf.CIQ($C$2,"IQ_OPEB_OBLIGATION_ACCUMULATED_FOREIGN",M$6,$F$2,,,Ccy,Conv)</f>
        <v>0</v>
      </c>
      <c r="N1050" s="18">
        <f>_xll.ciqfunctions.udf.CIQ($C$2,"IQ_OPEB_OBLIGATION_ACCUMULATED_FOREIGN",N$6,$F$2,,,Ccy,Conv)</f>
        <v>0</v>
      </c>
      <c r="O1050" s="30"/>
      <c r="P1050" s="18">
        <f>_xll.ciqfunctions.udf.CIQ($C$2,"IQ_OPEB_OBLIGATION_ACCUMULATED_FOREIGN",P$6,$F$2,,,Ccy,Conv)</f>
        <v>0</v>
      </c>
      <c r="Q1050" s="215"/>
      <c r="R1050" s="215"/>
      <c r="S1050" s="215"/>
      <c r="T1050" s="215"/>
      <c r="U1050" s="215"/>
      <c r="V1050" s="222"/>
      <c r="W1050" s="222"/>
      <c r="X1050" s="222"/>
      <c r="Y1050" s="215"/>
      <c r="Z1050" s="215"/>
      <c r="AA1050" s="215"/>
      <c r="AB1050" s="215"/>
      <c r="AC1050" s="215"/>
      <c r="AD1050" s="215"/>
      <c r="AE1050" s="215"/>
      <c r="AF1050" s="215"/>
      <c r="AG1050" s="215"/>
      <c r="AH1050" s="215"/>
      <c r="AI1050" s="215"/>
      <c r="AJ1050" s="215"/>
      <c r="AK1050" s="215"/>
      <c r="AL1050" s="215"/>
      <c r="AM1050" s="215"/>
      <c r="AN1050" s="215"/>
      <c r="AO1050" s="215"/>
      <c r="AP1050" s="215"/>
      <c r="AQ1050" s="215"/>
      <c r="AR1050" s="215"/>
      <c r="AS1050" s="215"/>
      <c r="AT1050" s="215"/>
      <c r="AU1050" s="215"/>
      <c r="AV1050" s="215"/>
      <c r="AW1050" s="215"/>
      <c r="AX1050" s="215"/>
      <c r="AY1050" s="215"/>
      <c r="AZ1050" s="215"/>
      <c r="BA1050" s="215"/>
      <c r="BB1050" s="215"/>
      <c r="BC1050" s="215"/>
      <c r="BD1050" s="215"/>
      <c r="BE1050" s="215"/>
      <c r="BF1050" s="215"/>
      <c r="BG1050" s="215"/>
      <c r="BH1050" s="215"/>
      <c r="BI1050" s="215"/>
      <c r="BJ1050" s="215"/>
      <c r="BK1050" s="215"/>
      <c r="BL1050" s="215"/>
      <c r="BM1050" s="215"/>
      <c r="BN1050" s="215"/>
      <c r="BO1050" s="215"/>
      <c r="BP1050" s="215"/>
      <c r="BQ1050" s="215"/>
      <c r="BR1050" s="215"/>
      <c r="BS1050" s="215"/>
      <c r="BT1050" s="215"/>
      <c r="BU1050" s="215"/>
      <c r="BV1050" s="215"/>
      <c r="BW1050" s="215"/>
      <c r="BX1050" s="215"/>
      <c r="BY1050" s="215"/>
      <c r="BZ1050" s="215"/>
    </row>
    <row r="1051" spans="1:78" outlineLevel="1" x14ac:dyDescent="0.2">
      <c r="A1051" s="9" t="str">
        <f>'Language Index'!A514</f>
        <v>Plan Assets</v>
      </c>
      <c r="B1051" s="17"/>
      <c r="C1051" s="17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30"/>
      <c r="P1051" s="18"/>
      <c r="Q1051" s="215"/>
      <c r="R1051" s="215"/>
      <c r="S1051" s="215"/>
      <c r="T1051" s="215"/>
      <c r="U1051" s="215"/>
      <c r="V1051" s="222"/>
      <c r="W1051" s="222"/>
      <c r="X1051" s="222"/>
      <c r="Y1051" s="215"/>
      <c r="Z1051" s="215"/>
      <c r="AA1051" s="215"/>
      <c r="AB1051" s="215"/>
      <c r="AC1051" s="215"/>
      <c r="AD1051" s="215"/>
      <c r="AE1051" s="215"/>
      <c r="AF1051" s="215"/>
      <c r="AG1051" s="215"/>
      <c r="AH1051" s="215"/>
      <c r="AI1051" s="215"/>
      <c r="AJ1051" s="215"/>
      <c r="AK1051" s="215"/>
      <c r="AL1051" s="215"/>
      <c r="AM1051" s="215"/>
      <c r="AN1051" s="215"/>
      <c r="AO1051" s="215"/>
      <c r="AP1051" s="215"/>
      <c r="AQ1051" s="215"/>
      <c r="AR1051" s="215"/>
      <c r="AS1051" s="215"/>
      <c r="AT1051" s="215"/>
      <c r="AU1051" s="215"/>
      <c r="AV1051" s="215"/>
      <c r="AW1051" s="215"/>
      <c r="AX1051" s="215"/>
      <c r="AY1051" s="215"/>
      <c r="AZ1051" s="215"/>
      <c r="BA1051" s="215"/>
      <c r="BB1051" s="215"/>
      <c r="BC1051" s="215"/>
      <c r="BD1051" s="215"/>
      <c r="BE1051" s="215"/>
      <c r="BF1051" s="215"/>
      <c r="BG1051" s="215"/>
      <c r="BH1051" s="215"/>
      <c r="BI1051" s="215"/>
      <c r="BJ1051" s="215"/>
      <c r="BK1051" s="215"/>
      <c r="BL1051" s="215"/>
      <c r="BM1051" s="215"/>
      <c r="BN1051" s="215"/>
      <c r="BO1051" s="215"/>
      <c r="BP1051" s="215"/>
      <c r="BQ1051" s="215"/>
      <c r="BR1051" s="215"/>
      <c r="BS1051" s="215"/>
      <c r="BT1051" s="215"/>
      <c r="BU1051" s="215"/>
      <c r="BV1051" s="215"/>
      <c r="BW1051" s="215"/>
      <c r="BX1051" s="215"/>
      <c r="BY1051" s="215"/>
      <c r="BZ1051" s="215"/>
    </row>
    <row r="1052" spans="1:78" outlineLevel="1" x14ac:dyDescent="0.2">
      <c r="A1052" s="2" t="str">
        <f>'Language Index'!A515</f>
        <v>Beg. Plan Assets</v>
      </c>
      <c r="B1052" s="17"/>
      <c r="C1052" s="17"/>
      <c r="D1052" s="18">
        <f>_xll.ciqfunctions.udf.CIQ($C$2,"IQ_OPEB_ASSETS_BEG_FOREIGN",D$6,$F$2,,,Ccy,Conv)</f>
        <v>0</v>
      </c>
      <c r="E1052" s="18">
        <f>_xll.ciqfunctions.udf.CIQ($C$2,"IQ_OPEB_ASSETS_BEG_FOREIGN",E$6,$F$2,,,Ccy,Conv)</f>
        <v>0</v>
      </c>
      <c r="F1052" s="18">
        <f>_xll.ciqfunctions.udf.CIQ($C$2,"IQ_OPEB_ASSETS_BEG_FOREIGN",F$6,$F$2,,,Ccy,Conv)</f>
        <v>29</v>
      </c>
      <c r="G1052" s="18">
        <f>_xll.ciqfunctions.udf.CIQ($C$2,"IQ_OPEB_ASSETS_BEG_FOREIGN",G$6,$F$2,,,Ccy,Conv)</f>
        <v>0</v>
      </c>
      <c r="H1052" s="18">
        <f>_xll.ciqfunctions.udf.CIQ($C$2,"IQ_OPEB_ASSETS_BEG_FOREIGN",H$6,$F$2,,,Ccy,Conv)</f>
        <v>0</v>
      </c>
      <c r="I1052" s="18">
        <f>_xll.ciqfunctions.udf.CIQ($C$2,"IQ_OPEB_ASSETS_BEG_FOREIGN",I$6,$F$2,,,Ccy,Conv)</f>
        <v>0</v>
      </c>
      <c r="J1052" s="18">
        <f>_xll.ciqfunctions.udf.CIQ($C$2,"IQ_OPEB_ASSETS_BEG_FOREIGN",J$6,$F$2,,,Ccy,Conv)</f>
        <v>23</v>
      </c>
      <c r="K1052" s="18">
        <f>_xll.ciqfunctions.udf.CIQ($C$2,"IQ_OPEB_ASSETS_BEG_FOREIGN",K$6,$F$2,,,Ccy,Conv)</f>
        <v>0</v>
      </c>
      <c r="L1052" s="18">
        <f>_xll.ciqfunctions.udf.CIQ($C$2,"IQ_OPEB_ASSETS_BEG_FOREIGN",L$6,$F$2,,,Ccy,Conv)</f>
        <v>0</v>
      </c>
      <c r="M1052" s="18">
        <f>_xll.ciqfunctions.udf.CIQ($C$2,"IQ_OPEB_ASSETS_BEG_FOREIGN",M$6,$F$2,,,Ccy,Conv)</f>
        <v>0</v>
      </c>
      <c r="N1052" s="18">
        <f>_xll.ciqfunctions.udf.CIQ($C$2,"IQ_OPEB_ASSETS_BEG_FOREIGN",N$6,$F$2,,,Ccy,Conv)</f>
        <v>14</v>
      </c>
      <c r="O1052" s="30"/>
      <c r="P1052" s="18">
        <f>_xll.ciqfunctions.udf.CIQ($C$2,"IQ_OPEB_ASSETS_BEG_FOREIGN",P$6,$F$2,,,Ccy,Conv)</f>
        <v>14</v>
      </c>
      <c r="Q1052" s="215"/>
      <c r="R1052" s="215"/>
      <c r="S1052" s="215"/>
      <c r="T1052" s="215"/>
      <c r="U1052" s="215"/>
      <c r="V1052" s="222"/>
      <c r="W1052" s="222"/>
      <c r="X1052" s="222"/>
      <c r="Y1052" s="215"/>
      <c r="Z1052" s="215"/>
      <c r="AA1052" s="215"/>
      <c r="AB1052" s="215"/>
      <c r="AC1052" s="215"/>
      <c r="AD1052" s="215"/>
      <c r="AE1052" s="215"/>
      <c r="AF1052" s="215"/>
      <c r="AG1052" s="215"/>
      <c r="AH1052" s="215"/>
      <c r="AI1052" s="215"/>
      <c r="AJ1052" s="215"/>
      <c r="AK1052" s="215"/>
      <c r="AL1052" s="215"/>
      <c r="AM1052" s="215"/>
      <c r="AN1052" s="215"/>
      <c r="AO1052" s="215"/>
      <c r="AP1052" s="215"/>
      <c r="AQ1052" s="215"/>
      <c r="AR1052" s="215"/>
      <c r="AS1052" s="215"/>
      <c r="AT1052" s="215"/>
      <c r="AU1052" s="215"/>
      <c r="AV1052" s="215"/>
      <c r="AW1052" s="215"/>
      <c r="AX1052" s="215"/>
      <c r="AY1052" s="215"/>
      <c r="AZ1052" s="215"/>
      <c r="BA1052" s="215"/>
      <c r="BB1052" s="215"/>
      <c r="BC1052" s="215"/>
      <c r="BD1052" s="215"/>
      <c r="BE1052" s="215"/>
      <c r="BF1052" s="215"/>
      <c r="BG1052" s="215"/>
      <c r="BH1052" s="215"/>
      <c r="BI1052" s="215"/>
      <c r="BJ1052" s="215"/>
      <c r="BK1052" s="215"/>
      <c r="BL1052" s="215"/>
      <c r="BM1052" s="215"/>
      <c r="BN1052" s="215"/>
      <c r="BO1052" s="215"/>
      <c r="BP1052" s="215"/>
      <c r="BQ1052" s="215"/>
      <c r="BR1052" s="215"/>
      <c r="BS1052" s="215"/>
      <c r="BT1052" s="215"/>
      <c r="BU1052" s="215"/>
      <c r="BV1052" s="215"/>
      <c r="BW1052" s="215"/>
      <c r="BX1052" s="215"/>
      <c r="BY1052" s="215"/>
      <c r="BZ1052" s="215"/>
    </row>
    <row r="1053" spans="1:78" outlineLevel="1" x14ac:dyDescent="0.2">
      <c r="A1053" s="2" t="str">
        <f>'Language Index'!A516</f>
        <v>Actual Return on Plan Assets</v>
      </c>
      <c r="B1053" s="17"/>
      <c r="C1053" s="17"/>
      <c r="D1053" s="18">
        <f>_xll.ciqfunctions.udf.CIQ($C$2,"IQ_OPEB_ASSETS_ACTUAL_RETURN_FOREIGN",D$6,$F$2,,,Ccy,Conv)</f>
        <v>0</v>
      </c>
      <c r="E1053" s="18">
        <f>_xll.ciqfunctions.udf.CIQ($C$2,"IQ_OPEB_ASSETS_ACTUAL_RETURN_FOREIGN",E$6,$F$2,,,Ccy,Conv)</f>
        <v>0</v>
      </c>
      <c r="F1053" s="18">
        <f>_xll.ciqfunctions.udf.CIQ($C$2,"IQ_OPEB_ASSETS_ACTUAL_RETURN_FOREIGN",F$6,$F$2,,,Ccy,Conv)</f>
        <v>3</v>
      </c>
      <c r="G1053" s="18">
        <f>_xll.ciqfunctions.udf.CIQ($C$2,"IQ_OPEB_ASSETS_ACTUAL_RETURN_FOREIGN",G$6,$F$2,,,Ccy,Conv)</f>
        <v>0</v>
      </c>
      <c r="H1053" s="18">
        <f>_xll.ciqfunctions.udf.CIQ($C$2,"IQ_OPEB_ASSETS_ACTUAL_RETURN_FOREIGN",H$6,$F$2,,,Ccy,Conv)</f>
        <v>0</v>
      </c>
      <c r="I1053" s="18">
        <f>_xll.ciqfunctions.udf.CIQ($C$2,"IQ_OPEB_ASSETS_ACTUAL_RETURN_FOREIGN",I$6,$F$2,,,Ccy,Conv)</f>
        <v>0</v>
      </c>
      <c r="J1053" s="18">
        <f>_xll.ciqfunctions.udf.CIQ($C$2,"IQ_OPEB_ASSETS_ACTUAL_RETURN_FOREIGN",J$6,$F$2,,,Ccy,Conv)</f>
        <v>1</v>
      </c>
      <c r="K1053" s="18">
        <f>_xll.ciqfunctions.udf.CIQ($C$2,"IQ_OPEB_ASSETS_ACTUAL_RETURN_FOREIGN",K$6,$F$2,,,Ccy,Conv)</f>
        <v>0</v>
      </c>
      <c r="L1053" s="18">
        <f>_xll.ciqfunctions.udf.CIQ($C$2,"IQ_OPEB_ASSETS_ACTUAL_RETURN_FOREIGN",L$6,$F$2,,,Ccy,Conv)</f>
        <v>0</v>
      </c>
      <c r="M1053" s="18">
        <f>_xll.ciqfunctions.udf.CIQ($C$2,"IQ_OPEB_ASSETS_ACTUAL_RETURN_FOREIGN",M$6,$F$2,,,Ccy,Conv)</f>
        <v>0</v>
      </c>
      <c r="N1053" s="18">
        <f>_xll.ciqfunctions.udf.CIQ($C$2,"IQ_OPEB_ASSETS_ACTUAL_RETURN_FOREIGN",N$6,$F$2,,,Ccy,Conv)</f>
        <v>1</v>
      </c>
      <c r="O1053" s="30"/>
      <c r="P1053" s="18">
        <f>_xll.ciqfunctions.udf.CIQ($C$2,"IQ_OPEB_ASSETS_ACTUAL_RETURN_FOREIGN",P$6,$F$2,,,Ccy,Conv)</f>
        <v>1</v>
      </c>
      <c r="Q1053" s="215"/>
      <c r="R1053" s="215"/>
      <c r="S1053" s="215"/>
      <c r="T1053" s="215"/>
      <c r="U1053" s="215"/>
      <c r="V1053" s="222"/>
      <c r="W1053" s="222"/>
      <c r="X1053" s="222"/>
      <c r="Y1053" s="215"/>
      <c r="Z1053" s="215"/>
      <c r="AA1053" s="215"/>
      <c r="AB1053" s="215"/>
      <c r="AC1053" s="215"/>
      <c r="AD1053" s="215"/>
      <c r="AE1053" s="215"/>
      <c r="AF1053" s="215"/>
      <c r="AG1053" s="215"/>
      <c r="AH1053" s="215"/>
      <c r="AI1053" s="215"/>
      <c r="AJ1053" s="215"/>
      <c r="AK1053" s="215"/>
      <c r="AL1053" s="215"/>
      <c r="AM1053" s="215"/>
      <c r="AN1053" s="215"/>
      <c r="AO1053" s="215"/>
      <c r="AP1053" s="215"/>
      <c r="AQ1053" s="215"/>
      <c r="AR1053" s="215"/>
      <c r="AS1053" s="215"/>
      <c r="AT1053" s="215"/>
      <c r="AU1053" s="215"/>
      <c r="AV1053" s="215"/>
      <c r="AW1053" s="215"/>
      <c r="AX1053" s="215"/>
      <c r="AY1053" s="215"/>
      <c r="AZ1053" s="215"/>
      <c r="BA1053" s="215"/>
      <c r="BB1053" s="215"/>
      <c r="BC1053" s="215"/>
      <c r="BD1053" s="215"/>
      <c r="BE1053" s="215"/>
      <c r="BF1053" s="215"/>
      <c r="BG1053" s="215"/>
      <c r="BH1053" s="215"/>
      <c r="BI1053" s="215"/>
      <c r="BJ1053" s="215"/>
      <c r="BK1053" s="215"/>
      <c r="BL1053" s="215"/>
      <c r="BM1053" s="215"/>
      <c r="BN1053" s="215"/>
      <c r="BO1053" s="215"/>
      <c r="BP1053" s="215"/>
      <c r="BQ1053" s="215"/>
      <c r="BR1053" s="215"/>
      <c r="BS1053" s="215"/>
      <c r="BT1053" s="215"/>
      <c r="BU1053" s="215"/>
      <c r="BV1053" s="215"/>
      <c r="BW1053" s="215"/>
      <c r="BX1053" s="215"/>
      <c r="BY1053" s="215"/>
      <c r="BZ1053" s="215"/>
    </row>
    <row r="1054" spans="1:78" outlineLevel="1" x14ac:dyDescent="0.2">
      <c r="A1054" s="2" t="str">
        <f>'Language Index'!A517</f>
        <v>Employer Contributions</v>
      </c>
      <c r="B1054" s="17"/>
      <c r="C1054" s="17"/>
      <c r="D1054" s="18">
        <f>_xll.ciqfunctions.udf.CIQ($C$2,"IQ_OPEB_ASSETS_EMPLOYER_CONTRIBUTIONS_FOREIGN",D$6,$F$2,,,Ccy,Conv)</f>
        <v>0</v>
      </c>
      <c r="E1054" s="18">
        <f>_xll.ciqfunctions.udf.CIQ($C$2,"IQ_OPEB_ASSETS_EMPLOYER_CONTRIBUTIONS_FOREIGN",E$6,$F$2,,,Ccy,Conv)</f>
        <v>0</v>
      </c>
      <c r="F1054" s="18">
        <f>_xll.ciqfunctions.udf.CIQ($C$2,"IQ_OPEB_ASSETS_EMPLOYER_CONTRIBUTIONS_FOREIGN",F$6,$F$2,,,Ccy,Conv)</f>
        <v>0</v>
      </c>
      <c r="G1054" s="18">
        <f>_xll.ciqfunctions.udf.CIQ($C$2,"IQ_OPEB_ASSETS_EMPLOYER_CONTRIBUTIONS_FOREIGN",G$6,$F$2,,,Ccy,Conv)</f>
        <v>0</v>
      </c>
      <c r="H1054" s="18">
        <f>_xll.ciqfunctions.udf.CIQ($C$2,"IQ_OPEB_ASSETS_EMPLOYER_CONTRIBUTIONS_FOREIGN",H$6,$F$2,,,Ccy,Conv)</f>
        <v>0</v>
      </c>
      <c r="I1054" s="18">
        <f>_xll.ciqfunctions.udf.CIQ($C$2,"IQ_OPEB_ASSETS_EMPLOYER_CONTRIBUTIONS_FOREIGN",I$6,$F$2,,,Ccy,Conv)</f>
        <v>0</v>
      </c>
      <c r="J1054" s="18">
        <f>_xll.ciqfunctions.udf.CIQ($C$2,"IQ_OPEB_ASSETS_EMPLOYER_CONTRIBUTIONS_FOREIGN",J$6,$F$2,,,Ccy,Conv)</f>
        <v>0</v>
      </c>
      <c r="K1054" s="18">
        <f>_xll.ciqfunctions.udf.CIQ($C$2,"IQ_OPEB_ASSETS_EMPLOYER_CONTRIBUTIONS_FOREIGN",K$6,$F$2,,,Ccy,Conv)</f>
        <v>0</v>
      </c>
      <c r="L1054" s="18">
        <f>_xll.ciqfunctions.udf.CIQ($C$2,"IQ_OPEB_ASSETS_EMPLOYER_CONTRIBUTIONS_FOREIGN",L$6,$F$2,,,Ccy,Conv)</f>
        <v>0</v>
      </c>
      <c r="M1054" s="18">
        <f>_xll.ciqfunctions.udf.CIQ($C$2,"IQ_OPEB_ASSETS_EMPLOYER_CONTRIBUTIONS_FOREIGN",M$6,$F$2,,,Ccy,Conv)</f>
        <v>0</v>
      </c>
      <c r="N1054" s="18">
        <f>_xll.ciqfunctions.udf.CIQ($C$2,"IQ_OPEB_ASSETS_EMPLOYER_CONTRIBUTIONS_FOREIGN",N$6,$F$2,,,Ccy,Conv)</f>
        <v>0</v>
      </c>
      <c r="O1054" s="30"/>
      <c r="P1054" s="18">
        <f>_xll.ciqfunctions.udf.CIQ($C$2,"IQ_OPEB_ASSETS_EMPLOYER_CONTRIBUTIONS_FOREIGN",P$6,$F$2,,,Ccy,Conv)</f>
        <v>0</v>
      </c>
      <c r="Q1054" s="215"/>
      <c r="R1054" s="215"/>
      <c r="S1054" s="215"/>
      <c r="T1054" s="215"/>
      <c r="U1054" s="215"/>
      <c r="V1054" s="222"/>
      <c r="W1054" s="222"/>
      <c r="X1054" s="222"/>
      <c r="Y1054" s="215"/>
      <c r="Z1054" s="215"/>
      <c r="AA1054" s="215"/>
      <c r="AB1054" s="215"/>
      <c r="AC1054" s="215"/>
      <c r="AD1054" s="215"/>
      <c r="AE1054" s="215"/>
      <c r="AF1054" s="215"/>
      <c r="AG1054" s="215"/>
      <c r="AH1054" s="215"/>
      <c r="AI1054" s="215"/>
      <c r="AJ1054" s="215"/>
      <c r="AK1054" s="215"/>
      <c r="AL1054" s="215"/>
      <c r="AM1054" s="215"/>
      <c r="AN1054" s="215"/>
      <c r="AO1054" s="215"/>
      <c r="AP1054" s="215"/>
      <c r="AQ1054" s="215"/>
      <c r="AR1054" s="215"/>
      <c r="AS1054" s="215"/>
      <c r="AT1054" s="215"/>
      <c r="AU1054" s="215"/>
      <c r="AV1054" s="215"/>
      <c r="AW1054" s="215"/>
      <c r="AX1054" s="215"/>
      <c r="AY1054" s="215"/>
      <c r="AZ1054" s="215"/>
      <c r="BA1054" s="215"/>
      <c r="BB1054" s="215"/>
      <c r="BC1054" s="215"/>
      <c r="BD1054" s="215"/>
      <c r="BE1054" s="215"/>
      <c r="BF1054" s="215"/>
      <c r="BG1054" s="215"/>
      <c r="BH1054" s="215"/>
      <c r="BI1054" s="215"/>
      <c r="BJ1054" s="215"/>
      <c r="BK1054" s="215"/>
      <c r="BL1054" s="215"/>
      <c r="BM1054" s="215"/>
      <c r="BN1054" s="215"/>
      <c r="BO1054" s="215"/>
      <c r="BP1054" s="215"/>
      <c r="BQ1054" s="215"/>
      <c r="BR1054" s="215"/>
      <c r="BS1054" s="215"/>
      <c r="BT1054" s="215"/>
      <c r="BU1054" s="215"/>
      <c r="BV1054" s="215"/>
      <c r="BW1054" s="215"/>
      <c r="BX1054" s="215"/>
      <c r="BY1054" s="215"/>
      <c r="BZ1054" s="215"/>
    </row>
    <row r="1055" spans="1:78" outlineLevel="1" x14ac:dyDescent="0.2">
      <c r="A1055" s="2" t="str">
        <f>'Language Index'!A518</f>
        <v>Participant Contributions</v>
      </c>
      <c r="B1055" s="17"/>
      <c r="C1055" s="17"/>
      <c r="D1055" s="18">
        <f>_xll.ciqfunctions.udf.CIQ($C$2,"IQ_OPEB_ASSETS_PARTICIP_CONTRIBUTIONS_FOREIGN",D$6,$F$2,,,Ccy,Conv)</f>
        <v>0</v>
      </c>
      <c r="E1055" s="18">
        <f>_xll.ciqfunctions.udf.CIQ($C$2,"IQ_OPEB_ASSETS_PARTICIP_CONTRIBUTIONS_FOREIGN",E$6,$F$2,,,Ccy,Conv)</f>
        <v>0</v>
      </c>
      <c r="F1055" s="18">
        <f>_xll.ciqfunctions.udf.CIQ($C$2,"IQ_OPEB_ASSETS_PARTICIP_CONTRIBUTIONS_FOREIGN",F$6,$F$2,,,Ccy,Conv)</f>
        <v>0</v>
      </c>
      <c r="G1055" s="18">
        <f>_xll.ciqfunctions.udf.CIQ($C$2,"IQ_OPEB_ASSETS_PARTICIP_CONTRIBUTIONS_FOREIGN",G$6,$F$2,,,Ccy,Conv)</f>
        <v>0</v>
      </c>
      <c r="H1055" s="18">
        <f>_xll.ciqfunctions.udf.CIQ($C$2,"IQ_OPEB_ASSETS_PARTICIP_CONTRIBUTIONS_FOREIGN",H$6,$F$2,,,Ccy,Conv)</f>
        <v>0</v>
      </c>
      <c r="I1055" s="18">
        <f>_xll.ciqfunctions.udf.CIQ($C$2,"IQ_OPEB_ASSETS_PARTICIP_CONTRIBUTIONS_FOREIGN",I$6,$F$2,,,Ccy,Conv)</f>
        <v>0</v>
      </c>
      <c r="J1055" s="18">
        <f>_xll.ciqfunctions.udf.CIQ($C$2,"IQ_OPEB_ASSETS_PARTICIP_CONTRIBUTIONS_FOREIGN",J$6,$F$2,,,Ccy,Conv)</f>
        <v>0</v>
      </c>
      <c r="K1055" s="18">
        <f>_xll.ciqfunctions.udf.CIQ($C$2,"IQ_OPEB_ASSETS_PARTICIP_CONTRIBUTIONS_FOREIGN",K$6,$F$2,,,Ccy,Conv)</f>
        <v>0</v>
      </c>
      <c r="L1055" s="18">
        <f>_xll.ciqfunctions.udf.CIQ($C$2,"IQ_OPEB_ASSETS_PARTICIP_CONTRIBUTIONS_FOREIGN",L$6,$F$2,,,Ccy,Conv)</f>
        <v>0</v>
      </c>
      <c r="M1055" s="18">
        <f>_xll.ciqfunctions.udf.CIQ($C$2,"IQ_OPEB_ASSETS_PARTICIP_CONTRIBUTIONS_FOREIGN",M$6,$F$2,,,Ccy,Conv)</f>
        <v>0</v>
      </c>
      <c r="N1055" s="18">
        <f>_xll.ciqfunctions.udf.CIQ($C$2,"IQ_OPEB_ASSETS_PARTICIP_CONTRIBUTIONS_FOREIGN",N$6,$F$2,,,Ccy,Conv)</f>
        <v>0</v>
      </c>
      <c r="O1055" s="30"/>
      <c r="P1055" s="18">
        <f>_xll.ciqfunctions.udf.CIQ($C$2,"IQ_OPEB_ASSETS_PARTICIP_CONTRIBUTIONS_FOREIGN",P$6,$F$2,,,Ccy,Conv)</f>
        <v>0</v>
      </c>
      <c r="Q1055" s="215"/>
      <c r="R1055" s="215"/>
      <c r="S1055" s="215"/>
      <c r="T1055" s="215"/>
      <c r="U1055" s="215"/>
      <c r="V1055" s="222"/>
      <c r="W1055" s="222"/>
      <c r="X1055" s="222"/>
      <c r="Y1055" s="215"/>
      <c r="Z1055" s="215"/>
      <c r="AA1055" s="215"/>
      <c r="AB1055" s="215"/>
      <c r="AC1055" s="215"/>
      <c r="AD1055" s="215"/>
      <c r="AE1055" s="215"/>
      <c r="AF1055" s="215"/>
      <c r="AG1055" s="215"/>
      <c r="AH1055" s="215"/>
      <c r="AI1055" s="215"/>
      <c r="AJ1055" s="215"/>
      <c r="AK1055" s="215"/>
      <c r="AL1055" s="215"/>
      <c r="AM1055" s="215"/>
      <c r="AN1055" s="215"/>
      <c r="AO1055" s="215"/>
      <c r="AP1055" s="215"/>
      <c r="AQ1055" s="215"/>
      <c r="AR1055" s="215"/>
      <c r="AS1055" s="215"/>
      <c r="AT1055" s="215"/>
      <c r="AU1055" s="215"/>
      <c r="AV1055" s="215"/>
      <c r="AW1055" s="215"/>
      <c r="AX1055" s="215"/>
      <c r="AY1055" s="215"/>
      <c r="AZ1055" s="215"/>
      <c r="BA1055" s="215"/>
      <c r="BB1055" s="215"/>
      <c r="BC1055" s="215"/>
      <c r="BD1055" s="215"/>
      <c r="BE1055" s="215"/>
      <c r="BF1055" s="215"/>
      <c r="BG1055" s="215"/>
      <c r="BH1055" s="215"/>
      <c r="BI1055" s="215"/>
      <c r="BJ1055" s="215"/>
      <c r="BK1055" s="215"/>
      <c r="BL1055" s="215"/>
      <c r="BM1055" s="215"/>
      <c r="BN1055" s="215"/>
      <c r="BO1055" s="215"/>
      <c r="BP1055" s="215"/>
      <c r="BQ1055" s="215"/>
      <c r="BR1055" s="215"/>
      <c r="BS1055" s="215"/>
      <c r="BT1055" s="215"/>
      <c r="BU1055" s="215"/>
      <c r="BV1055" s="215"/>
      <c r="BW1055" s="215"/>
      <c r="BX1055" s="215"/>
      <c r="BY1055" s="215"/>
      <c r="BZ1055" s="215"/>
    </row>
    <row r="1056" spans="1:78" outlineLevel="1" x14ac:dyDescent="0.2">
      <c r="A1056" s="2" t="str">
        <f>'Language Index'!A519</f>
        <v>Benefits Paid</v>
      </c>
      <c r="B1056" s="17"/>
      <c r="C1056" s="17"/>
      <c r="D1056" s="18">
        <f>_xll.ciqfunctions.udf.CIQ($C$2,"IQ_OPEB_ASSETS_BENEFITS_PAID_FOREIGN",D$6,$F$2,,,Ccy,Conv)</f>
        <v>0</v>
      </c>
      <c r="E1056" s="18">
        <f>_xll.ciqfunctions.udf.CIQ($C$2,"IQ_OPEB_ASSETS_BENEFITS_PAID_FOREIGN",E$6,$F$2,,,Ccy,Conv)</f>
        <v>0</v>
      </c>
      <c r="F1056" s="18">
        <f>_xll.ciqfunctions.udf.CIQ($C$2,"IQ_OPEB_ASSETS_BENEFITS_PAID_FOREIGN",F$6,$F$2,,,Ccy,Conv)</f>
        <v>-7</v>
      </c>
      <c r="G1056" s="18">
        <f>_xll.ciqfunctions.udf.CIQ($C$2,"IQ_OPEB_ASSETS_BENEFITS_PAID_FOREIGN",G$6,$F$2,,,Ccy,Conv)</f>
        <v>0</v>
      </c>
      <c r="H1056" s="18">
        <f>_xll.ciqfunctions.udf.CIQ($C$2,"IQ_OPEB_ASSETS_BENEFITS_PAID_FOREIGN",H$6,$F$2,,,Ccy,Conv)</f>
        <v>0</v>
      </c>
      <c r="I1056" s="18">
        <f>_xll.ciqfunctions.udf.CIQ($C$2,"IQ_OPEB_ASSETS_BENEFITS_PAID_FOREIGN",I$6,$F$2,,,Ccy,Conv)</f>
        <v>0</v>
      </c>
      <c r="J1056" s="18">
        <f>_xll.ciqfunctions.udf.CIQ($C$2,"IQ_OPEB_ASSETS_BENEFITS_PAID_FOREIGN",J$6,$F$2,,,Ccy,Conv)</f>
        <v>-4</v>
      </c>
      <c r="K1056" s="18">
        <f>_xll.ciqfunctions.udf.CIQ($C$2,"IQ_OPEB_ASSETS_BENEFITS_PAID_FOREIGN",K$6,$F$2,,,Ccy,Conv)</f>
        <v>0</v>
      </c>
      <c r="L1056" s="18">
        <f>_xll.ciqfunctions.udf.CIQ($C$2,"IQ_OPEB_ASSETS_BENEFITS_PAID_FOREIGN",L$6,$F$2,,,Ccy,Conv)</f>
        <v>0</v>
      </c>
      <c r="M1056" s="18">
        <f>_xll.ciqfunctions.udf.CIQ($C$2,"IQ_OPEB_ASSETS_BENEFITS_PAID_FOREIGN",M$6,$F$2,,,Ccy,Conv)</f>
        <v>0</v>
      </c>
      <c r="N1056" s="18">
        <f>_xll.ciqfunctions.udf.CIQ($C$2,"IQ_OPEB_ASSETS_BENEFITS_PAID_FOREIGN",N$6,$F$2,,,Ccy,Conv)</f>
        <v>-8</v>
      </c>
      <c r="O1056" s="30"/>
      <c r="P1056" s="18">
        <f>_xll.ciqfunctions.udf.CIQ($C$2,"IQ_OPEB_ASSETS_BENEFITS_PAID_FOREIGN",P$6,$F$2,,,Ccy,Conv)</f>
        <v>-8</v>
      </c>
      <c r="Q1056" s="215"/>
      <c r="R1056" s="215"/>
      <c r="S1056" s="215"/>
      <c r="T1056" s="215"/>
      <c r="U1056" s="215"/>
      <c r="V1056" s="222"/>
      <c r="W1056" s="222"/>
      <c r="X1056" s="222"/>
      <c r="Y1056" s="215"/>
      <c r="Z1056" s="215"/>
      <c r="AA1056" s="215"/>
      <c r="AB1056" s="215"/>
      <c r="AC1056" s="215"/>
      <c r="AD1056" s="215"/>
      <c r="AE1056" s="215"/>
      <c r="AF1056" s="215"/>
      <c r="AG1056" s="215"/>
      <c r="AH1056" s="215"/>
      <c r="AI1056" s="215"/>
      <c r="AJ1056" s="215"/>
      <c r="AK1056" s="215"/>
      <c r="AL1056" s="215"/>
      <c r="AM1056" s="215"/>
      <c r="AN1056" s="215"/>
      <c r="AO1056" s="215"/>
      <c r="AP1056" s="215"/>
      <c r="AQ1056" s="215"/>
      <c r="AR1056" s="215"/>
      <c r="AS1056" s="215"/>
      <c r="AT1056" s="215"/>
      <c r="AU1056" s="215"/>
      <c r="AV1056" s="215"/>
      <c r="AW1056" s="215"/>
      <c r="AX1056" s="215"/>
      <c r="AY1056" s="215"/>
      <c r="AZ1056" s="215"/>
      <c r="BA1056" s="215"/>
      <c r="BB1056" s="215"/>
      <c r="BC1056" s="215"/>
      <c r="BD1056" s="215"/>
      <c r="BE1056" s="215"/>
      <c r="BF1056" s="215"/>
      <c r="BG1056" s="215"/>
      <c r="BH1056" s="215"/>
      <c r="BI1056" s="215"/>
      <c r="BJ1056" s="215"/>
      <c r="BK1056" s="215"/>
      <c r="BL1056" s="215"/>
      <c r="BM1056" s="215"/>
      <c r="BN1056" s="215"/>
      <c r="BO1056" s="215"/>
      <c r="BP1056" s="215"/>
      <c r="BQ1056" s="215"/>
      <c r="BR1056" s="215"/>
      <c r="BS1056" s="215"/>
      <c r="BT1056" s="215"/>
      <c r="BU1056" s="215"/>
      <c r="BV1056" s="215"/>
      <c r="BW1056" s="215"/>
      <c r="BX1056" s="215"/>
      <c r="BY1056" s="215"/>
      <c r="BZ1056" s="215"/>
    </row>
    <row r="1057" spans="1:78" outlineLevel="1" x14ac:dyDescent="0.2">
      <c r="A1057" s="2" t="str">
        <f>'Language Index'!A520</f>
        <v>Foreign Exchange Adjustments</v>
      </c>
      <c r="B1057" s="17"/>
      <c r="C1057" s="17"/>
      <c r="D1057" s="18">
        <f>_xll.ciqfunctions.udf.CIQ($C$2,"IQ_OPEB_ASSETS_FX_ADJ_FOREIGN",D$6,$F$2,,,Ccy,Conv)</f>
        <v>0</v>
      </c>
      <c r="E1057" s="18">
        <f>_xll.ciqfunctions.udf.CIQ($C$2,"IQ_OPEB_ASSETS_FX_ADJ_FOREIGN",E$6,$F$2,,,Ccy,Conv)</f>
        <v>0</v>
      </c>
      <c r="F1057" s="18">
        <f>_xll.ciqfunctions.udf.CIQ($C$2,"IQ_OPEB_ASSETS_FX_ADJ_FOREIGN",F$6,$F$2,,,Ccy,Conv)</f>
        <v>3</v>
      </c>
      <c r="G1057" s="18">
        <f>_xll.ciqfunctions.udf.CIQ($C$2,"IQ_OPEB_ASSETS_FX_ADJ_FOREIGN",G$6,$F$2,,,Ccy,Conv)</f>
        <v>0</v>
      </c>
      <c r="H1057" s="18">
        <f>_xll.ciqfunctions.udf.CIQ($C$2,"IQ_OPEB_ASSETS_FX_ADJ_FOREIGN",H$6,$F$2,,,Ccy,Conv)</f>
        <v>0</v>
      </c>
      <c r="I1057" s="18">
        <f>_xll.ciqfunctions.udf.CIQ($C$2,"IQ_OPEB_ASSETS_FX_ADJ_FOREIGN",I$6,$F$2,,,Ccy,Conv)</f>
        <v>0</v>
      </c>
      <c r="J1057" s="18">
        <f>_xll.ciqfunctions.udf.CIQ($C$2,"IQ_OPEB_ASSETS_FX_ADJ_FOREIGN",J$6,$F$2,,,Ccy,Conv)</f>
        <v>-5</v>
      </c>
      <c r="K1057" s="18">
        <f>_xll.ciqfunctions.udf.CIQ($C$2,"IQ_OPEB_ASSETS_FX_ADJ_FOREIGN",K$6,$F$2,,,Ccy,Conv)</f>
        <v>0</v>
      </c>
      <c r="L1057" s="18">
        <f>_xll.ciqfunctions.udf.CIQ($C$2,"IQ_OPEB_ASSETS_FX_ADJ_FOREIGN",L$6,$F$2,,,Ccy,Conv)</f>
        <v>0</v>
      </c>
      <c r="M1057" s="18">
        <f>_xll.ciqfunctions.udf.CIQ($C$2,"IQ_OPEB_ASSETS_FX_ADJ_FOREIGN",M$6,$F$2,,,Ccy,Conv)</f>
        <v>0</v>
      </c>
      <c r="N1057" s="18">
        <f>_xll.ciqfunctions.udf.CIQ($C$2,"IQ_OPEB_ASSETS_FX_ADJ_FOREIGN",N$6,$F$2,,,Ccy,Conv)</f>
        <v>2</v>
      </c>
      <c r="O1057" s="30"/>
      <c r="P1057" s="18">
        <f>_xll.ciqfunctions.udf.CIQ($C$2,"IQ_OPEB_ASSETS_FX_ADJ_FOREIGN",P$6,$F$2,,,Ccy,Conv)</f>
        <v>2</v>
      </c>
      <c r="Q1057" s="215"/>
      <c r="R1057" s="215"/>
      <c r="S1057" s="215"/>
      <c r="T1057" s="215"/>
      <c r="U1057" s="215"/>
      <c r="V1057" s="222"/>
      <c r="W1057" s="222"/>
      <c r="X1057" s="222"/>
      <c r="Y1057" s="215"/>
      <c r="Z1057" s="215"/>
      <c r="AA1057" s="215"/>
      <c r="AB1057" s="215"/>
      <c r="AC1057" s="215"/>
      <c r="AD1057" s="215"/>
      <c r="AE1057" s="215"/>
      <c r="AF1057" s="215"/>
      <c r="AG1057" s="215"/>
      <c r="AH1057" s="215"/>
      <c r="AI1057" s="215"/>
      <c r="AJ1057" s="215"/>
      <c r="AK1057" s="215"/>
      <c r="AL1057" s="215"/>
      <c r="AM1057" s="215"/>
      <c r="AN1057" s="215"/>
      <c r="AO1057" s="215"/>
      <c r="AP1057" s="215"/>
      <c r="AQ1057" s="215"/>
      <c r="AR1057" s="215"/>
      <c r="AS1057" s="215"/>
      <c r="AT1057" s="215"/>
      <c r="AU1057" s="215"/>
      <c r="AV1057" s="215"/>
      <c r="AW1057" s="215"/>
      <c r="AX1057" s="215"/>
      <c r="AY1057" s="215"/>
      <c r="AZ1057" s="215"/>
      <c r="BA1057" s="215"/>
      <c r="BB1057" s="215"/>
      <c r="BC1057" s="215"/>
      <c r="BD1057" s="215"/>
      <c r="BE1057" s="215"/>
      <c r="BF1057" s="215"/>
      <c r="BG1057" s="215"/>
      <c r="BH1057" s="215"/>
      <c r="BI1057" s="215"/>
      <c r="BJ1057" s="215"/>
      <c r="BK1057" s="215"/>
      <c r="BL1057" s="215"/>
      <c r="BM1057" s="215"/>
      <c r="BN1057" s="215"/>
      <c r="BO1057" s="215"/>
      <c r="BP1057" s="215"/>
      <c r="BQ1057" s="215"/>
      <c r="BR1057" s="215"/>
      <c r="BS1057" s="215"/>
      <c r="BT1057" s="215"/>
      <c r="BU1057" s="215"/>
      <c r="BV1057" s="215"/>
      <c r="BW1057" s="215"/>
      <c r="BX1057" s="215"/>
      <c r="BY1057" s="215"/>
      <c r="BZ1057" s="215"/>
    </row>
    <row r="1058" spans="1:78" outlineLevel="1" x14ac:dyDescent="0.2">
      <c r="A1058" s="2" t="str">
        <f>'Language Index'!A521</f>
        <v>Acquired Plan Assets</v>
      </c>
      <c r="B1058" s="17"/>
      <c r="C1058" s="17"/>
      <c r="D1058" s="18">
        <f>_xll.ciqfunctions.udf.CIQ($C$2,"IQ_OPEB_ASSETS_ACQ_FOREIGN",D$6,$F$2,,,Ccy,Conv)</f>
        <v>0</v>
      </c>
      <c r="E1058" s="18">
        <f>_xll.ciqfunctions.udf.CIQ($C$2,"IQ_OPEB_ASSETS_ACQ_FOREIGN",E$6,$F$2,,,Ccy,Conv)</f>
        <v>0</v>
      </c>
      <c r="F1058" s="18">
        <f>_xll.ciqfunctions.udf.CIQ($C$2,"IQ_OPEB_ASSETS_ACQ_FOREIGN",F$6,$F$2,,,Ccy,Conv)</f>
        <v>0</v>
      </c>
      <c r="G1058" s="18">
        <f>_xll.ciqfunctions.udf.CIQ($C$2,"IQ_OPEB_ASSETS_ACQ_FOREIGN",G$6,$F$2,,,Ccy,Conv)</f>
        <v>0</v>
      </c>
      <c r="H1058" s="18">
        <f>_xll.ciqfunctions.udf.CIQ($C$2,"IQ_OPEB_ASSETS_ACQ_FOREIGN",H$6,$F$2,,,Ccy,Conv)</f>
        <v>0</v>
      </c>
      <c r="I1058" s="18">
        <f>_xll.ciqfunctions.udf.CIQ($C$2,"IQ_OPEB_ASSETS_ACQ_FOREIGN",I$6,$F$2,,,Ccy,Conv)</f>
        <v>0</v>
      </c>
      <c r="J1058" s="18">
        <f>_xll.ciqfunctions.udf.CIQ($C$2,"IQ_OPEB_ASSETS_ACQ_FOREIGN",J$6,$F$2,,,Ccy,Conv)</f>
        <v>0</v>
      </c>
      <c r="K1058" s="18">
        <f>_xll.ciqfunctions.udf.CIQ($C$2,"IQ_OPEB_ASSETS_ACQ_FOREIGN",K$6,$F$2,,,Ccy,Conv)</f>
        <v>0</v>
      </c>
      <c r="L1058" s="18">
        <f>_xll.ciqfunctions.udf.CIQ($C$2,"IQ_OPEB_ASSETS_ACQ_FOREIGN",L$6,$F$2,,,Ccy,Conv)</f>
        <v>0</v>
      </c>
      <c r="M1058" s="18">
        <f>_xll.ciqfunctions.udf.CIQ($C$2,"IQ_OPEB_ASSETS_ACQ_FOREIGN",M$6,$F$2,,,Ccy,Conv)</f>
        <v>0</v>
      </c>
      <c r="N1058" s="18">
        <f>_xll.ciqfunctions.udf.CIQ($C$2,"IQ_OPEB_ASSETS_ACQ_FOREIGN",N$6,$F$2,,,Ccy,Conv)</f>
        <v>0</v>
      </c>
      <c r="O1058" s="30"/>
      <c r="P1058" s="18">
        <f>_xll.ciqfunctions.udf.CIQ($C$2,"IQ_OPEB_ASSETS_ACQ_FOREIGN",P$6,$F$2,,,Ccy,Conv)</f>
        <v>0</v>
      </c>
      <c r="Q1058" s="215"/>
      <c r="R1058" s="215"/>
      <c r="S1058" s="215"/>
      <c r="T1058" s="215"/>
      <c r="U1058" s="215"/>
      <c r="V1058" s="222"/>
      <c r="W1058" s="222"/>
      <c r="X1058" s="222"/>
      <c r="Y1058" s="215"/>
      <c r="Z1058" s="215"/>
      <c r="AA1058" s="215"/>
      <c r="AB1058" s="215"/>
      <c r="AC1058" s="215"/>
      <c r="AD1058" s="215"/>
      <c r="AE1058" s="215"/>
      <c r="AF1058" s="215"/>
      <c r="AG1058" s="215"/>
      <c r="AH1058" s="215"/>
      <c r="AI1058" s="215"/>
      <c r="AJ1058" s="215"/>
      <c r="AK1058" s="215"/>
      <c r="AL1058" s="215"/>
      <c r="AM1058" s="215"/>
      <c r="AN1058" s="215"/>
      <c r="AO1058" s="215"/>
      <c r="AP1058" s="215"/>
      <c r="AQ1058" s="215"/>
      <c r="AR1058" s="215"/>
      <c r="AS1058" s="215"/>
      <c r="AT1058" s="215"/>
      <c r="AU1058" s="215"/>
      <c r="AV1058" s="215"/>
      <c r="AW1058" s="215"/>
      <c r="AX1058" s="215"/>
      <c r="AY1058" s="215"/>
      <c r="AZ1058" s="215"/>
      <c r="BA1058" s="215"/>
      <c r="BB1058" s="215"/>
      <c r="BC1058" s="215"/>
      <c r="BD1058" s="215"/>
      <c r="BE1058" s="215"/>
      <c r="BF1058" s="215"/>
      <c r="BG1058" s="215"/>
      <c r="BH1058" s="215"/>
      <c r="BI1058" s="215"/>
      <c r="BJ1058" s="215"/>
      <c r="BK1058" s="215"/>
      <c r="BL1058" s="215"/>
      <c r="BM1058" s="215"/>
      <c r="BN1058" s="215"/>
      <c r="BO1058" s="215"/>
      <c r="BP1058" s="215"/>
      <c r="BQ1058" s="215"/>
      <c r="BR1058" s="215"/>
      <c r="BS1058" s="215"/>
      <c r="BT1058" s="215"/>
      <c r="BU1058" s="215"/>
      <c r="BV1058" s="215"/>
      <c r="BW1058" s="215"/>
      <c r="BX1058" s="215"/>
      <c r="BY1058" s="215"/>
      <c r="BZ1058" s="215"/>
    </row>
    <row r="1059" spans="1:78" outlineLevel="1" x14ac:dyDescent="0.2">
      <c r="A1059" s="2" t="str">
        <f>'Language Index'!A522</f>
        <v>Plan Settlement/Curtailment</v>
      </c>
      <c r="B1059" s="17"/>
      <c r="C1059" s="17"/>
      <c r="D1059" s="18">
        <f>_xll.ciqfunctions.udf.CIQ($C$2,"IQ_OPEB_ASSETS_CURTAIL_FOREIGN",D$6,$F$2,,,Ccy,Conv)</f>
        <v>0</v>
      </c>
      <c r="E1059" s="18">
        <f>_xll.ciqfunctions.udf.CIQ($C$2,"IQ_OPEB_ASSETS_CURTAIL_FOREIGN",E$6,$F$2,,,Ccy,Conv)</f>
        <v>0</v>
      </c>
      <c r="F1059" s="18">
        <f>_xll.ciqfunctions.udf.CIQ($C$2,"IQ_OPEB_ASSETS_CURTAIL_FOREIGN",F$6,$F$2,,,Ccy,Conv)</f>
        <v>0</v>
      </c>
      <c r="G1059" s="18">
        <f>_xll.ciqfunctions.udf.CIQ($C$2,"IQ_OPEB_ASSETS_CURTAIL_FOREIGN",G$6,$F$2,,,Ccy,Conv)</f>
        <v>0</v>
      </c>
      <c r="H1059" s="18">
        <f>_xll.ciqfunctions.udf.CIQ($C$2,"IQ_OPEB_ASSETS_CURTAIL_FOREIGN",H$6,$F$2,,,Ccy,Conv)</f>
        <v>0</v>
      </c>
      <c r="I1059" s="18">
        <f>_xll.ciqfunctions.udf.CIQ($C$2,"IQ_OPEB_ASSETS_CURTAIL_FOREIGN",I$6,$F$2,,,Ccy,Conv)</f>
        <v>0</v>
      </c>
      <c r="J1059" s="18">
        <f>_xll.ciqfunctions.udf.CIQ($C$2,"IQ_OPEB_ASSETS_CURTAIL_FOREIGN",J$6,$F$2,,,Ccy,Conv)</f>
        <v>0</v>
      </c>
      <c r="K1059" s="18">
        <f>_xll.ciqfunctions.udf.CIQ($C$2,"IQ_OPEB_ASSETS_CURTAIL_FOREIGN",K$6,$F$2,,,Ccy,Conv)</f>
        <v>0</v>
      </c>
      <c r="L1059" s="18">
        <f>_xll.ciqfunctions.udf.CIQ($C$2,"IQ_OPEB_ASSETS_CURTAIL_FOREIGN",L$6,$F$2,,,Ccy,Conv)</f>
        <v>0</v>
      </c>
      <c r="M1059" s="18">
        <f>_xll.ciqfunctions.udf.CIQ($C$2,"IQ_OPEB_ASSETS_CURTAIL_FOREIGN",M$6,$F$2,,,Ccy,Conv)</f>
        <v>0</v>
      </c>
      <c r="N1059" s="18">
        <f>_xll.ciqfunctions.udf.CIQ($C$2,"IQ_OPEB_ASSETS_CURTAIL_FOREIGN",N$6,$F$2,,,Ccy,Conv)</f>
        <v>0</v>
      </c>
      <c r="O1059" s="30"/>
      <c r="P1059" s="18">
        <f>_xll.ciqfunctions.udf.CIQ($C$2,"IQ_OPEB_ASSETS_CURTAIL_FOREIGN",P$6,$F$2,,,Ccy,Conv)</f>
        <v>0</v>
      </c>
      <c r="Q1059" s="215"/>
      <c r="R1059" s="215"/>
      <c r="S1059" s="215"/>
      <c r="T1059" s="215"/>
      <c r="U1059" s="215"/>
      <c r="V1059" s="222"/>
      <c r="W1059" s="222"/>
      <c r="X1059" s="222"/>
      <c r="Y1059" s="215"/>
      <c r="Z1059" s="215"/>
      <c r="AA1059" s="215"/>
      <c r="AB1059" s="215"/>
      <c r="AC1059" s="215"/>
      <c r="AD1059" s="215"/>
      <c r="AE1059" s="215"/>
      <c r="AF1059" s="215"/>
      <c r="AG1059" s="215"/>
      <c r="AH1059" s="215"/>
      <c r="AI1059" s="215"/>
      <c r="AJ1059" s="215"/>
      <c r="AK1059" s="215"/>
      <c r="AL1059" s="215"/>
      <c r="AM1059" s="215"/>
      <c r="AN1059" s="215"/>
      <c r="AO1059" s="215"/>
      <c r="AP1059" s="215"/>
      <c r="AQ1059" s="215"/>
      <c r="AR1059" s="215"/>
      <c r="AS1059" s="215"/>
      <c r="AT1059" s="215"/>
      <c r="AU1059" s="215"/>
      <c r="AV1059" s="215"/>
      <c r="AW1059" s="215"/>
      <c r="AX1059" s="215"/>
      <c r="AY1059" s="215"/>
      <c r="AZ1059" s="215"/>
      <c r="BA1059" s="215"/>
      <c r="BB1059" s="215"/>
      <c r="BC1059" s="215"/>
      <c r="BD1059" s="215"/>
      <c r="BE1059" s="215"/>
      <c r="BF1059" s="215"/>
      <c r="BG1059" s="215"/>
      <c r="BH1059" s="215"/>
      <c r="BI1059" s="215"/>
      <c r="BJ1059" s="215"/>
      <c r="BK1059" s="215"/>
      <c r="BL1059" s="215"/>
      <c r="BM1059" s="215"/>
      <c r="BN1059" s="215"/>
      <c r="BO1059" s="215"/>
      <c r="BP1059" s="215"/>
      <c r="BQ1059" s="215"/>
      <c r="BR1059" s="215"/>
      <c r="BS1059" s="215"/>
      <c r="BT1059" s="215"/>
      <c r="BU1059" s="215"/>
      <c r="BV1059" s="215"/>
      <c r="BW1059" s="215"/>
      <c r="BX1059" s="215"/>
      <c r="BY1059" s="215"/>
      <c r="BZ1059" s="215"/>
    </row>
    <row r="1060" spans="1:78" outlineLevel="1" x14ac:dyDescent="0.2">
      <c r="A1060" s="2" t="str">
        <f>'Language Index'!A523</f>
        <v>Other Plan Adjustments</v>
      </c>
      <c r="B1060" s="17"/>
      <c r="C1060" s="17"/>
      <c r="D1060" s="18">
        <f>_xll.ciqfunctions.udf.CIQ($C$2,"IQ_OPEB_ASSETS_OTHER_PLAN_ADJ_FOREIGN",D$6,$F$2,,,Ccy,Conv)</f>
        <v>0</v>
      </c>
      <c r="E1060" s="18">
        <f>_xll.ciqfunctions.udf.CIQ($C$2,"IQ_OPEB_ASSETS_OTHER_PLAN_ADJ_FOREIGN",E$6,$F$2,,,Ccy,Conv)</f>
        <v>0</v>
      </c>
      <c r="F1060" s="18">
        <f>_xll.ciqfunctions.udf.CIQ($C$2,"IQ_OPEB_ASSETS_OTHER_PLAN_ADJ_FOREIGN",F$6,$F$2,,,Ccy,Conv)</f>
        <v>-6</v>
      </c>
      <c r="G1060" s="18">
        <f>_xll.ciqfunctions.udf.CIQ($C$2,"IQ_OPEB_ASSETS_OTHER_PLAN_ADJ_FOREIGN",G$6,$F$2,,,Ccy,Conv)</f>
        <v>0</v>
      </c>
      <c r="H1060" s="18">
        <f>_xll.ciqfunctions.udf.CIQ($C$2,"IQ_OPEB_ASSETS_OTHER_PLAN_ADJ_FOREIGN",H$6,$F$2,,,Ccy,Conv)</f>
        <v>0</v>
      </c>
      <c r="I1060" s="18">
        <f>_xll.ciqfunctions.udf.CIQ($C$2,"IQ_OPEB_ASSETS_OTHER_PLAN_ADJ_FOREIGN",I$6,$F$2,,,Ccy,Conv)</f>
        <v>0</v>
      </c>
      <c r="J1060" s="18">
        <f>_xll.ciqfunctions.udf.CIQ($C$2,"IQ_OPEB_ASSETS_OTHER_PLAN_ADJ_FOREIGN",J$6,$F$2,,,Ccy,Conv)</f>
        <v>0</v>
      </c>
      <c r="K1060" s="18">
        <f>_xll.ciqfunctions.udf.CIQ($C$2,"IQ_OPEB_ASSETS_OTHER_PLAN_ADJ_FOREIGN",K$6,$F$2,,,Ccy,Conv)</f>
        <v>0</v>
      </c>
      <c r="L1060" s="18">
        <f>_xll.ciqfunctions.udf.CIQ($C$2,"IQ_OPEB_ASSETS_OTHER_PLAN_ADJ_FOREIGN",L$6,$F$2,,,Ccy,Conv)</f>
        <v>0</v>
      </c>
      <c r="M1060" s="18">
        <f>_xll.ciqfunctions.udf.CIQ($C$2,"IQ_OPEB_ASSETS_OTHER_PLAN_ADJ_FOREIGN",M$6,$F$2,,,Ccy,Conv)</f>
        <v>0</v>
      </c>
      <c r="N1060" s="18">
        <f>_xll.ciqfunctions.udf.CIQ($C$2,"IQ_OPEB_ASSETS_OTHER_PLAN_ADJ_FOREIGN",N$6,$F$2,,,Ccy,Conv)</f>
        <v>0</v>
      </c>
      <c r="O1060" s="30"/>
      <c r="P1060" s="18">
        <f>_xll.ciqfunctions.udf.CIQ($C$2,"IQ_OPEB_ASSETS_OTHER_PLAN_ADJ_FOREIGN",P$6,$F$2,,,Ccy,Conv)</f>
        <v>0</v>
      </c>
      <c r="Q1060" s="215"/>
      <c r="R1060" s="215"/>
      <c r="S1060" s="215"/>
      <c r="T1060" s="215"/>
      <c r="U1060" s="215"/>
      <c r="V1060" s="222"/>
      <c r="W1060" s="222"/>
      <c r="X1060" s="222"/>
      <c r="Y1060" s="215"/>
      <c r="Z1060" s="215"/>
      <c r="AA1060" s="215"/>
      <c r="AB1060" s="215"/>
      <c r="AC1060" s="215"/>
      <c r="AD1060" s="215"/>
      <c r="AE1060" s="215"/>
      <c r="AF1060" s="215"/>
      <c r="AG1060" s="215"/>
      <c r="AH1060" s="215"/>
      <c r="AI1060" s="215"/>
      <c r="AJ1060" s="215"/>
      <c r="AK1060" s="215"/>
      <c r="AL1060" s="215"/>
      <c r="AM1060" s="215"/>
      <c r="AN1060" s="215"/>
      <c r="AO1060" s="215"/>
      <c r="AP1060" s="215"/>
      <c r="AQ1060" s="215"/>
      <c r="AR1060" s="215"/>
      <c r="AS1060" s="215"/>
      <c r="AT1060" s="215"/>
      <c r="AU1060" s="215"/>
      <c r="AV1060" s="215"/>
      <c r="AW1060" s="215"/>
      <c r="AX1060" s="215"/>
      <c r="AY1060" s="215"/>
      <c r="AZ1060" s="215"/>
      <c r="BA1060" s="215"/>
      <c r="BB1060" s="215"/>
      <c r="BC1060" s="215"/>
      <c r="BD1060" s="215"/>
      <c r="BE1060" s="215"/>
      <c r="BF1060" s="215"/>
      <c r="BG1060" s="215"/>
      <c r="BH1060" s="215"/>
      <c r="BI1060" s="215"/>
      <c r="BJ1060" s="215"/>
      <c r="BK1060" s="215"/>
      <c r="BL1060" s="215"/>
      <c r="BM1060" s="215"/>
      <c r="BN1060" s="215"/>
      <c r="BO1060" s="215"/>
      <c r="BP1060" s="215"/>
      <c r="BQ1060" s="215"/>
      <c r="BR1060" s="215"/>
      <c r="BS1060" s="215"/>
      <c r="BT1060" s="215"/>
      <c r="BU1060" s="215"/>
      <c r="BV1060" s="215"/>
      <c r="BW1060" s="215"/>
      <c r="BX1060" s="215"/>
      <c r="BY1060" s="215"/>
      <c r="BZ1060" s="215"/>
    </row>
    <row r="1061" spans="1:78" outlineLevel="1" x14ac:dyDescent="0.2">
      <c r="A1061" s="2" t="str">
        <f>'Language Index'!A524</f>
        <v>Total Plan Assets</v>
      </c>
      <c r="B1061" s="17"/>
      <c r="C1061" s="17"/>
      <c r="D1061" s="18">
        <f>_xll.ciqfunctions.udf.CIQ($C$2,"IQ_OPEB_ASSETS_FOREIGN",D$6,$F$2,,,Ccy,Conv)</f>
        <v>0</v>
      </c>
      <c r="E1061" s="18">
        <f>_xll.ciqfunctions.udf.CIQ($C$2,"IQ_OPEB_ASSETS_FOREIGN",E$6,$F$2,,,Ccy,Conv)</f>
        <v>0</v>
      </c>
      <c r="F1061" s="18">
        <f>_xll.ciqfunctions.udf.CIQ($C$2,"IQ_OPEB_ASSETS_FOREIGN",F$6,$F$2,,,Ccy,Conv)</f>
        <v>23</v>
      </c>
      <c r="G1061" s="18">
        <f>_xll.ciqfunctions.udf.CIQ($C$2,"IQ_OPEB_ASSETS_FOREIGN",G$6,$F$2,,,Ccy,Conv)</f>
        <v>0</v>
      </c>
      <c r="H1061" s="18">
        <f>_xll.ciqfunctions.udf.CIQ($C$2,"IQ_OPEB_ASSETS_FOREIGN",H$6,$F$2,,,Ccy,Conv)</f>
        <v>0</v>
      </c>
      <c r="I1061" s="18">
        <f>_xll.ciqfunctions.udf.CIQ($C$2,"IQ_OPEB_ASSETS_FOREIGN",I$6,$F$2,,,Ccy,Conv)</f>
        <v>0</v>
      </c>
      <c r="J1061" s="18">
        <f>_xll.ciqfunctions.udf.CIQ($C$2,"IQ_OPEB_ASSETS_FOREIGN",J$6,$F$2,,,Ccy,Conv)</f>
        <v>14</v>
      </c>
      <c r="K1061" s="18">
        <f>_xll.ciqfunctions.udf.CIQ($C$2,"IQ_OPEB_ASSETS_FOREIGN",K$6,$F$2,,,Ccy,Conv)</f>
        <v>0</v>
      </c>
      <c r="L1061" s="18">
        <f>_xll.ciqfunctions.udf.CIQ($C$2,"IQ_OPEB_ASSETS_FOREIGN",L$6,$F$2,,,Ccy,Conv)</f>
        <v>0</v>
      </c>
      <c r="M1061" s="18">
        <f>_xll.ciqfunctions.udf.CIQ($C$2,"IQ_OPEB_ASSETS_FOREIGN",M$6,$F$2,,,Ccy,Conv)</f>
        <v>0</v>
      </c>
      <c r="N1061" s="18">
        <f>_xll.ciqfunctions.udf.CIQ($C$2,"IQ_OPEB_ASSETS_FOREIGN",N$6,$F$2,,,Ccy,Conv)</f>
        <v>9</v>
      </c>
      <c r="O1061" s="30"/>
      <c r="P1061" s="18">
        <f>_xll.ciqfunctions.udf.CIQ($C$2,"IQ_OPEB_ASSETS_FOREIGN",P$6,$F$2,,,Ccy,Conv)</f>
        <v>9</v>
      </c>
      <c r="Q1061" s="215"/>
      <c r="R1061" s="215"/>
      <c r="S1061" s="215"/>
      <c r="T1061" s="215"/>
      <c r="U1061" s="215"/>
      <c r="V1061" s="222"/>
      <c r="W1061" s="222"/>
      <c r="X1061" s="222"/>
      <c r="Y1061" s="215"/>
      <c r="Z1061" s="215"/>
      <c r="AA1061" s="215"/>
      <c r="AB1061" s="215"/>
      <c r="AC1061" s="215"/>
      <c r="AD1061" s="215"/>
      <c r="AE1061" s="215"/>
      <c r="AF1061" s="215"/>
      <c r="AG1061" s="215"/>
      <c r="AH1061" s="215"/>
      <c r="AI1061" s="215"/>
      <c r="AJ1061" s="215"/>
      <c r="AK1061" s="215"/>
      <c r="AL1061" s="215"/>
      <c r="AM1061" s="215"/>
      <c r="AN1061" s="215"/>
      <c r="AO1061" s="215"/>
      <c r="AP1061" s="215"/>
      <c r="AQ1061" s="215"/>
      <c r="AR1061" s="215"/>
      <c r="AS1061" s="215"/>
      <c r="AT1061" s="215"/>
      <c r="AU1061" s="215"/>
      <c r="AV1061" s="215"/>
      <c r="AW1061" s="215"/>
      <c r="AX1061" s="215"/>
      <c r="AY1061" s="215"/>
      <c r="AZ1061" s="215"/>
      <c r="BA1061" s="215"/>
      <c r="BB1061" s="215"/>
      <c r="BC1061" s="215"/>
      <c r="BD1061" s="215"/>
      <c r="BE1061" s="215"/>
      <c r="BF1061" s="215"/>
      <c r="BG1061" s="215"/>
      <c r="BH1061" s="215"/>
      <c r="BI1061" s="215"/>
      <c r="BJ1061" s="215"/>
      <c r="BK1061" s="215"/>
      <c r="BL1061" s="215"/>
      <c r="BM1061" s="215"/>
      <c r="BN1061" s="215"/>
      <c r="BO1061" s="215"/>
      <c r="BP1061" s="215"/>
      <c r="BQ1061" s="215"/>
      <c r="BR1061" s="215"/>
      <c r="BS1061" s="215"/>
      <c r="BT1061" s="215"/>
      <c r="BU1061" s="215"/>
      <c r="BV1061" s="215"/>
      <c r="BW1061" s="215"/>
      <c r="BX1061" s="215"/>
      <c r="BY1061" s="215"/>
      <c r="BZ1061" s="215"/>
    </row>
    <row r="1062" spans="1:78" outlineLevel="1" x14ac:dyDescent="0.2">
      <c r="A1062" s="9" t="str">
        <f>'Language Index'!A525</f>
        <v>Weighted Avg. Assumptions on Net Periodic Cost</v>
      </c>
      <c r="B1062" s="17"/>
      <c r="C1062" s="17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30"/>
      <c r="P1062" s="18"/>
      <c r="Q1062" s="215"/>
      <c r="R1062" s="215"/>
      <c r="S1062" s="215"/>
      <c r="T1062" s="215"/>
      <c r="U1062" s="215"/>
      <c r="V1062" s="222"/>
      <c r="W1062" s="222"/>
      <c r="X1062" s="222"/>
      <c r="Y1062" s="215"/>
      <c r="Z1062" s="215"/>
      <c r="AA1062" s="215"/>
      <c r="AB1062" s="215"/>
      <c r="AC1062" s="215"/>
      <c r="AD1062" s="215"/>
      <c r="AE1062" s="215"/>
      <c r="AF1062" s="215"/>
      <c r="AG1062" s="215"/>
      <c r="AH1062" s="215"/>
      <c r="AI1062" s="215"/>
      <c r="AJ1062" s="215"/>
      <c r="AK1062" s="215"/>
      <c r="AL1062" s="215"/>
      <c r="AM1062" s="215"/>
      <c r="AN1062" s="215"/>
      <c r="AO1062" s="215"/>
      <c r="AP1062" s="215"/>
      <c r="AQ1062" s="215"/>
      <c r="AR1062" s="215"/>
      <c r="AS1062" s="215"/>
      <c r="AT1062" s="215"/>
      <c r="AU1062" s="215"/>
      <c r="AV1062" s="215"/>
      <c r="AW1062" s="215"/>
      <c r="AX1062" s="215"/>
      <c r="AY1062" s="215"/>
      <c r="AZ1062" s="215"/>
      <c r="BA1062" s="215"/>
      <c r="BB1062" s="215"/>
      <c r="BC1062" s="215"/>
      <c r="BD1062" s="215"/>
      <c r="BE1062" s="215"/>
      <c r="BF1062" s="215"/>
      <c r="BG1062" s="215"/>
      <c r="BH1062" s="215"/>
      <c r="BI1062" s="215"/>
      <c r="BJ1062" s="215"/>
      <c r="BK1062" s="215"/>
      <c r="BL1062" s="215"/>
      <c r="BM1062" s="215"/>
      <c r="BN1062" s="215"/>
      <c r="BO1062" s="215"/>
      <c r="BP1062" s="215"/>
      <c r="BQ1062" s="215"/>
      <c r="BR1062" s="215"/>
      <c r="BS1062" s="215"/>
      <c r="BT1062" s="215"/>
      <c r="BU1062" s="215"/>
      <c r="BV1062" s="215"/>
      <c r="BW1062" s="215"/>
      <c r="BX1062" s="215"/>
      <c r="BY1062" s="215"/>
      <c r="BZ1062" s="215"/>
    </row>
    <row r="1063" spans="1:78" outlineLevel="1" x14ac:dyDescent="0.2">
      <c r="A1063" s="2" t="str">
        <f>'Language Index'!A526</f>
        <v>Net Periodic Cost Disc. Rate - Min</v>
      </c>
      <c r="B1063" s="17"/>
      <c r="C1063" s="17"/>
      <c r="D1063" s="18">
        <f>_xll.ciqfunctions.udf.CIQ($C$2,"IQ_OPEB_DISC_RATE_MIN_FOREIGN",D$6,$F$2)</f>
        <v>0</v>
      </c>
      <c r="E1063" s="18">
        <f>_xll.ciqfunctions.udf.CIQ($C$2,"IQ_OPEB_DISC_RATE_MIN_FOREIGN",E$6,$F$2)</f>
        <v>0</v>
      </c>
      <c r="F1063" s="18">
        <f>_xll.ciqfunctions.udf.CIQ($C$2,"IQ_OPEB_DISC_RATE_MIN_FOREIGN",F$6,$F$2)</f>
        <v>7.25</v>
      </c>
      <c r="G1063" s="18">
        <f>_xll.ciqfunctions.udf.CIQ($C$2,"IQ_OPEB_DISC_RATE_MIN_FOREIGN",G$6,$F$2)</f>
        <v>0</v>
      </c>
      <c r="H1063" s="18">
        <f>_xll.ciqfunctions.udf.CIQ($C$2,"IQ_OPEB_DISC_RATE_MIN_FOREIGN",H$6,$F$2)</f>
        <v>0</v>
      </c>
      <c r="I1063" s="18">
        <f>_xll.ciqfunctions.udf.CIQ($C$2,"IQ_OPEB_DISC_RATE_MIN_FOREIGN",I$6,$F$2)</f>
        <v>0</v>
      </c>
      <c r="J1063" s="18">
        <f>_xll.ciqfunctions.udf.CIQ($C$2,"IQ_OPEB_DISC_RATE_MIN_FOREIGN",J$6,$F$2)</f>
        <v>7.66</v>
      </c>
      <c r="K1063" s="18">
        <f>_xll.ciqfunctions.udf.CIQ($C$2,"IQ_OPEB_DISC_RATE_MIN_FOREIGN",K$6,$F$2)</f>
        <v>0</v>
      </c>
      <c r="L1063" s="18">
        <f>_xll.ciqfunctions.udf.CIQ($C$2,"IQ_OPEB_DISC_RATE_MIN_FOREIGN",L$6,$F$2)</f>
        <v>0</v>
      </c>
      <c r="M1063" s="18">
        <f>_xll.ciqfunctions.udf.CIQ($C$2,"IQ_OPEB_DISC_RATE_MIN_FOREIGN",M$6,$F$2)</f>
        <v>0</v>
      </c>
      <c r="N1063" s="18">
        <f>_xll.ciqfunctions.udf.CIQ($C$2,"IQ_OPEB_DISC_RATE_MIN_FOREIGN",N$6,$F$2)</f>
        <v>8.2100000000000009</v>
      </c>
      <c r="O1063" s="30"/>
      <c r="P1063" s="18">
        <f>_xll.ciqfunctions.udf.CIQ($C$2,"IQ_OPEB_DISC_RATE_MIN_FOREIGN",P$6,$F$2)</f>
        <v>8.2100000000000009</v>
      </c>
      <c r="Q1063" s="245"/>
      <c r="R1063" s="215"/>
      <c r="S1063" s="215"/>
      <c r="T1063" s="215"/>
      <c r="U1063" s="215"/>
      <c r="V1063" s="222"/>
      <c r="W1063" s="222"/>
      <c r="X1063" s="222"/>
      <c r="Y1063" s="215"/>
      <c r="Z1063" s="215"/>
      <c r="AA1063" s="215"/>
      <c r="AB1063" s="215"/>
      <c r="AC1063" s="215"/>
      <c r="AD1063" s="215"/>
      <c r="AE1063" s="215"/>
      <c r="AF1063" s="215"/>
      <c r="AG1063" s="215"/>
      <c r="AH1063" s="215"/>
      <c r="AI1063" s="215"/>
      <c r="AJ1063" s="215"/>
      <c r="AK1063" s="215"/>
      <c r="AL1063" s="215"/>
      <c r="AM1063" s="215"/>
      <c r="AN1063" s="215"/>
      <c r="AO1063" s="215"/>
      <c r="AP1063" s="215"/>
      <c r="AQ1063" s="215"/>
      <c r="AR1063" s="215"/>
      <c r="AS1063" s="215"/>
      <c r="AT1063" s="215"/>
      <c r="AU1063" s="215"/>
      <c r="AV1063" s="215"/>
      <c r="AW1063" s="215"/>
      <c r="AX1063" s="215"/>
      <c r="AY1063" s="215"/>
      <c r="AZ1063" s="215"/>
      <c r="BA1063" s="215"/>
      <c r="BB1063" s="215"/>
      <c r="BC1063" s="215"/>
      <c r="BD1063" s="215"/>
      <c r="BE1063" s="215"/>
      <c r="BF1063" s="215"/>
      <c r="BG1063" s="215"/>
      <c r="BH1063" s="215"/>
      <c r="BI1063" s="215"/>
      <c r="BJ1063" s="215"/>
      <c r="BK1063" s="215"/>
      <c r="BL1063" s="215"/>
      <c r="BM1063" s="215"/>
      <c r="BN1063" s="215"/>
      <c r="BO1063" s="215"/>
      <c r="BP1063" s="215"/>
      <c r="BQ1063" s="215"/>
      <c r="BR1063" s="215"/>
      <c r="BS1063" s="215"/>
      <c r="BT1063" s="215"/>
      <c r="BU1063" s="215"/>
      <c r="BV1063" s="215"/>
      <c r="BW1063" s="215"/>
      <c r="BX1063" s="215"/>
      <c r="BY1063" s="215"/>
      <c r="BZ1063" s="215"/>
    </row>
    <row r="1064" spans="1:78" outlineLevel="1" x14ac:dyDescent="0.2">
      <c r="A1064" s="2" t="str">
        <f>'Language Index'!A527</f>
        <v>Net Periodic Cost Disc. Rate - Max</v>
      </c>
      <c r="B1064" s="17"/>
      <c r="C1064" s="17"/>
      <c r="D1064" s="18">
        <f>_xll.ciqfunctions.udf.CIQ($C$2,"IQ_OPEB_DISC_RATE_MAX_FOREIGN",D$6,$F$2)</f>
        <v>0</v>
      </c>
      <c r="E1064" s="18">
        <f>_xll.ciqfunctions.udf.CIQ($C$2,"IQ_OPEB_DISC_RATE_MAX_FOREIGN",E$6,$F$2)</f>
        <v>0</v>
      </c>
      <c r="F1064" s="18">
        <f>_xll.ciqfunctions.udf.CIQ($C$2,"IQ_OPEB_DISC_RATE_MAX_FOREIGN",F$6,$F$2)</f>
        <v>7.25</v>
      </c>
      <c r="G1064" s="18">
        <f>_xll.ciqfunctions.udf.CIQ($C$2,"IQ_OPEB_DISC_RATE_MAX_FOREIGN",G$6,$F$2)</f>
        <v>0</v>
      </c>
      <c r="H1064" s="18">
        <f>_xll.ciqfunctions.udf.CIQ($C$2,"IQ_OPEB_DISC_RATE_MAX_FOREIGN",H$6,$F$2)</f>
        <v>0</v>
      </c>
      <c r="I1064" s="18">
        <f>_xll.ciqfunctions.udf.CIQ($C$2,"IQ_OPEB_DISC_RATE_MAX_FOREIGN",I$6,$F$2)</f>
        <v>0</v>
      </c>
      <c r="J1064" s="18">
        <f>_xll.ciqfunctions.udf.CIQ($C$2,"IQ_OPEB_DISC_RATE_MAX_FOREIGN",J$6,$F$2)</f>
        <v>7.66</v>
      </c>
      <c r="K1064" s="18">
        <f>_xll.ciqfunctions.udf.CIQ($C$2,"IQ_OPEB_DISC_RATE_MAX_FOREIGN",K$6,$F$2)</f>
        <v>0</v>
      </c>
      <c r="L1064" s="18">
        <f>_xll.ciqfunctions.udf.CIQ($C$2,"IQ_OPEB_DISC_RATE_MAX_FOREIGN",L$6,$F$2)</f>
        <v>0</v>
      </c>
      <c r="M1064" s="18">
        <f>_xll.ciqfunctions.udf.CIQ($C$2,"IQ_OPEB_DISC_RATE_MAX_FOREIGN",M$6,$F$2)</f>
        <v>0</v>
      </c>
      <c r="N1064" s="18">
        <f>_xll.ciqfunctions.udf.CIQ($C$2,"IQ_OPEB_DISC_RATE_MAX_FOREIGN",N$6,$F$2)</f>
        <v>8.2100000000000009</v>
      </c>
      <c r="O1064" s="30"/>
      <c r="P1064" s="18">
        <f>_xll.ciqfunctions.udf.CIQ($C$2,"IQ_OPEB_DISC_RATE_MAX_FOREIGN",P$6,$F$2)</f>
        <v>8.2100000000000009</v>
      </c>
      <c r="Q1064" s="245"/>
      <c r="R1064" s="215"/>
      <c r="S1064" s="215"/>
      <c r="T1064" s="215"/>
      <c r="U1064" s="215"/>
      <c r="V1064" s="222"/>
      <c r="W1064" s="222"/>
      <c r="X1064" s="222"/>
      <c r="Y1064" s="215"/>
      <c r="Z1064" s="215"/>
      <c r="AA1064" s="215"/>
      <c r="AB1064" s="215"/>
      <c r="AC1064" s="215"/>
      <c r="AD1064" s="215"/>
      <c r="AE1064" s="215"/>
      <c r="AF1064" s="215"/>
      <c r="AG1064" s="215"/>
      <c r="AH1064" s="215"/>
      <c r="AI1064" s="215"/>
      <c r="AJ1064" s="215"/>
      <c r="AK1064" s="215"/>
      <c r="AL1064" s="215"/>
      <c r="AM1064" s="215"/>
      <c r="AN1064" s="215"/>
      <c r="AO1064" s="215"/>
      <c r="AP1064" s="215"/>
      <c r="AQ1064" s="215"/>
      <c r="AR1064" s="215"/>
      <c r="AS1064" s="215"/>
      <c r="AT1064" s="215"/>
      <c r="AU1064" s="215"/>
      <c r="AV1064" s="215"/>
      <c r="AW1064" s="215"/>
      <c r="AX1064" s="215"/>
      <c r="AY1064" s="215"/>
      <c r="AZ1064" s="215"/>
      <c r="BA1064" s="215"/>
      <c r="BB1064" s="215"/>
      <c r="BC1064" s="215"/>
      <c r="BD1064" s="215"/>
      <c r="BE1064" s="215"/>
      <c r="BF1064" s="215"/>
      <c r="BG1064" s="215"/>
      <c r="BH1064" s="215"/>
      <c r="BI1064" s="215"/>
      <c r="BJ1064" s="215"/>
      <c r="BK1064" s="215"/>
      <c r="BL1064" s="215"/>
      <c r="BM1064" s="215"/>
      <c r="BN1064" s="215"/>
      <c r="BO1064" s="215"/>
      <c r="BP1064" s="215"/>
      <c r="BQ1064" s="215"/>
      <c r="BR1064" s="215"/>
      <c r="BS1064" s="215"/>
      <c r="BT1064" s="215"/>
      <c r="BU1064" s="215"/>
      <c r="BV1064" s="215"/>
      <c r="BW1064" s="215"/>
      <c r="BX1064" s="215"/>
      <c r="BY1064" s="215"/>
      <c r="BZ1064" s="215"/>
    </row>
    <row r="1065" spans="1:78" outlineLevel="1" x14ac:dyDescent="0.2">
      <c r="A1065" s="2" t="str">
        <f>'Language Index'!A528</f>
        <v>Rate of Comp. Increase - Min</v>
      </c>
      <c r="B1065" s="17"/>
      <c r="C1065" s="17"/>
      <c r="D1065" s="18">
        <f>_xll.ciqfunctions.udf.CIQ($C$2,"IQ_OPEB_RATE_COMP_INCREASE_MIN_FOREIGN",D$6,$F$2)</f>
        <v>0</v>
      </c>
      <c r="E1065" s="18">
        <f>_xll.ciqfunctions.udf.CIQ($C$2,"IQ_OPEB_RATE_COMP_INCREASE_MIN_FOREIGN",E$6,$F$2)</f>
        <v>0</v>
      </c>
      <c r="F1065" s="18">
        <f>_xll.ciqfunctions.udf.CIQ($C$2,"IQ_OPEB_RATE_COMP_INCREASE_MIN_FOREIGN",F$6,$F$2)</f>
        <v>0</v>
      </c>
      <c r="G1065" s="18">
        <f>_xll.ciqfunctions.udf.CIQ($C$2,"IQ_OPEB_RATE_COMP_INCREASE_MIN_FOREIGN",G$6,$F$2)</f>
        <v>0</v>
      </c>
      <c r="H1065" s="18">
        <f>_xll.ciqfunctions.udf.CIQ($C$2,"IQ_OPEB_RATE_COMP_INCREASE_MIN_FOREIGN",H$6,$F$2)</f>
        <v>0</v>
      </c>
      <c r="I1065" s="18">
        <f>_xll.ciqfunctions.udf.CIQ($C$2,"IQ_OPEB_RATE_COMP_INCREASE_MIN_FOREIGN",I$6,$F$2)</f>
        <v>0</v>
      </c>
      <c r="J1065" s="18">
        <f>_xll.ciqfunctions.udf.CIQ($C$2,"IQ_OPEB_RATE_COMP_INCREASE_MIN_FOREIGN",J$6,$F$2)</f>
        <v>0</v>
      </c>
      <c r="K1065" s="18">
        <f>_xll.ciqfunctions.udf.CIQ($C$2,"IQ_OPEB_RATE_COMP_INCREASE_MIN_FOREIGN",K$6,$F$2)</f>
        <v>0</v>
      </c>
      <c r="L1065" s="18">
        <f>_xll.ciqfunctions.udf.CIQ($C$2,"IQ_OPEB_RATE_COMP_INCREASE_MIN_FOREIGN",L$6,$F$2)</f>
        <v>0</v>
      </c>
      <c r="M1065" s="18">
        <f>_xll.ciqfunctions.udf.CIQ($C$2,"IQ_OPEB_RATE_COMP_INCREASE_MIN_FOREIGN",M$6,$F$2)</f>
        <v>0</v>
      </c>
      <c r="N1065" s="18">
        <f>_xll.ciqfunctions.udf.CIQ($C$2,"IQ_OPEB_RATE_COMP_INCREASE_MIN_FOREIGN",N$6,$F$2)</f>
        <v>0</v>
      </c>
      <c r="O1065" s="30"/>
      <c r="P1065" s="18">
        <f>_xll.ciqfunctions.udf.CIQ($C$2,"IQ_OPEB_RATE_COMP_INCREASE_MIN_FOREIGN",P$6,$F$2)</f>
        <v>0</v>
      </c>
      <c r="Q1065" s="245"/>
      <c r="R1065" s="215"/>
      <c r="S1065" s="215"/>
      <c r="T1065" s="215"/>
      <c r="U1065" s="215"/>
      <c r="V1065" s="222"/>
      <c r="W1065" s="222"/>
      <c r="X1065" s="222"/>
      <c r="Y1065" s="215"/>
      <c r="Z1065" s="215"/>
      <c r="AA1065" s="215"/>
      <c r="AB1065" s="215"/>
      <c r="AC1065" s="215"/>
      <c r="AD1065" s="215"/>
      <c r="AE1065" s="215"/>
      <c r="AF1065" s="215"/>
      <c r="AG1065" s="215"/>
      <c r="AH1065" s="215"/>
      <c r="AI1065" s="215"/>
      <c r="AJ1065" s="215"/>
      <c r="AK1065" s="215"/>
      <c r="AL1065" s="215"/>
      <c r="AM1065" s="215"/>
      <c r="AN1065" s="215"/>
      <c r="AO1065" s="215"/>
      <c r="AP1065" s="215"/>
      <c r="AQ1065" s="215"/>
      <c r="AR1065" s="215"/>
      <c r="AS1065" s="215"/>
      <c r="AT1065" s="215"/>
      <c r="AU1065" s="215"/>
      <c r="AV1065" s="215"/>
      <c r="AW1065" s="215"/>
      <c r="AX1065" s="215"/>
      <c r="AY1065" s="215"/>
      <c r="AZ1065" s="215"/>
      <c r="BA1065" s="215"/>
      <c r="BB1065" s="215"/>
      <c r="BC1065" s="215"/>
      <c r="BD1065" s="215"/>
      <c r="BE1065" s="215"/>
      <c r="BF1065" s="215"/>
      <c r="BG1065" s="215"/>
      <c r="BH1065" s="215"/>
      <c r="BI1065" s="215"/>
      <c r="BJ1065" s="215"/>
      <c r="BK1065" s="215"/>
      <c r="BL1065" s="215"/>
      <c r="BM1065" s="215"/>
      <c r="BN1065" s="215"/>
      <c r="BO1065" s="215"/>
      <c r="BP1065" s="215"/>
      <c r="BQ1065" s="215"/>
      <c r="BR1065" s="215"/>
      <c r="BS1065" s="215"/>
      <c r="BT1065" s="215"/>
      <c r="BU1065" s="215"/>
      <c r="BV1065" s="215"/>
      <c r="BW1065" s="215"/>
      <c r="BX1065" s="215"/>
      <c r="BY1065" s="215"/>
      <c r="BZ1065" s="215"/>
    </row>
    <row r="1066" spans="1:78" outlineLevel="1" x14ac:dyDescent="0.2">
      <c r="A1066" s="2" t="str">
        <f>'Language Index'!A529</f>
        <v>Rate of Comp. Increase - Max</v>
      </c>
      <c r="B1066" s="17"/>
      <c r="C1066" s="17"/>
      <c r="D1066" s="18">
        <f>_xll.ciqfunctions.udf.CIQ($C$2,"IQ_OPEB_RATE_COMP_INCREASE_MAX_FOREIGN",D$6,$F$2)</f>
        <v>0</v>
      </c>
      <c r="E1066" s="18">
        <f>_xll.ciqfunctions.udf.CIQ($C$2,"IQ_OPEB_RATE_COMP_INCREASE_MAX_FOREIGN",E$6,$F$2)</f>
        <v>0</v>
      </c>
      <c r="F1066" s="18">
        <f>_xll.ciqfunctions.udf.CIQ($C$2,"IQ_OPEB_RATE_COMP_INCREASE_MAX_FOREIGN",F$6,$F$2)</f>
        <v>0</v>
      </c>
      <c r="G1066" s="18">
        <f>_xll.ciqfunctions.udf.CIQ($C$2,"IQ_OPEB_RATE_COMP_INCREASE_MAX_FOREIGN",G$6,$F$2)</f>
        <v>0</v>
      </c>
      <c r="H1066" s="18">
        <f>_xll.ciqfunctions.udf.CIQ($C$2,"IQ_OPEB_RATE_COMP_INCREASE_MAX_FOREIGN",H$6,$F$2)</f>
        <v>0</v>
      </c>
      <c r="I1066" s="18">
        <f>_xll.ciqfunctions.udf.CIQ($C$2,"IQ_OPEB_RATE_COMP_INCREASE_MAX_FOREIGN",I$6,$F$2)</f>
        <v>0</v>
      </c>
      <c r="J1066" s="18">
        <f>_xll.ciqfunctions.udf.CIQ($C$2,"IQ_OPEB_RATE_COMP_INCREASE_MAX_FOREIGN",J$6,$F$2)</f>
        <v>0</v>
      </c>
      <c r="K1066" s="18">
        <f>_xll.ciqfunctions.udf.CIQ($C$2,"IQ_OPEB_RATE_COMP_INCREASE_MAX_FOREIGN",K$6,$F$2)</f>
        <v>0</v>
      </c>
      <c r="L1066" s="18">
        <f>_xll.ciqfunctions.udf.CIQ($C$2,"IQ_OPEB_RATE_COMP_INCREASE_MAX_FOREIGN",L$6,$F$2)</f>
        <v>0</v>
      </c>
      <c r="M1066" s="18">
        <f>_xll.ciqfunctions.udf.CIQ($C$2,"IQ_OPEB_RATE_COMP_INCREASE_MAX_FOREIGN",M$6,$F$2)</f>
        <v>0</v>
      </c>
      <c r="N1066" s="18">
        <f>_xll.ciqfunctions.udf.CIQ($C$2,"IQ_OPEB_RATE_COMP_INCREASE_MAX_FOREIGN",N$6,$F$2)</f>
        <v>0</v>
      </c>
      <c r="O1066" s="30"/>
      <c r="P1066" s="18">
        <f>_xll.ciqfunctions.udf.CIQ($C$2,"IQ_OPEB_RATE_COMP_INCREASE_MAX_FOREIGN",P$6,$F$2)</f>
        <v>0</v>
      </c>
      <c r="Q1066" s="245"/>
      <c r="R1066" s="215"/>
      <c r="S1066" s="215"/>
      <c r="T1066" s="215"/>
      <c r="U1066" s="215"/>
      <c r="V1066" s="222"/>
      <c r="W1066" s="222"/>
      <c r="X1066" s="222"/>
      <c r="Y1066" s="215"/>
      <c r="Z1066" s="215"/>
      <c r="AA1066" s="215"/>
      <c r="AB1066" s="215"/>
      <c r="AC1066" s="215"/>
      <c r="AD1066" s="215"/>
      <c r="AE1066" s="215"/>
      <c r="AF1066" s="215"/>
      <c r="AG1066" s="215"/>
      <c r="AH1066" s="215"/>
      <c r="AI1066" s="215"/>
      <c r="AJ1066" s="215"/>
      <c r="AK1066" s="215"/>
      <c r="AL1066" s="215"/>
      <c r="AM1066" s="215"/>
      <c r="AN1066" s="215"/>
      <c r="AO1066" s="215"/>
      <c r="AP1066" s="215"/>
      <c r="AQ1066" s="215"/>
      <c r="AR1066" s="215"/>
      <c r="AS1066" s="215"/>
      <c r="AT1066" s="215"/>
      <c r="AU1066" s="215"/>
      <c r="AV1066" s="215"/>
      <c r="AW1066" s="215"/>
      <c r="AX1066" s="215"/>
      <c r="AY1066" s="215"/>
      <c r="AZ1066" s="215"/>
      <c r="BA1066" s="215"/>
      <c r="BB1066" s="215"/>
      <c r="BC1066" s="215"/>
      <c r="BD1066" s="215"/>
      <c r="BE1066" s="215"/>
      <c r="BF1066" s="215"/>
      <c r="BG1066" s="215"/>
      <c r="BH1066" s="215"/>
      <c r="BI1066" s="215"/>
      <c r="BJ1066" s="215"/>
      <c r="BK1066" s="215"/>
      <c r="BL1066" s="215"/>
      <c r="BM1066" s="215"/>
      <c r="BN1066" s="215"/>
      <c r="BO1066" s="215"/>
      <c r="BP1066" s="215"/>
      <c r="BQ1066" s="215"/>
      <c r="BR1066" s="215"/>
      <c r="BS1066" s="215"/>
      <c r="BT1066" s="215"/>
      <c r="BU1066" s="215"/>
      <c r="BV1066" s="215"/>
      <c r="BW1066" s="215"/>
      <c r="BX1066" s="215"/>
      <c r="BY1066" s="215"/>
      <c r="BZ1066" s="215"/>
    </row>
    <row r="1067" spans="1:78" outlineLevel="1" x14ac:dyDescent="0.2">
      <c r="A1067" s="2" t="str">
        <f>'Language Index'!A530</f>
        <v>Exp. Long-Term Rate of Return on Assets - Min</v>
      </c>
      <c r="B1067" s="17"/>
      <c r="C1067" s="17"/>
      <c r="D1067" s="18">
        <f>_xll.ciqfunctions.udf.CIQ($C$2,"IQ_OPEB_EXP_RATE_RETURN_MIN_FOREIGN",D$6,$F$2)</f>
        <v>0</v>
      </c>
      <c r="E1067" s="18">
        <f>_xll.ciqfunctions.udf.CIQ($C$2,"IQ_OPEB_EXP_RATE_RETURN_MIN_FOREIGN",E$6,$F$2)</f>
        <v>0</v>
      </c>
      <c r="F1067" s="18">
        <f>_xll.ciqfunctions.udf.CIQ($C$2,"IQ_OPEB_EXP_RATE_RETURN_MIN_FOREIGN",F$6,$F$2)</f>
        <v>8.0500000000000007</v>
      </c>
      <c r="G1067" s="18">
        <f>_xll.ciqfunctions.udf.CIQ($C$2,"IQ_OPEB_EXP_RATE_RETURN_MIN_FOREIGN",G$6,$F$2)</f>
        <v>0</v>
      </c>
      <c r="H1067" s="18">
        <f>_xll.ciqfunctions.udf.CIQ($C$2,"IQ_OPEB_EXP_RATE_RETURN_MIN_FOREIGN",H$6,$F$2)</f>
        <v>0</v>
      </c>
      <c r="I1067" s="18">
        <f>_xll.ciqfunctions.udf.CIQ($C$2,"IQ_OPEB_EXP_RATE_RETURN_MIN_FOREIGN",I$6,$F$2)</f>
        <v>0</v>
      </c>
      <c r="J1067" s="18">
        <f>_xll.ciqfunctions.udf.CIQ($C$2,"IQ_OPEB_EXP_RATE_RETURN_MIN_FOREIGN",J$6,$F$2)</f>
        <v>8.1199999999999992</v>
      </c>
      <c r="K1067" s="18">
        <f>_xll.ciqfunctions.udf.CIQ($C$2,"IQ_OPEB_EXP_RATE_RETURN_MIN_FOREIGN",K$6,$F$2)</f>
        <v>0</v>
      </c>
      <c r="L1067" s="18">
        <f>_xll.ciqfunctions.udf.CIQ($C$2,"IQ_OPEB_EXP_RATE_RETURN_MIN_FOREIGN",L$6,$F$2)</f>
        <v>0</v>
      </c>
      <c r="M1067" s="18">
        <f>_xll.ciqfunctions.udf.CIQ($C$2,"IQ_OPEB_EXP_RATE_RETURN_MIN_FOREIGN",M$6,$F$2)</f>
        <v>0</v>
      </c>
      <c r="N1067" s="18">
        <f>_xll.ciqfunctions.udf.CIQ($C$2,"IQ_OPEB_EXP_RATE_RETURN_MIN_FOREIGN",N$6,$F$2)</f>
        <v>8.25</v>
      </c>
      <c r="O1067" s="30"/>
      <c r="P1067" s="18">
        <f>_xll.ciqfunctions.udf.CIQ($C$2,"IQ_OPEB_EXP_RATE_RETURN_MIN_FOREIGN",P$6,$F$2)</f>
        <v>8.25</v>
      </c>
      <c r="Q1067" s="245"/>
      <c r="R1067" s="215"/>
      <c r="S1067" s="215"/>
      <c r="T1067" s="215"/>
      <c r="U1067" s="215"/>
      <c r="V1067" s="222"/>
      <c r="W1067" s="222"/>
      <c r="X1067" s="222"/>
      <c r="Y1067" s="215"/>
      <c r="Z1067" s="215"/>
      <c r="AA1067" s="215"/>
      <c r="AB1067" s="215"/>
      <c r="AC1067" s="215"/>
      <c r="AD1067" s="215"/>
      <c r="AE1067" s="215"/>
      <c r="AF1067" s="215"/>
      <c r="AG1067" s="215"/>
      <c r="AH1067" s="215"/>
      <c r="AI1067" s="215"/>
      <c r="AJ1067" s="215"/>
      <c r="AK1067" s="215"/>
      <c r="AL1067" s="215"/>
      <c r="AM1067" s="215"/>
      <c r="AN1067" s="215"/>
      <c r="AO1067" s="215"/>
      <c r="AP1067" s="215"/>
      <c r="AQ1067" s="215"/>
      <c r="AR1067" s="215"/>
      <c r="AS1067" s="215"/>
      <c r="AT1067" s="215"/>
      <c r="AU1067" s="215"/>
      <c r="AV1067" s="215"/>
      <c r="AW1067" s="215"/>
      <c r="AX1067" s="215"/>
      <c r="AY1067" s="215"/>
      <c r="AZ1067" s="215"/>
      <c r="BA1067" s="215"/>
      <c r="BB1067" s="215"/>
      <c r="BC1067" s="215"/>
      <c r="BD1067" s="215"/>
      <c r="BE1067" s="215"/>
      <c r="BF1067" s="215"/>
      <c r="BG1067" s="215"/>
      <c r="BH1067" s="215"/>
      <c r="BI1067" s="215"/>
      <c r="BJ1067" s="215"/>
      <c r="BK1067" s="215"/>
      <c r="BL1067" s="215"/>
      <c r="BM1067" s="215"/>
      <c r="BN1067" s="215"/>
      <c r="BO1067" s="215"/>
      <c r="BP1067" s="215"/>
      <c r="BQ1067" s="215"/>
      <c r="BR1067" s="215"/>
      <c r="BS1067" s="215"/>
      <c r="BT1067" s="215"/>
      <c r="BU1067" s="215"/>
      <c r="BV1067" s="215"/>
      <c r="BW1067" s="215"/>
      <c r="BX1067" s="215"/>
      <c r="BY1067" s="215"/>
      <c r="BZ1067" s="215"/>
    </row>
    <row r="1068" spans="1:78" outlineLevel="1" x14ac:dyDescent="0.2">
      <c r="A1068" s="2" t="str">
        <f>'Language Index'!A531</f>
        <v>Exp. Long-Term Rate of Return on Assets - Max</v>
      </c>
      <c r="B1068" s="17"/>
      <c r="C1068" s="17"/>
      <c r="D1068" s="18">
        <f>_xll.ciqfunctions.udf.CIQ($C$2,"IQ_OPEB_EXP_RATE_RETURN_MAX_FOREIGN",D$6,$F$2)</f>
        <v>0</v>
      </c>
      <c r="E1068" s="18">
        <f>_xll.ciqfunctions.udf.CIQ($C$2,"IQ_OPEB_EXP_RATE_RETURN_MAX_FOREIGN",E$6,$F$2)</f>
        <v>0</v>
      </c>
      <c r="F1068" s="18">
        <f>_xll.ciqfunctions.udf.CIQ($C$2,"IQ_OPEB_EXP_RATE_RETURN_MAX_FOREIGN",F$6,$F$2)</f>
        <v>8.0500000000000007</v>
      </c>
      <c r="G1068" s="18">
        <f>_xll.ciqfunctions.udf.CIQ($C$2,"IQ_OPEB_EXP_RATE_RETURN_MAX_FOREIGN",G$6,$F$2)</f>
        <v>0</v>
      </c>
      <c r="H1068" s="18">
        <f>_xll.ciqfunctions.udf.CIQ($C$2,"IQ_OPEB_EXP_RATE_RETURN_MAX_FOREIGN",H$6,$F$2)</f>
        <v>0</v>
      </c>
      <c r="I1068" s="18">
        <f>_xll.ciqfunctions.udf.CIQ($C$2,"IQ_OPEB_EXP_RATE_RETURN_MAX_FOREIGN",I$6,$F$2)</f>
        <v>0</v>
      </c>
      <c r="J1068" s="18">
        <f>_xll.ciqfunctions.udf.CIQ($C$2,"IQ_OPEB_EXP_RATE_RETURN_MAX_FOREIGN",J$6,$F$2)</f>
        <v>8.1199999999999992</v>
      </c>
      <c r="K1068" s="18">
        <f>_xll.ciqfunctions.udf.CIQ($C$2,"IQ_OPEB_EXP_RATE_RETURN_MAX_FOREIGN",K$6,$F$2)</f>
        <v>0</v>
      </c>
      <c r="L1068" s="18">
        <f>_xll.ciqfunctions.udf.CIQ($C$2,"IQ_OPEB_EXP_RATE_RETURN_MAX_FOREIGN",L$6,$F$2)</f>
        <v>0</v>
      </c>
      <c r="M1068" s="18">
        <f>_xll.ciqfunctions.udf.CIQ($C$2,"IQ_OPEB_EXP_RATE_RETURN_MAX_FOREIGN",M$6,$F$2)</f>
        <v>0</v>
      </c>
      <c r="N1068" s="18">
        <f>_xll.ciqfunctions.udf.CIQ($C$2,"IQ_OPEB_EXP_RATE_RETURN_MAX_FOREIGN",N$6,$F$2)</f>
        <v>8.25</v>
      </c>
      <c r="O1068" s="30"/>
      <c r="P1068" s="18">
        <f>_xll.ciqfunctions.udf.CIQ($C$2,"IQ_OPEB_EXP_RATE_RETURN_MAX_FOREIGN",P$6,$F$2)</f>
        <v>8.25</v>
      </c>
      <c r="Q1068" s="245"/>
      <c r="R1068" s="215"/>
      <c r="S1068" s="215"/>
      <c r="T1068" s="215"/>
      <c r="U1068" s="215"/>
      <c r="V1068" s="222"/>
      <c r="W1068" s="222"/>
      <c r="X1068" s="222"/>
      <c r="Y1068" s="215"/>
      <c r="Z1068" s="215"/>
      <c r="AA1068" s="215"/>
      <c r="AB1068" s="215"/>
      <c r="AC1068" s="215"/>
      <c r="AD1068" s="215"/>
      <c r="AE1068" s="215"/>
      <c r="AF1068" s="215"/>
      <c r="AG1068" s="215"/>
      <c r="AH1068" s="215"/>
      <c r="AI1068" s="215"/>
      <c r="AJ1068" s="215"/>
      <c r="AK1068" s="215"/>
      <c r="AL1068" s="215"/>
      <c r="AM1068" s="215"/>
      <c r="AN1068" s="215"/>
      <c r="AO1068" s="215"/>
      <c r="AP1068" s="215"/>
      <c r="AQ1068" s="215"/>
      <c r="AR1068" s="215"/>
      <c r="AS1068" s="215"/>
      <c r="AT1068" s="215"/>
      <c r="AU1068" s="215"/>
      <c r="AV1068" s="215"/>
      <c r="AW1068" s="215"/>
      <c r="AX1068" s="215"/>
      <c r="AY1068" s="215"/>
      <c r="AZ1068" s="215"/>
      <c r="BA1068" s="215"/>
      <c r="BB1068" s="215"/>
      <c r="BC1068" s="215"/>
      <c r="BD1068" s="215"/>
      <c r="BE1068" s="215"/>
      <c r="BF1068" s="215"/>
      <c r="BG1068" s="215"/>
      <c r="BH1068" s="215"/>
      <c r="BI1068" s="215"/>
      <c r="BJ1068" s="215"/>
      <c r="BK1068" s="215"/>
      <c r="BL1068" s="215"/>
      <c r="BM1068" s="215"/>
      <c r="BN1068" s="215"/>
      <c r="BO1068" s="215"/>
      <c r="BP1068" s="215"/>
      <c r="BQ1068" s="215"/>
      <c r="BR1068" s="215"/>
      <c r="BS1068" s="215"/>
      <c r="BT1068" s="215"/>
      <c r="BU1068" s="215"/>
      <c r="BV1068" s="215"/>
      <c r="BW1068" s="215"/>
      <c r="BX1068" s="215"/>
      <c r="BY1068" s="215"/>
      <c r="BZ1068" s="215"/>
    </row>
    <row r="1069" spans="1:78" outlineLevel="1" x14ac:dyDescent="0.2">
      <c r="A1069" s="9" t="str">
        <f>'Language Index'!A532</f>
        <v>Breakdown of Plan Assets</v>
      </c>
      <c r="B1069" s="17"/>
      <c r="C1069" s="17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30"/>
      <c r="P1069" s="18"/>
      <c r="Q1069" s="245"/>
      <c r="R1069" s="215"/>
      <c r="S1069" s="215"/>
      <c r="T1069" s="215"/>
      <c r="U1069" s="215"/>
      <c r="V1069" s="222"/>
      <c r="W1069" s="222"/>
      <c r="X1069" s="222"/>
      <c r="Y1069" s="215"/>
      <c r="Z1069" s="215"/>
      <c r="AA1069" s="215"/>
      <c r="AB1069" s="215"/>
      <c r="AC1069" s="215"/>
      <c r="AD1069" s="215"/>
      <c r="AE1069" s="215"/>
      <c r="AF1069" s="215"/>
      <c r="AG1069" s="215"/>
      <c r="AH1069" s="215"/>
      <c r="AI1069" s="215"/>
      <c r="AJ1069" s="215"/>
      <c r="AK1069" s="215"/>
      <c r="AL1069" s="215"/>
      <c r="AM1069" s="215"/>
      <c r="AN1069" s="215"/>
      <c r="AO1069" s="215"/>
      <c r="AP1069" s="215"/>
      <c r="AQ1069" s="215"/>
      <c r="AR1069" s="215"/>
      <c r="AS1069" s="215"/>
      <c r="AT1069" s="215"/>
      <c r="AU1069" s="215"/>
      <c r="AV1069" s="215"/>
      <c r="AW1069" s="215"/>
      <c r="AX1069" s="215"/>
      <c r="AY1069" s="215"/>
      <c r="AZ1069" s="215"/>
      <c r="BA1069" s="215"/>
      <c r="BB1069" s="215"/>
      <c r="BC1069" s="215"/>
      <c r="BD1069" s="215"/>
      <c r="BE1069" s="215"/>
      <c r="BF1069" s="215"/>
      <c r="BG1069" s="215"/>
      <c r="BH1069" s="215"/>
      <c r="BI1069" s="215"/>
      <c r="BJ1069" s="215"/>
      <c r="BK1069" s="215"/>
      <c r="BL1069" s="215"/>
      <c r="BM1069" s="215"/>
      <c r="BN1069" s="215"/>
      <c r="BO1069" s="215"/>
      <c r="BP1069" s="215"/>
      <c r="BQ1069" s="215"/>
      <c r="BR1069" s="215"/>
      <c r="BS1069" s="215"/>
      <c r="BT1069" s="215"/>
      <c r="BU1069" s="215"/>
      <c r="BV1069" s="215"/>
      <c r="BW1069" s="215"/>
      <c r="BX1069" s="215"/>
      <c r="BY1069" s="215"/>
      <c r="BZ1069" s="215"/>
    </row>
    <row r="1070" spans="1:78" outlineLevel="1" x14ac:dyDescent="0.2">
      <c r="A1070" s="2" t="str">
        <f>'Language Index'!A533</f>
        <v>Plan Assets - Equities (%)</v>
      </c>
      <c r="B1070" s="17"/>
      <c r="C1070" s="17"/>
      <c r="D1070" s="18">
        <f>_xll.ciqfunctions.udf.CIQ($C$2,"IQ_OPEB_BREAKDOWN_PCT_EQ_FOREIGN",D$6,$F$2)</f>
        <v>0</v>
      </c>
      <c r="E1070" s="18">
        <f>_xll.ciqfunctions.udf.CIQ($C$2,"IQ_OPEB_BREAKDOWN_PCT_EQ_FOREIGN",E$6,$F$2)</f>
        <v>0</v>
      </c>
      <c r="F1070" s="18">
        <f>_xll.ciqfunctions.udf.CIQ($C$2,"IQ_OPEB_BREAKDOWN_PCT_EQ_FOREIGN",F$6,$F$2)</f>
        <v>0</v>
      </c>
      <c r="G1070" s="18">
        <f>_xll.ciqfunctions.udf.CIQ($C$2,"IQ_OPEB_BREAKDOWN_PCT_EQ_FOREIGN",G$6,$F$2)</f>
        <v>0</v>
      </c>
      <c r="H1070" s="18">
        <f>_xll.ciqfunctions.udf.CIQ($C$2,"IQ_OPEB_BREAKDOWN_PCT_EQ_FOREIGN",H$6,$F$2)</f>
        <v>0</v>
      </c>
      <c r="I1070" s="18">
        <f>_xll.ciqfunctions.udf.CIQ($C$2,"IQ_OPEB_BREAKDOWN_PCT_EQ_FOREIGN",I$6,$F$2)</f>
        <v>0</v>
      </c>
      <c r="J1070" s="18">
        <f>_xll.ciqfunctions.udf.CIQ($C$2,"IQ_OPEB_BREAKDOWN_PCT_EQ_FOREIGN",J$6,$F$2)</f>
        <v>0</v>
      </c>
      <c r="K1070" s="18">
        <f>_xll.ciqfunctions.udf.CIQ($C$2,"IQ_OPEB_BREAKDOWN_PCT_EQ_FOREIGN",K$6,$F$2)</f>
        <v>0</v>
      </c>
      <c r="L1070" s="18">
        <f>_xll.ciqfunctions.udf.CIQ($C$2,"IQ_OPEB_BREAKDOWN_PCT_EQ_FOREIGN",L$6,$F$2)</f>
        <v>0</v>
      </c>
      <c r="M1070" s="18">
        <f>_xll.ciqfunctions.udf.CIQ($C$2,"IQ_OPEB_BREAKDOWN_PCT_EQ_FOREIGN",M$6,$F$2)</f>
        <v>0</v>
      </c>
      <c r="N1070" s="18">
        <f>_xll.ciqfunctions.udf.CIQ($C$2,"IQ_OPEB_BREAKDOWN_PCT_EQ_FOREIGN",N$6,$F$2)</f>
        <v>0</v>
      </c>
      <c r="O1070" s="30"/>
      <c r="P1070" s="18">
        <f>_xll.ciqfunctions.udf.CIQ($C$2,"IQ_OPEB_BREAKDOWN_PCT_EQ_FOREIGN",P$6,$F$2)</f>
        <v>0</v>
      </c>
      <c r="Q1070" s="245"/>
      <c r="R1070" s="215"/>
      <c r="S1070" s="215"/>
      <c r="T1070" s="215"/>
      <c r="U1070" s="215"/>
      <c r="V1070" s="222"/>
      <c r="W1070" s="222"/>
      <c r="X1070" s="222"/>
      <c r="Y1070" s="215"/>
      <c r="Z1070" s="215"/>
      <c r="AA1070" s="215"/>
      <c r="AB1070" s="215"/>
      <c r="AC1070" s="215"/>
      <c r="AD1070" s="215"/>
      <c r="AE1070" s="215"/>
      <c r="AF1070" s="215"/>
      <c r="AG1070" s="215"/>
      <c r="AH1070" s="215"/>
      <c r="AI1070" s="215"/>
      <c r="AJ1070" s="215"/>
      <c r="AK1070" s="215"/>
      <c r="AL1070" s="215"/>
      <c r="AM1070" s="215"/>
      <c r="AN1070" s="215"/>
      <c r="AO1070" s="215"/>
      <c r="AP1070" s="215"/>
      <c r="AQ1070" s="215"/>
      <c r="AR1070" s="215"/>
      <c r="AS1070" s="215"/>
      <c r="AT1070" s="215"/>
      <c r="AU1070" s="215"/>
      <c r="AV1070" s="215"/>
      <c r="AW1070" s="215"/>
      <c r="AX1070" s="215"/>
      <c r="AY1070" s="215"/>
      <c r="AZ1070" s="215"/>
      <c r="BA1070" s="215"/>
      <c r="BB1070" s="215"/>
      <c r="BC1070" s="215"/>
      <c r="BD1070" s="215"/>
      <c r="BE1070" s="215"/>
      <c r="BF1070" s="215"/>
      <c r="BG1070" s="215"/>
      <c r="BH1070" s="215"/>
      <c r="BI1070" s="215"/>
      <c r="BJ1070" s="215"/>
      <c r="BK1070" s="215"/>
      <c r="BL1070" s="215"/>
      <c r="BM1070" s="215"/>
      <c r="BN1070" s="215"/>
      <c r="BO1070" s="215"/>
      <c r="BP1070" s="215"/>
      <c r="BQ1070" s="215"/>
      <c r="BR1070" s="215"/>
      <c r="BS1070" s="215"/>
      <c r="BT1070" s="215"/>
      <c r="BU1070" s="215"/>
      <c r="BV1070" s="215"/>
      <c r="BW1070" s="215"/>
      <c r="BX1070" s="215"/>
      <c r="BY1070" s="215"/>
      <c r="BZ1070" s="215"/>
    </row>
    <row r="1071" spans="1:78" outlineLevel="1" x14ac:dyDescent="0.2">
      <c r="A1071" s="2" t="str">
        <f>'Language Index'!A534</f>
        <v>Plan Assets - Fixed Income (%)</v>
      </c>
      <c r="B1071" s="17"/>
      <c r="C1071" s="17"/>
      <c r="D1071" s="18">
        <f>_xll.ciqfunctions.udf.CIQ($C$2,"IQ_OPEB_BREAKDOWN_PCT_FI_FOREIGN",D$6,$F$2)</f>
        <v>0</v>
      </c>
      <c r="E1071" s="18">
        <f>_xll.ciqfunctions.udf.CIQ($C$2,"IQ_OPEB_BREAKDOWN_PCT_FI_FOREIGN",E$6,$F$2)</f>
        <v>0</v>
      </c>
      <c r="F1071" s="18">
        <f>_xll.ciqfunctions.udf.CIQ($C$2,"IQ_OPEB_BREAKDOWN_PCT_FI_FOREIGN",F$6,$F$2)</f>
        <v>100</v>
      </c>
      <c r="G1071" s="18">
        <f>_xll.ciqfunctions.udf.CIQ($C$2,"IQ_OPEB_BREAKDOWN_PCT_FI_FOREIGN",G$6,$F$2)</f>
        <v>0</v>
      </c>
      <c r="H1071" s="18">
        <f>_xll.ciqfunctions.udf.CIQ($C$2,"IQ_OPEB_BREAKDOWN_PCT_FI_FOREIGN",H$6,$F$2)</f>
        <v>0</v>
      </c>
      <c r="I1071" s="18">
        <f>_xll.ciqfunctions.udf.CIQ($C$2,"IQ_OPEB_BREAKDOWN_PCT_FI_FOREIGN",I$6,$F$2)</f>
        <v>0</v>
      </c>
      <c r="J1071" s="18">
        <f>_xll.ciqfunctions.udf.CIQ($C$2,"IQ_OPEB_BREAKDOWN_PCT_FI_FOREIGN",J$6,$F$2)</f>
        <v>0</v>
      </c>
      <c r="K1071" s="18">
        <f>_xll.ciqfunctions.udf.CIQ($C$2,"IQ_OPEB_BREAKDOWN_PCT_FI_FOREIGN",K$6,$F$2)</f>
        <v>0</v>
      </c>
      <c r="L1071" s="18">
        <f>_xll.ciqfunctions.udf.CIQ($C$2,"IQ_OPEB_BREAKDOWN_PCT_FI_FOREIGN",L$6,$F$2)</f>
        <v>0</v>
      </c>
      <c r="M1071" s="18">
        <f>_xll.ciqfunctions.udf.CIQ($C$2,"IQ_OPEB_BREAKDOWN_PCT_FI_FOREIGN",M$6,$F$2)</f>
        <v>0</v>
      </c>
      <c r="N1071" s="18">
        <f>_xll.ciqfunctions.udf.CIQ($C$2,"IQ_OPEB_BREAKDOWN_PCT_FI_FOREIGN",N$6,$F$2)</f>
        <v>0</v>
      </c>
      <c r="O1071" s="30"/>
      <c r="P1071" s="18">
        <f>_xll.ciqfunctions.udf.CIQ($C$2,"IQ_OPEB_BREAKDOWN_PCT_FI_FOREIGN",P$6,$F$2)</f>
        <v>0</v>
      </c>
      <c r="Q1071" s="245"/>
      <c r="R1071" s="215"/>
      <c r="S1071" s="215"/>
      <c r="T1071" s="215"/>
      <c r="U1071" s="215"/>
      <c r="V1071" s="222"/>
      <c r="W1071" s="222"/>
      <c r="X1071" s="222"/>
      <c r="Y1071" s="215"/>
      <c r="Z1071" s="215"/>
      <c r="AA1071" s="215"/>
      <c r="AB1071" s="215"/>
      <c r="AC1071" s="215"/>
      <c r="AD1071" s="215"/>
      <c r="AE1071" s="215"/>
      <c r="AF1071" s="215"/>
      <c r="AG1071" s="215"/>
      <c r="AH1071" s="215"/>
      <c r="AI1071" s="215"/>
      <c r="AJ1071" s="215"/>
      <c r="AK1071" s="215"/>
      <c r="AL1071" s="215"/>
      <c r="AM1071" s="215"/>
      <c r="AN1071" s="215"/>
      <c r="AO1071" s="215"/>
      <c r="AP1071" s="215"/>
      <c r="AQ1071" s="215"/>
      <c r="AR1071" s="215"/>
      <c r="AS1071" s="215"/>
      <c r="AT1071" s="215"/>
      <c r="AU1071" s="215"/>
      <c r="AV1071" s="215"/>
      <c r="AW1071" s="215"/>
      <c r="AX1071" s="215"/>
      <c r="AY1071" s="215"/>
      <c r="AZ1071" s="215"/>
      <c r="BA1071" s="215"/>
      <c r="BB1071" s="215"/>
      <c r="BC1071" s="215"/>
      <c r="BD1071" s="215"/>
      <c r="BE1071" s="215"/>
      <c r="BF1071" s="215"/>
      <c r="BG1071" s="215"/>
      <c r="BH1071" s="215"/>
      <c r="BI1071" s="215"/>
      <c r="BJ1071" s="215"/>
      <c r="BK1071" s="215"/>
      <c r="BL1071" s="215"/>
      <c r="BM1071" s="215"/>
      <c r="BN1071" s="215"/>
      <c r="BO1071" s="215"/>
      <c r="BP1071" s="215"/>
      <c r="BQ1071" s="215"/>
      <c r="BR1071" s="215"/>
      <c r="BS1071" s="215"/>
      <c r="BT1071" s="215"/>
      <c r="BU1071" s="215"/>
      <c r="BV1071" s="215"/>
      <c r="BW1071" s="215"/>
      <c r="BX1071" s="215"/>
      <c r="BY1071" s="215"/>
      <c r="BZ1071" s="215"/>
    </row>
    <row r="1072" spans="1:78" outlineLevel="1" x14ac:dyDescent="0.2">
      <c r="A1072" s="2" t="str">
        <f>'Language Index'!A535</f>
        <v>Plan Assets- Real Estate (%)</v>
      </c>
      <c r="B1072" s="17"/>
      <c r="C1072" s="17"/>
      <c r="D1072" s="18">
        <f>_xll.ciqfunctions.udf.CIQ($C$2,"IQ_OPEB_BREAKDOWN_PCT_RE_FOREIGN",D$6,$F$2)</f>
        <v>0</v>
      </c>
      <c r="E1072" s="18">
        <f>_xll.ciqfunctions.udf.CIQ($C$2,"IQ_OPEB_BREAKDOWN_PCT_RE_FOREIGN",E$6,$F$2)</f>
        <v>0</v>
      </c>
      <c r="F1072" s="18">
        <f>_xll.ciqfunctions.udf.CIQ($C$2,"IQ_OPEB_BREAKDOWN_PCT_RE_FOREIGN",F$6,$F$2)</f>
        <v>0</v>
      </c>
      <c r="G1072" s="18">
        <f>_xll.ciqfunctions.udf.CIQ($C$2,"IQ_OPEB_BREAKDOWN_PCT_RE_FOREIGN",G$6,$F$2)</f>
        <v>0</v>
      </c>
      <c r="H1072" s="18">
        <f>_xll.ciqfunctions.udf.CIQ($C$2,"IQ_OPEB_BREAKDOWN_PCT_RE_FOREIGN",H$6,$F$2)</f>
        <v>0</v>
      </c>
      <c r="I1072" s="18">
        <f>_xll.ciqfunctions.udf.CIQ($C$2,"IQ_OPEB_BREAKDOWN_PCT_RE_FOREIGN",I$6,$F$2)</f>
        <v>0</v>
      </c>
      <c r="J1072" s="18">
        <f>_xll.ciqfunctions.udf.CIQ($C$2,"IQ_OPEB_BREAKDOWN_PCT_RE_FOREIGN",J$6,$F$2)</f>
        <v>0</v>
      </c>
      <c r="K1072" s="18">
        <f>_xll.ciqfunctions.udf.CIQ($C$2,"IQ_OPEB_BREAKDOWN_PCT_RE_FOREIGN",K$6,$F$2)</f>
        <v>0</v>
      </c>
      <c r="L1072" s="18">
        <f>_xll.ciqfunctions.udf.CIQ($C$2,"IQ_OPEB_BREAKDOWN_PCT_RE_FOREIGN",L$6,$F$2)</f>
        <v>0</v>
      </c>
      <c r="M1072" s="18">
        <f>_xll.ciqfunctions.udf.CIQ($C$2,"IQ_OPEB_BREAKDOWN_PCT_RE_FOREIGN",M$6,$F$2)</f>
        <v>0</v>
      </c>
      <c r="N1072" s="18">
        <f>_xll.ciqfunctions.udf.CIQ($C$2,"IQ_OPEB_BREAKDOWN_PCT_RE_FOREIGN",N$6,$F$2)</f>
        <v>0</v>
      </c>
      <c r="O1072" s="30"/>
      <c r="P1072" s="18">
        <f>_xll.ciqfunctions.udf.CIQ($C$2,"IQ_OPEB_BREAKDOWN_PCT_RE_FOREIGN",P$6,$F$2)</f>
        <v>0</v>
      </c>
      <c r="Q1072" s="245"/>
      <c r="R1072" s="215"/>
      <c r="S1072" s="215"/>
      <c r="T1072" s="215"/>
      <c r="U1072" s="215"/>
      <c r="V1072" s="222"/>
      <c r="W1072" s="222"/>
      <c r="X1072" s="222"/>
      <c r="Y1072" s="215"/>
      <c r="Z1072" s="215"/>
      <c r="AA1072" s="215"/>
      <c r="AB1072" s="215"/>
      <c r="AC1072" s="215"/>
      <c r="AD1072" s="215"/>
      <c r="AE1072" s="215"/>
      <c r="AF1072" s="215"/>
      <c r="AG1072" s="215"/>
      <c r="AH1072" s="215"/>
      <c r="AI1072" s="215"/>
      <c r="AJ1072" s="215"/>
      <c r="AK1072" s="215"/>
      <c r="AL1072" s="215"/>
      <c r="AM1072" s="215"/>
      <c r="AN1072" s="215"/>
      <c r="AO1072" s="215"/>
      <c r="AP1072" s="215"/>
      <c r="AQ1072" s="215"/>
      <c r="AR1072" s="215"/>
      <c r="AS1072" s="215"/>
      <c r="AT1072" s="215"/>
      <c r="AU1072" s="215"/>
      <c r="AV1072" s="215"/>
      <c r="AW1072" s="215"/>
      <c r="AX1072" s="215"/>
      <c r="AY1072" s="215"/>
      <c r="AZ1072" s="215"/>
      <c r="BA1072" s="215"/>
      <c r="BB1072" s="215"/>
      <c r="BC1072" s="215"/>
      <c r="BD1072" s="215"/>
      <c r="BE1072" s="215"/>
      <c r="BF1072" s="215"/>
      <c r="BG1072" s="215"/>
      <c r="BH1072" s="215"/>
      <c r="BI1072" s="215"/>
      <c r="BJ1072" s="215"/>
      <c r="BK1072" s="215"/>
      <c r="BL1072" s="215"/>
      <c r="BM1072" s="215"/>
      <c r="BN1072" s="215"/>
      <c r="BO1072" s="215"/>
      <c r="BP1072" s="215"/>
      <c r="BQ1072" s="215"/>
      <c r="BR1072" s="215"/>
      <c r="BS1072" s="215"/>
      <c r="BT1072" s="215"/>
      <c r="BU1072" s="215"/>
      <c r="BV1072" s="215"/>
      <c r="BW1072" s="215"/>
      <c r="BX1072" s="215"/>
      <c r="BY1072" s="215"/>
      <c r="BZ1072" s="215"/>
    </row>
    <row r="1073" spans="1:78" outlineLevel="1" x14ac:dyDescent="0.2">
      <c r="A1073" s="2" t="str">
        <f>'Language Index'!A536</f>
        <v>Other Plan Assets (%)</v>
      </c>
      <c r="B1073" s="17"/>
      <c r="C1073" s="17"/>
      <c r="D1073" s="18">
        <f>_xll.ciqfunctions.udf.CIQ($C$2,"IQ_OPEB_BREAKDOWN_PCT_OTHER_FOREIGN",D$6,$F$2)</f>
        <v>0</v>
      </c>
      <c r="E1073" s="18">
        <f>_xll.ciqfunctions.udf.CIQ($C$2,"IQ_OPEB_BREAKDOWN_PCT_OTHER_FOREIGN",E$6,$F$2)</f>
        <v>0</v>
      </c>
      <c r="F1073" s="18">
        <f>_xll.ciqfunctions.udf.CIQ($C$2,"IQ_OPEB_BREAKDOWN_PCT_OTHER_FOREIGN",F$6,$F$2)</f>
        <v>0</v>
      </c>
      <c r="G1073" s="18">
        <f>_xll.ciqfunctions.udf.CIQ($C$2,"IQ_OPEB_BREAKDOWN_PCT_OTHER_FOREIGN",G$6,$F$2)</f>
        <v>0</v>
      </c>
      <c r="H1073" s="18">
        <f>_xll.ciqfunctions.udf.CIQ($C$2,"IQ_OPEB_BREAKDOWN_PCT_OTHER_FOREIGN",H$6,$F$2)</f>
        <v>0</v>
      </c>
      <c r="I1073" s="18">
        <f>_xll.ciqfunctions.udf.CIQ($C$2,"IQ_OPEB_BREAKDOWN_PCT_OTHER_FOREIGN",I$6,$F$2)</f>
        <v>0</v>
      </c>
      <c r="J1073" s="18">
        <f>_xll.ciqfunctions.udf.CIQ($C$2,"IQ_OPEB_BREAKDOWN_PCT_OTHER_FOREIGN",J$6,$F$2)</f>
        <v>0</v>
      </c>
      <c r="K1073" s="18">
        <f>_xll.ciqfunctions.udf.CIQ($C$2,"IQ_OPEB_BREAKDOWN_PCT_OTHER_FOREIGN",K$6,$F$2)</f>
        <v>0</v>
      </c>
      <c r="L1073" s="18">
        <f>_xll.ciqfunctions.udf.CIQ($C$2,"IQ_OPEB_BREAKDOWN_PCT_OTHER_FOREIGN",L$6,$F$2)</f>
        <v>0</v>
      </c>
      <c r="M1073" s="18">
        <f>_xll.ciqfunctions.udf.CIQ($C$2,"IQ_OPEB_BREAKDOWN_PCT_OTHER_FOREIGN",M$6,$F$2)</f>
        <v>0</v>
      </c>
      <c r="N1073" s="18">
        <f>_xll.ciqfunctions.udf.CIQ($C$2,"IQ_OPEB_BREAKDOWN_PCT_OTHER_FOREIGN",N$6,$F$2)</f>
        <v>0</v>
      </c>
      <c r="O1073" s="30"/>
      <c r="P1073" s="18">
        <f>_xll.ciqfunctions.udf.CIQ($C$2,"IQ_OPEB_BREAKDOWN_PCT_OTHER_FOREIGN",P$6,$F$2)</f>
        <v>0</v>
      </c>
      <c r="Q1073" s="215"/>
      <c r="R1073" s="215"/>
      <c r="S1073" s="215"/>
      <c r="T1073" s="215"/>
      <c r="U1073" s="215"/>
      <c r="V1073" s="222"/>
      <c r="W1073" s="222"/>
      <c r="X1073" s="222"/>
      <c r="Y1073" s="215"/>
      <c r="Z1073" s="215"/>
      <c r="AA1073" s="215"/>
      <c r="AB1073" s="215"/>
      <c r="AC1073" s="215"/>
      <c r="AD1073" s="215"/>
      <c r="AE1073" s="215"/>
      <c r="AF1073" s="215"/>
      <c r="AG1073" s="215"/>
      <c r="AH1073" s="215"/>
      <c r="AI1073" s="215"/>
      <c r="AJ1073" s="215"/>
      <c r="AK1073" s="215"/>
      <c r="AL1073" s="215"/>
      <c r="AM1073" s="215"/>
      <c r="AN1073" s="215"/>
      <c r="AO1073" s="215"/>
      <c r="AP1073" s="215"/>
      <c r="AQ1073" s="215"/>
      <c r="AR1073" s="215"/>
      <c r="AS1073" s="215"/>
      <c r="AT1073" s="215"/>
      <c r="AU1073" s="215"/>
      <c r="AV1073" s="215"/>
      <c r="AW1073" s="215"/>
      <c r="AX1073" s="215"/>
      <c r="AY1073" s="215"/>
      <c r="AZ1073" s="215"/>
      <c r="BA1073" s="215"/>
      <c r="BB1073" s="215"/>
      <c r="BC1073" s="215"/>
      <c r="BD1073" s="215"/>
      <c r="BE1073" s="215"/>
      <c r="BF1073" s="215"/>
      <c r="BG1073" s="215"/>
      <c r="BH1073" s="215"/>
      <c r="BI1073" s="215"/>
      <c r="BJ1073" s="215"/>
      <c r="BK1073" s="215"/>
      <c r="BL1073" s="215"/>
      <c r="BM1073" s="215"/>
      <c r="BN1073" s="215"/>
      <c r="BO1073" s="215"/>
      <c r="BP1073" s="215"/>
      <c r="BQ1073" s="215"/>
      <c r="BR1073" s="215"/>
      <c r="BS1073" s="215"/>
      <c r="BT1073" s="215"/>
      <c r="BU1073" s="215"/>
      <c r="BV1073" s="215"/>
      <c r="BW1073" s="215"/>
      <c r="BX1073" s="215"/>
      <c r="BY1073" s="215"/>
      <c r="BZ1073" s="215"/>
    </row>
    <row r="1074" spans="1:78" outlineLevel="1" x14ac:dyDescent="0.2">
      <c r="A1074" s="9" t="str">
        <f>'Language Index'!A532</f>
        <v>Breakdown of Plan Assets</v>
      </c>
      <c r="B1074" s="17"/>
      <c r="C1074" s="17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30"/>
      <c r="P1074" s="18"/>
      <c r="Q1074" s="215"/>
      <c r="R1074" s="215"/>
      <c r="S1074" s="215"/>
      <c r="T1074" s="215"/>
      <c r="U1074" s="215"/>
      <c r="V1074" s="222"/>
      <c r="W1074" s="222"/>
      <c r="X1074" s="222"/>
      <c r="Y1074" s="215"/>
      <c r="Z1074" s="215"/>
      <c r="AA1074" s="215"/>
      <c r="AB1074" s="215"/>
      <c r="AC1074" s="215"/>
      <c r="AD1074" s="215"/>
      <c r="AE1074" s="215"/>
      <c r="AF1074" s="215"/>
      <c r="AG1074" s="215"/>
      <c r="AH1074" s="215"/>
      <c r="AI1074" s="215"/>
      <c r="AJ1074" s="215"/>
      <c r="AK1074" s="215"/>
      <c r="AL1074" s="215"/>
      <c r="AM1074" s="215"/>
      <c r="AN1074" s="215"/>
      <c r="AO1074" s="215"/>
      <c r="AP1074" s="215"/>
      <c r="AQ1074" s="215"/>
      <c r="AR1074" s="215"/>
      <c r="AS1074" s="215"/>
      <c r="AT1074" s="215"/>
      <c r="AU1074" s="215"/>
      <c r="AV1074" s="215"/>
      <c r="AW1074" s="215"/>
      <c r="AX1074" s="215"/>
      <c r="AY1074" s="215"/>
      <c r="AZ1074" s="215"/>
      <c r="BA1074" s="215"/>
      <c r="BB1074" s="215"/>
      <c r="BC1074" s="215"/>
      <c r="BD1074" s="215"/>
      <c r="BE1074" s="215"/>
      <c r="BF1074" s="215"/>
      <c r="BG1074" s="215"/>
      <c r="BH1074" s="215"/>
      <c r="BI1074" s="215"/>
      <c r="BJ1074" s="215"/>
      <c r="BK1074" s="215"/>
      <c r="BL1074" s="215"/>
      <c r="BM1074" s="215"/>
      <c r="BN1074" s="215"/>
      <c r="BO1074" s="215"/>
      <c r="BP1074" s="215"/>
      <c r="BQ1074" s="215"/>
      <c r="BR1074" s="215"/>
      <c r="BS1074" s="215"/>
      <c r="BT1074" s="215"/>
      <c r="BU1074" s="215"/>
      <c r="BV1074" s="215"/>
      <c r="BW1074" s="215"/>
      <c r="BX1074" s="215"/>
      <c r="BY1074" s="215"/>
      <c r="BZ1074" s="215"/>
    </row>
    <row r="1075" spans="1:78" outlineLevel="1" x14ac:dyDescent="0.2">
      <c r="A1075" s="2" t="str">
        <f>'Language Index'!A537</f>
        <v>Plan Assets - Equities</v>
      </c>
      <c r="B1075" s="17"/>
      <c r="C1075" s="17"/>
      <c r="D1075" s="18">
        <f>_xll.ciqfunctions.udf.CIQ($C$2,"IQ_OPEB_BREAKDOWN_EQ_FOREIGN",D$6,$F$2,,,Ccy,Conv)</f>
        <v>0</v>
      </c>
      <c r="E1075" s="18">
        <f>_xll.ciqfunctions.udf.CIQ($C$2,"IQ_OPEB_BREAKDOWN_EQ_FOREIGN",E$6,$F$2,,,Ccy,Conv)</f>
        <v>0</v>
      </c>
      <c r="F1075" s="18">
        <f>_xll.ciqfunctions.udf.CIQ($C$2,"IQ_OPEB_BREAKDOWN_EQ_FOREIGN",F$6,$F$2,,,Ccy,Conv)</f>
        <v>0</v>
      </c>
      <c r="G1075" s="18">
        <f>_xll.ciqfunctions.udf.CIQ($C$2,"IQ_OPEB_BREAKDOWN_EQ_FOREIGN",G$6,$F$2,,,Ccy,Conv)</f>
        <v>0</v>
      </c>
      <c r="H1075" s="18">
        <f>_xll.ciqfunctions.udf.CIQ($C$2,"IQ_OPEB_BREAKDOWN_EQ_FOREIGN",H$6,$F$2,,,Ccy,Conv)</f>
        <v>0</v>
      </c>
      <c r="I1075" s="18">
        <f>_xll.ciqfunctions.udf.CIQ($C$2,"IQ_OPEB_BREAKDOWN_EQ_FOREIGN",I$6,$F$2,,,Ccy,Conv)</f>
        <v>0</v>
      </c>
      <c r="J1075" s="18">
        <f>_xll.ciqfunctions.udf.CIQ($C$2,"IQ_OPEB_BREAKDOWN_EQ_FOREIGN",J$6,$F$2,,,Ccy,Conv)</f>
        <v>0</v>
      </c>
      <c r="K1075" s="18">
        <f>_xll.ciqfunctions.udf.CIQ($C$2,"IQ_OPEB_BREAKDOWN_EQ_FOREIGN",K$6,$F$2,,,Ccy,Conv)</f>
        <v>0</v>
      </c>
      <c r="L1075" s="18">
        <f>_xll.ciqfunctions.udf.CIQ($C$2,"IQ_OPEB_BREAKDOWN_EQ_FOREIGN",L$6,$F$2,,,Ccy,Conv)</f>
        <v>0</v>
      </c>
      <c r="M1075" s="18">
        <f>_xll.ciqfunctions.udf.CIQ($C$2,"IQ_OPEB_BREAKDOWN_EQ_FOREIGN",M$6,$F$2,,,Ccy,Conv)</f>
        <v>0</v>
      </c>
      <c r="N1075" s="18">
        <f>_xll.ciqfunctions.udf.CIQ($C$2,"IQ_OPEB_BREAKDOWN_EQ_FOREIGN",N$6,$F$2,,,Ccy,Conv)</f>
        <v>0</v>
      </c>
      <c r="O1075" s="30"/>
      <c r="P1075" s="18">
        <f>_xll.ciqfunctions.udf.CIQ($C$2,"IQ_OPEB_BREAKDOWN_EQ_FOREIGN",P$6,$F$2,,,Ccy,Conv)</f>
        <v>0</v>
      </c>
      <c r="Q1075" s="215"/>
      <c r="R1075" s="215"/>
      <c r="S1075" s="215"/>
      <c r="T1075" s="215"/>
      <c r="U1075" s="215"/>
      <c r="V1075" s="222"/>
      <c r="W1075" s="222"/>
      <c r="X1075" s="222"/>
      <c r="Y1075" s="215"/>
      <c r="Z1075" s="215"/>
      <c r="AA1075" s="215"/>
      <c r="AB1075" s="215"/>
      <c r="AC1075" s="215"/>
      <c r="AD1075" s="215"/>
      <c r="AE1075" s="215"/>
      <c r="AF1075" s="215"/>
      <c r="AG1075" s="215"/>
      <c r="AH1075" s="215"/>
      <c r="AI1075" s="215"/>
      <c r="AJ1075" s="215"/>
      <c r="AK1075" s="215"/>
      <c r="AL1075" s="215"/>
      <c r="AM1075" s="215"/>
      <c r="AN1075" s="215"/>
      <c r="AO1075" s="215"/>
      <c r="AP1075" s="215"/>
      <c r="AQ1075" s="215"/>
      <c r="AR1075" s="215"/>
      <c r="AS1075" s="215"/>
      <c r="AT1075" s="215"/>
      <c r="AU1075" s="215"/>
      <c r="AV1075" s="215"/>
      <c r="AW1075" s="215"/>
      <c r="AX1075" s="215"/>
      <c r="AY1075" s="215"/>
      <c r="AZ1075" s="215"/>
      <c r="BA1075" s="215"/>
      <c r="BB1075" s="215"/>
      <c r="BC1075" s="215"/>
      <c r="BD1075" s="215"/>
      <c r="BE1075" s="215"/>
      <c r="BF1075" s="215"/>
      <c r="BG1075" s="215"/>
      <c r="BH1075" s="215"/>
      <c r="BI1075" s="215"/>
      <c r="BJ1075" s="215"/>
      <c r="BK1075" s="215"/>
      <c r="BL1075" s="215"/>
      <c r="BM1075" s="215"/>
      <c r="BN1075" s="215"/>
      <c r="BO1075" s="215"/>
      <c r="BP1075" s="215"/>
      <c r="BQ1075" s="215"/>
      <c r="BR1075" s="215"/>
      <c r="BS1075" s="215"/>
      <c r="BT1075" s="215"/>
      <c r="BU1075" s="215"/>
      <c r="BV1075" s="215"/>
      <c r="BW1075" s="215"/>
      <c r="BX1075" s="215"/>
      <c r="BY1075" s="215"/>
      <c r="BZ1075" s="215"/>
    </row>
    <row r="1076" spans="1:78" outlineLevel="1" x14ac:dyDescent="0.2">
      <c r="A1076" s="2" t="str">
        <f>'Language Index'!A538</f>
        <v>Plan Assets - Fixed Income</v>
      </c>
      <c r="B1076" s="17"/>
      <c r="C1076" s="17"/>
      <c r="D1076" s="18">
        <f>_xll.ciqfunctions.udf.CIQ($C$2,"IQ_OPEB_BREAKDOWN_FI_FOREIGN",D$6,$F$2,,,Ccy,Conv)</f>
        <v>0</v>
      </c>
      <c r="E1076" s="18">
        <f>_xll.ciqfunctions.udf.CIQ($C$2,"IQ_OPEB_BREAKDOWN_FI_FOREIGN",E$6,$F$2,,,Ccy,Conv)</f>
        <v>0</v>
      </c>
      <c r="F1076" s="18">
        <f>_xll.ciqfunctions.udf.CIQ($C$2,"IQ_OPEB_BREAKDOWN_FI_FOREIGN",F$6,$F$2,,,Ccy,Conv)</f>
        <v>23</v>
      </c>
      <c r="G1076" s="18">
        <f>_xll.ciqfunctions.udf.CIQ($C$2,"IQ_OPEB_BREAKDOWN_FI_FOREIGN",G$6,$F$2,,,Ccy,Conv)</f>
        <v>0</v>
      </c>
      <c r="H1076" s="18">
        <f>_xll.ciqfunctions.udf.CIQ($C$2,"IQ_OPEB_BREAKDOWN_FI_FOREIGN",H$6,$F$2,,,Ccy,Conv)</f>
        <v>0</v>
      </c>
      <c r="I1076" s="18">
        <f>_xll.ciqfunctions.udf.CIQ($C$2,"IQ_OPEB_BREAKDOWN_FI_FOREIGN",I$6,$F$2,,,Ccy,Conv)</f>
        <v>0</v>
      </c>
      <c r="J1076" s="18">
        <f>_xll.ciqfunctions.udf.CIQ($C$2,"IQ_OPEB_BREAKDOWN_FI_FOREIGN",J$6,$F$2,,,Ccy,Conv)</f>
        <v>0</v>
      </c>
      <c r="K1076" s="18">
        <f>_xll.ciqfunctions.udf.CIQ($C$2,"IQ_OPEB_BREAKDOWN_FI_FOREIGN",K$6,$F$2,,,Ccy,Conv)</f>
        <v>0</v>
      </c>
      <c r="L1076" s="18">
        <f>_xll.ciqfunctions.udf.CIQ($C$2,"IQ_OPEB_BREAKDOWN_FI_FOREIGN",L$6,$F$2,,,Ccy,Conv)</f>
        <v>0</v>
      </c>
      <c r="M1076" s="18">
        <f>_xll.ciqfunctions.udf.CIQ($C$2,"IQ_OPEB_BREAKDOWN_FI_FOREIGN",M$6,$F$2,,,Ccy,Conv)</f>
        <v>0</v>
      </c>
      <c r="N1076" s="18">
        <f>_xll.ciqfunctions.udf.CIQ($C$2,"IQ_OPEB_BREAKDOWN_FI_FOREIGN",N$6,$F$2,,,Ccy,Conv)</f>
        <v>0</v>
      </c>
      <c r="O1076" s="30"/>
      <c r="P1076" s="18">
        <f>_xll.ciqfunctions.udf.CIQ($C$2,"IQ_OPEB_BREAKDOWN_FI_FOREIGN",P$6,$F$2,,,Ccy,Conv)</f>
        <v>0</v>
      </c>
      <c r="Q1076" s="215"/>
      <c r="R1076" s="215"/>
      <c r="S1076" s="215"/>
      <c r="T1076" s="215"/>
      <c r="U1076" s="215"/>
      <c r="V1076" s="222"/>
      <c r="W1076" s="222"/>
      <c r="X1076" s="222"/>
      <c r="Y1076" s="215"/>
      <c r="Z1076" s="215"/>
      <c r="AA1076" s="215"/>
      <c r="AB1076" s="215"/>
      <c r="AC1076" s="215"/>
      <c r="AD1076" s="215"/>
      <c r="AE1076" s="215"/>
      <c r="AF1076" s="215"/>
      <c r="AG1076" s="215"/>
      <c r="AH1076" s="215"/>
      <c r="AI1076" s="215"/>
      <c r="AJ1076" s="215"/>
      <c r="AK1076" s="215"/>
      <c r="AL1076" s="215"/>
      <c r="AM1076" s="215"/>
      <c r="AN1076" s="215"/>
      <c r="AO1076" s="215"/>
      <c r="AP1076" s="215"/>
      <c r="AQ1076" s="215"/>
      <c r="AR1076" s="215"/>
      <c r="AS1076" s="215"/>
      <c r="AT1076" s="215"/>
      <c r="AU1076" s="215"/>
      <c r="AV1076" s="215"/>
      <c r="AW1076" s="215"/>
      <c r="AX1076" s="215"/>
      <c r="AY1076" s="215"/>
      <c r="AZ1076" s="215"/>
      <c r="BA1076" s="215"/>
      <c r="BB1076" s="215"/>
      <c r="BC1076" s="215"/>
      <c r="BD1076" s="215"/>
      <c r="BE1076" s="215"/>
      <c r="BF1076" s="215"/>
      <c r="BG1076" s="215"/>
      <c r="BH1076" s="215"/>
      <c r="BI1076" s="215"/>
      <c r="BJ1076" s="215"/>
      <c r="BK1076" s="215"/>
      <c r="BL1076" s="215"/>
      <c r="BM1076" s="215"/>
      <c r="BN1076" s="215"/>
      <c r="BO1076" s="215"/>
      <c r="BP1076" s="215"/>
      <c r="BQ1076" s="215"/>
      <c r="BR1076" s="215"/>
      <c r="BS1076" s="215"/>
      <c r="BT1076" s="215"/>
      <c r="BU1076" s="215"/>
      <c r="BV1076" s="215"/>
      <c r="BW1076" s="215"/>
      <c r="BX1076" s="215"/>
      <c r="BY1076" s="215"/>
      <c r="BZ1076" s="215"/>
    </row>
    <row r="1077" spans="1:78" outlineLevel="1" x14ac:dyDescent="0.2">
      <c r="A1077" s="2" t="str">
        <f>'Language Index'!A539</f>
        <v>Plan Assets- Real Estate</v>
      </c>
      <c r="B1077" s="17"/>
      <c r="C1077" s="17"/>
      <c r="D1077" s="18">
        <f>_xll.ciqfunctions.udf.CIQ($C$2,"IQ_OPEB_BREAKDOWN_RE_FOREIGN",D$6,$F$2,,,Ccy,Conv)</f>
        <v>0</v>
      </c>
      <c r="E1077" s="18">
        <f>_xll.ciqfunctions.udf.CIQ($C$2,"IQ_OPEB_BREAKDOWN_RE_FOREIGN",E$6,$F$2,,,Ccy,Conv)</f>
        <v>0</v>
      </c>
      <c r="F1077" s="18">
        <f>_xll.ciqfunctions.udf.CIQ($C$2,"IQ_OPEB_BREAKDOWN_RE_FOREIGN",F$6,$F$2,,,Ccy,Conv)</f>
        <v>0</v>
      </c>
      <c r="G1077" s="18">
        <f>_xll.ciqfunctions.udf.CIQ($C$2,"IQ_OPEB_BREAKDOWN_RE_FOREIGN",G$6,$F$2,,,Ccy,Conv)</f>
        <v>0</v>
      </c>
      <c r="H1077" s="18">
        <f>_xll.ciqfunctions.udf.CIQ($C$2,"IQ_OPEB_BREAKDOWN_RE_FOREIGN",H$6,$F$2,,,Ccy,Conv)</f>
        <v>0</v>
      </c>
      <c r="I1077" s="18">
        <f>_xll.ciqfunctions.udf.CIQ($C$2,"IQ_OPEB_BREAKDOWN_RE_FOREIGN",I$6,$F$2,,,Ccy,Conv)</f>
        <v>0</v>
      </c>
      <c r="J1077" s="18">
        <f>_xll.ciqfunctions.udf.CIQ($C$2,"IQ_OPEB_BREAKDOWN_RE_FOREIGN",J$6,$F$2,,,Ccy,Conv)</f>
        <v>0</v>
      </c>
      <c r="K1077" s="18">
        <f>_xll.ciqfunctions.udf.CIQ($C$2,"IQ_OPEB_BREAKDOWN_RE_FOREIGN",K$6,$F$2,,,Ccy,Conv)</f>
        <v>0</v>
      </c>
      <c r="L1077" s="18">
        <f>_xll.ciqfunctions.udf.CIQ($C$2,"IQ_OPEB_BREAKDOWN_RE_FOREIGN",L$6,$F$2,,,Ccy,Conv)</f>
        <v>0</v>
      </c>
      <c r="M1077" s="18">
        <f>_xll.ciqfunctions.udf.CIQ($C$2,"IQ_OPEB_BREAKDOWN_RE_FOREIGN",M$6,$F$2,,,Ccy,Conv)</f>
        <v>0</v>
      </c>
      <c r="N1077" s="18">
        <f>_xll.ciqfunctions.udf.CIQ($C$2,"IQ_OPEB_BREAKDOWN_RE_FOREIGN",N$6,$F$2,,,Ccy,Conv)</f>
        <v>0</v>
      </c>
      <c r="O1077" s="30"/>
      <c r="P1077" s="18">
        <f>_xll.ciqfunctions.udf.CIQ($C$2,"IQ_OPEB_BREAKDOWN_RE_FOREIGN",P$6,$F$2,,,Ccy,Conv)</f>
        <v>0</v>
      </c>
      <c r="Q1077" s="215"/>
      <c r="R1077" s="215"/>
      <c r="S1077" s="215"/>
      <c r="T1077" s="215"/>
      <c r="U1077" s="215"/>
      <c r="V1077" s="222"/>
      <c r="W1077" s="222"/>
      <c r="X1077" s="222"/>
      <c r="Y1077" s="215"/>
      <c r="Z1077" s="215"/>
      <c r="AA1077" s="215"/>
      <c r="AB1077" s="215"/>
      <c r="AC1077" s="215"/>
      <c r="AD1077" s="215"/>
      <c r="AE1077" s="215"/>
      <c r="AF1077" s="215"/>
      <c r="AG1077" s="215"/>
      <c r="AH1077" s="215"/>
      <c r="AI1077" s="215"/>
      <c r="AJ1077" s="215"/>
      <c r="AK1077" s="215"/>
      <c r="AL1077" s="215"/>
      <c r="AM1077" s="215"/>
      <c r="AN1077" s="215"/>
      <c r="AO1077" s="215"/>
      <c r="AP1077" s="215"/>
      <c r="AQ1077" s="215"/>
      <c r="AR1077" s="215"/>
      <c r="AS1077" s="215"/>
      <c r="AT1077" s="215"/>
      <c r="AU1077" s="215"/>
      <c r="AV1077" s="215"/>
      <c r="AW1077" s="215"/>
      <c r="AX1077" s="215"/>
      <c r="AY1077" s="215"/>
      <c r="AZ1077" s="215"/>
      <c r="BA1077" s="215"/>
      <c r="BB1077" s="215"/>
      <c r="BC1077" s="215"/>
      <c r="BD1077" s="215"/>
      <c r="BE1077" s="215"/>
      <c r="BF1077" s="215"/>
      <c r="BG1077" s="215"/>
      <c r="BH1077" s="215"/>
      <c r="BI1077" s="215"/>
      <c r="BJ1077" s="215"/>
      <c r="BK1077" s="215"/>
      <c r="BL1077" s="215"/>
      <c r="BM1077" s="215"/>
      <c r="BN1077" s="215"/>
      <c r="BO1077" s="215"/>
      <c r="BP1077" s="215"/>
      <c r="BQ1077" s="215"/>
      <c r="BR1077" s="215"/>
      <c r="BS1077" s="215"/>
      <c r="BT1077" s="215"/>
      <c r="BU1077" s="215"/>
      <c r="BV1077" s="215"/>
      <c r="BW1077" s="215"/>
      <c r="BX1077" s="215"/>
      <c r="BY1077" s="215"/>
      <c r="BZ1077" s="215"/>
    </row>
    <row r="1078" spans="1:78" outlineLevel="1" x14ac:dyDescent="0.2">
      <c r="A1078" s="2" t="str">
        <f>'Language Index'!A540</f>
        <v>Other Plan Assets</v>
      </c>
      <c r="B1078" s="17"/>
      <c r="C1078" s="17"/>
      <c r="D1078" s="18">
        <f>_xll.ciqfunctions.udf.CIQ($C$2,"IQ_OPEB_BREAKDOWN_OTHER_FOREIGN",D$6,$F$2,,,Ccy,Conv)</f>
        <v>0</v>
      </c>
      <c r="E1078" s="18">
        <f>_xll.ciqfunctions.udf.CIQ($C$2,"IQ_OPEB_BREAKDOWN_OTHER_FOREIGN",E$6,$F$2,,,Ccy,Conv)</f>
        <v>0</v>
      </c>
      <c r="F1078" s="18">
        <f>_xll.ciqfunctions.udf.CIQ($C$2,"IQ_OPEB_BREAKDOWN_OTHER_FOREIGN",F$6,$F$2,,,Ccy,Conv)</f>
        <v>0</v>
      </c>
      <c r="G1078" s="18">
        <f>_xll.ciqfunctions.udf.CIQ($C$2,"IQ_OPEB_BREAKDOWN_OTHER_FOREIGN",G$6,$F$2,,,Ccy,Conv)</f>
        <v>0</v>
      </c>
      <c r="H1078" s="18">
        <f>_xll.ciqfunctions.udf.CIQ($C$2,"IQ_OPEB_BREAKDOWN_OTHER_FOREIGN",H$6,$F$2,,,Ccy,Conv)</f>
        <v>0</v>
      </c>
      <c r="I1078" s="18">
        <f>_xll.ciqfunctions.udf.CIQ($C$2,"IQ_OPEB_BREAKDOWN_OTHER_FOREIGN",I$6,$F$2,,,Ccy,Conv)</f>
        <v>0</v>
      </c>
      <c r="J1078" s="18">
        <f>_xll.ciqfunctions.udf.CIQ($C$2,"IQ_OPEB_BREAKDOWN_OTHER_FOREIGN",J$6,$F$2,,,Ccy,Conv)</f>
        <v>0</v>
      </c>
      <c r="K1078" s="18">
        <f>_xll.ciqfunctions.udf.CIQ($C$2,"IQ_OPEB_BREAKDOWN_OTHER_FOREIGN",K$6,$F$2,,,Ccy,Conv)</f>
        <v>0</v>
      </c>
      <c r="L1078" s="18">
        <f>_xll.ciqfunctions.udf.CIQ($C$2,"IQ_OPEB_BREAKDOWN_OTHER_FOREIGN",L$6,$F$2,,,Ccy,Conv)</f>
        <v>0</v>
      </c>
      <c r="M1078" s="18">
        <f>_xll.ciqfunctions.udf.CIQ($C$2,"IQ_OPEB_BREAKDOWN_OTHER_FOREIGN",M$6,$F$2,,,Ccy,Conv)</f>
        <v>0</v>
      </c>
      <c r="N1078" s="18">
        <f>_xll.ciqfunctions.udf.CIQ($C$2,"IQ_OPEB_BREAKDOWN_OTHER_FOREIGN",N$6,$F$2,,,Ccy,Conv)</f>
        <v>0</v>
      </c>
      <c r="O1078" s="30"/>
      <c r="P1078" s="18">
        <f>_xll.ciqfunctions.udf.CIQ($C$2,"IQ_OPEB_BREAKDOWN_OTHER_FOREIGN",P$6,$F$2,,,Ccy,Conv)</f>
        <v>0</v>
      </c>
      <c r="Q1078" s="215"/>
      <c r="R1078" s="215"/>
      <c r="S1078" s="215"/>
      <c r="T1078" s="215"/>
      <c r="U1078" s="215"/>
      <c r="V1078" s="222"/>
      <c r="W1078" s="222"/>
      <c r="X1078" s="222"/>
      <c r="Y1078" s="215"/>
      <c r="Z1078" s="215"/>
      <c r="AA1078" s="215"/>
      <c r="AB1078" s="215"/>
      <c r="AC1078" s="215"/>
      <c r="AD1078" s="215"/>
      <c r="AE1078" s="215"/>
      <c r="AF1078" s="215"/>
      <c r="AG1078" s="215"/>
      <c r="AH1078" s="215"/>
      <c r="AI1078" s="215"/>
      <c r="AJ1078" s="215"/>
      <c r="AK1078" s="215"/>
      <c r="AL1078" s="215"/>
      <c r="AM1078" s="215"/>
      <c r="AN1078" s="215"/>
      <c r="AO1078" s="215"/>
      <c r="AP1078" s="215"/>
      <c r="AQ1078" s="215"/>
      <c r="AR1078" s="215"/>
      <c r="AS1078" s="215"/>
      <c r="AT1078" s="215"/>
      <c r="AU1078" s="215"/>
      <c r="AV1078" s="215"/>
      <c r="AW1078" s="215"/>
      <c r="AX1078" s="215"/>
      <c r="AY1078" s="215"/>
      <c r="AZ1078" s="215"/>
      <c r="BA1078" s="215"/>
      <c r="BB1078" s="215"/>
      <c r="BC1078" s="215"/>
      <c r="BD1078" s="215"/>
      <c r="BE1078" s="215"/>
      <c r="BF1078" s="215"/>
      <c r="BG1078" s="215"/>
      <c r="BH1078" s="215"/>
      <c r="BI1078" s="215"/>
      <c r="BJ1078" s="215"/>
      <c r="BK1078" s="215"/>
      <c r="BL1078" s="215"/>
      <c r="BM1078" s="215"/>
      <c r="BN1078" s="215"/>
      <c r="BO1078" s="215"/>
      <c r="BP1078" s="215"/>
      <c r="BQ1078" s="215"/>
      <c r="BR1078" s="215"/>
      <c r="BS1078" s="215"/>
      <c r="BT1078" s="215"/>
      <c r="BU1078" s="215"/>
      <c r="BV1078" s="215"/>
      <c r="BW1078" s="215"/>
      <c r="BX1078" s="215"/>
      <c r="BY1078" s="215"/>
      <c r="BZ1078" s="215"/>
    </row>
    <row r="1079" spans="1:78" outlineLevel="1" x14ac:dyDescent="0.2">
      <c r="A1079" s="9" t="str">
        <f>'Language Index'!A541</f>
        <v>Breakdown of Amounts recognized in Other Comprehensive Income in BS</v>
      </c>
      <c r="B1079" s="17"/>
      <c r="C1079" s="17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30"/>
      <c r="P1079" s="18"/>
      <c r="Q1079" s="215"/>
      <c r="R1079" s="215"/>
      <c r="S1079" s="215"/>
      <c r="T1079" s="215"/>
      <c r="U1079" s="215"/>
      <c r="V1079" s="222"/>
      <c r="W1079" s="222"/>
      <c r="X1079" s="222"/>
      <c r="Y1079" s="215"/>
      <c r="Z1079" s="215"/>
      <c r="AA1079" s="215"/>
      <c r="AB1079" s="215"/>
      <c r="AC1079" s="215"/>
      <c r="AD1079" s="215"/>
      <c r="AE1079" s="215"/>
      <c r="AF1079" s="215"/>
      <c r="AG1079" s="215"/>
      <c r="AH1079" s="215"/>
      <c r="AI1079" s="215"/>
      <c r="AJ1079" s="215"/>
      <c r="AK1079" s="215"/>
      <c r="AL1079" s="215"/>
      <c r="AM1079" s="215"/>
      <c r="AN1079" s="215"/>
      <c r="AO1079" s="215"/>
      <c r="AP1079" s="215"/>
      <c r="AQ1079" s="215"/>
      <c r="AR1079" s="215"/>
      <c r="AS1079" s="215"/>
      <c r="AT1079" s="215"/>
      <c r="AU1079" s="215"/>
      <c r="AV1079" s="215"/>
      <c r="AW1079" s="215"/>
      <c r="AX1079" s="215"/>
      <c r="AY1079" s="215"/>
      <c r="AZ1079" s="215"/>
      <c r="BA1079" s="215"/>
      <c r="BB1079" s="215"/>
      <c r="BC1079" s="215"/>
      <c r="BD1079" s="215"/>
      <c r="BE1079" s="215"/>
      <c r="BF1079" s="215"/>
      <c r="BG1079" s="215"/>
      <c r="BH1079" s="215"/>
      <c r="BI1079" s="215"/>
      <c r="BJ1079" s="215"/>
      <c r="BK1079" s="215"/>
      <c r="BL1079" s="215"/>
      <c r="BM1079" s="215"/>
      <c r="BN1079" s="215"/>
      <c r="BO1079" s="215"/>
      <c r="BP1079" s="215"/>
      <c r="BQ1079" s="215"/>
      <c r="BR1079" s="215"/>
      <c r="BS1079" s="215"/>
      <c r="BT1079" s="215"/>
      <c r="BU1079" s="215"/>
      <c r="BV1079" s="215"/>
      <c r="BW1079" s="215"/>
      <c r="BX1079" s="215"/>
      <c r="BY1079" s="215"/>
      <c r="BZ1079" s="215"/>
    </row>
    <row r="1080" spans="1:78" outlineLevel="1" x14ac:dyDescent="0.2">
      <c r="A1080" s="2" t="str">
        <f>'Language Index'!A542</f>
        <v>Net Actuarial Loss/Gain – Compr. Inc.</v>
      </c>
      <c r="B1080" s="17"/>
      <c r="C1080" s="17"/>
      <c r="D1080" s="18">
        <f>_xll.ciqfunctions.udf.CIQ($C$2,"IQ_OPEB_CI_ACT_FOREIGN",D$6,$F$2,,,Ccy,Conv)</f>
        <v>0</v>
      </c>
      <c r="E1080" s="18">
        <f>_xll.ciqfunctions.udf.CIQ($C$2,"IQ_OPEB_CI_ACT_FOREIGN",E$6,$F$2,,,Ccy,Conv)</f>
        <v>0</v>
      </c>
      <c r="F1080" s="18">
        <f>_xll.ciqfunctions.udf.CIQ($C$2,"IQ_OPEB_CI_ACT_FOREIGN",F$6,$F$2,,,Ccy,Conv)</f>
        <v>123</v>
      </c>
      <c r="G1080" s="18">
        <f>_xll.ciqfunctions.udf.CIQ($C$2,"IQ_OPEB_CI_ACT_FOREIGN",G$6,$F$2,,,Ccy,Conv)</f>
        <v>0</v>
      </c>
      <c r="H1080" s="18">
        <f>_xll.ciqfunctions.udf.CIQ($C$2,"IQ_OPEB_CI_ACT_FOREIGN",H$6,$F$2,,,Ccy,Conv)</f>
        <v>0</v>
      </c>
      <c r="I1080" s="18">
        <f>_xll.ciqfunctions.udf.CIQ($C$2,"IQ_OPEB_CI_ACT_FOREIGN",I$6,$F$2,,,Ccy,Conv)</f>
        <v>0</v>
      </c>
      <c r="J1080" s="18">
        <f>_xll.ciqfunctions.udf.CIQ($C$2,"IQ_OPEB_CI_ACT_FOREIGN",J$6,$F$2,,,Ccy,Conv)</f>
        <v>125</v>
      </c>
      <c r="K1080" s="18">
        <f>_xll.ciqfunctions.udf.CIQ($C$2,"IQ_OPEB_CI_ACT_FOREIGN",K$6,$F$2,,,Ccy,Conv)</f>
        <v>0</v>
      </c>
      <c r="L1080" s="18">
        <f>_xll.ciqfunctions.udf.CIQ($C$2,"IQ_OPEB_CI_ACT_FOREIGN",L$6,$F$2,,,Ccy,Conv)</f>
        <v>0</v>
      </c>
      <c r="M1080" s="18">
        <f>_xll.ciqfunctions.udf.CIQ($C$2,"IQ_OPEB_CI_ACT_FOREIGN",M$6,$F$2,,,Ccy,Conv)</f>
        <v>0</v>
      </c>
      <c r="N1080" s="18">
        <f>_xll.ciqfunctions.udf.CIQ($C$2,"IQ_OPEB_CI_ACT_FOREIGN",N$6,$F$2,,,Ccy,Conv)</f>
        <v>125</v>
      </c>
      <c r="O1080" s="30"/>
      <c r="P1080" s="18">
        <f>_xll.ciqfunctions.udf.CIQ($C$2,"IQ_OPEB_CI_ACT_FOREIGN",P$6,$F$2,,,Ccy,Conv)</f>
        <v>125</v>
      </c>
      <c r="Q1080" s="215"/>
      <c r="R1080" s="215"/>
      <c r="S1080" s="215"/>
      <c r="T1080" s="215"/>
      <c r="U1080" s="215"/>
      <c r="V1080" s="222"/>
      <c r="W1080" s="222"/>
      <c r="X1080" s="222"/>
      <c r="Y1080" s="215"/>
      <c r="Z1080" s="215"/>
      <c r="AA1080" s="215"/>
      <c r="AB1080" s="215"/>
      <c r="AC1080" s="215"/>
      <c r="AD1080" s="215"/>
      <c r="AE1080" s="215"/>
      <c r="AF1080" s="215"/>
      <c r="AG1080" s="215"/>
      <c r="AH1080" s="215"/>
      <c r="AI1080" s="215"/>
      <c r="AJ1080" s="215"/>
      <c r="AK1080" s="215"/>
      <c r="AL1080" s="215"/>
      <c r="AM1080" s="215"/>
      <c r="AN1080" s="215"/>
      <c r="AO1080" s="215"/>
      <c r="AP1080" s="215"/>
      <c r="AQ1080" s="215"/>
      <c r="AR1080" s="215"/>
      <c r="AS1080" s="215"/>
      <c r="AT1080" s="215"/>
      <c r="AU1080" s="215"/>
      <c r="AV1080" s="215"/>
      <c r="AW1080" s="215"/>
      <c r="AX1080" s="215"/>
      <c r="AY1080" s="215"/>
      <c r="AZ1080" s="215"/>
      <c r="BA1080" s="215"/>
      <c r="BB1080" s="215"/>
      <c r="BC1080" s="215"/>
      <c r="BD1080" s="215"/>
      <c r="BE1080" s="215"/>
      <c r="BF1080" s="215"/>
      <c r="BG1080" s="215"/>
      <c r="BH1080" s="215"/>
      <c r="BI1080" s="215"/>
      <c r="BJ1080" s="215"/>
      <c r="BK1080" s="215"/>
      <c r="BL1080" s="215"/>
      <c r="BM1080" s="215"/>
      <c r="BN1080" s="215"/>
      <c r="BO1080" s="215"/>
      <c r="BP1080" s="215"/>
      <c r="BQ1080" s="215"/>
      <c r="BR1080" s="215"/>
      <c r="BS1080" s="215"/>
      <c r="BT1080" s="215"/>
      <c r="BU1080" s="215"/>
      <c r="BV1080" s="215"/>
      <c r="BW1080" s="215"/>
      <c r="BX1080" s="215"/>
      <c r="BY1080" s="215"/>
      <c r="BZ1080" s="215"/>
    </row>
    <row r="1081" spans="1:78" outlineLevel="1" x14ac:dyDescent="0.2">
      <c r="A1081" s="2" t="str">
        <f>'Language Index'!A543</f>
        <v>Prior Service Cost/Benefit – Compr. Inc.</v>
      </c>
      <c r="B1081" s="17"/>
      <c r="C1081" s="17"/>
      <c r="D1081" s="18">
        <f>_xll.ciqfunctions.udf.CIQ($C$2,"IQ_OPEB_CI_PRIOR_SERVICE_FOREIGN",D$6,$F$2,,,Ccy,Conv)</f>
        <v>0</v>
      </c>
      <c r="E1081" s="18">
        <f>_xll.ciqfunctions.udf.CIQ($C$2,"IQ_OPEB_CI_PRIOR_SERVICE_FOREIGN",E$6,$F$2,,,Ccy,Conv)</f>
        <v>0</v>
      </c>
      <c r="F1081" s="18">
        <f>_xll.ciqfunctions.udf.CIQ($C$2,"IQ_OPEB_CI_PRIOR_SERVICE_FOREIGN",F$6,$F$2,,,Ccy,Conv)</f>
        <v>-1</v>
      </c>
      <c r="G1081" s="18">
        <f>_xll.ciqfunctions.udf.CIQ($C$2,"IQ_OPEB_CI_PRIOR_SERVICE_FOREIGN",G$6,$F$2,,,Ccy,Conv)</f>
        <v>0</v>
      </c>
      <c r="H1081" s="18">
        <f>_xll.ciqfunctions.udf.CIQ($C$2,"IQ_OPEB_CI_PRIOR_SERVICE_FOREIGN",H$6,$F$2,,,Ccy,Conv)</f>
        <v>0</v>
      </c>
      <c r="I1081" s="18">
        <f>_xll.ciqfunctions.udf.CIQ($C$2,"IQ_OPEB_CI_PRIOR_SERVICE_FOREIGN",I$6,$F$2,,,Ccy,Conv)</f>
        <v>0</v>
      </c>
      <c r="J1081" s="18">
        <f>_xll.ciqfunctions.udf.CIQ($C$2,"IQ_OPEB_CI_PRIOR_SERVICE_FOREIGN",J$6,$F$2,,,Ccy,Conv)</f>
        <v>-1</v>
      </c>
      <c r="K1081" s="18">
        <f>_xll.ciqfunctions.udf.CIQ($C$2,"IQ_OPEB_CI_PRIOR_SERVICE_FOREIGN",K$6,$F$2,,,Ccy,Conv)</f>
        <v>0</v>
      </c>
      <c r="L1081" s="18">
        <f>_xll.ciqfunctions.udf.CIQ($C$2,"IQ_OPEB_CI_PRIOR_SERVICE_FOREIGN",L$6,$F$2,,,Ccy,Conv)</f>
        <v>0</v>
      </c>
      <c r="M1081" s="18">
        <f>_xll.ciqfunctions.udf.CIQ($C$2,"IQ_OPEB_CI_PRIOR_SERVICE_FOREIGN",M$6,$F$2,,,Ccy,Conv)</f>
        <v>0</v>
      </c>
      <c r="N1081" s="18">
        <f>_xll.ciqfunctions.udf.CIQ($C$2,"IQ_OPEB_CI_PRIOR_SERVICE_FOREIGN",N$6,$F$2,,,Ccy,Conv)</f>
        <v>-1</v>
      </c>
      <c r="O1081" s="30"/>
      <c r="P1081" s="18">
        <f>_xll.ciqfunctions.udf.CIQ($C$2,"IQ_OPEB_CI_PRIOR_SERVICE_FOREIGN",P$6,$F$2,,,Ccy,Conv)</f>
        <v>-1</v>
      </c>
      <c r="Q1081" s="215"/>
      <c r="R1081" s="215"/>
      <c r="S1081" s="215"/>
      <c r="T1081" s="215"/>
      <c r="U1081" s="215"/>
      <c r="V1081" s="222"/>
      <c r="W1081" s="222"/>
      <c r="X1081" s="222"/>
      <c r="Y1081" s="215"/>
      <c r="Z1081" s="215"/>
      <c r="AA1081" s="215"/>
      <c r="AB1081" s="215"/>
      <c r="AC1081" s="215"/>
      <c r="AD1081" s="215"/>
      <c r="AE1081" s="215"/>
      <c r="AF1081" s="215"/>
      <c r="AG1081" s="215"/>
      <c r="AH1081" s="215"/>
      <c r="AI1081" s="215"/>
      <c r="AJ1081" s="215"/>
      <c r="AK1081" s="215"/>
      <c r="AL1081" s="215"/>
      <c r="AM1081" s="215"/>
      <c r="AN1081" s="215"/>
      <c r="AO1081" s="215"/>
      <c r="AP1081" s="215"/>
      <c r="AQ1081" s="215"/>
      <c r="AR1081" s="215"/>
      <c r="AS1081" s="215"/>
      <c r="AT1081" s="215"/>
      <c r="AU1081" s="215"/>
      <c r="AV1081" s="215"/>
      <c r="AW1081" s="215"/>
      <c r="AX1081" s="215"/>
      <c r="AY1081" s="215"/>
      <c r="AZ1081" s="215"/>
      <c r="BA1081" s="215"/>
      <c r="BB1081" s="215"/>
      <c r="BC1081" s="215"/>
      <c r="BD1081" s="215"/>
      <c r="BE1081" s="215"/>
      <c r="BF1081" s="215"/>
      <c r="BG1081" s="215"/>
      <c r="BH1081" s="215"/>
      <c r="BI1081" s="215"/>
      <c r="BJ1081" s="215"/>
      <c r="BK1081" s="215"/>
      <c r="BL1081" s="215"/>
      <c r="BM1081" s="215"/>
      <c r="BN1081" s="215"/>
      <c r="BO1081" s="215"/>
      <c r="BP1081" s="215"/>
      <c r="BQ1081" s="215"/>
      <c r="BR1081" s="215"/>
      <c r="BS1081" s="215"/>
      <c r="BT1081" s="215"/>
      <c r="BU1081" s="215"/>
      <c r="BV1081" s="215"/>
      <c r="BW1081" s="215"/>
      <c r="BX1081" s="215"/>
      <c r="BY1081" s="215"/>
      <c r="BZ1081" s="215"/>
    </row>
    <row r="1082" spans="1:78" outlineLevel="1" x14ac:dyDescent="0.2">
      <c r="A1082" s="2" t="str">
        <f>'Language Index'!A544</f>
        <v>Transition Asset/Obligation – Compr. Inc.</v>
      </c>
      <c r="B1082" s="17"/>
      <c r="C1082" s="17"/>
      <c r="D1082" s="18">
        <f>_xll.ciqfunctions.udf.CIQ($C$2,"IQ_OPEB_CI_TRANSITION_FOREIGN",D$6,$F$2,,,Ccy,Conv)</f>
        <v>0</v>
      </c>
      <c r="E1082" s="18">
        <f>_xll.ciqfunctions.udf.CIQ($C$2,"IQ_OPEB_CI_TRANSITION_FOREIGN",E$6,$F$2,,,Ccy,Conv)</f>
        <v>0</v>
      </c>
      <c r="F1082" s="18">
        <f>_xll.ciqfunctions.udf.CIQ($C$2,"IQ_OPEB_CI_TRANSITION_FOREIGN",F$6,$F$2,,,Ccy,Conv)</f>
        <v>0</v>
      </c>
      <c r="G1082" s="18">
        <f>_xll.ciqfunctions.udf.CIQ($C$2,"IQ_OPEB_CI_TRANSITION_FOREIGN",G$6,$F$2,,,Ccy,Conv)</f>
        <v>0</v>
      </c>
      <c r="H1082" s="18">
        <f>_xll.ciqfunctions.udf.CIQ($C$2,"IQ_OPEB_CI_TRANSITION_FOREIGN",H$6,$F$2,,,Ccy,Conv)</f>
        <v>0</v>
      </c>
      <c r="I1082" s="18">
        <f>_xll.ciqfunctions.udf.CIQ($C$2,"IQ_OPEB_CI_TRANSITION_FOREIGN",I$6,$F$2,,,Ccy,Conv)</f>
        <v>0</v>
      </c>
      <c r="J1082" s="18">
        <f>_xll.ciqfunctions.udf.CIQ($C$2,"IQ_OPEB_CI_TRANSITION_FOREIGN",J$6,$F$2,,,Ccy,Conv)</f>
        <v>0</v>
      </c>
      <c r="K1082" s="18">
        <f>_xll.ciqfunctions.udf.CIQ($C$2,"IQ_OPEB_CI_TRANSITION_FOREIGN",K$6,$F$2,,,Ccy,Conv)</f>
        <v>0</v>
      </c>
      <c r="L1082" s="18">
        <f>_xll.ciqfunctions.udf.CIQ($C$2,"IQ_OPEB_CI_TRANSITION_FOREIGN",L$6,$F$2,,,Ccy,Conv)</f>
        <v>0</v>
      </c>
      <c r="M1082" s="18">
        <f>_xll.ciqfunctions.udf.CIQ($C$2,"IQ_OPEB_CI_TRANSITION_FOREIGN",M$6,$F$2,,,Ccy,Conv)</f>
        <v>0</v>
      </c>
      <c r="N1082" s="18">
        <f>_xll.ciqfunctions.udf.CIQ($C$2,"IQ_OPEB_CI_TRANSITION_FOREIGN",N$6,$F$2,,,Ccy,Conv)</f>
        <v>0</v>
      </c>
      <c r="O1082" s="30"/>
      <c r="P1082" s="18">
        <f>_xll.ciqfunctions.udf.CIQ($C$2,"IQ_OPEB_CI_TRANSITION_FOREIGN",P$6,$F$2,,,Ccy,Conv)</f>
        <v>0</v>
      </c>
      <c r="Q1082" s="215"/>
      <c r="R1082" s="215"/>
      <c r="S1082" s="215"/>
      <c r="T1082" s="215"/>
      <c r="U1082" s="215"/>
      <c r="V1082" s="222"/>
      <c r="W1082" s="222"/>
      <c r="X1082" s="222"/>
      <c r="Y1082" s="215"/>
      <c r="Z1082" s="215"/>
      <c r="AA1082" s="215"/>
      <c r="AB1082" s="215"/>
      <c r="AC1082" s="215"/>
      <c r="AD1082" s="215"/>
      <c r="AE1082" s="215"/>
      <c r="AF1082" s="215"/>
      <c r="AG1082" s="215"/>
      <c r="AH1082" s="215"/>
      <c r="AI1082" s="215"/>
      <c r="AJ1082" s="215"/>
      <c r="AK1082" s="215"/>
      <c r="AL1082" s="215"/>
      <c r="AM1082" s="215"/>
      <c r="AN1082" s="215"/>
      <c r="AO1082" s="215"/>
      <c r="AP1082" s="215"/>
      <c r="AQ1082" s="215"/>
      <c r="AR1082" s="215"/>
      <c r="AS1082" s="215"/>
      <c r="AT1082" s="215"/>
      <c r="AU1082" s="215"/>
      <c r="AV1082" s="215"/>
      <c r="AW1082" s="215"/>
      <c r="AX1082" s="215"/>
      <c r="AY1082" s="215"/>
      <c r="AZ1082" s="215"/>
      <c r="BA1082" s="215"/>
      <c r="BB1082" s="215"/>
      <c r="BC1082" s="215"/>
      <c r="BD1082" s="215"/>
      <c r="BE1082" s="215"/>
      <c r="BF1082" s="215"/>
      <c r="BG1082" s="215"/>
      <c r="BH1082" s="215"/>
      <c r="BI1082" s="215"/>
      <c r="BJ1082" s="215"/>
      <c r="BK1082" s="215"/>
      <c r="BL1082" s="215"/>
      <c r="BM1082" s="215"/>
      <c r="BN1082" s="215"/>
      <c r="BO1082" s="215"/>
      <c r="BP1082" s="215"/>
      <c r="BQ1082" s="215"/>
      <c r="BR1082" s="215"/>
      <c r="BS1082" s="215"/>
      <c r="BT1082" s="215"/>
      <c r="BU1082" s="215"/>
      <c r="BV1082" s="215"/>
      <c r="BW1082" s="215"/>
      <c r="BX1082" s="215"/>
      <c r="BY1082" s="215"/>
      <c r="BZ1082" s="215"/>
    </row>
    <row r="1083" spans="1:78" outlineLevel="1" x14ac:dyDescent="0.2">
      <c r="A1083" s="2" t="str">
        <f>'Language Index'!A545</f>
        <v>Other Misc. Adj. – Compr. Inc.</v>
      </c>
      <c r="B1083" s="17"/>
      <c r="C1083" s="17"/>
      <c r="D1083" s="18">
        <f>_xll.ciqfunctions.udf.CIQ($C$2,"IQ_OPEB_CI_OTHER_MISC_ADJ_FOREIGN",D$6,$F$2,,,Ccy,Conv)</f>
        <v>0</v>
      </c>
      <c r="E1083" s="18">
        <f>_xll.ciqfunctions.udf.CIQ($C$2,"IQ_OPEB_CI_OTHER_MISC_ADJ_FOREIGN",E$6,$F$2,,,Ccy,Conv)</f>
        <v>0</v>
      </c>
      <c r="F1083" s="18">
        <f>_xll.ciqfunctions.udf.CIQ($C$2,"IQ_OPEB_CI_OTHER_MISC_ADJ_FOREIGN",F$6,$F$2,,,Ccy,Conv)</f>
        <v>0</v>
      </c>
      <c r="G1083" s="18">
        <f>_xll.ciqfunctions.udf.CIQ($C$2,"IQ_OPEB_CI_OTHER_MISC_ADJ_FOREIGN",G$6,$F$2,,,Ccy,Conv)</f>
        <v>0</v>
      </c>
      <c r="H1083" s="18">
        <f>_xll.ciqfunctions.udf.CIQ($C$2,"IQ_OPEB_CI_OTHER_MISC_ADJ_FOREIGN",H$6,$F$2,,,Ccy,Conv)</f>
        <v>0</v>
      </c>
      <c r="I1083" s="18">
        <f>_xll.ciqfunctions.udf.CIQ($C$2,"IQ_OPEB_CI_OTHER_MISC_ADJ_FOREIGN",I$6,$F$2,,,Ccy,Conv)</f>
        <v>0</v>
      </c>
      <c r="J1083" s="18">
        <f>_xll.ciqfunctions.udf.CIQ($C$2,"IQ_OPEB_CI_OTHER_MISC_ADJ_FOREIGN",J$6,$F$2,,,Ccy,Conv)</f>
        <v>0</v>
      </c>
      <c r="K1083" s="18">
        <f>_xll.ciqfunctions.udf.CIQ($C$2,"IQ_OPEB_CI_OTHER_MISC_ADJ_FOREIGN",K$6,$F$2,,,Ccy,Conv)</f>
        <v>0</v>
      </c>
      <c r="L1083" s="18">
        <f>_xll.ciqfunctions.udf.CIQ($C$2,"IQ_OPEB_CI_OTHER_MISC_ADJ_FOREIGN",L$6,$F$2,,,Ccy,Conv)</f>
        <v>0</v>
      </c>
      <c r="M1083" s="18">
        <f>_xll.ciqfunctions.udf.CIQ($C$2,"IQ_OPEB_CI_OTHER_MISC_ADJ_FOREIGN",M$6,$F$2,,,Ccy,Conv)</f>
        <v>0</v>
      </c>
      <c r="N1083" s="18">
        <f>_xll.ciqfunctions.udf.CIQ($C$2,"IQ_OPEB_CI_OTHER_MISC_ADJ_FOREIGN",N$6,$F$2,,,Ccy,Conv)</f>
        <v>0</v>
      </c>
      <c r="O1083" s="30"/>
      <c r="P1083" s="18">
        <f>_xll.ciqfunctions.udf.CIQ($C$2,"IQ_OPEB_CI_OTHER_MISC_ADJ_FOREIGN",P$6,$F$2,,,Ccy,Conv)</f>
        <v>0</v>
      </c>
      <c r="Q1083" s="215"/>
      <c r="R1083" s="215"/>
      <c r="S1083" s="215"/>
      <c r="T1083" s="215"/>
      <c r="U1083" s="215"/>
      <c r="V1083" s="222"/>
      <c r="W1083" s="222"/>
      <c r="X1083" s="222"/>
      <c r="Y1083" s="215"/>
      <c r="Z1083" s="215"/>
      <c r="AA1083" s="215"/>
      <c r="AB1083" s="215"/>
      <c r="AC1083" s="215"/>
      <c r="AD1083" s="215"/>
      <c r="AE1083" s="215"/>
      <c r="AF1083" s="215"/>
      <c r="AG1083" s="215"/>
      <c r="AH1083" s="215"/>
      <c r="AI1083" s="215"/>
      <c r="AJ1083" s="215"/>
      <c r="AK1083" s="215"/>
      <c r="AL1083" s="215"/>
      <c r="AM1083" s="215"/>
      <c r="AN1083" s="215"/>
      <c r="AO1083" s="215"/>
      <c r="AP1083" s="215"/>
      <c r="AQ1083" s="215"/>
      <c r="AR1083" s="215"/>
      <c r="AS1083" s="215"/>
      <c r="AT1083" s="215"/>
      <c r="AU1083" s="215"/>
      <c r="AV1083" s="215"/>
      <c r="AW1083" s="215"/>
      <c r="AX1083" s="215"/>
      <c r="AY1083" s="215"/>
      <c r="AZ1083" s="215"/>
      <c r="BA1083" s="215"/>
      <c r="BB1083" s="215"/>
      <c r="BC1083" s="215"/>
      <c r="BD1083" s="215"/>
      <c r="BE1083" s="215"/>
      <c r="BF1083" s="215"/>
      <c r="BG1083" s="215"/>
      <c r="BH1083" s="215"/>
      <c r="BI1083" s="215"/>
      <c r="BJ1083" s="215"/>
      <c r="BK1083" s="215"/>
      <c r="BL1083" s="215"/>
      <c r="BM1083" s="215"/>
      <c r="BN1083" s="215"/>
      <c r="BO1083" s="215"/>
      <c r="BP1083" s="215"/>
      <c r="BQ1083" s="215"/>
      <c r="BR1083" s="215"/>
      <c r="BS1083" s="215"/>
      <c r="BT1083" s="215"/>
      <c r="BU1083" s="215"/>
      <c r="BV1083" s="215"/>
      <c r="BW1083" s="215"/>
      <c r="BX1083" s="215"/>
      <c r="BY1083" s="215"/>
      <c r="BZ1083" s="215"/>
    </row>
    <row r="1084" spans="1:78" outlineLevel="1" x14ac:dyDescent="0.2">
      <c r="A1084" s="2" t="str">
        <f>'Language Index'!A546</f>
        <v>Net Amount Recognized – Compr. Inc.</v>
      </c>
      <c r="B1084" s="17"/>
      <c r="C1084" s="17"/>
      <c r="D1084" s="18">
        <f>_xll.ciqfunctions.udf.CIQ($C$2,"IQ_OPEB_CI_NET_AMT_RECOG_FOREIGN",D$6,$F$2,,,Ccy,Conv)</f>
        <v>0</v>
      </c>
      <c r="E1084" s="18">
        <f>_xll.ciqfunctions.udf.CIQ($C$2,"IQ_OPEB_CI_NET_AMT_RECOG_FOREIGN",E$6,$F$2,,,Ccy,Conv)</f>
        <v>0</v>
      </c>
      <c r="F1084" s="18">
        <f>_xll.ciqfunctions.udf.CIQ($C$2,"IQ_OPEB_CI_NET_AMT_RECOG_FOREIGN",F$6,$F$2,,,Ccy,Conv)</f>
        <v>122</v>
      </c>
      <c r="G1084" s="18">
        <f>_xll.ciqfunctions.udf.CIQ($C$2,"IQ_OPEB_CI_NET_AMT_RECOG_FOREIGN",G$6,$F$2,,,Ccy,Conv)</f>
        <v>0</v>
      </c>
      <c r="H1084" s="18">
        <f>_xll.ciqfunctions.udf.CIQ($C$2,"IQ_OPEB_CI_NET_AMT_RECOG_FOREIGN",H$6,$F$2,,,Ccy,Conv)</f>
        <v>0</v>
      </c>
      <c r="I1084" s="18">
        <f>_xll.ciqfunctions.udf.CIQ($C$2,"IQ_OPEB_CI_NET_AMT_RECOG_FOREIGN",I$6,$F$2,,,Ccy,Conv)</f>
        <v>0</v>
      </c>
      <c r="J1084" s="18">
        <f>_xll.ciqfunctions.udf.CIQ($C$2,"IQ_OPEB_CI_NET_AMT_RECOG_FOREIGN",J$6,$F$2,,,Ccy,Conv)</f>
        <v>124</v>
      </c>
      <c r="K1084" s="18">
        <f>_xll.ciqfunctions.udf.CIQ($C$2,"IQ_OPEB_CI_NET_AMT_RECOG_FOREIGN",K$6,$F$2,,,Ccy,Conv)</f>
        <v>0</v>
      </c>
      <c r="L1084" s="18">
        <f>_xll.ciqfunctions.udf.CIQ($C$2,"IQ_OPEB_CI_NET_AMT_RECOG_FOREIGN",L$6,$F$2,,,Ccy,Conv)</f>
        <v>0</v>
      </c>
      <c r="M1084" s="18">
        <f>_xll.ciqfunctions.udf.CIQ($C$2,"IQ_OPEB_CI_NET_AMT_RECOG_FOREIGN",M$6,$F$2,,,Ccy,Conv)</f>
        <v>0</v>
      </c>
      <c r="N1084" s="18">
        <f>_xll.ciqfunctions.udf.CIQ($C$2,"IQ_OPEB_CI_NET_AMT_RECOG_FOREIGN",N$6,$F$2,,,Ccy,Conv)</f>
        <v>124</v>
      </c>
      <c r="O1084" s="30"/>
      <c r="P1084" s="18">
        <f>_xll.ciqfunctions.udf.CIQ($C$2,"IQ_OPEB_CI_NET_AMT_RECOG_FOREIGN",P$6,$F$2,,,Ccy,Conv)</f>
        <v>124</v>
      </c>
      <c r="Q1084" s="215"/>
      <c r="R1084" s="215"/>
      <c r="S1084" s="215"/>
      <c r="T1084" s="215"/>
      <c r="U1084" s="215"/>
      <c r="V1084" s="222"/>
      <c r="W1084" s="222"/>
      <c r="X1084" s="222"/>
      <c r="Y1084" s="215"/>
      <c r="Z1084" s="215"/>
      <c r="AA1084" s="215"/>
      <c r="AB1084" s="215"/>
      <c r="AC1084" s="215"/>
      <c r="AD1084" s="215"/>
      <c r="AE1084" s="215"/>
      <c r="AF1084" s="215"/>
      <c r="AG1084" s="215"/>
      <c r="AH1084" s="215"/>
      <c r="AI1084" s="215"/>
      <c r="AJ1084" s="215"/>
      <c r="AK1084" s="215"/>
      <c r="AL1084" s="215"/>
      <c r="AM1084" s="215"/>
      <c r="AN1084" s="215"/>
      <c r="AO1084" s="215"/>
      <c r="AP1084" s="215"/>
      <c r="AQ1084" s="215"/>
      <c r="AR1084" s="215"/>
      <c r="AS1084" s="215"/>
      <c r="AT1084" s="215"/>
      <c r="AU1084" s="215"/>
      <c r="AV1084" s="215"/>
      <c r="AW1084" s="215"/>
      <c r="AX1084" s="215"/>
      <c r="AY1084" s="215"/>
      <c r="AZ1084" s="215"/>
      <c r="BA1084" s="215"/>
      <c r="BB1084" s="215"/>
      <c r="BC1084" s="215"/>
      <c r="BD1084" s="215"/>
      <c r="BE1084" s="215"/>
      <c r="BF1084" s="215"/>
      <c r="BG1084" s="215"/>
      <c r="BH1084" s="215"/>
      <c r="BI1084" s="215"/>
      <c r="BJ1084" s="215"/>
      <c r="BK1084" s="215"/>
      <c r="BL1084" s="215"/>
      <c r="BM1084" s="215"/>
      <c r="BN1084" s="215"/>
      <c r="BO1084" s="215"/>
      <c r="BP1084" s="215"/>
      <c r="BQ1084" s="215"/>
      <c r="BR1084" s="215"/>
      <c r="BS1084" s="215"/>
      <c r="BT1084" s="215"/>
      <c r="BU1084" s="215"/>
      <c r="BV1084" s="215"/>
      <c r="BW1084" s="215"/>
      <c r="BX1084" s="215"/>
      <c r="BY1084" s="215"/>
      <c r="BZ1084" s="215"/>
    </row>
    <row r="1085" spans="1:78" outlineLevel="1" x14ac:dyDescent="0.2">
      <c r="A1085" s="9" t="str">
        <f>'Language Index'!A547</f>
        <v>Expected to be recognized as components of net periodic benefit cost in the next year</v>
      </c>
      <c r="B1085" s="17"/>
      <c r="C1085" s="17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30"/>
      <c r="P1085" s="18"/>
      <c r="Q1085" s="215"/>
      <c r="R1085" s="215"/>
      <c r="S1085" s="215"/>
      <c r="T1085" s="215"/>
      <c r="U1085" s="215"/>
      <c r="V1085" s="222"/>
      <c r="W1085" s="222"/>
      <c r="X1085" s="222"/>
      <c r="Y1085" s="215"/>
      <c r="Z1085" s="215"/>
      <c r="AA1085" s="215"/>
      <c r="AB1085" s="215"/>
      <c r="AC1085" s="215"/>
      <c r="AD1085" s="215"/>
      <c r="AE1085" s="215"/>
      <c r="AF1085" s="215"/>
      <c r="AG1085" s="215"/>
      <c r="AH1085" s="215"/>
      <c r="AI1085" s="215"/>
      <c r="AJ1085" s="215"/>
      <c r="AK1085" s="215"/>
      <c r="AL1085" s="215"/>
      <c r="AM1085" s="215"/>
      <c r="AN1085" s="215"/>
      <c r="AO1085" s="215"/>
      <c r="AP1085" s="215"/>
      <c r="AQ1085" s="215"/>
      <c r="AR1085" s="215"/>
      <c r="AS1085" s="215"/>
      <c r="AT1085" s="215"/>
      <c r="AU1085" s="215"/>
      <c r="AV1085" s="215"/>
      <c r="AW1085" s="215"/>
      <c r="AX1085" s="215"/>
      <c r="AY1085" s="215"/>
      <c r="AZ1085" s="215"/>
      <c r="BA1085" s="215"/>
      <c r="BB1085" s="215"/>
      <c r="BC1085" s="215"/>
      <c r="BD1085" s="215"/>
      <c r="BE1085" s="215"/>
      <c r="BF1085" s="215"/>
      <c r="BG1085" s="215"/>
      <c r="BH1085" s="215"/>
      <c r="BI1085" s="215"/>
      <c r="BJ1085" s="215"/>
      <c r="BK1085" s="215"/>
      <c r="BL1085" s="215"/>
      <c r="BM1085" s="215"/>
      <c r="BN1085" s="215"/>
      <c r="BO1085" s="215"/>
      <c r="BP1085" s="215"/>
      <c r="BQ1085" s="215"/>
      <c r="BR1085" s="215"/>
      <c r="BS1085" s="215"/>
      <c r="BT1085" s="215"/>
      <c r="BU1085" s="215"/>
      <c r="BV1085" s="215"/>
      <c r="BW1085" s="215"/>
      <c r="BX1085" s="215"/>
      <c r="BY1085" s="215"/>
      <c r="BZ1085" s="215"/>
    </row>
    <row r="1086" spans="1:78" outlineLevel="1" x14ac:dyDescent="0.2">
      <c r="A1086" s="2" t="str">
        <f>'Language Index'!A548</f>
        <v>Prior Service Cost/Benefit Recog. Next Period</v>
      </c>
      <c r="B1086" s="17"/>
      <c r="C1086" s="17"/>
      <c r="D1086" s="18">
        <f>_xll.ciqfunctions.udf.CIQ($C$2,"IQ_OPEB_PRIOR_SERVICE_NEXT_FOREIGN",D$6,$F$2,,,Ccy,Conv)</f>
        <v>0</v>
      </c>
      <c r="E1086" s="18">
        <f>_xll.ciqfunctions.udf.CIQ($C$2,"IQ_OPEB_PRIOR_SERVICE_NEXT_FOREIGN",E$6,$F$2,,,Ccy,Conv)</f>
        <v>0</v>
      </c>
      <c r="F1086" s="18">
        <f>_xll.ciqfunctions.udf.CIQ($C$2,"IQ_OPEB_PRIOR_SERVICE_NEXT_FOREIGN",F$6,$F$2,,,Ccy,Conv)</f>
        <v>0</v>
      </c>
      <c r="G1086" s="18">
        <f>_xll.ciqfunctions.udf.CIQ($C$2,"IQ_OPEB_PRIOR_SERVICE_NEXT_FOREIGN",G$6,$F$2,,,Ccy,Conv)</f>
        <v>0</v>
      </c>
      <c r="H1086" s="18">
        <f>_xll.ciqfunctions.udf.CIQ($C$2,"IQ_OPEB_PRIOR_SERVICE_NEXT_FOREIGN",H$6,$F$2,,,Ccy,Conv)</f>
        <v>0</v>
      </c>
      <c r="I1086" s="18">
        <f>_xll.ciqfunctions.udf.CIQ($C$2,"IQ_OPEB_PRIOR_SERVICE_NEXT_FOREIGN",I$6,$F$2,,,Ccy,Conv)</f>
        <v>0</v>
      </c>
      <c r="J1086" s="18">
        <f>_xll.ciqfunctions.udf.CIQ($C$2,"IQ_OPEB_PRIOR_SERVICE_NEXT_FOREIGN",J$6,$F$2,,,Ccy,Conv)</f>
        <v>0</v>
      </c>
      <c r="K1086" s="18">
        <f>_xll.ciqfunctions.udf.CIQ($C$2,"IQ_OPEB_PRIOR_SERVICE_NEXT_FOREIGN",K$6,$F$2,,,Ccy,Conv)</f>
        <v>0</v>
      </c>
      <c r="L1086" s="18">
        <f>_xll.ciqfunctions.udf.CIQ($C$2,"IQ_OPEB_PRIOR_SERVICE_NEXT_FOREIGN",L$6,$F$2,,,Ccy,Conv)</f>
        <v>0</v>
      </c>
      <c r="M1086" s="18">
        <f>_xll.ciqfunctions.udf.CIQ($C$2,"IQ_OPEB_PRIOR_SERVICE_NEXT_FOREIGN",M$6,$F$2,,,Ccy,Conv)</f>
        <v>0</v>
      </c>
      <c r="N1086" s="18">
        <f>_xll.ciqfunctions.udf.CIQ($C$2,"IQ_OPEB_PRIOR_SERVICE_NEXT_FOREIGN",N$6,$F$2,,,Ccy,Conv)</f>
        <v>0</v>
      </c>
      <c r="O1086" s="30"/>
      <c r="P1086" s="18">
        <f>_xll.ciqfunctions.udf.CIQ($C$2,"IQ_OPEB_PRIOR_SERVICE_NEXT_FOREIGN",P$6,$F$2,,,Ccy,Conv)</f>
        <v>0</v>
      </c>
      <c r="Q1086" s="215"/>
      <c r="R1086" s="215"/>
      <c r="S1086" s="215"/>
      <c r="T1086" s="215"/>
      <c r="U1086" s="215"/>
      <c r="V1086" s="222"/>
      <c r="W1086" s="222"/>
      <c r="X1086" s="222"/>
      <c r="Y1086" s="215"/>
      <c r="Z1086" s="215"/>
      <c r="AA1086" s="215"/>
      <c r="AB1086" s="215"/>
      <c r="AC1086" s="215"/>
      <c r="AD1086" s="215"/>
      <c r="AE1086" s="215"/>
      <c r="AF1086" s="215"/>
      <c r="AG1086" s="215"/>
      <c r="AH1086" s="215"/>
      <c r="AI1086" s="215"/>
      <c r="AJ1086" s="215"/>
      <c r="AK1086" s="215"/>
      <c r="AL1086" s="215"/>
      <c r="AM1086" s="215"/>
      <c r="AN1086" s="215"/>
      <c r="AO1086" s="215"/>
      <c r="AP1086" s="215"/>
      <c r="AQ1086" s="215"/>
      <c r="AR1086" s="215"/>
      <c r="AS1086" s="215"/>
      <c r="AT1086" s="215"/>
      <c r="AU1086" s="215"/>
      <c r="AV1086" s="215"/>
      <c r="AW1086" s="215"/>
      <c r="AX1086" s="215"/>
      <c r="AY1086" s="215"/>
      <c r="AZ1086" s="215"/>
      <c r="BA1086" s="215"/>
      <c r="BB1086" s="215"/>
      <c r="BC1086" s="215"/>
      <c r="BD1086" s="215"/>
      <c r="BE1086" s="215"/>
      <c r="BF1086" s="215"/>
      <c r="BG1086" s="215"/>
      <c r="BH1086" s="215"/>
      <c r="BI1086" s="215"/>
      <c r="BJ1086" s="215"/>
      <c r="BK1086" s="215"/>
      <c r="BL1086" s="215"/>
      <c r="BM1086" s="215"/>
      <c r="BN1086" s="215"/>
      <c r="BO1086" s="215"/>
      <c r="BP1086" s="215"/>
      <c r="BQ1086" s="215"/>
      <c r="BR1086" s="215"/>
      <c r="BS1086" s="215"/>
      <c r="BT1086" s="215"/>
      <c r="BU1086" s="215"/>
      <c r="BV1086" s="215"/>
      <c r="BW1086" s="215"/>
      <c r="BX1086" s="215"/>
      <c r="BY1086" s="215"/>
      <c r="BZ1086" s="215"/>
    </row>
    <row r="1087" spans="1:78" outlineLevel="1" x14ac:dyDescent="0.2">
      <c r="A1087" s="2" t="str">
        <f>'Language Index'!A549</f>
        <v>Net Actuarial Loss/Gain Recog. Next Period</v>
      </c>
      <c r="B1087" s="17"/>
      <c r="C1087" s="17"/>
      <c r="D1087" s="18">
        <f>_xll.ciqfunctions.udf.CIQ($C$2,"IQ_OPEB_ACT_NEXT_FOREIGN",D$6,$F$2,,,Ccy,Conv)</f>
        <v>0</v>
      </c>
      <c r="E1087" s="18">
        <f>_xll.ciqfunctions.udf.CIQ($C$2,"IQ_OPEB_ACT_NEXT_FOREIGN",E$6,$F$2,,,Ccy,Conv)</f>
        <v>0</v>
      </c>
      <c r="F1087" s="18">
        <f>_xll.ciqfunctions.udf.CIQ($C$2,"IQ_OPEB_ACT_NEXT_FOREIGN",F$6,$F$2,,,Ccy,Conv)</f>
        <v>0</v>
      </c>
      <c r="G1087" s="18">
        <f>_xll.ciqfunctions.udf.CIQ($C$2,"IQ_OPEB_ACT_NEXT_FOREIGN",G$6,$F$2,,,Ccy,Conv)</f>
        <v>0</v>
      </c>
      <c r="H1087" s="18">
        <f>_xll.ciqfunctions.udf.CIQ($C$2,"IQ_OPEB_ACT_NEXT_FOREIGN",H$6,$F$2,,,Ccy,Conv)</f>
        <v>0</v>
      </c>
      <c r="I1087" s="18">
        <f>_xll.ciqfunctions.udf.CIQ($C$2,"IQ_OPEB_ACT_NEXT_FOREIGN",I$6,$F$2,,,Ccy,Conv)</f>
        <v>0</v>
      </c>
      <c r="J1087" s="18">
        <f>_xll.ciqfunctions.udf.CIQ($C$2,"IQ_OPEB_ACT_NEXT_FOREIGN",J$6,$F$2,,,Ccy,Conv)</f>
        <v>0</v>
      </c>
      <c r="K1087" s="18">
        <f>_xll.ciqfunctions.udf.CIQ($C$2,"IQ_OPEB_ACT_NEXT_FOREIGN",K$6,$F$2,,,Ccy,Conv)</f>
        <v>0</v>
      </c>
      <c r="L1087" s="18">
        <f>_xll.ciqfunctions.udf.CIQ($C$2,"IQ_OPEB_ACT_NEXT_FOREIGN",L$6,$F$2,,,Ccy,Conv)</f>
        <v>0</v>
      </c>
      <c r="M1087" s="18">
        <f>_xll.ciqfunctions.udf.CIQ($C$2,"IQ_OPEB_ACT_NEXT_FOREIGN",M$6,$F$2,,,Ccy,Conv)</f>
        <v>0</v>
      </c>
      <c r="N1087" s="18">
        <f>_xll.ciqfunctions.udf.CIQ($C$2,"IQ_OPEB_ACT_NEXT_FOREIGN",N$6,$F$2,,,Ccy,Conv)</f>
        <v>0</v>
      </c>
      <c r="O1087" s="30"/>
      <c r="P1087" s="18">
        <f>_xll.ciqfunctions.udf.CIQ($C$2,"IQ_OPEB_ACT_NEXT_FOREIGN",P$6,$F$2,,,Ccy,Conv)</f>
        <v>0</v>
      </c>
      <c r="Q1087" s="215"/>
      <c r="R1087" s="215"/>
      <c r="S1087" s="215"/>
      <c r="T1087" s="215"/>
      <c r="U1087" s="215"/>
      <c r="V1087" s="222"/>
      <c r="W1087" s="222"/>
      <c r="X1087" s="222"/>
      <c r="Y1087" s="215"/>
      <c r="Z1087" s="215"/>
      <c r="AA1087" s="215"/>
      <c r="AB1087" s="215"/>
      <c r="AC1087" s="215"/>
      <c r="AD1087" s="215"/>
      <c r="AE1087" s="215"/>
      <c r="AF1087" s="215"/>
      <c r="AG1087" s="215"/>
      <c r="AH1087" s="215"/>
      <c r="AI1087" s="215"/>
      <c r="AJ1087" s="215"/>
      <c r="AK1087" s="215"/>
      <c r="AL1087" s="215"/>
      <c r="AM1087" s="215"/>
      <c r="AN1087" s="215"/>
      <c r="AO1087" s="215"/>
      <c r="AP1087" s="215"/>
      <c r="AQ1087" s="215"/>
      <c r="AR1087" s="215"/>
      <c r="AS1087" s="215"/>
      <c r="AT1087" s="215"/>
      <c r="AU1087" s="215"/>
      <c r="AV1087" s="215"/>
      <c r="AW1087" s="215"/>
      <c r="AX1087" s="215"/>
      <c r="AY1087" s="215"/>
      <c r="AZ1087" s="215"/>
      <c r="BA1087" s="215"/>
      <c r="BB1087" s="215"/>
      <c r="BC1087" s="215"/>
      <c r="BD1087" s="215"/>
      <c r="BE1087" s="215"/>
      <c r="BF1087" s="215"/>
      <c r="BG1087" s="215"/>
      <c r="BH1087" s="215"/>
      <c r="BI1087" s="215"/>
      <c r="BJ1087" s="215"/>
      <c r="BK1087" s="215"/>
      <c r="BL1087" s="215"/>
      <c r="BM1087" s="215"/>
      <c r="BN1087" s="215"/>
      <c r="BO1087" s="215"/>
      <c r="BP1087" s="215"/>
      <c r="BQ1087" s="215"/>
      <c r="BR1087" s="215"/>
      <c r="BS1087" s="215"/>
      <c r="BT1087" s="215"/>
      <c r="BU1087" s="215"/>
      <c r="BV1087" s="215"/>
      <c r="BW1087" s="215"/>
      <c r="BX1087" s="215"/>
      <c r="BY1087" s="215"/>
      <c r="BZ1087" s="215"/>
    </row>
    <row r="1088" spans="1:78" outlineLevel="1" x14ac:dyDescent="0.2">
      <c r="A1088" s="2" t="str">
        <f>'Language Index'!A550</f>
        <v>Transition Asset/Obligation Recog. Next Period</v>
      </c>
      <c r="B1088" s="17"/>
      <c r="C1088" s="17"/>
      <c r="D1088" s="18">
        <f>_xll.ciqfunctions.udf.CIQ($C$2,"IQ_OPEB_TRANSITION_NEXT_FOREIGN",D$6,$F$2,,,Ccy,Conv)</f>
        <v>0</v>
      </c>
      <c r="E1088" s="18">
        <f>_xll.ciqfunctions.udf.CIQ($C$2,"IQ_OPEB_TRANSITION_NEXT_FOREIGN",E$6,$F$2,,,Ccy,Conv)</f>
        <v>0</v>
      </c>
      <c r="F1088" s="18">
        <f>_xll.ciqfunctions.udf.CIQ($C$2,"IQ_OPEB_TRANSITION_NEXT_FOREIGN",F$6,$F$2,,,Ccy,Conv)</f>
        <v>0</v>
      </c>
      <c r="G1088" s="18">
        <f>_xll.ciqfunctions.udf.CIQ($C$2,"IQ_OPEB_TRANSITION_NEXT_FOREIGN",G$6,$F$2,,,Ccy,Conv)</f>
        <v>0</v>
      </c>
      <c r="H1088" s="18">
        <f>_xll.ciqfunctions.udf.CIQ($C$2,"IQ_OPEB_TRANSITION_NEXT_FOREIGN",H$6,$F$2,,,Ccy,Conv)</f>
        <v>0</v>
      </c>
      <c r="I1088" s="18">
        <f>_xll.ciqfunctions.udf.CIQ($C$2,"IQ_OPEB_TRANSITION_NEXT_FOREIGN",I$6,$F$2,,,Ccy,Conv)</f>
        <v>0</v>
      </c>
      <c r="J1088" s="18">
        <f>_xll.ciqfunctions.udf.CIQ($C$2,"IQ_OPEB_TRANSITION_NEXT_FOREIGN",J$6,$F$2,,,Ccy,Conv)</f>
        <v>0</v>
      </c>
      <c r="K1088" s="18">
        <f>_xll.ciqfunctions.udf.CIQ($C$2,"IQ_OPEB_TRANSITION_NEXT_FOREIGN",K$6,$F$2,,,Ccy,Conv)</f>
        <v>0</v>
      </c>
      <c r="L1088" s="18">
        <f>_xll.ciqfunctions.udf.CIQ($C$2,"IQ_OPEB_TRANSITION_NEXT_FOREIGN",L$6,$F$2,,,Ccy,Conv)</f>
        <v>0</v>
      </c>
      <c r="M1088" s="18">
        <f>_xll.ciqfunctions.udf.CIQ($C$2,"IQ_OPEB_TRANSITION_NEXT_FOREIGN",M$6,$F$2,,,Ccy,Conv)</f>
        <v>0</v>
      </c>
      <c r="N1088" s="18">
        <f>_xll.ciqfunctions.udf.CIQ($C$2,"IQ_OPEB_TRANSITION_NEXT_FOREIGN",N$6,$F$2,,,Ccy,Conv)</f>
        <v>0</v>
      </c>
      <c r="O1088" s="30"/>
      <c r="P1088" s="18">
        <f>_xll.ciqfunctions.udf.CIQ($C$2,"IQ_OPEB_TRANSITION_NEXT_FOREIGN",P$6,$F$2,,,Ccy,Conv)</f>
        <v>0</v>
      </c>
      <c r="Q1088" s="215"/>
      <c r="R1088" s="215"/>
      <c r="S1088" s="215"/>
      <c r="T1088" s="215"/>
      <c r="U1088" s="215"/>
      <c r="V1088" s="222"/>
      <c r="W1088" s="222"/>
      <c r="X1088" s="222"/>
      <c r="Y1088" s="215"/>
      <c r="Z1088" s="215"/>
      <c r="AA1088" s="215"/>
      <c r="AB1088" s="215"/>
      <c r="AC1088" s="215"/>
      <c r="AD1088" s="215"/>
      <c r="AE1088" s="215"/>
      <c r="AF1088" s="215"/>
      <c r="AG1088" s="215"/>
      <c r="AH1088" s="215"/>
      <c r="AI1088" s="215"/>
      <c r="AJ1088" s="215"/>
      <c r="AK1088" s="215"/>
      <c r="AL1088" s="215"/>
      <c r="AM1088" s="215"/>
      <c r="AN1088" s="215"/>
      <c r="AO1088" s="215"/>
      <c r="AP1088" s="215"/>
      <c r="AQ1088" s="215"/>
      <c r="AR1088" s="215"/>
      <c r="AS1088" s="215"/>
      <c r="AT1088" s="215"/>
      <c r="AU1088" s="215"/>
      <c r="AV1088" s="215"/>
      <c r="AW1088" s="215"/>
      <c r="AX1088" s="215"/>
      <c r="AY1088" s="215"/>
      <c r="AZ1088" s="215"/>
      <c r="BA1088" s="215"/>
      <c r="BB1088" s="215"/>
      <c r="BC1088" s="215"/>
      <c r="BD1088" s="215"/>
      <c r="BE1088" s="215"/>
      <c r="BF1088" s="215"/>
      <c r="BG1088" s="215"/>
      <c r="BH1088" s="215"/>
      <c r="BI1088" s="215"/>
      <c r="BJ1088" s="215"/>
      <c r="BK1088" s="215"/>
      <c r="BL1088" s="215"/>
      <c r="BM1088" s="215"/>
      <c r="BN1088" s="215"/>
      <c r="BO1088" s="215"/>
      <c r="BP1088" s="215"/>
      <c r="BQ1088" s="215"/>
      <c r="BR1088" s="215"/>
      <c r="BS1088" s="215"/>
      <c r="BT1088" s="215"/>
      <c r="BU1088" s="215"/>
      <c r="BV1088" s="215"/>
      <c r="BW1088" s="215"/>
      <c r="BX1088" s="215"/>
      <c r="BY1088" s="215"/>
      <c r="BZ1088" s="215"/>
    </row>
    <row r="1089" spans="1:78" outlineLevel="1" x14ac:dyDescent="0.2">
      <c r="A1089" s="2" t="str">
        <f>'Language Index'!A551</f>
        <v>Total Amount to be Recognized Next Period</v>
      </c>
      <c r="B1089" s="17"/>
      <c r="C1089" s="17"/>
      <c r="D1089" s="18">
        <f>_xll.ciqfunctions.udf.CIQ($C$2,"IQ_OPEB_AMT_RECOG_NEXT_FOREIGN",D$6,$F$2,,,Ccy,Conv)</f>
        <v>0</v>
      </c>
      <c r="E1089" s="18">
        <f>_xll.ciqfunctions.udf.CIQ($C$2,"IQ_OPEB_AMT_RECOG_NEXT_FOREIGN",E$6,$F$2,,,Ccy,Conv)</f>
        <v>0</v>
      </c>
      <c r="F1089" s="18">
        <f>_xll.ciqfunctions.udf.CIQ($C$2,"IQ_OPEB_AMT_RECOG_NEXT_FOREIGN",F$6,$F$2,,,Ccy,Conv)</f>
        <v>0</v>
      </c>
      <c r="G1089" s="18">
        <f>_xll.ciqfunctions.udf.CIQ($C$2,"IQ_OPEB_AMT_RECOG_NEXT_FOREIGN",G$6,$F$2,,,Ccy,Conv)</f>
        <v>0</v>
      </c>
      <c r="H1089" s="18">
        <f>_xll.ciqfunctions.udf.CIQ($C$2,"IQ_OPEB_AMT_RECOG_NEXT_FOREIGN",H$6,$F$2,,,Ccy,Conv)</f>
        <v>0</v>
      </c>
      <c r="I1089" s="18">
        <f>_xll.ciqfunctions.udf.CIQ($C$2,"IQ_OPEB_AMT_RECOG_NEXT_FOREIGN",I$6,$F$2,,,Ccy,Conv)</f>
        <v>0</v>
      </c>
      <c r="J1089" s="18">
        <f>_xll.ciqfunctions.udf.CIQ($C$2,"IQ_OPEB_AMT_RECOG_NEXT_FOREIGN",J$6,$F$2,,,Ccy,Conv)</f>
        <v>0</v>
      </c>
      <c r="K1089" s="18">
        <f>_xll.ciqfunctions.udf.CIQ($C$2,"IQ_OPEB_AMT_RECOG_NEXT_FOREIGN",K$6,$F$2,,,Ccy,Conv)</f>
        <v>0</v>
      </c>
      <c r="L1089" s="18">
        <f>_xll.ciqfunctions.udf.CIQ($C$2,"IQ_OPEB_AMT_RECOG_NEXT_FOREIGN",L$6,$F$2,,,Ccy,Conv)</f>
        <v>0</v>
      </c>
      <c r="M1089" s="18">
        <f>_xll.ciqfunctions.udf.CIQ($C$2,"IQ_OPEB_AMT_RECOG_NEXT_FOREIGN",M$6,$F$2,,,Ccy,Conv)</f>
        <v>0</v>
      </c>
      <c r="N1089" s="18">
        <f>_xll.ciqfunctions.udf.CIQ($C$2,"IQ_OPEB_AMT_RECOG_NEXT_FOREIGN",N$6,$F$2,,,Ccy,Conv)</f>
        <v>0</v>
      </c>
      <c r="O1089" s="30"/>
      <c r="P1089" s="18">
        <f>_xll.ciqfunctions.udf.CIQ($C$2,"IQ_OPEB_AMT_RECOG_NEXT_FOREIGN",P$6,$F$2,,,Ccy,Conv)</f>
        <v>0</v>
      </c>
      <c r="Q1089" s="215"/>
      <c r="R1089" s="215"/>
      <c r="S1089" s="215"/>
      <c r="T1089" s="215"/>
      <c r="U1089" s="215"/>
      <c r="V1089" s="222"/>
      <c r="W1089" s="222"/>
      <c r="X1089" s="222"/>
      <c r="Y1089" s="215"/>
      <c r="Z1089" s="215"/>
      <c r="AA1089" s="215"/>
      <c r="AB1089" s="215"/>
      <c r="AC1089" s="215"/>
      <c r="AD1089" s="215"/>
      <c r="AE1089" s="215"/>
      <c r="AF1089" s="215"/>
      <c r="AG1089" s="215"/>
      <c r="AH1089" s="215"/>
      <c r="AI1089" s="215"/>
      <c r="AJ1089" s="215"/>
      <c r="AK1089" s="215"/>
      <c r="AL1089" s="215"/>
      <c r="AM1089" s="215"/>
      <c r="AN1089" s="215"/>
      <c r="AO1089" s="215"/>
      <c r="AP1089" s="215"/>
      <c r="AQ1089" s="215"/>
      <c r="AR1089" s="215"/>
      <c r="AS1089" s="215"/>
      <c r="AT1089" s="215"/>
      <c r="AU1089" s="215"/>
      <c r="AV1089" s="215"/>
      <c r="AW1089" s="215"/>
      <c r="AX1089" s="215"/>
      <c r="AY1089" s="215"/>
      <c r="AZ1089" s="215"/>
      <c r="BA1089" s="215"/>
      <c r="BB1089" s="215"/>
      <c r="BC1089" s="215"/>
      <c r="BD1089" s="215"/>
      <c r="BE1089" s="215"/>
      <c r="BF1089" s="215"/>
      <c r="BG1089" s="215"/>
      <c r="BH1089" s="215"/>
      <c r="BI1089" s="215"/>
      <c r="BJ1089" s="215"/>
      <c r="BK1089" s="215"/>
      <c r="BL1089" s="215"/>
      <c r="BM1089" s="215"/>
      <c r="BN1089" s="215"/>
      <c r="BO1089" s="215"/>
      <c r="BP1089" s="215"/>
      <c r="BQ1089" s="215"/>
      <c r="BR1089" s="215"/>
      <c r="BS1089" s="215"/>
      <c r="BT1089" s="215"/>
      <c r="BU1089" s="215"/>
      <c r="BV1089" s="215"/>
      <c r="BW1089" s="215"/>
      <c r="BX1089" s="215"/>
      <c r="BY1089" s="215"/>
      <c r="BZ1089" s="215"/>
    </row>
    <row r="1090" spans="1:78" outlineLevel="1" x14ac:dyDescent="0.2">
      <c r="A1090" s="9" t="str">
        <f>'Language Index'!A552</f>
        <v>Weighted Avg. Assumptions on Def. Benefit Obligation</v>
      </c>
      <c r="B1090" s="17"/>
      <c r="C1090" s="17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30"/>
      <c r="P1090" s="18"/>
      <c r="Q1090" s="245"/>
      <c r="R1090" s="215"/>
      <c r="S1090" s="215"/>
      <c r="T1090" s="215"/>
      <c r="U1090" s="215"/>
      <c r="V1090" s="222"/>
      <c r="W1090" s="222"/>
      <c r="X1090" s="222"/>
      <c r="Y1090" s="215"/>
      <c r="Z1090" s="215"/>
      <c r="AA1090" s="215"/>
      <c r="AB1090" s="215"/>
      <c r="AC1090" s="215"/>
      <c r="AD1090" s="215"/>
      <c r="AE1090" s="215"/>
      <c r="AF1090" s="215"/>
      <c r="AG1090" s="215"/>
      <c r="AH1090" s="215"/>
      <c r="AI1090" s="215"/>
      <c r="AJ1090" s="215"/>
      <c r="AK1090" s="215"/>
      <c r="AL1090" s="215"/>
      <c r="AM1090" s="215"/>
      <c r="AN1090" s="215"/>
      <c r="AO1090" s="215"/>
      <c r="AP1090" s="215"/>
      <c r="AQ1090" s="215"/>
      <c r="AR1090" s="215"/>
      <c r="AS1090" s="215"/>
      <c r="AT1090" s="215"/>
      <c r="AU1090" s="215"/>
      <c r="AV1090" s="215"/>
      <c r="AW1090" s="215"/>
      <c r="AX1090" s="215"/>
      <c r="AY1090" s="215"/>
      <c r="AZ1090" s="215"/>
      <c r="BA1090" s="215"/>
      <c r="BB1090" s="215"/>
      <c r="BC1090" s="215"/>
      <c r="BD1090" s="215"/>
      <c r="BE1090" s="215"/>
      <c r="BF1090" s="215"/>
      <c r="BG1090" s="215"/>
      <c r="BH1090" s="215"/>
      <c r="BI1090" s="215"/>
      <c r="BJ1090" s="215"/>
      <c r="BK1090" s="215"/>
      <c r="BL1090" s="215"/>
      <c r="BM1090" s="215"/>
      <c r="BN1090" s="215"/>
      <c r="BO1090" s="215"/>
      <c r="BP1090" s="215"/>
      <c r="BQ1090" s="215"/>
      <c r="BR1090" s="215"/>
      <c r="BS1090" s="215"/>
      <c r="BT1090" s="215"/>
      <c r="BU1090" s="215"/>
      <c r="BV1090" s="215"/>
      <c r="BW1090" s="215"/>
      <c r="BX1090" s="215"/>
      <c r="BY1090" s="215"/>
      <c r="BZ1090" s="215"/>
    </row>
    <row r="1091" spans="1:78" outlineLevel="1" x14ac:dyDescent="0.2">
      <c r="A1091" s="2" t="str">
        <f>'Language Index'!A553</f>
        <v>PBO Assumed Rate of Return - Min</v>
      </c>
      <c r="B1091" s="17"/>
      <c r="C1091" s="17"/>
      <c r="D1091" s="18">
        <f>_xll.ciqfunctions.udf.CIQ($C$2,"IQ_OPEB_PBO_ASSUMED_RATE_RET_MIN_FOREIGN",D$6,$F$2)</f>
        <v>0</v>
      </c>
      <c r="E1091" s="18">
        <f>_xll.ciqfunctions.udf.CIQ($C$2,"IQ_OPEB_PBO_ASSUMED_RATE_RET_MIN_FOREIGN",E$6,$F$2)</f>
        <v>0</v>
      </c>
      <c r="F1091" s="18">
        <f>_xll.ciqfunctions.udf.CIQ($C$2,"IQ_OPEB_PBO_ASSUMED_RATE_RET_MIN_FOREIGN",F$6,$F$2)</f>
        <v>7.66</v>
      </c>
      <c r="G1091" s="18">
        <f>_xll.ciqfunctions.udf.CIQ($C$2,"IQ_OPEB_PBO_ASSUMED_RATE_RET_MIN_FOREIGN",G$6,$F$2)</f>
        <v>0</v>
      </c>
      <c r="H1091" s="18">
        <f>_xll.ciqfunctions.udf.CIQ($C$2,"IQ_OPEB_PBO_ASSUMED_RATE_RET_MIN_FOREIGN",H$6,$F$2)</f>
        <v>0</v>
      </c>
      <c r="I1091" s="18">
        <f>_xll.ciqfunctions.udf.CIQ($C$2,"IQ_OPEB_PBO_ASSUMED_RATE_RET_MIN_FOREIGN",I$6,$F$2)</f>
        <v>0</v>
      </c>
      <c r="J1091" s="18">
        <f>_xll.ciqfunctions.udf.CIQ($C$2,"IQ_OPEB_PBO_ASSUMED_RATE_RET_MIN_FOREIGN",J$6,$F$2)</f>
        <v>8.2100000000000009</v>
      </c>
      <c r="K1091" s="18">
        <f>_xll.ciqfunctions.udf.CIQ($C$2,"IQ_OPEB_PBO_ASSUMED_RATE_RET_MIN_FOREIGN",K$6,$F$2)</f>
        <v>0</v>
      </c>
      <c r="L1091" s="18">
        <f>_xll.ciqfunctions.udf.CIQ($C$2,"IQ_OPEB_PBO_ASSUMED_RATE_RET_MIN_FOREIGN",L$6,$F$2)</f>
        <v>0</v>
      </c>
      <c r="M1091" s="18">
        <f>_xll.ciqfunctions.udf.CIQ($C$2,"IQ_OPEB_PBO_ASSUMED_RATE_RET_MIN_FOREIGN",M$6,$F$2)</f>
        <v>0</v>
      </c>
      <c r="N1091" s="18">
        <f>_xll.ciqfunctions.udf.CIQ($C$2,"IQ_OPEB_PBO_ASSUMED_RATE_RET_MIN_FOREIGN",N$6,$F$2)</f>
        <v>9.01</v>
      </c>
      <c r="O1091" s="30"/>
      <c r="P1091" s="18">
        <f>_xll.ciqfunctions.udf.CIQ($C$2,"IQ_OPEB_PBO_ASSUMED_RATE_RET_MIN_FOREIGN",P$6,$F$2)</f>
        <v>9.01</v>
      </c>
      <c r="Q1091" s="245"/>
      <c r="R1091" s="215"/>
      <c r="S1091" s="215"/>
      <c r="T1091" s="215"/>
      <c r="U1091" s="215"/>
      <c r="V1091" s="222"/>
      <c r="W1091" s="222"/>
      <c r="X1091" s="222"/>
      <c r="Y1091" s="215"/>
      <c r="Z1091" s="215"/>
      <c r="AA1091" s="215"/>
      <c r="AB1091" s="215"/>
      <c r="AC1091" s="215"/>
      <c r="AD1091" s="215"/>
      <c r="AE1091" s="215"/>
      <c r="AF1091" s="215"/>
      <c r="AG1091" s="215"/>
      <c r="AH1091" s="215"/>
      <c r="AI1091" s="215"/>
      <c r="AJ1091" s="215"/>
      <c r="AK1091" s="215"/>
      <c r="AL1091" s="215"/>
      <c r="AM1091" s="215"/>
      <c r="AN1091" s="215"/>
      <c r="AO1091" s="215"/>
      <c r="AP1091" s="215"/>
      <c r="AQ1091" s="215"/>
      <c r="AR1091" s="215"/>
      <c r="AS1091" s="215"/>
      <c r="AT1091" s="215"/>
      <c r="AU1091" s="215"/>
      <c r="AV1091" s="215"/>
      <c r="AW1091" s="215"/>
      <c r="AX1091" s="215"/>
      <c r="AY1091" s="215"/>
      <c r="AZ1091" s="215"/>
      <c r="BA1091" s="215"/>
      <c r="BB1091" s="215"/>
      <c r="BC1091" s="215"/>
      <c r="BD1091" s="215"/>
      <c r="BE1091" s="215"/>
      <c r="BF1091" s="215"/>
      <c r="BG1091" s="215"/>
      <c r="BH1091" s="215"/>
      <c r="BI1091" s="215"/>
      <c r="BJ1091" s="215"/>
      <c r="BK1091" s="215"/>
      <c r="BL1091" s="215"/>
      <c r="BM1091" s="215"/>
      <c r="BN1091" s="215"/>
      <c r="BO1091" s="215"/>
      <c r="BP1091" s="215"/>
      <c r="BQ1091" s="215"/>
      <c r="BR1091" s="215"/>
      <c r="BS1091" s="215"/>
      <c r="BT1091" s="215"/>
      <c r="BU1091" s="215"/>
      <c r="BV1091" s="215"/>
      <c r="BW1091" s="215"/>
      <c r="BX1091" s="215"/>
      <c r="BY1091" s="215"/>
      <c r="BZ1091" s="215"/>
    </row>
    <row r="1092" spans="1:78" outlineLevel="1" x14ac:dyDescent="0.2">
      <c r="A1092" s="2" t="str">
        <f>'Language Index'!A554</f>
        <v>PBO Assumed Rate of Return - Max</v>
      </c>
      <c r="B1092" s="17"/>
      <c r="C1092" s="17"/>
      <c r="D1092" s="18">
        <f>_xll.ciqfunctions.udf.CIQ($C$2,"IQ_OPEB_PBO_ASSUMED_RATE_RET_MAX_FOREIGN",D$6,$F$2)</f>
        <v>0</v>
      </c>
      <c r="E1092" s="18">
        <f>_xll.ciqfunctions.udf.CIQ($C$2,"IQ_OPEB_PBO_ASSUMED_RATE_RET_MAX_FOREIGN",E$6,$F$2)</f>
        <v>0</v>
      </c>
      <c r="F1092" s="18">
        <f>_xll.ciqfunctions.udf.CIQ($C$2,"IQ_OPEB_PBO_ASSUMED_RATE_RET_MAX_FOREIGN",F$6,$F$2)</f>
        <v>7.66</v>
      </c>
      <c r="G1092" s="18">
        <f>_xll.ciqfunctions.udf.CIQ($C$2,"IQ_OPEB_PBO_ASSUMED_RATE_RET_MAX_FOREIGN",G$6,$F$2)</f>
        <v>0</v>
      </c>
      <c r="H1092" s="18">
        <f>_xll.ciqfunctions.udf.CIQ($C$2,"IQ_OPEB_PBO_ASSUMED_RATE_RET_MAX_FOREIGN",H$6,$F$2)</f>
        <v>0</v>
      </c>
      <c r="I1092" s="18">
        <f>_xll.ciqfunctions.udf.CIQ($C$2,"IQ_OPEB_PBO_ASSUMED_RATE_RET_MAX_FOREIGN",I$6,$F$2)</f>
        <v>0</v>
      </c>
      <c r="J1092" s="18">
        <f>_xll.ciqfunctions.udf.CIQ($C$2,"IQ_OPEB_PBO_ASSUMED_RATE_RET_MAX_FOREIGN",J$6,$F$2)</f>
        <v>8.2100000000000009</v>
      </c>
      <c r="K1092" s="18">
        <f>_xll.ciqfunctions.udf.CIQ($C$2,"IQ_OPEB_PBO_ASSUMED_RATE_RET_MAX_FOREIGN",K$6,$F$2)</f>
        <v>0</v>
      </c>
      <c r="L1092" s="18">
        <f>_xll.ciqfunctions.udf.CIQ($C$2,"IQ_OPEB_PBO_ASSUMED_RATE_RET_MAX_FOREIGN",L$6,$F$2)</f>
        <v>0</v>
      </c>
      <c r="M1092" s="18">
        <f>_xll.ciqfunctions.udf.CIQ($C$2,"IQ_OPEB_PBO_ASSUMED_RATE_RET_MAX_FOREIGN",M$6,$F$2)</f>
        <v>0</v>
      </c>
      <c r="N1092" s="18">
        <f>_xll.ciqfunctions.udf.CIQ($C$2,"IQ_OPEB_PBO_ASSUMED_RATE_RET_MAX_FOREIGN",N$6,$F$2)</f>
        <v>9.01</v>
      </c>
      <c r="O1092" s="30"/>
      <c r="P1092" s="18">
        <f>_xll.ciqfunctions.udf.CIQ($C$2,"IQ_OPEB_PBO_ASSUMED_RATE_RET_MAX_FOREIGN",P$6,$F$2)</f>
        <v>9.01</v>
      </c>
      <c r="Q1092" s="245"/>
      <c r="R1092" s="215"/>
      <c r="S1092" s="215"/>
      <c r="T1092" s="215"/>
      <c r="U1092" s="215"/>
      <c r="V1092" s="222"/>
      <c r="W1092" s="222"/>
      <c r="X1092" s="222"/>
      <c r="Y1092" s="215"/>
      <c r="Z1092" s="215"/>
      <c r="AA1092" s="215"/>
      <c r="AB1092" s="215"/>
      <c r="AC1092" s="215"/>
      <c r="AD1092" s="215"/>
      <c r="AE1092" s="215"/>
      <c r="AF1092" s="215"/>
      <c r="AG1092" s="215"/>
      <c r="AH1092" s="215"/>
      <c r="AI1092" s="215"/>
      <c r="AJ1092" s="215"/>
      <c r="AK1092" s="215"/>
      <c r="AL1092" s="215"/>
      <c r="AM1092" s="215"/>
      <c r="AN1092" s="215"/>
      <c r="AO1092" s="215"/>
      <c r="AP1092" s="215"/>
      <c r="AQ1092" s="215"/>
      <c r="AR1092" s="215"/>
      <c r="AS1092" s="215"/>
      <c r="AT1092" s="215"/>
      <c r="AU1092" s="215"/>
      <c r="AV1092" s="215"/>
      <c r="AW1092" s="215"/>
      <c r="AX1092" s="215"/>
      <c r="AY1092" s="215"/>
      <c r="AZ1092" s="215"/>
      <c r="BA1092" s="215"/>
      <c r="BB1092" s="215"/>
      <c r="BC1092" s="215"/>
      <c r="BD1092" s="215"/>
      <c r="BE1092" s="215"/>
      <c r="BF1092" s="215"/>
      <c r="BG1092" s="215"/>
      <c r="BH1092" s="215"/>
      <c r="BI1092" s="215"/>
      <c r="BJ1092" s="215"/>
      <c r="BK1092" s="215"/>
      <c r="BL1092" s="215"/>
      <c r="BM1092" s="215"/>
      <c r="BN1092" s="215"/>
      <c r="BO1092" s="215"/>
      <c r="BP1092" s="215"/>
      <c r="BQ1092" s="215"/>
      <c r="BR1092" s="215"/>
      <c r="BS1092" s="215"/>
      <c r="BT1092" s="215"/>
      <c r="BU1092" s="215"/>
      <c r="BV1092" s="215"/>
      <c r="BW1092" s="215"/>
      <c r="BX1092" s="215"/>
      <c r="BY1092" s="215"/>
      <c r="BZ1092" s="215"/>
    </row>
    <row r="1093" spans="1:78" outlineLevel="1" x14ac:dyDescent="0.2">
      <c r="A1093" s="2" t="str">
        <f>'Language Index'!A555</f>
        <v>Rate of PBO Compensation Increase - Min</v>
      </c>
      <c r="B1093" s="17"/>
      <c r="C1093" s="17"/>
      <c r="D1093" s="18">
        <f>_xll.ciqfunctions.udf.CIQ($C$2,"IQ_OPEB_PBO_RATE_COMP_INCREASE_MIN_FOREIGN",D$6,$F$2)</f>
        <v>0</v>
      </c>
      <c r="E1093" s="18">
        <f>_xll.ciqfunctions.udf.CIQ($C$2,"IQ_OPEB_PBO_RATE_COMP_INCREASE_MIN_FOREIGN",E$6,$F$2)</f>
        <v>0</v>
      </c>
      <c r="F1093" s="18">
        <f>_xll.ciqfunctions.udf.CIQ($C$2,"IQ_OPEB_PBO_RATE_COMP_INCREASE_MIN_FOREIGN",F$6,$F$2)</f>
        <v>0</v>
      </c>
      <c r="G1093" s="18">
        <f>_xll.ciqfunctions.udf.CIQ($C$2,"IQ_OPEB_PBO_RATE_COMP_INCREASE_MIN_FOREIGN",G$6,$F$2)</f>
        <v>0</v>
      </c>
      <c r="H1093" s="18">
        <f>_xll.ciqfunctions.udf.CIQ($C$2,"IQ_OPEB_PBO_RATE_COMP_INCREASE_MIN_FOREIGN",H$6,$F$2)</f>
        <v>0</v>
      </c>
      <c r="I1093" s="18">
        <f>_xll.ciqfunctions.udf.CIQ($C$2,"IQ_OPEB_PBO_RATE_COMP_INCREASE_MIN_FOREIGN",I$6,$F$2)</f>
        <v>0</v>
      </c>
      <c r="J1093" s="18">
        <f>_xll.ciqfunctions.udf.CIQ($C$2,"IQ_OPEB_PBO_RATE_COMP_INCREASE_MIN_FOREIGN",J$6,$F$2)</f>
        <v>0</v>
      </c>
      <c r="K1093" s="18">
        <f>_xll.ciqfunctions.udf.CIQ($C$2,"IQ_OPEB_PBO_RATE_COMP_INCREASE_MIN_FOREIGN",K$6,$F$2)</f>
        <v>0</v>
      </c>
      <c r="L1093" s="18">
        <f>_xll.ciqfunctions.udf.CIQ($C$2,"IQ_OPEB_PBO_RATE_COMP_INCREASE_MIN_FOREIGN",L$6,$F$2)</f>
        <v>0</v>
      </c>
      <c r="M1093" s="18">
        <f>_xll.ciqfunctions.udf.CIQ($C$2,"IQ_OPEB_PBO_RATE_COMP_INCREASE_MIN_FOREIGN",M$6,$F$2)</f>
        <v>0</v>
      </c>
      <c r="N1093" s="18">
        <f>_xll.ciqfunctions.udf.CIQ($C$2,"IQ_OPEB_PBO_RATE_COMP_INCREASE_MIN_FOREIGN",N$6,$F$2)</f>
        <v>0</v>
      </c>
      <c r="O1093" s="30"/>
      <c r="P1093" s="18">
        <f>_xll.ciqfunctions.udf.CIQ($C$2,"IQ_OPEB_PBO_RATE_COMP_INCREASE_MIN_FOREIGN",P$6,$F$2)</f>
        <v>0</v>
      </c>
      <c r="Q1093" s="215"/>
      <c r="R1093" s="215"/>
      <c r="S1093" s="215"/>
      <c r="T1093" s="215"/>
      <c r="U1093" s="215"/>
      <c r="V1093" s="222"/>
      <c r="W1093" s="222"/>
      <c r="X1093" s="222"/>
      <c r="Y1093" s="215"/>
      <c r="Z1093" s="215"/>
      <c r="AA1093" s="215"/>
      <c r="AB1093" s="215"/>
      <c r="AC1093" s="215"/>
      <c r="AD1093" s="215"/>
      <c r="AE1093" s="215"/>
      <c r="AF1093" s="215"/>
      <c r="AG1093" s="215"/>
      <c r="AH1093" s="215"/>
      <c r="AI1093" s="215"/>
      <c r="AJ1093" s="215"/>
      <c r="AK1093" s="215"/>
      <c r="AL1093" s="215"/>
      <c r="AM1093" s="215"/>
      <c r="AN1093" s="215"/>
      <c r="AO1093" s="215"/>
      <c r="AP1093" s="215"/>
      <c r="AQ1093" s="215"/>
      <c r="AR1093" s="215"/>
      <c r="AS1093" s="215"/>
      <c r="AT1093" s="215"/>
      <c r="AU1093" s="215"/>
      <c r="AV1093" s="215"/>
      <c r="AW1093" s="215"/>
      <c r="AX1093" s="215"/>
      <c r="AY1093" s="215"/>
      <c r="AZ1093" s="215"/>
      <c r="BA1093" s="215"/>
      <c r="BB1093" s="215"/>
      <c r="BC1093" s="215"/>
      <c r="BD1093" s="215"/>
      <c r="BE1093" s="215"/>
      <c r="BF1093" s="215"/>
      <c r="BG1093" s="215"/>
      <c r="BH1093" s="215"/>
      <c r="BI1093" s="215"/>
      <c r="BJ1093" s="215"/>
      <c r="BK1093" s="215"/>
      <c r="BL1093" s="215"/>
      <c r="BM1093" s="215"/>
      <c r="BN1093" s="215"/>
      <c r="BO1093" s="215"/>
      <c r="BP1093" s="215"/>
      <c r="BQ1093" s="215"/>
      <c r="BR1093" s="215"/>
      <c r="BS1093" s="215"/>
      <c r="BT1093" s="215"/>
      <c r="BU1093" s="215"/>
      <c r="BV1093" s="215"/>
      <c r="BW1093" s="215"/>
      <c r="BX1093" s="215"/>
      <c r="BY1093" s="215"/>
      <c r="BZ1093" s="215"/>
    </row>
    <row r="1094" spans="1:78" outlineLevel="1" x14ac:dyDescent="0.2">
      <c r="A1094" s="2" t="str">
        <f>'Language Index'!A556</f>
        <v>Rate of PBO Compensation Increase - Max</v>
      </c>
      <c r="B1094" s="17"/>
      <c r="C1094" s="17"/>
      <c r="D1094" s="18">
        <f>_xll.ciqfunctions.udf.CIQ($C$2,"IQ_OPEB_PBO_RATE_COMP_INCREASE_MAX_FOREIGN",D$6,$F$2)</f>
        <v>0</v>
      </c>
      <c r="E1094" s="18">
        <f>_xll.ciqfunctions.udf.CIQ($C$2,"IQ_OPEB_PBO_RATE_COMP_INCREASE_MAX_FOREIGN",E$6,$F$2)</f>
        <v>0</v>
      </c>
      <c r="F1094" s="18">
        <f>_xll.ciqfunctions.udf.CIQ($C$2,"IQ_OPEB_PBO_RATE_COMP_INCREASE_MAX_FOREIGN",F$6,$F$2)</f>
        <v>0</v>
      </c>
      <c r="G1094" s="18">
        <f>_xll.ciqfunctions.udf.CIQ($C$2,"IQ_OPEB_PBO_RATE_COMP_INCREASE_MAX_FOREIGN",G$6,$F$2)</f>
        <v>0</v>
      </c>
      <c r="H1094" s="18">
        <f>_xll.ciqfunctions.udf.CIQ($C$2,"IQ_OPEB_PBO_RATE_COMP_INCREASE_MAX_FOREIGN",H$6,$F$2)</f>
        <v>0</v>
      </c>
      <c r="I1094" s="18">
        <f>_xll.ciqfunctions.udf.CIQ($C$2,"IQ_OPEB_PBO_RATE_COMP_INCREASE_MAX_FOREIGN",I$6,$F$2)</f>
        <v>0</v>
      </c>
      <c r="J1094" s="18">
        <f>_xll.ciqfunctions.udf.CIQ($C$2,"IQ_OPEB_PBO_RATE_COMP_INCREASE_MAX_FOREIGN",J$6,$F$2)</f>
        <v>0</v>
      </c>
      <c r="K1094" s="18">
        <f>_xll.ciqfunctions.udf.CIQ($C$2,"IQ_OPEB_PBO_RATE_COMP_INCREASE_MAX_FOREIGN",K$6,$F$2)</f>
        <v>0</v>
      </c>
      <c r="L1094" s="18">
        <f>_xll.ciqfunctions.udf.CIQ($C$2,"IQ_OPEB_PBO_RATE_COMP_INCREASE_MAX_FOREIGN",L$6,$F$2)</f>
        <v>0</v>
      </c>
      <c r="M1094" s="18">
        <f>_xll.ciqfunctions.udf.CIQ($C$2,"IQ_OPEB_PBO_RATE_COMP_INCREASE_MAX_FOREIGN",M$6,$F$2)</f>
        <v>0</v>
      </c>
      <c r="N1094" s="18">
        <f>_xll.ciqfunctions.udf.CIQ($C$2,"IQ_OPEB_PBO_RATE_COMP_INCREASE_MAX_FOREIGN",N$6,$F$2)</f>
        <v>0</v>
      </c>
      <c r="O1094" s="30"/>
      <c r="P1094" s="18">
        <f>_xll.ciqfunctions.udf.CIQ($C$2,"IQ_OPEB_PBO_RATE_COMP_INCREASE_MAX_FOREIGN",P$6,$F$2)</f>
        <v>0</v>
      </c>
      <c r="Q1094" s="215"/>
      <c r="R1094" s="215"/>
      <c r="S1094" s="215"/>
      <c r="T1094" s="215"/>
      <c r="U1094" s="215"/>
      <c r="V1094" s="222"/>
      <c r="W1094" s="222"/>
      <c r="X1094" s="222"/>
      <c r="Y1094" s="215"/>
      <c r="Z1094" s="215"/>
      <c r="AA1094" s="215"/>
      <c r="AB1094" s="215"/>
      <c r="AC1094" s="215"/>
      <c r="AD1094" s="215"/>
      <c r="AE1094" s="215"/>
      <c r="AF1094" s="215"/>
      <c r="AG1094" s="215"/>
      <c r="AH1094" s="215"/>
      <c r="AI1094" s="215"/>
      <c r="AJ1094" s="215"/>
      <c r="AK1094" s="215"/>
      <c r="AL1094" s="215"/>
      <c r="AM1094" s="215"/>
      <c r="AN1094" s="215"/>
      <c r="AO1094" s="215"/>
      <c r="AP1094" s="215"/>
      <c r="AQ1094" s="215"/>
      <c r="AR1094" s="215"/>
      <c r="AS1094" s="215"/>
      <c r="AT1094" s="215"/>
      <c r="AU1094" s="215"/>
      <c r="AV1094" s="215"/>
      <c r="AW1094" s="215"/>
      <c r="AX1094" s="215"/>
      <c r="AY1094" s="215"/>
      <c r="AZ1094" s="215"/>
      <c r="BA1094" s="215"/>
      <c r="BB1094" s="215"/>
      <c r="BC1094" s="215"/>
      <c r="BD1094" s="215"/>
      <c r="BE1094" s="215"/>
      <c r="BF1094" s="215"/>
      <c r="BG1094" s="215"/>
      <c r="BH1094" s="215"/>
      <c r="BI1094" s="215"/>
      <c r="BJ1094" s="215"/>
      <c r="BK1094" s="215"/>
      <c r="BL1094" s="215"/>
      <c r="BM1094" s="215"/>
      <c r="BN1094" s="215"/>
      <c r="BO1094" s="215"/>
      <c r="BP1094" s="215"/>
      <c r="BQ1094" s="215"/>
      <c r="BR1094" s="215"/>
      <c r="BS1094" s="215"/>
      <c r="BT1094" s="215"/>
      <c r="BU1094" s="215"/>
      <c r="BV1094" s="215"/>
      <c r="BW1094" s="215"/>
      <c r="BX1094" s="215"/>
      <c r="BY1094" s="215"/>
      <c r="BZ1094" s="215"/>
    </row>
    <row r="1095" spans="1:78" outlineLevel="1" x14ac:dyDescent="0.2">
      <c r="A1095" s="9" t="str">
        <f>'Language Index'!A557</f>
        <v>Estimated Future Benefits Paid</v>
      </c>
      <c r="B1095" s="17"/>
      <c r="C1095" s="17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30"/>
      <c r="P1095" s="18"/>
      <c r="Q1095" s="215"/>
      <c r="R1095" s="215"/>
      <c r="S1095" s="215"/>
      <c r="T1095" s="215"/>
      <c r="U1095" s="215"/>
      <c r="V1095" s="222"/>
      <c r="W1095" s="222"/>
      <c r="X1095" s="222"/>
      <c r="Y1095" s="215"/>
      <c r="Z1095" s="215"/>
      <c r="AA1095" s="215"/>
      <c r="AB1095" s="215"/>
      <c r="AC1095" s="215"/>
      <c r="AD1095" s="215"/>
      <c r="AE1095" s="215"/>
      <c r="AF1095" s="215"/>
      <c r="AG1095" s="215"/>
      <c r="AH1095" s="215"/>
      <c r="AI1095" s="215"/>
      <c r="AJ1095" s="215"/>
      <c r="AK1095" s="215"/>
      <c r="AL1095" s="215"/>
      <c r="AM1095" s="215"/>
      <c r="AN1095" s="215"/>
      <c r="AO1095" s="215"/>
      <c r="AP1095" s="215"/>
      <c r="AQ1095" s="215"/>
      <c r="AR1095" s="215"/>
      <c r="AS1095" s="215"/>
      <c r="AT1095" s="215"/>
      <c r="AU1095" s="215"/>
      <c r="AV1095" s="215"/>
      <c r="AW1095" s="215"/>
      <c r="AX1095" s="215"/>
      <c r="AY1095" s="215"/>
      <c r="AZ1095" s="215"/>
      <c r="BA1095" s="215"/>
      <c r="BB1095" s="215"/>
      <c r="BC1095" s="215"/>
      <c r="BD1095" s="215"/>
      <c r="BE1095" s="215"/>
      <c r="BF1095" s="215"/>
      <c r="BG1095" s="215"/>
      <c r="BH1095" s="215"/>
      <c r="BI1095" s="215"/>
      <c r="BJ1095" s="215"/>
      <c r="BK1095" s="215"/>
      <c r="BL1095" s="215"/>
      <c r="BM1095" s="215"/>
      <c r="BN1095" s="215"/>
      <c r="BO1095" s="215"/>
      <c r="BP1095" s="215"/>
      <c r="BQ1095" s="215"/>
      <c r="BR1095" s="215"/>
      <c r="BS1095" s="215"/>
      <c r="BT1095" s="215"/>
      <c r="BU1095" s="215"/>
      <c r="BV1095" s="215"/>
      <c r="BW1095" s="215"/>
      <c r="BX1095" s="215"/>
      <c r="BY1095" s="215"/>
      <c r="BZ1095" s="215"/>
    </row>
    <row r="1096" spans="1:78" outlineLevel="1" x14ac:dyDescent="0.2">
      <c r="A1096" s="2" t="str">
        <f>'Language Index'!A558</f>
        <v>Est. Future Benefits Paid - 1st Yr</v>
      </c>
      <c r="B1096" s="17"/>
      <c r="C1096" s="17"/>
      <c r="D1096" s="18">
        <f>_xll.ciqfunctions.udf.CIQ($C$2,"IQ_OPEB_EST_BENEFIT_1YR_FOREIGN",D$6,$F$2,,,Ccy,Conv)</f>
        <v>0</v>
      </c>
      <c r="E1096" s="18">
        <f>_xll.ciqfunctions.udf.CIQ($C$2,"IQ_OPEB_EST_BENEFIT_1YR_FOREIGN",E$6,$F$2,,,Ccy,Conv)</f>
        <v>0</v>
      </c>
      <c r="F1096" s="18">
        <f>_xll.ciqfunctions.udf.CIQ($C$2,"IQ_OPEB_EST_BENEFIT_1YR_FOREIGN",F$6,$F$2,,,Ccy,Conv)</f>
        <v>44</v>
      </c>
      <c r="G1096" s="18">
        <f>_xll.ciqfunctions.udf.CIQ($C$2,"IQ_OPEB_EST_BENEFIT_1YR_FOREIGN",G$6,$F$2,,,Ccy,Conv)</f>
        <v>0</v>
      </c>
      <c r="H1096" s="18">
        <f>_xll.ciqfunctions.udf.CIQ($C$2,"IQ_OPEB_EST_BENEFIT_1YR_FOREIGN",H$6,$F$2,,,Ccy,Conv)</f>
        <v>0</v>
      </c>
      <c r="I1096" s="18">
        <f>_xll.ciqfunctions.udf.CIQ($C$2,"IQ_OPEB_EST_BENEFIT_1YR_FOREIGN",I$6,$F$2,,,Ccy,Conv)</f>
        <v>0</v>
      </c>
      <c r="J1096" s="18">
        <f>_xll.ciqfunctions.udf.CIQ($C$2,"IQ_OPEB_EST_BENEFIT_1YR_FOREIGN",J$6,$F$2,,,Ccy,Conv)</f>
        <v>42</v>
      </c>
      <c r="K1096" s="18">
        <f>_xll.ciqfunctions.udf.CIQ($C$2,"IQ_OPEB_EST_BENEFIT_1YR_FOREIGN",K$6,$F$2,,,Ccy,Conv)</f>
        <v>0</v>
      </c>
      <c r="L1096" s="18">
        <f>_xll.ciqfunctions.udf.CIQ($C$2,"IQ_OPEB_EST_BENEFIT_1YR_FOREIGN",L$6,$F$2,,,Ccy,Conv)</f>
        <v>0</v>
      </c>
      <c r="M1096" s="18">
        <f>_xll.ciqfunctions.udf.CIQ($C$2,"IQ_OPEB_EST_BENEFIT_1YR_FOREIGN",M$6,$F$2,,,Ccy,Conv)</f>
        <v>0</v>
      </c>
      <c r="N1096" s="18">
        <f>_xll.ciqfunctions.udf.CIQ($C$2,"IQ_OPEB_EST_BENEFIT_1YR_FOREIGN",N$6,$F$2,,,Ccy,Conv)</f>
        <v>47</v>
      </c>
      <c r="O1096" s="30"/>
      <c r="P1096" s="18">
        <f>_xll.ciqfunctions.udf.CIQ($C$2,"IQ_OPEB_EST_BENEFIT_1YR_FOREIGN",P$6,$F$2,,,Ccy,Conv)</f>
        <v>47</v>
      </c>
      <c r="Q1096" s="215"/>
      <c r="R1096" s="215"/>
      <c r="S1096" s="215"/>
      <c r="T1096" s="215"/>
      <c r="U1096" s="215"/>
      <c r="V1096" s="222"/>
      <c r="W1096" s="222"/>
      <c r="X1096" s="222"/>
      <c r="Y1096" s="215"/>
      <c r="Z1096" s="215"/>
      <c r="AA1096" s="215"/>
      <c r="AB1096" s="215"/>
      <c r="AC1096" s="215"/>
      <c r="AD1096" s="215"/>
      <c r="AE1096" s="215"/>
      <c r="AF1096" s="215"/>
      <c r="AG1096" s="215"/>
      <c r="AH1096" s="215"/>
      <c r="AI1096" s="215"/>
      <c r="AJ1096" s="215"/>
      <c r="AK1096" s="215"/>
      <c r="AL1096" s="215"/>
      <c r="AM1096" s="215"/>
      <c r="AN1096" s="215"/>
      <c r="AO1096" s="215"/>
      <c r="AP1096" s="215"/>
      <c r="AQ1096" s="215"/>
      <c r="AR1096" s="215"/>
      <c r="AS1096" s="215"/>
      <c r="AT1096" s="215"/>
      <c r="AU1096" s="215"/>
      <c r="AV1096" s="215"/>
      <c r="AW1096" s="215"/>
      <c r="AX1096" s="215"/>
      <c r="AY1096" s="215"/>
      <c r="AZ1096" s="215"/>
      <c r="BA1096" s="215"/>
      <c r="BB1096" s="215"/>
      <c r="BC1096" s="215"/>
      <c r="BD1096" s="215"/>
      <c r="BE1096" s="215"/>
      <c r="BF1096" s="215"/>
      <c r="BG1096" s="215"/>
      <c r="BH1096" s="215"/>
      <c r="BI1096" s="215"/>
      <c r="BJ1096" s="215"/>
      <c r="BK1096" s="215"/>
      <c r="BL1096" s="215"/>
      <c r="BM1096" s="215"/>
      <c r="BN1096" s="215"/>
      <c r="BO1096" s="215"/>
      <c r="BP1096" s="215"/>
      <c r="BQ1096" s="215"/>
      <c r="BR1096" s="215"/>
      <c r="BS1096" s="215"/>
      <c r="BT1096" s="215"/>
      <c r="BU1096" s="215"/>
      <c r="BV1096" s="215"/>
      <c r="BW1096" s="215"/>
      <c r="BX1096" s="215"/>
      <c r="BY1096" s="215"/>
      <c r="BZ1096" s="215"/>
    </row>
    <row r="1097" spans="1:78" outlineLevel="1" x14ac:dyDescent="0.2">
      <c r="A1097" s="2" t="str">
        <f>'Language Index'!A559</f>
        <v>Est. Future Benefits Paid - 2nd Yr</v>
      </c>
      <c r="B1097" s="17"/>
      <c r="C1097" s="17"/>
      <c r="D1097" s="18">
        <f>_xll.ciqfunctions.udf.CIQ($C$2,"IQ_OPEB_EST_BENEFIT_2YR_FOREIGN",D$6,$F$2,,,Ccy,Conv)</f>
        <v>0</v>
      </c>
      <c r="E1097" s="18">
        <f>_xll.ciqfunctions.udf.CIQ($C$2,"IQ_OPEB_EST_BENEFIT_2YR_FOREIGN",E$6,$F$2,,,Ccy,Conv)</f>
        <v>0</v>
      </c>
      <c r="F1097" s="18">
        <f>_xll.ciqfunctions.udf.CIQ($C$2,"IQ_OPEB_EST_BENEFIT_2YR_FOREIGN",F$6,$F$2,,,Ccy,Conv)</f>
        <v>45</v>
      </c>
      <c r="G1097" s="18">
        <f>_xll.ciqfunctions.udf.CIQ($C$2,"IQ_OPEB_EST_BENEFIT_2YR_FOREIGN",G$6,$F$2,,,Ccy,Conv)</f>
        <v>0</v>
      </c>
      <c r="H1097" s="18">
        <f>_xll.ciqfunctions.udf.CIQ($C$2,"IQ_OPEB_EST_BENEFIT_2YR_FOREIGN",H$6,$F$2,,,Ccy,Conv)</f>
        <v>0</v>
      </c>
      <c r="I1097" s="18">
        <f>_xll.ciqfunctions.udf.CIQ($C$2,"IQ_OPEB_EST_BENEFIT_2YR_FOREIGN",I$6,$F$2,,,Ccy,Conv)</f>
        <v>0</v>
      </c>
      <c r="J1097" s="18">
        <f>_xll.ciqfunctions.udf.CIQ($C$2,"IQ_OPEB_EST_BENEFIT_2YR_FOREIGN",J$6,$F$2,,,Ccy,Conv)</f>
        <v>44</v>
      </c>
      <c r="K1097" s="18">
        <f>_xll.ciqfunctions.udf.CIQ($C$2,"IQ_OPEB_EST_BENEFIT_2YR_FOREIGN",K$6,$F$2,,,Ccy,Conv)</f>
        <v>0</v>
      </c>
      <c r="L1097" s="18">
        <f>_xll.ciqfunctions.udf.CIQ($C$2,"IQ_OPEB_EST_BENEFIT_2YR_FOREIGN",L$6,$F$2,,,Ccy,Conv)</f>
        <v>0</v>
      </c>
      <c r="M1097" s="18">
        <f>_xll.ciqfunctions.udf.CIQ($C$2,"IQ_OPEB_EST_BENEFIT_2YR_FOREIGN",M$6,$F$2,,,Ccy,Conv)</f>
        <v>0</v>
      </c>
      <c r="N1097" s="18">
        <f>_xll.ciqfunctions.udf.CIQ($C$2,"IQ_OPEB_EST_BENEFIT_2YR_FOREIGN",N$6,$F$2,,,Ccy,Conv)</f>
        <v>48</v>
      </c>
      <c r="O1097" s="30"/>
      <c r="P1097" s="18">
        <f>_xll.ciqfunctions.udf.CIQ($C$2,"IQ_OPEB_EST_BENEFIT_2YR_FOREIGN",P$6,$F$2,,,Ccy,Conv)</f>
        <v>48</v>
      </c>
      <c r="Q1097" s="215"/>
      <c r="R1097" s="215"/>
      <c r="S1097" s="215"/>
      <c r="T1097" s="215"/>
      <c r="U1097" s="215"/>
      <c r="V1097" s="222"/>
      <c r="W1097" s="222"/>
      <c r="X1097" s="222"/>
      <c r="Y1097" s="215"/>
      <c r="Z1097" s="215"/>
      <c r="AA1097" s="215"/>
      <c r="AB1097" s="215"/>
      <c r="AC1097" s="215"/>
      <c r="AD1097" s="215"/>
      <c r="AE1097" s="215"/>
      <c r="AF1097" s="215"/>
      <c r="AG1097" s="215"/>
      <c r="AH1097" s="215"/>
      <c r="AI1097" s="215"/>
      <c r="AJ1097" s="215"/>
      <c r="AK1097" s="215"/>
      <c r="AL1097" s="215"/>
      <c r="AM1097" s="215"/>
      <c r="AN1097" s="215"/>
      <c r="AO1097" s="215"/>
      <c r="AP1097" s="215"/>
      <c r="AQ1097" s="215"/>
      <c r="AR1097" s="215"/>
      <c r="AS1097" s="215"/>
      <c r="AT1097" s="215"/>
      <c r="AU1097" s="215"/>
      <c r="AV1097" s="215"/>
      <c r="AW1097" s="215"/>
      <c r="AX1097" s="215"/>
      <c r="AY1097" s="215"/>
      <c r="AZ1097" s="215"/>
      <c r="BA1097" s="215"/>
      <c r="BB1097" s="215"/>
      <c r="BC1097" s="215"/>
      <c r="BD1097" s="215"/>
      <c r="BE1097" s="215"/>
      <c r="BF1097" s="215"/>
      <c r="BG1097" s="215"/>
      <c r="BH1097" s="215"/>
      <c r="BI1097" s="215"/>
      <c r="BJ1097" s="215"/>
      <c r="BK1097" s="215"/>
      <c r="BL1097" s="215"/>
      <c r="BM1097" s="215"/>
      <c r="BN1097" s="215"/>
      <c r="BO1097" s="215"/>
      <c r="BP1097" s="215"/>
      <c r="BQ1097" s="215"/>
      <c r="BR1097" s="215"/>
      <c r="BS1097" s="215"/>
      <c r="BT1097" s="215"/>
      <c r="BU1097" s="215"/>
      <c r="BV1097" s="215"/>
      <c r="BW1097" s="215"/>
      <c r="BX1097" s="215"/>
      <c r="BY1097" s="215"/>
      <c r="BZ1097" s="215"/>
    </row>
    <row r="1098" spans="1:78" outlineLevel="1" x14ac:dyDescent="0.2">
      <c r="A1098" s="2" t="str">
        <f>'Language Index'!A560</f>
        <v>Est. Future Benefits Paid - 3rd Yr</v>
      </c>
      <c r="B1098" s="17"/>
      <c r="C1098" s="17"/>
      <c r="D1098" s="18">
        <f>_xll.ciqfunctions.udf.CIQ($C$2,"IQ_OPEB_EST_BENEFIT_3YR_FOREIGN",D$6,$F$2,,,Ccy,Conv)</f>
        <v>0</v>
      </c>
      <c r="E1098" s="18">
        <f>_xll.ciqfunctions.udf.CIQ($C$2,"IQ_OPEB_EST_BENEFIT_3YR_FOREIGN",E$6,$F$2,,,Ccy,Conv)</f>
        <v>0</v>
      </c>
      <c r="F1098" s="18">
        <f>_xll.ciqfunctions.udf.CIQ($C$2,"IQ_OPEB_EST_BENEFIT_3YR_FOREIGN",F$6,$F$2,,,Ccy,Conv)</f>
        <v>46</v>
      </c>
      <c r="G1098" s="18">
        <f>_xll.ciqfunctions.udf.CIQ($C$2,"IQ_OPEB_EST_BENEFIT_3YR_FOREIGN",G$6,$F$2,,,Ccy,Conv)</f>
        <v>0</v>
      </c>
      <c r="H1098" s="18">
        <f>_xll.ciqfunctions.udf.CIQ($C$2,"IQ_OPEB_EST_BENEFIT_3YR_FOREIGN",H$6,$F$2,,,Ccy,Conv)</f>
        <v>0</v>
      </c>
      <c r="I1098" s="18">
        <f>_xll.ciqfunctions.udf.CIQ($C$2,"IQ_OPEB_EST_BENEFIT_3YR_FOREIGN",I$6,$F$2,,,Ccy,Conv)</f>
        <v>0</v>
      </c>
      <c r="J1098" s="18">
        <f>_xll.ciqfunctions.udf.CIQ($C$2,"IQ_OPEB_EST_BENEFIT_3YR_FOREIGN",J$6,$F$2,,,Ccy,Conv)</f>
        <v>45</v>
      </c>
      <c r="K1098" s="18">
        <f>_xll.ciqfunctions.udf.CIQ($C$2,"IQ_OPEB_EST_BENEFIT_3YR_FOREIGN",K$6,$F$2,,,Ccy,Conv)</f>
        <v>0</v>
      </c>
      <c r="L1098" s="18">
        <f>_xll.ciqfunctions.udf.CIQ($C$2,"IQ_OPEB_EST_BENEFIT_3YR_FOREIGN",L$6,$F$2,,,Ccy,Conv)</f>
        <v>0</v>
      </c>
      <c r="M1098" s="18">
        <f>_xll.ciqfunctions.udf.CIQ($C$2,"IQ_OPEB_EST_BENEFIT_3YR_FOREIGN",M$6,$F$2,,,Ccy,Conv)</f>
        <v>0</v>
      </c>
      <c r="N1098" s="18">
        <f>_xll.ciqfunctions.udf.CIQ($C$2,"IQ_OPEB_EST_BENEFIT_3YR_FOREIGN",N$6,$F$2,,,Ccy,Conv)</f>
        <v>49</v>
      </c>
      <c r="O1098" s="30"/>
      <c r="P1098" s="18">
        <f>_xll.ciqfunctions.udf.CIQ($C$2,"IQ_OPEB_EST_BENEFIT_3YR_FOREIGN",P$6,$F$2,,,Ccy,Conv)</f>
        <v>49</v>
      </c>
      <c r="Q1098" s="215"/>
      <c r="R1098" s="215"/>
      <c r="S1098" s="215"/>
      <c r="T1098" s="215"/>
      <c r="U1098" s="215"/>
      <c r="V1098" s="222"/>
      <c r="W1098" s="222"/>
      <c r="X1098" s="222"/>
      <c r="Y1098" s="215"/>
      <c r="Z1098" s="215"/>
      <c r="AA1098" s="215"/>
      <c r="AB1098" s="215"/>
      <c r="AC1098" s="215"/>
      <c r="AD1098" s="215"/>
      <c r="AE1098" s="215"/>
      <c r="AF1098" s="215"/>
      <c r="AG1098" s="215"/>
      <c r="AH1098" s="215"/>
      <c r="AI1098" s="215"/>
      <c r="AJ1098" s="215"/>
      <c r="AK1098" s="215"/>
      <c r="AL1098" s="215"/>
      <c r="AM1098" s="215"/>
      <c r="AN1098" s="215"/>
      <c r="AO1098" s="215"/>
      <c r="AP1098" s="215"/>
      <c r="AQ1098" s="215"/>
      <c r="AR1098" s="215"/>
      <c r="AS1098" s="215"/>
      <c r="AT1098" s="215"/>
      <c r="AU1098" s="215"/>
      <c r="AV1098" s="215"/>
      <c r="AW1098" s="215"/>
      <c r="AX1098" s="215"/>
      <c r="AY1098" s="215"/>
      <c r="AZ1098" s="215"/>
      <c r="BA1098" s="215"/>
      <c r="BB1098" s="215"/>
      <c r="BC1098" s="215"/>
      <c r="BD1098" s="215"/>
      <c r="BE1098" s="215"/>
      <c r="BF1098" s="215"/>
      <c r="BG1098" s="215"/>
      <c r="BH1098" s="215"/>
      <c r="BI1098" s="215"/>
      <c r="BJ1098" s="215"/>
      <c r="BK1098" s="215"/>
      <c r="BL1098" s="215"/>
      <c r="BM1098" s="215"/>
      <c r="BN1098" s="215"/>
      <c r="BO1098" s="215"/>
      <c r="BP1098" s="215"/>
      <c r="BQ1098" s="215"/>
      <c r="BR1098" s="215"/>
      <c r="BS1098" s="215"/>
      <c r="BT1098" s="215"/>
      <c r="BU1098" s="215"/>
      <c r="BV1098" s="215"/>
      <c r="BW1098" s="215"/>
      <c r="BX1098" s="215"/>
      <c r="BY1098" s="215"/>
      <c r="BZ1098" s="215"/>
    </row>
    <row r="1099" spans="1:78" outlineLevel="1" x14ac:dyDescent="0.2">
      <c r="A1099" s="2" t="str">
        <f>'Language Index'!A561</f>
        <v>Est. Future Benefits Paid - 4th Yr</v>
      </c>
      <c r="B1099" s="17"/>
      <c r="C1099" s="17"/>
      <c r="D1099" s="18">
        <f>_xll.ciqfunctions.udf.CIQ($C$2,"IQ_OPEB_EST_BENEFIT_4YR_FOREIGN",D$6,$F$2,,,Ccy,Conv)</f>
        <v>0</v>
      </c>
      <c r="E1099" s="18">
        <f>_xll.ciqfunctions.udf.CIQ($C$2,"IQ_OPEB_EST_BENEFIT_4YR_FOREIGN",E$6,$F$2,,,Ccy,Conv)</f>
        <v>0</v>
      </c>
      <c r="F1099" s="18">
        <f>_xll.ciqfunctions.udf.CIQ($C$2,"IQ_OPEB_EST_BENEFIT_4YR_FOREIGN",F$6,$F$2,,,Ccy,Conv)</f>
        <v>47</v>
      </c>
      <c r="G1099" s="18">
        <f>_xll.ciqfunctions.udf.CIQ($C$2,"IQ_OPEB_EST_BENEFIT_4YR_FOREIGN",G$6,$F$2,,,Ccy,Conv)</f>
        <v>0</v>
      </c>
      <c r="H1099" s="18">
        <f>_xll.ciqfunctions.udf.CIQ($C$2,"IQ_OPEB_EST_BENEFIT_4YR_FOREIGN",H$6,$F$2,,,Ccy,Conv)</f>
        <v>0</v>
      </c>
      <c r="I1099" s="18">
        <f>_xll.ciqfunctions.udf.CIQ($C$2,"IQ_OPEB_EST_BENEFIT_4YR_FOREIGN",I$6,$F$2,,,Ccy,Conv)</f>
        <v>0</v>
      </c>
      <c r="J1099" s="18">
        <f>_xll.ciqfunctions.udf.CIQ($C$2,"IQ_OPEB_EST_BENEFIT_4YR_FOREIGN",J$6,$F$2,,,Ccy,Conv)</f>
        <v>45</v>
      </c>
      <c r="K1099" s="18">
        <f>_xll.ciqfunctions.udf.CIQ($C$2,"IQ_OPEB_EST_BENEFIT_4YR_FOREIGN",K$6,$F$2,,,Ccy,Conv)</f>
        <v>0</v>
      </c>
      <c r="L1099" s="18">
        <f>_xll.ciqfunctions.udf.CIQ($C$2,"IQ_OPEB_EST_BENEFIT_4YR_FOREIGN",L$6,$F$2,,,Ccy,Conv)</f>
        <v>0</v>
      </c>
      <c r="M1099" s="18">
        <f>_xll.ciqfunctions.udf.CIQ($C$2,"IQ_OPEB_EST_BENEFIT_4YR_FOREIGN",M$6,$F$2,,,Ccy,Conv)</f>
        <v>0</v>
      </c>
      <c r="N1099" s="18">
        <f>_xll.ciqfunctions.udf.CIQ($C$2,"IQ_OPEB_EST_BENEFIT_4YR_FOREIGN",N$6,$F$2,,,Ccy,Conv)</f>
        <v>50</v>
      </c>
      <c r="O1099" s="30"/>
      <c r="P1099" s="18">
        <f>_xll.ciqfunctions.udf.CIQ($C$2,"IQ_OPEB_EST_BENEFIT_4YR_FOREIGN",P$6,$F$2,,,Ccy,Conv)</f>
        <v>50</v>
      </c>
      <c r="Q1099" s="215"/>
      <c r="R1099" s="215"/>
      <c r="S1099" s="215"/>
      <c r="T1099" s="215"/>
      <c r="U1099" s="215"/>
      <c r="V1099" s="222"/>
      <c r="W1099" s="222"/>
      <c r="X1099" s="222"/>
      <c r="Y1099" s="215"/>
      <c r="Z1099" s="215"/>
      <c r="AA1099" s="215"/>
      <c r="AB1099" s="215"/>
      <c r="AC1099" s="215"/>
      <c r="AD1099" s="215"/>
      <c r="AE1099" s="215"/>
      <c r="AF1099" s="215"/>
      <c r="AG1099" s="215"/>
      <c r="AH1099" s="215"/>
      <c r="AI1099" s="215"/>
      <c r="AJ1099" s="215"/>
      <c r="AK1099" s="215"/>
      <c r="AL1099" s="215"/>
      <c r="AM1099" s="215"/>
      <c r="AN1099" s="215"/>
      <c r="AO1099" s="215"/>
      <c r="AP1099" s="215"/>
      <c r="AQ1099" s="215"/>
      <c r="AR1099" s="215"/>
      <c r="AS1099" s="215"/>
      <c r="AT1099" s="215"/>
      <c r="AU1099" s="215"/>
      <c r="AV1099" s="215"/>
      <c r="AW1099" s="215"/>
      <c r="AX1099" s="215"/>
      <c r="AY1099" s="215"/>
      <c r="AZ1099" s="215"/>
      <c r="BA1099" s="215"/>
      <c r="BB1099" s="215"/>
      <c r="BC1099" s="215"/>
      <c r="BD1099" s="215"/>
      <c r="BE1099" s="215"/>
      <c r="BF1099" s="215"/>
      <c r="BG1099" s="215"/>
      <c r="BH1099" s="215"/>
      <c r="BI1099" s="215"/>
      <c r="BJ1099" s="215"/>
      <c r="BK1099" s="215"/>
      <c r="BL1099" s="215"/>
      <c r="BM1099" s="215"/>
      <c r="BN1099" s="215"/>
      <c r="BO1099" s="215"/>
      <c r="BP1099" s="215"/>
      <c r="BQ1099" s="215"/>
      <c r="BR1099" s="215"/>
      <c r="BS1099" s="215"/>
      <c r="BT1099" s="215"/>
      <c r="BU1099" s="215"/>
      <c r="BV1099" s="215"/>
      <c r="BW1099" s="215"/>
      <c r="BX1099" s="215"/>
      <c r="BY1099" s="215"/>
      <c r="BZ1099" s="215"/>
    </row>
    <row r="1100" spans="1:78" outlineLevel="1" x14ac:dyDescent="0.2">
      <c r="A1100" s="2" t="str">
        <f>'Language Index'!A562</f>
        <v>Est. Future Benefits Paid - 5th Yr</v>
      </c>
      <c r="B1100" s="17"/>
      <c r="C1100" s="17"/>
      <c r="D1100" s="18">
        <f>_xll.ciqfunctions.udf.CIQ($C$2,"IQ_OPEB_EST_BENEFIT_5YR_FOREIGN",D$6,$F$2,,,Ccy,Conv)</f>
        <v>0</v>
      </c>
      <c r="E1100" s="18">
        <f>_xll.ciqfunctions.udf.CIQ($C$2,"IQ_OPEB_EST_BENEFIT_5YR_FOREIGN",E$6,$F$2,,,Ccy,Conv)</f>
        <v>0</v>
      </c>
      <c r="F1100" s="18">
        <f>_xll.ciqfunctions.udf.CIQ($C$2,"IQ_OPEB_EST_BENEFIT_5YR_FOREIGN",F$6,$F$2,,,Ccy,Conv)</f>
        <v>48</v>
      </c>
      <c r="G1100" s="18">
        <f>_xll.ciqfunctions.udf.CIQ($C$2,"IQ_OPEB_EST_BENEFIT_5YR_FOREIGN",G$6,$F$2,,,Ccy,Conv)</f>
        <v>0</v>
      </c>
      <c r="H1100" s="18">
        <f>_xll.ciqfunctions.udf.CIQ($C$2,"IQ_OPEB_EST_BENEFIT_5YR_FOREIGN",H$6,$F$2,,,Ccy,Conv)</f>
        <v>0</v>
      </c>
      <c r="I1100" s="18">
        <f>_xll.ciqfunctions.udf.CIQ($C$2,"IQ_OPEB_EST_BENEFIT_5YR_FOREIGN",I$6,$F$2,,,Ccy,Conv)</f>
        <v>0</v>
      </c>
      <c r="J1100" s="18">
        <f>_xll.ciqfunctions.udf.CIQ($C$2,"IQ_OPEB_EST_BENEFIT_5YR_FOREIGN",J$6,$F$2,,,Ccy,Conv)</f>
        <v>47</v>
      </c>
      <c r="K1100" s="18">
        <f>_xll.ciqfunctions.udf.CIQ($C$2,"IQ_OPEB_EST_BENEFIT_5YR_FOREIGN",K$6,$F$2,,,Ccy,Conv)</f>
        <v>0</v>
      </c>
      <c r="L1100" s="18">
        <f>_xll.ciqfunctions.udf.CIQ($C$2,"IQ_OPEB_EST_BENEFIT_5YR_FOREIGN",L$6,$F$2,,,Ccy,Conv)</f>
        <v>0</v>
      </c>
      <c r="M1100" s="18">
        <f>_xll.ciqfunctions.udf.CIQ($C$2,"IQ_OPEB_EST_BENEFIT_5YR_FOREIGN",M$6,$F$2,,,Ccy,Conv)</f>
        <v>0</v>
      </c>
      <c r="N1100" s="18">
        <f>_xll.ciqfunctions.udf.CIQ($C$2,"IQ_OPEB_EST_BENEFIT_5YR_FOREIGN",N$6,$F$2,,,Ccy,Conv)</f>
        <v>52</v>
      </c>
      <c r="O1100" s="30"/>
      <c r="P1100" s="18">
        <f>_xll.ciqfunctions.udf.CIQ($C$2,"IQ_OPEB_EST_BENEFIT_5YR_FOREIGN",P$6,$F$2,,,Ccy,Conv)</f>
        <v>52</v>
      </c>
      <c r="Q1100" s="215"/>
      <c r="R1100" s="215"/>
      <c r="S1100" s="215"/>
      <c r="T1100" s="215"/>
      <c r="U1100" s="215"/>
      <c r="V1100" s="222"/>
      <c r="W1100" s="222"/>
      <c r="X1100" s="222"/>
      <c r="Y1100" s="215"/>
      <c r="Z1100" s="215"/>
      <c r="AA1100" s="215"/>
      <c r="AB1100" s="215"/>
      <c r="AC1100" s="215"/>
      <c r="AD1100" s="215"/>
      <c r="AE1100" s="215"/>
      <c r="AF1100" s="215"/>
      <c r="AG1100" s="215"/>
      <c r="AH1100" s="215"/>
      <c r="AI1100" s="215"/>
      <c r="AJ1100" s="215"/>
      <c r="AK1100" s="215"/>
      <c r="AL1100" s="215"/>
      <c r="AM1100" s="215"/>
      <c r="AN1100" s="215"/>
      <c r="AO1100" s="215"/>
      <c r="AP1100" s="215"/>
      <c r="AQ1100" s="215"/>
      <c r="AR1100" s="215"/>
      <c r="AS1100" s="215"/>
      <c r="AT1100" s="215"/>
      <c r="AU1100" s="215"/>
      <c r="AV1100" s="215"/>
      <c r="AW1100" s="215"/>
      <c r="AX1100" s="215"/>
      <c r="AY1100" s="215"/>
      <c r="AZ1100" s="215"/>
      <c r="BA1100" s="215"/>
      <c r="BB1100" s="215"/>
      <c r="BC1100" s="215"/>
      <c r="BD1100" s="215"/>
      <c r="BE1100" s="215"/>
      <c r="BF1100" s="215"/>
      <c r="BG1100" s="215"/>
      <c r="BH1100" s="215"/>
      <c r="BI1100" s="215"/>
      <c r="BJ1100" s="215"/>
      <c r="BK1100" s="215"/>
      <c r="BL1100" s="215"/>
      <c r="BM1100" s="215"/>
      <c r="BN1100" s="215"/>
      <c r="BO1100" s="215"/>
      <c r="BP1100" s="215"/>
      <c r="BQ1100" s="215"/>
      <c r="BR1100" s="215"/>
      <c r="BS1100" s="215"/>
      <c r="BT1100" s="215"/>
      <c r="BU1100" s="215"/>
      <c r="BV1100" s="215"/>
      <c r="BW1100" s="215"/>
      <c r="BX1100" s="215"/>
      <c r="BY1100" s="215"/>
      <c r="BZ1100" s="215"/>
    </row>
    <row r="1101" spans="1:78" outlineLevel="1" x14ac:dyDescent="0.2">
      <c r="A1101" s="2" t="str">
        <f>'Language Index'!A563</f>
        <v>Est. Future Benefits Paid - Thereafter</v>
      </c>
      <c r="B1101" s="17"/>
      <c r="C1101" s="17"/>
      <c r="D1101" s="18">
        <f>_xll.ciqfunctions.udf.CIQ($C$2,"IQ_OPEB_EST_BENEFIT_AFTER5_FOREIGN",D$6,$F$2,,,Ccy,Conv)</f>
        <v>0</v>
      </c>
      <c r="E1101" s="18">
        <f>_xll.ciqfunctions.udf.CIQ($C$2,"IQ_OPEB_EST_BENEFIT_AFTER5_FOREIGN",E$6,$F$2,,,Ccy,Conv)</f>
        <v>0</v>
      </c>
      <c r="F1101" s="18">
        <f>_xll.ciqfunctions.udf.CIQ($C$2,"IQ_OPEB_EST_BENEFIT_AFTER5_FOREIGN",F$6,$F$2,,,Ccy,Conv)</f>
        <v>263</v>
      </c>
      <c r="G1101" s="18">
        <f>_xll.ciqfunctions.udf.CIQ($C$2,"IQ_OPEB_EST_BENEFIT_AFTER5_FOREIGN",G$6,$F$2,,,Ccy,Conv)</f>
        <v>0</v>
      </c>
      <c r="H1101" s="18">
        <f>_xll.ciqfunctions.udf.CIQ($C$2,"IQ_OPEB_EST_BENEFIT_AFTER5_FOREIGN",H$6,$F$2,,,Ccy,Conv)</f>
        <v>0</v>
      </c>
      <c r="I1101" s="18">
        <f>_xll.ciqfunctions.udf.CIQ($C$2,"IQ_OPEB_EST_BENEFIT_AFTER5_FOREIGN",I$6,$F$2,,,Ccy,Conv)</f>
        <v>0</v>
      </c>
      <c r="J1101" s="18">
        <f>_xll.ciqfunctions.udf.CIQ($C$2,"IQ_OPEB_EST_BENEFIT_AFTER5_FOREIGN",J$6,$F$2,,,Ccy,Conv)</f>
        <v>260</v>
      </c>
      <c r="K1101" s="18">
        <f>_xll.ciqfunctions.udf.CIQ($C$2,"IQ_OPEB_EST_BENEFIT_AFTER5_FOREIGN",K$6,$F$2,,,Ccy,Conv)</f>
        <v>0</v>
      </c>
      <c r="L1101" s="18">
        <f>_xll.ciqfunctions.udf.CIQ($C$2,"IQ_OPEB_EST_BENEFIT_AFTER5_FOREIGN",L$6,$F$2,,,Ccy,Conv)</f>
        <v>0</v>
      </c>
      <c r="M1101" s="18">
        <f>_xll.ciqfunctions.udf.CIQ($C$2,"IQ_OPEB_EST_BENEFIT_AFTER5_FOREIGN",M$6,$F$2,,,Ccy,Conv)</f>
        <v>0</v>
      </c>
      <c r="N1101" s="18">
        <f>_xll.ciqfunctions.udf.CIQ($C$2,"IQ_OPEB_EST_BENEFIT_AFTER5_FOREIGN",N$6,$F$2,,,Ccy,Conv)</f>
        <v>289</v>
      </c>
      <c r="O1101" s="30"/>
      <c r="P1101" s="18">
        <f>_xll.ciqfunctions.udf.CIQ($C$2,"IQ_OPEB_EST_BENEFIT_AFTER5_FOREIGN",P$6,$F$2,,,Ccy,Conv)</f>
        <v>289</v>
      </c>
      <c r="Q1101" s="215"/>
      <c r="R1101" s="215"/>
      <c r="S1101" s="215"/>
      <c r="T1101" s="215"/>
      <c r="U1101" s="215"/>
      <c r="V1101" s="222"/>
      <c r="W1101" s="222"/>
      <c r="X1101" s="222"/>
      <c r="Y1101" s="215"/>
      <c r="Z1101" s="215"/>
      <c r="AA1101" s="215"/>
      <c r="AB1101" s="215"/>
      <c r="AC1101" s="215"/>
      <c r="AD1101" s="215"/>
      <c r="AE1101" s="215"/>
      <c r="AF1101" s="215"/>
      <c r="AG1101" s="215"/>
      <c r="AH1101" s="215"/>
      <c r="AI1101" s="215"/>
      <c r="AJ1101" s="215"/>
      <c r="AK1101" s="215"/>
      <c r="AL1101" s="215"/>
      <c r="AM1101" s="215"/>
      <c r="AN1101" s="215"/>
      <c r="AO1101" s="215"/>
      <c r="AP1101" s="215"/>
      <c r="AQ1101" s="215"/>
      <c r="AR1101" s="215"/>
      <c r="AS1101" s="215"/>
      <c r="AT1101" s="215"/>
      <c r="AU1101" s="215"/>
      <c r="AV1101" s="215"/>
      <c r="AW1101" s="215"/>
      <c r="AX1101" s="215"/>
      <c r="AY1101" s="215"/>
      <c r="AZ1101" s="215"/>
      <c r="BA1101" s="215"/>
      <c r="BB1101" s="215"/>
      <c r="BC1101" s="215"/>
      <c r="BD1101" s="215"/>
      <c r="BE1101" s="215"/>
      <c r="BF1101" s="215"/>
      <c r="BG1101" s="215"/>
      <c r="BH1101" s="215"/>
      <c r="BI1101" s="215"/>
      <c r="BJ1101" s="215"/>
      <c r="BK1101" s="215"/>
      <c r="BL1101" s="215"/>
      <c r="BM1101" s="215"/>
      <c r="BN1101" s="215"/>
      <c r="BO1101" s="215"/>
      <c r="BP1101" s="215"/>
      <c r="BQ1101" s="215"/>
      <c r="BR1101" s="215"/>
      <c r="BS1101" s="215"/>
      <c r="BT1101" s="215"/>
      <c r="BU1101" s="215"/>
      <c r="BV1101" s="215"/>
      <c r="BW1101" s="215"/>
      <c r="BX1101" s="215"/>
      <c r="BY1101" s="215"/>
      <c r="BZ1101" s="215"/>
    </row>
    <row r="1102" spans="1:78" outlineLevel="1" x14ac:dyDescent="0.2">
      <c r="A1102" s="9" t="str">
        <f>'Language Index'!A564</f>
        <v>Balance Sheet Reconciliation Items</v>
      </c>
      <c r="B1102" s="17"/>
      <c r="C1102" s="17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30"/>
      <c r="P1102" s="18"/>
      <c r="Q1102" s="215"/>
      <c r="R1102" s="215"/>
      <c r="S1102" s="215"/>
      <c r="T1102" s="215"/>
      <c r="U1102" s="215"/>
      <c r="V1102" s="222"/>
      <c r="W1102" s="222"/>
      <c r="X1102" s="222"/>
      <c r="Y1102" s="215"/>
      <c r="Z1102" s="215"/>
      <c r="AA1102" s="215"/>
      <c r="AB1102" s="215"/>
      <c r="AC1102" s="215"/>
      <c r="AD1102" s="215"/>
      <c r="AE1102" s="215"/>
      <c r="AF1102" s="215"/>
      <c r="AG1102" s="215"/>
      <c r="AH1102" s="215"/>
      <c r="AI1102" s="215"/>
      <c r="AJ1102" s="215"/>
      <c r="AK1102" s="215"/>
      <c r="AL1102" s="215"/>
      <c r="AM1102" s="215"/>
      <c r="AN1102" s="215"/>
      <c r="AO1102" s="215"/>
      <c r="AP1102" s="215"/>
      <c r="AQ1102" s="215"/>
      <c r="AR1102" s="215"/>
      <c r="AS1102" s="215"/>
      <c r="AT1102" s="215"/>
      <c r="AU1102" s="215"/>
      <c r="AV1102" s="215"/>
      <c r="AW1102" s="215"/>
      <c r="AX1102" s="215"/>
      <c r="AY1102" s="215"/>
      <c r="AZ1102" s="215"/>
      <c r="BA1102" s="215"/>
      <c r="BB1102" s="215"/>
      <c r="BC1102" s="215"/>
      <c r="BD1102" s="215"/>
      <c r="BE1102" s="215"/>
      <c r="BF1102" s="215"/>
      <c r="BG1102" s="215"/>
      <c r="BH1102" s="215"/>
      <c r="BI1102" s="215"/>
      <c r="BJ1102" s="215"/>
      <c r="BK1102" s="215"/>
      <c r="BL1102" s="215"/>
      <c r="BM1102" s="215"/>
      <c r="BN1102" s="215"/>
      <c r="BO1102" s="215"/>
      <c r="BP1102" s="215"/>
      <c r="BQ1102" s="215"/>
      <c r="BR1102" s="215"/>
      <c r="BS1102" s="215"/>
      <c r="BT1102" s="215"/>
      <c r="BU1102" s="215"/>
      <c r="BV1102" s="215"/>
      <c r="BW1102" s="215"/>
      <c r="BX1102" s="215"/>
      <c r="BY1102" s="215"/>
      <c r="BZ1102" s="215"/>
    </row>
    <row r="1103" spans="1:78" outlineLevel="1" x14ac:dyDescent="0.2">
      <c r="A1103" s="2" t="str">
        <f>'Language Index'!A565</f>
        <v>Prepaid Benefit Cost</v>
      </c>
      <c r="B1103" s="17"/>
      <c r="C1103" s="17"/>
      <c r="D1103" s="18">
        <f>_xll.ciqfunctions.udf.CIQ($C$2,"IQ_OPEB_PREPAID_COST_FOREIGN",D$6,$F$2,,,Ccy,Conv)</f>
        <v>0</v>
      </c>
      <c r="E1103" s="18">
        <f>_xll.ciqfunctions.udf.CIQ($C$2,"IQ_OPEB_PREPAID_COST_FOREIGN",E$6,$F$2,,,Ccy,Conv)</f>
        <v>0</v>
      </c>
      <c r="F1103" s="18">
        <f>_xll.ciqfunctions.udf.CIQ($C$2,"IQ_OPEB_PREPAID_COST_FOREIGN",F$6,$F$2,,,Ccy,Conv)</f>
        <v>0</v>
      </c>
      <c r="G1103" s="18">
        <f>_xll.ciqfunctions.udf.CIQ($C$2,"IQ_OPEB_PREPAID_COST_FOREIGN",G$6,$F$2,,,Ccy,Conv)</f>
        <v>0</v>
      </c>
      <c r="H1103" s="18">
        <f>_xll.ciqfunctions.udf.CIQ($C$2,"IQ_OPEB_PREPAID_COST_FOREIGN",H$6,$F$2,,,Ccy,Conv)</f>
        <v>0</v>
      </c>
      <c r="I1103" s="18">
        <f>_xll.ciqfunctions.udf.CIQ($C$2,"IQ_OPEB_PREPAID_COST_FOREIGN",I$6,$F$2,,,Ccy,Conv)</f>
        <v>0</v>
      </c>
      <c r="J1103" s="18">
        <f>_xll.ciqfunctions.udf.CIQ($C$2,"IQ_OPEB_PREPAID_COST_FOREIGN",J$6,$F$2,,,Ccy,Conv)</f>
        <v>0</v>
      </c>
      <c r="K1103" s="18">
        <f>_xll.ciqfunctions.udf.CIQ($C$2,"IQ_OPEB_PREPAID_COST_FOREIGN",K$6,$F$2,,,Ccy,Conv)</f>
        <v>0</v>
      </c>
      <c r="L1103" s="18">
        <f>_xll.ciqfunctions.udf.CIQ($C$2,"IQ_OPEB_PREPAID_COST_FOREIGN",L$6,$F$2,,,Ccy,Conv)</f>
        <v>0</v>
      </c>
      <c r="M1103" s="18">
        <f>_xll.ciqfunctions.udf.CIQ($C$2,"IQ_OPEB_PREPAID_COST_FOREIGN",M$6,$F$2,,,Ccy,Conv)</f>
        <v>0</v>
      </c>
      <c r="N1103" s="18">
        <f>_xll.ciqfunctions.udf.CIQ($C$2,"IQ_OPEB_PREPAID_COST_FOREIGN",N$6,$F$2,,,Ccy,Conv)</f>
        <v>0</v>
      </c>
      <c r="O1103" s="30"/>
      <c r="P1103" s="18">
        <f>_xll.ciqfunctions.udf.CIQ($C$2,"IQ_OPEB_PREPAID_COST_FOREIGN",P$6,$F$2,,,Ccy,Conv)</f>
        <v>0</v>
      </c>
      <c r="Q1103" s="215"/>
      <c r="R1103" s="215"/>
      <c r="S1103" s="215"/>
      <c r="T1103" s="215"/>
      <c r="U1103" s="215"/>
      <c r="V1103" s="222"/>
      <c r="W1103" s="222"/>
      <c r="X1103" s="222"/>
      <c r="Y1103" s="215"/>
      <c r="Z1103" s="215"/>
      <c r="AA1103" s="215"/>
      <c r="AB1103" s="215"/>
      <c r="AC1103" s="215"/>
      <c r="AD1103" s="215"/>
      <c r="AE1103" s="215"/>
      <c r="AF1103" s="215"/>
      <c r="AG1103" s="215"/>
      <c r="AH1103" s="215"/>
      <c r="AI1103" s="215"/>
      <c r="AJ1103" s="215"/>
      <c r="AK1103" s="215"/>
      <c r="AL1103" s="215"/>
      <c r="AM1103" s="215"/>
      <c r="AN1103" s="215"/>
      <c r="AO1103" s="215"/>
      <c r="AP1103" s="215"/>
      <c r="AQ1103" s="215"/>
      <c r="AR1103" s="215"/>
      <c r="AS1103" s="215"/>
      <c r="AT1103" s="215"/>
      <c r="AU1103" s="215"/>
      <c r="AV1103" s="215"/>
      <c r="AW1103" s="215"/>
      <c r="AX1103" s="215"/>
      <c r="AY1103" s="215"/>
      <c r="AZ1103" s="215"/>
      <c r="BA1103" s="215"/>
      <c r="BB1103" s="215"/>
      <c r="BC1103" s="215"/>
      <c r="BD1103" s="215"/>
      <c r="BE1103" s="215"/>
      <c r="BF1103" s="215"/>
      <c r="BG1103" s="215"/>
      <c r="BH1103" s="215"/>
      <c r="BI1103" s="215"/>
      <c r="BJ1103" s="215"/>
      <c r="BK1103" s="215"/>
      <c r="BL1103" s="215"/>
      <c r="BM1103" s="215"/>
      <c r="BN1103" s="215"/>
      <c r="BO1103" s="215"/>
      <c r="BP1103" s="215"/>
      <c r="BQ1103" s="215"/>
      <c r="BR1103" s="215"/>
      <c r="BS1103" s="215"/>
      <c r="BT1103" s="215"/>
      <c r="BU1103" s="215"/>
      <c r="BV1103" s="215"/>
      <c r="BW1103" s="215"/>
      <c r="BX1103" s="215"/>
      <c r="BY1103" s="215"/>
      <c r="BZ1103" s="215"/>
    </row>
    <row r="1104" spans="1:78" outlineLevel="1" x14ac:dyDescent="0.2">
      <c r="A1104" s="2" t="str">
        <f>'Language Index'!A566</f>
        <v>Accrued Benefit Liability</v>
      </c>
      <c r="B1104" s="17"/>
      <c r="C1104" s="17"/>
      <c r="D1104" s="18">
        <f>_xll.ciqfunctions.udf.CIQ($C$2,"IQ_OPEB_ACCRUED_LIAB_FOREIGN",D$6,$F$2,,,Ccy,Conv)</f>
        <v>0</v>
      </c>
      <c r="E1104" s="18">
        <f>_xll.ciqfunctions.udf.CIQ($C$2,"IQ_OPEB_ACCRUED_LIAB_FOREIGN",E$6,$F$2,,,Ccy,Conv)</f>
        <v>0</v>
      </c>
      <c r="F1104" s="18">
        <f>_xll.ciqfunctions.udf.CIQ($C$2,"IQ_OPEB_ACCRUED_LIAB_FOREIGN",F$6,$F$2,,,Ccy,Conv)</f>
        <v>0</v>
      </c>
      <c r="G1104" s="18">
        <f>_xll.ciqfunctions.udf.CIQ($C$2,"IQ_OPEB_ACCRUED_LIAB_FOREIGN",G$6,$F$2,,,Ccy,Conv)</f>
        <v>0</v>
      </c>
      <c r="H1104" s="18">
        <f>_xll.ciqfunctions.udf.CIQ($C$2,"IQ_OPEB_ACCRUED_LIAB_FOREIGN",H$6,$F$2,,,Ccy,Conv)</f>
        <v>0</v>
      </c>
      <c r="I1104" s="18">
        <f>_xll.ciqfunctions.udf.CIQ($C$2,"IQ_OPEB_ACCRUED_LIAB_FOREIGN",I$6,$F$2,,,Ccy,Conv)</f>
        <v>0</v>
      </c>
      <c r="J1104" s="18">
        <f>_xll.ciqfunctions.udf.CIQ($C$2,"IQ_OPEB_ACCRUED_LIAB_FOREIGN",J$6,$F$2,,,Ccy,Conv)</f>
        <v>0</v>
      </c>
      <c r="K1104" s="18">
        <f>_xll.ciqfunctions.udf.CIQ($C$2,"IQ_OPEB_ACCRUED_LIAB_FOREIGN",K$6,$F$2,,,Ccy,Conv)</f>
        <v>0</v>
      </c>
      <c r="L1104" s="18">
        <f>_xll.ciqfunctions.udf.CIQ($C$2,"IQ_OPEB_ACCRUED_LIAB_FOREIGN",L$6,$F$2,,,Ccy,Conv)</f>
        <v>0</v>
      </c>
      <c r="M1104" s="18">
        <f>_xll.ciqfunctions.udf.CIQ($C$2,"IQ_OPEB_ACCRUED_LIAB_FOREIGN",M$6,$F$2,,,Ccy,Conv)</f>
        <v>0</v>
      </c>
      <c r="N1104" s="18">
        <f>_xll.ciqfunctions.udf.CIQ($C$2,"IQ_OPEB_ACCRUED_LIAB_FOREIGN",N$6,$F$2,,,Ccy,Conv)</f>
        <v>0</v>
      </c>
      <c r="O1104" s="30"/>
      <c r="P1104" s="18">
        <f>_xll.ciqfunctions.udf.CIQ($C$2,"IQ_OPEB_ACCRUED_LIAB_FOREIGN",P$6,$F$2,,,Ccy,Conv)</f>
        <v>0</v>
      </c>
      <c r="Q1104" s="215"/>
      <c r="R1104" s="215"/>
      <c r="S1104" s="215"/>
      <c r="T1104" s="215"/>
      <c r="U1104" s="215"/>
      <c r="V1104" s="222"/>
      <c r="W1104" s="222"/>
      <c r="X1104" s="222"/>
      <c r="Y1104" s="215"/>
      <c r="Z1104" s="215"/>
      <c r="AA1104" s="215"/>
      <c r="AB1104" s="215"/>
      <c r="AC1104" s="215"/>
      <c r="AD1104" s="215"/>
      <c r="AE1104" s="215"/>
      <c r="AF1104" s="215"/>
      <c r="AG1104" s="215"/>
      <c r="AH1104" s="215"/>
      <c r="AI1104" s="215"/>
      <c r="AJ1104" s="215"/>
      <c r="AK1104" s="215"/>
      <c r="AL1104" s="215"/>
      <c r="AM1104" s="215"/>
      <c r="AN1104" s="215"/>
      <c r="AO1104" s="215"/>
      <c r="AP1104" s="215"/>
      <c r="AQ1104" s="215"/>
      <c r="AR1104" s="215"/>
      <c r="AS1104" s="215"/>
      <c r="AT1104" s="215"/>
      <c r="AU1104" s="215"/>
      <c r="AV1104" s="215"/>
      <c r="AW1104" s="215"/>
      <c r="AX1104" s="215"/>
      <c r="AY1104" s="215"/>
      <c r="AZ1104" s="215"/>
      <c r="BA1104" s="215"/>
      <c r="BB1104" s="215"/>
      <c r="BC1104" s="215"/>
      <c r="BD1104" s="215"/>
      <c r="BE1104" s="215"/>
      <c r="BF1104" s="215"/>
      <c r="BG1104" s="215"/>
      <c r="BH1104" s="215"/>
      <c r="BI1104" s="215"/>
      <c r="BJ1104" s="215"/>
      <c r="BK1104" s="215"/>
      <c r="BL1104" s="215"/>
      <c r="BM1104" s="215"/>
      <c r="BN1104" s="215"/>
      <c r="BO1104" s="215"/>
      <c r="BP1104" s="215"/>
      <c r="BQ1104" s="215"/>
      <c r="BR1104" s="215"/>
      <c r="BS1104" s="215"/>
      <c r="BT1104" s="215"/>
      <c r="BU1104" s="215"/>
      <c r="BV1104" s="215"/>
      <c r="BW1104" s="215"/>
      <c r="BX1104" s="215"/>
      <c r="BY1104" s="215"/>
      <c r="BZ1104" s="215"/>
    </row>
    <row r="1105" spans="1:78" outlineLevel="1" x14ac:dyDescent="0.2">
      <c r="A1105" s="2" t="str">
        <f>'Language Index'!A567</f>
        <v>Intangible Assets</v>
      </c>
      <c r="B1105" s="17"/>
      <c r="C1105" s="17"/>
      <c r="D1105" s="18">
        <f>_xll.ciqfunctions.udf.CIQ($C$2,"IQ_OPEB_INTAN_ASSETS_FOREIGN",D$6,$F$2,,,Ccy,Conv)</f>
        <v>0</v>
      </c>
      <c r="E1105" s="18">
        <f>_xll.ciqfunctions.udf.CIQ($C$2,"IQ_OPEB_INTAN_ASSETS_FOREIGN",E$6,$F$2,,,Ccy,Conv)</f>
        <v>0</v>
      </c>
      <c r="F1105" s="18">
        <f>_xll.ciqfunctions.udf.CIQ($C$2,"IQ_OPEB_INTAN_ASSETS_FOREIGN",F$6,$F$2,,,Ccy,Conv)</f>
        <v>0</v>
      </c>
      <c r="G1105" s="18">
        <f>_xll.ciqfunctions.udf.CIQ($C$2,"IQ_OPEB_INTAN_ASSETS_FOREIGN",G$6,$F$2,,,Ccy,Conv)</f>
        <v>0</v>
      </c>
      <c r="H1105" s="18">
        <f>_xll.ciqfunctions.udf.CIQ($C$2,"IQ_OPEB_INTAN_ASSETS_FOREIGN",H$6,$F$2,,,Ccy,Conv)</f>
        <v>0</v>
      </c>
      <c r="I1105" s="18">
        <f>_xll.ciqfunctions.udf.CIQ($C$2,"IQ_OPEB_INTAN_ASSETS_FOREIGN",I$6,$F$2,,,Ccy,Conv)</f>
        <v>0</v>
      </c>
      <c r="J1105" s="18">
        <f>_xll.ciqfunctions.udf.CIQ($C$2,"IQ_OPEB_INTAN_ASSETS_FOREIGN",J$6,$F$2,,,Ccy,Conv)</f>
        <v>0</v>
      </c>
      <c r="K1105" s="18">
        <f>_xll.ciqfunctions.udf.CIQ($C$2,"IQ_OPEB_INTAN_ASSETS_FOREIGN",K$6,$F$2,,,Ccy,Conv)</f>
        <v>0</v>
      </c>
      <c r="L1105" s="18">
        <f>_xll.ciqfunctions.udf.CIQ($C$2,"IQ_OPEB_INTAN_ASSETS_FOREIGN",L$6,$F$2,,,Ccy,Conv)</f>
        <v>0</v>
      </c>
      <c r="M1105" s="18">
        <f>_xll.ciqfunctions.udf.CIQ($C$2,"IQ_OPEB_INTAN_ASSETS_FOREIGN",M$6,$F$2,,,Ccy,Conv)</f>
        <v>0</v>
      </c>
      <c r="N1105" s="18">
        <f>_xll.ciqfunctions.udf.CIQ($C$2,"IQ_OPEB_INTAN_ASSETS_FOREIGN",N$6,$F$2,,,Ccy,Conv)</f>
        <v>0</v>
      </c>
      <c r="O1105" s="30"/>
      <c r="P1105" s="18">
        <f>_xll.ciqfunctions.udf.CIQ($C$2,"IQ_OPEB_INTAN_ASSETS_FOREIGN",P$6,$F$2,,,Ccy,Conv)</f>
        <v>0</v>
      </c>
      <c r="Q1105" s="215"/>
      <c r="R1105" s="215"/>
      <c r="S1105" s="215"/>
      <c r="T1105" s="215"/>
      <c r="U1105" s="215"/>
      <c r="V1105" s="222"/>
      <c r="W1105" s="222"/>
      <c r="X1105" s="222"/>
      <c r="Y1105" s="215"/>
      <c r="Z1105" s="215"/>
      <c r="AA1105" s="215"/>
      <c r="AB1105" s="215"/>
      <c r="AC1105" s="215"/>
      <c r="AD1105" s="215"/>
      <c r="AE1105" s="215"/>
      <c r="AF1105" s="215"/>
      <c r="AG1105" s="215"/>
      <c r="AH1105" s="215"/>
      <c r="AI1105" s="215"/>
      <c r="AJ1105" s="215"/>
      <c r="AK1105" s="215"/>
      <c r="AL1105" s="215"/>
      <c r="AM1105" s="215"/>
      <c r="AN1105" s="215"/>
      <c r="AO1105" s="215"/>
      <c r="AP1105" s="215"/>
      <c r="AQ1105" s="215"/>
      <c r="AR1105" s="215"/>
      <c r="AS1105" s="215"/>
      <c r="AT1105" s="215"/>
      <c r="AU1105" s="215"/>
      <c r="AV1105" s="215"/>
      <c r="AW1105" s="215"/>
      <c r="AX1105" s="215"/>
      <c r="AY1105" s="215"/>
      <c r="AZ1105" s="215"/>
      <c r="BA1105" s="215"/>
      <c r="BB1105" s="215"/>
      <c r="BC1105" s="215"/>
      <c r="BD1105" s="215"/>
      <c r="BE1105" s="215"/>
      <c r="BF1105" s="215"/>
      <c r="BG1105" s="215"/>
      <c r="BH1105" s="215"/>
      <c r="BI1105" s="215"/>
      <c r="BJ1105" s="215"/>
      <c r="BK1105" s="215"/>
      <c r="BL1105" s="215"/>
      <c r="BM1105" s="215"/>
      <c r="BN1105" s="215"/>
      <c r="BO1105" s="215"/>
      <c r="BP1105" s="215"/>
      <c r="BQ1105" s="215"/>
      <c r="BR1105" s="215"/>
      <c r="BS1105" s="215"/>
      <c r="BT1105" s="215"/>
      <c r="BU1105" s="215"/>
      <c r="BV1105" s="215"/>
      <c r="BW1105" s="215"/>
      <c r="BX1105" s="215"/>
      <c r="BY1105" s="215"/>
      <c r="BZ1105" s="215"/>
    </row>
    <row r="1106" spans="1:78" outlineLevel="1" x14ac:dyDescent="0.2">
      <c r="A1106" s="2" t="str">
        <f>'Language Index'!A568</f>
        <v>Accum. Other Comp. Income</v>
      </c>
      <c r="B1106" s="17"/>
      <c r="C1106" s="17"/>
      <c r="D1106" s="18">
        <f>_xll.ciqfunctions.udf.CIQ($C$2,"IQ_OPEB_ACCUM_OTHER_CI_FOREIGN",D$6,$F$2,,,Ccy,Conv)</f>
        <v>0</v>
      </c>
      <c r="E1106" s="18">
        <f>_xll.ciqfunctions.udf.CIQ($C$2,"IQ_OPEB_ACCUM_OTHER_CI_FOREIGN",E$6,$F$2,,,Ccy,Conv)</f>
        <v>0</v>
      </c>
      <c r="F1106" s="18">
        <f>_xll.ciqfunctions.udf.CIQ($C$2,"IQ_OPEB_ACCUM_OTHER_CI_FOREIGN",F$6,$F$2,,,Ccy,Conv)</f>
        <v>0</v>
      </c>
      <c r="G1106" s="18">
        <f>_xll.ciqfunctions.udf.CIQ($C$2,"IQ_OPEB_ACCUM_OTHER_CI_FOREIGN",G$6,$F$2,,,Ccy,Conv)</f>
        <v>0</v>
      </c>
      <c r="H1106" s="18">
        <f>_xll.ciqfunctions.udf.CIQ($C$2,"IQ_OPEB_ACCUM_OTHER_CI_FOREIGN",H$6,$F$2,,,Ccy,Conv)</f>
        <v>0</v>
      </c>
      <c r="I1106" s="18">
        <f>_xll.ciqfunctions.udf.CIQ($C$2,"IQ_OPEB_ACCUM_OTHER_CI_FOREIGN",I$6,$F$2,,,Ccy,Conv)</f>
        <v>0</v>
      </c>
      <c r="J1106" s="18">
        <f>_xll.ciqfunctions.udf.CIQ($C$2,"IQ_OPEB_ACCUM_OTHER_CI_FOREIGN",J$6,$F$2,,,Ccy,Conv)</f>
        <v>0</v>
      </c>
      <c r="K1106" s="18">
        <f>_xll.ciqfunctions.udf.CIQ($C$2,"IQ_OPEB_ACCUM_OTHER_CI_FOREIGN",K$6,$F$2,,,Ccy,Conv)</f>
        <v>0</v>
      </c>
      <c r="L1106" s="18">
        <f>_xll.ciqfunctions.udf.CIQ($C$2,"IQ_OPEB_ACCUM_OTHER_CI_FOREIGN",L$6,$F$2,,,Ccy,Conv)</f>
        <v>0</v>
      </c>
      <c r="M1106" s="18">
        <f>_xll.ciqfunctions.udf.CIQ($C$2,"IQ_OPEB_ACCUM_OTHER_CI_FOREIGN",M$6,$F$2,,,Ccy,Conv)</f>
        <v>0</v>
      </c>
      <c r="N1106" s="18">
        <f>_xll.ciqfunctions.udf.CIQ($C$2,"IQ_OPEB_ACCUM_OTHER_CI_FOREIGN",N$6,$F$2,,,Ccy,Conv)</f>
        <v>0</v>
      </c>
      <c r="O1106" s="30"/>
      <c r="P1106" s="18">
        <f>_xll.ciqfunctions.udf.CIQ($C$2,"IQ_OPEB_ACCUM_OTHER_CI_FOREIGN",P$6,$F$2,,,Ccy,Conv)</f>
        <v>0</v>
      </c>
      <c r="Q1106" s="245"/>
      <c r="R1106" s="215"/>
      <c r="S1106" s="215"/>
      <c r="T1106" s="215"/>
      <c r="U1106" s="215"/>
      <c r="V1106" s="222"/>
      <c r="W1106" s="222"/>
      <c r="X1106" s="222"/>
      <c r="Y1106" s="215"/>
      <c r="Z1106" s="215"/>
      <c r="AA1106" s="215"/>
      <c r="AB1106" s="215"/>
      <c r="AC1106" s="215"/>
      <c r="AD1106" s="215"/>
      <c r="AE1106" s="215"/>
      <c r="AF1106" s="215"/>
      <c r="AG1106" s="215"/>
      <c r="AH1106" s="215"/>
      <c r="AI1106" s="215"/>
      <c r="AJ1106" s="215"/>
      <c r="AK1106" s="215"/>
      <c r="AL1106" s="215"/>
      <c r="AM1106" s="215"/>
      <c r="AN1106" s="215"/>
      <c r="AO1106" s="215"/>
      <c r="AP1106" s="215"/>
      <c r="AQ1106" s="215"/>
      <c r="AR1106" s="215"/>
      <c r="AS1106" s="215"/>
      <c r="AT1106" s="215"/>
      <c r="AU1106" s="215"/>
      <c r="AV1106" s="215"/>
      <c r="AW1106" s="215"/>
      <c r="AX1106" s="215"/>
      <c r="AY1106" s="215"/>
      <c r="AZ1106" s="215"/>
      <c r="BA1106" s="215"/>
      <c r="BB1106" s="215"/>
      <c r="BC1106" s="215"/>
      <c r="BD1106" s="215"/>
      <c r="BE1106" s="215"/>
      <c r="BF1106" s="215"/>
      <c r="BG1106" s="215"/>
      <c r="BH1106" s="215"/>
      <c r="BI1106" s="215"/>
      <c r="BJ1106" s="215"/>
      <c r="BK1106" s="215"/>
      <c r="BL1106" s="215"/>
      <c r="BM1106" s="215"/>
      <c r="BN1106" s="215"/>
      <c r="BO1106" s="215"/>
      <c r="BP1106" s="215"/>
      <c r="BQ1106" s="215"/>
      <c r="BR1106" s="215"/>
      <c r="BS1106" s="215"/>
      <c r="BT1106" s="215"/>
      <c r="BU1106" s="215"/>
      <c r="BV1106" s="215"/>
      <c r="BW1106" s="215"/>
      <c r="BX1106" s="215"/>
      <c r="BY1106" s="215"/>
      <c r="BZ1106" s="215"/>
    </row>
    <row r="1107" spans="1:78" outlineLevel="1" x14ac:dyDescent="0.2">
      <c r="A1107" s="2" t="str">
        <f>'Language Index'!A569</f>
        <v>Long Term Assets</v>
      </c>
      <c r="B1107" s="17"/>
      <c r="C1107" s="17"/>
      <c r="D1107" s="18">
        <f>_xll.ciqfunctions.udf.CIQ($C$2,"IQ_OPEB_LT_ASSETS_FOREIGN",D$6,$F$2,,,Ccy,Conv)</f>
        <v>0</v>
      </c>
      <c r="E1107" s="18">
        <f>_xll.ciqfunctions.udf.CIQ($C$2,"IQ_OPEB_LT_ASSETS_FOREIGN",E$6,$F$2,,,Ccy,Conv)</f>
        <v>0</v>
      </c>
      <c r="F1107" s="18">
        <f>_xll.ciqfunctions.udf.CIQ($C$2,"IQ_OPEB_LT_ASSETS_FOREIGN",F$6,$F$2,,,Ccy,Conv)</f>
        <v>0</v>
      </c>
      <c r="G1107" s="18">
        <f>_xll.ciqfunctions.udf.CIQ($C$2,"IQ_OPEB_LT_ASSETS_FOREIGN",G$6,$F$2,,,Ccy,Conv)</f>
        <v>0</v>
      </c>
      <c r="H1107" s="18">
        <f>_xll.ciqfunctions.udf.CIQ($C$2,"IQ_OPEB_LT_ASSETS_FOREIGN",H$6,$F$2,,,Ccy,Conv)</f>
        <v>0</v>
      </c>
      <c r="I1107" s="18">
        <f>_xll.ciqfunctions.udf.CIQ($C$2,"IQ_OPEB_LT_ASSETS_FOREIGN",I$6,$F$2,,,Ccy,Conv)</f>
        <v>0</v>
      </c>
      <c r="J1107" s="18">
        <f>_xll.ciqfunctions.udf.CIQ($C$2,"IQ_OPEB_LT_ASSETS_FOREIGN",J$6,$F$2,,,Ccy,Conv)</f>
        <v>0</v>
      </c>
      <c r="K1107" s="18">
        <f>_xll.ciqfunctions.udf.CIQ($C$2,"IQ_OPEB_LT_ASSETS_FOREIGN",K$6,$F$2,,,Ccy,Conv)</f>
        <v>0</v>
      </c>
      <c r="L1107" s="18">
        <f>_xll.ciqfunctions.udf.CIQ($C$2,"IQ_OPEB_LT_ASSETS_FOREIGN",L$6,$F$2,,,Ccy,Conv)</f>
        <v>0</v>
      </c>
      <c r="M1107" s="18">
        <f>_xll.ciqfunctions.udf.CIQ($C$2,"IQ_OPEB_LT_ASSETS_FOREIGN",M$6,$F$2,,,Ccy,Conv)</f>
        <v>0</v>
      </c>
      <c r="N1107" s="18">
        <f>_xll.ciqfunctions.udf.CIQ($C$2,"IQ_OPEB_LT_ASSETS_FOREIGN",N$6,$F$2,,,Ccy,Conv)</f>
        <v>0</v>
      </c>
      <c r="O1107" s="30"/>
      <c r="P1107" s="18">
        <f>_xll.ciqfunctions.udf.CIQ($C$2,"IQ_OPEB_LT_ASSETS_FOREIGN",P$6,$F$2,,,Ccy,Conv)</f>
        <v>0</v>
      </c>
      <c r="Q1107" s="215"/>
      <c r="R1107" s="215"/>
      <c r="S1107" s="215"/>
      <c r="T1107" s="215"/>
      <c r="U1107" s="215"/>
      <c r="V1107" s="222"/>
      <c r="W1107" s="215"/>
      <c r="X1107" s="215"/>
      <c r="Y1107" s="215"/>
      <c r="Z1107" s="215"/>
      <c r="AA1107" s="215"/>
      <c r="AB1107" s="215"/>
      <c r="AC1107" s="215"/>
      <c r="AD1107" s="215"/>
      <c r="AE1107" s="215"/>
      <c r="AF1107" s="215"/>
      <c r="AG1107" s="215"/>
      <c r="AH1107" s="215"/>
      <c r="AI1107" s="215"/>
      <c r="AJ1107" s="215"/>
      <c r="AK1107" s="215"/>
      <c r="AL1107" s="215"/>
      <c r="AM1107" s="215"/>
      <c r="AN1107" s="215"/>
      <c r="AO1107" s="215"/>
      <c r="AP1107" s="215"/>
      <c r="AQ1107" s="215"/>
      <c r="AR1107" s="215"/>
      <c r="AS1107" s="215"/>
      <c r="AT1107" s="215"/>
      <c r="AU1107" s="215"/>
      <c r="AV1107" s="215"/>
      <c r="AW1107" s="215"/>
      <c r="AX1107" s="215"/>
      <c r="AY1107" s="215"/>
      <c r="AZ1107" s="215"/>
      <c r="BA1107" s="215"/>
      <c r="BB1107" s="215"/>
      <c r="BC1107" s="215"/>
      <c r="BD1107" s="215"/>
      <c r="BE1107" s="215"/>
      <c r="BF1107" s="215"/>
      <c r="BG1107" s="215"/>
      <c r="BH1107" s="215"/>
      <c r="BI1107" s="215"/>
      <c r="BJ1107" s="215"/>
      <c r="BK1107" s="215"/>
      <c r="BL1107" s="215"/>
      <c r="BM1107" s="215"/>
      <c r="BN1107" s="215"/>
      <c r="BO1107" s="215"/>
      <c r="BP1107" s="215"/>
      <c r="BQ1107" s="215"/>
      <c r="BR1107" s="215"/>
      <c r="BS1107" s="215"/>
      <c r="BT1107" s="215"/>
      <c r="BU1107" s="215"/>
      <c r="BV1107" s="215"/>
      <c r="BW1107" s="215"/>
      <c r="BX1107" s="215"/>
      <c r="BY1107" s="215"/>
      <c r="BZ1107" s="215"/>
    </row>
    <row r="1108" spans="1:78" outlineLevel="1" x14ac:dyDescent="0.2">
      <c r="A1108" s="2" t="str">
        <f>'Language Index'!A570</f>
        <v>Current Liabilities</v>
      </c>
      <c r="B1108" s="17"/>
      <c r="C1108" s="17"/>
      <c r="D1108" s="18">
        <f>_xll.ciqfunctions.udf.CIQ($C$2,"IQ_OPEB_CL_FOREIGN",D$6,$F$2,,,Ccy,Conv)</f>
        <v>0</v>
      </c>
      <c r="E1108" s="18">
        <f>_xll.ciqfunctions.udf.CIQ($C$2,"IQ_OPEB_CL_FOREIGN",E$6,$F$2,,,Ccy,Conv)</f>
        <v>0</v>
      </c>
      <c r="F1108" s="18">
        <f>_xll.ciqfunctions.udf.CIQ($C$2,"IQ_OPEB_CL_FOREIGN",F$6,$F$2,,,Ccy,Conv)</f>
        <v>-17</v>
      </c>
      <c r="G1108" s="18">
        <f>_xll.ciqfunctions.udf.CIQ($C$2,"IQ_OPEB_CL_FOREIGN",G$6,$F$2,,,Ccy,Conv)</f>
        <v>0</v>
      </c>
      <c r="H1108" s="18">
        <f>_xll.ciqfunctions.udf.CIQ($C$2,"IQ_OPEB_CL_FOREIGN",H$6,$F$2,,,Ccy,Conv)</f>
        <v>0</v>
      </c>
      <c r="I1108" s="18">
        <f>_xll.ciqfunctions.udf.CIQ($C$2,"IQ_OPEB_CL_FOREIGN",I$6,$F$2,,,Ccy,Conv)</f>
        <v>0</v>
      </c>
      <c r="J1108" s="18">
        <f>_xll.ciqfunctions.udf.CIQ($C$2,"IQ_OPEB_CL_FOREIGN",J$6,$F$2,,,Ccy,Conv)</f>
        <v>-20</v>
      </c>
      <c r="K1108" s="18">
        <f>_xll.ciqfunctions.udf.CIQ($C$2,"IQ_OPEB_CL_FOREIGN",K$6,$F$2,,,Ccy,Conv)</f>
        <v>0</v>
      </c>
      <c r="L1108" s="18">
        <f>_xll.ciqfunctions.udf.CIQ($C$2,"IQ_OPEB_CL_FOREIGN",L$6,$F$2,,,Ccy,Conv)</f>
        <v>0</v>
      </c>
      <c r="M1108" s="18">
        <f>_xll.ciqfunctions.udf.CIQ($C$2,"IQ_OPEB_CL_FOREIGN",M$6,$F$2,,,Ccy,Conv)</f>
        <v>0</v>
      </c>
      <c r="N1108" s="18">
        <f>_xll.ciqfunctions.udf.CIQ($C$2,"IQ_OPEB_CL_FOREIGN",N$6,$F$2,,,Ccy,Conv)</f>
        <v>-32</v>
      </c>
      <c r="O1108" s="30"/>
      <c r="P1108" s="18">
        <f>_xll.ciqfunctions.udf.CIQ($C$2,"IQ_OPEB_CL_FOREIGN",P$6,$F$2,,,Ccy,Conv)</f>
        <v>-32</v>
      </c>
      <c r="Q1108" s="215"/>
      <c r="R1108" s="215"/>
      <c r="S1108" s="215"/>
      <c r="T1108" s="215"/>
      <c r="U1108" s="215"/>
      <c r="V1108" s="222"/>
      <c r="W1108" s="215"/>
      <c r="X1108" s="215"/>
      <c r="Y1108" s="215"/>
      <c r="Z1108" s="215"/>
      <c r="AA1108" s="215"/>
      <c r="AB1108" s="215"/>
      <c r="AC1108" s="215"/>
      <c r="AD1108" s="215"/>
      <c r="AE1108" s="215"/>
      <c r="AF1108" s="215"/>
      <c r="AG1108" s="215"/>
      <c r="AH1108" s="215"/>
      <c r="AI1108" s="215"/>
      <c r="AJ1108" s="215"/>
      <c r="AK1108" s="215"/>
      <c r="AL1108" s="215"/>
      <c r="AM1108" s="215"/>
      <c r="AN1108" s="215"/>
      <c r="AO1108" s="215"/>
      <c r="AP1108" s="215"/>
      <c r="AQ1108" s="215"/>
      <c r="AR1108" s="215"/>
      <c r="AS1108" s="215"/>
      <c r="AT1108" s="215"/>
      <c r="AU1108" s="215"/>
      <c r="AV1108" s="215"/>
      <c r="AW1108" s="215"/>
      <c r="AX1108" s="215"/>
      <c r="AY1108" s="215"/>
      <c r="AZ1108" s="215"/>
      <c r="BA1108" s="215"/>
      <c r="BB1108" s="215"/>
      <c r="BC1108" s="215"/>
      <c r="BD1108" s="215"/>
      <c r="BE1108" s="215"/>
      <c r="BF1108" s="215"/>
      <c r="BG1108" s="215"/>
      <c r="BH1108" s="215"/>
      <c r="BI1108" s="215"/>
      <c r="BJ1108" s="215"/>
      <c r="BK1108" s="215"/>
      <c r="BL1108" s="215"/>
      <c r="BM1108" s="215"/>
      <c r="BN1108" s="215"/>
      <c r="BO1108" s="215"/>
      <c r="BP1108" s="215"/>
      <c r="BQ1108" s="215"/>
      <c r="BR1108" s="215"/>
      <c r="BS1108" s="215"/>
      <c r="BT1108" s="215"/>
      <c r="BU1108" s="215"/>
      <c r="BV1108" s="215"/>
      <c r="BW1108" s="215"/>
      <c r="BX1108" s="215"/>
      <c r="BY1108" s="215"/>
      <c r="BZ1108" s="215"/>
    </row>
    <row r="1109" spans="1:78" outlineLevel="1" x14ac:dyDescent="0.2">
      <c r="A1109" s="2" t="str">
        <f>'Language Index'!A571</f>
        <v>Long Term Liabilities</v>
      </c>
      <c r="B1109" s="17"/>
      <c r="C1109" s="17"/>
      <c r="D1109" s="18">
        <f>_xll.ciqfunctions.udf.CIQ($C$2,"IQ_OPEB_LT_LIAB_FOREIGN",D$6,$F$2,,,Ccy,Conv)</f>
        <v>0</v>
      </c>
      <c r="E1109" s="18">
        <f>_xll.ciqfunctions.udf.CIQ($C$2,"IQ_OPEB_LT_LIAB_FOREIGN",E$6,$F$2,,,Ccy,Conv)</f>
        <v>0</v>
      </c>
      <c r="F1109" s="18">
        <f>_xll.ciqfunctions.udf.CIQ($C$2,"IQ_OPEB_LT_LIAB_FOREIGN",F$6,$F$2,,,Ccy,Conv)</f>
        <v>-547</v>
      </c>
      <c r="G1109" s="18">
        <f>_xll.ciqfunctions.udf.CIQ($C$2,"IQ_OPEB_LT_LIAB_FOREIGN",G$6,$F$2,,,Ccy,Conv)</f>
        <v>0</v>
      </c>
      <c r="H1109" s="18">
        <f>_xll.ciqfunctions.udf.CIQ($C$2,"IQ_OPEB_LT_LIAB_FOREIGN",H$6,$F$2,,,Ccy,Conv)</f>
        <v>0</v>
      </c>
      <c r="I1109" s="18">
        <f>_xll.ciqfunctions.udf.CIQ($C$2,"IQ_OPEB_LT_LIAB_FOREIGN",I$6,$F$2,,,Ccy,Conv)</f>
        <v>0</v>
      </c>
      <c r="J1109" s="18">
        <f>_xll.ciqfunctions.udf.CIQ($C$2,"IQ_OPEB_LT_LIAB_FOREIGN",J$6,$F$2,,,Ccy,Conv)</f>
        <v>-473</v>
      </c>
      <c r="K1109" s="18">
        <f>_xll.ciqfunctions.udf.CIQ($C$2,"IQ_OPEB_LT_LIAB_FOREIGN",K$6,$F$2,,,Ccy,Conv)</f>
        <v>0</v>
      </c>
      <c r="L1109" s="18">
        <f>_xll.ciqfunctions.udf.CIQ($C$2,"IQ_OPEB_LT_LIAB_FOREIGN",L$6,$F$2,,,Ccy,Conv)</f>
        <v>0</v>
      </c>
      <c r="M1109" s="18">
        <f>_xll.ciqfunctions.udf.CIQ($C$2,"IQ_OPEB_LT_LIAB_FOREIGN",M$6,$F$2,,,Ccy,Conv)</f>
        <v>0</v>
      </c>
      <c r="N1109" s="18">
        <f>_xll.ciqfunctions.udf.CIQ($C$2,"IQ_OPEB_LT_LIAB_FOREIGN",N$6,$F$2,,,Ccy,Conv)</f>
        <v>-505</v>
      </c>
      <c r="O1109" s="30"/>
      <c r="P1109" s="18">
        <f>_xll.ciqfunctions.udf.CIQ($C$2,"IQ_OPEB_LT_LIAB_FOREIGN",P$6,$F$2,,,Ccy,Conv)</f>
        <v>-505</v>
      </c>
      <c r="Q1109" s="215"/>
      <c r="R1109" s="215"/>
      <c r="S1109" s="215"/>
      <c r="T1109" s="215"/>
      <c r="U1109" s="215"/>
      <c r="V1109" s="222"/>
      <c r="W1109" s="215"/>
      <c r="X1109" s="215"/>
      <c r="Y1109" s="215"/>
      <c r="Z1109" s="215"/>
      <c r="AA1109" s="215"/>
      <c r="AB1109" s="215"/>
      <c r="AC1109" s="215"/>
      <c r="AD1109" s="215"/>
      <c r="AE1109" s="215"/>
      <c r="AF1109" s="215"/>
      <c r="AG1109" s="215"/>
      <c r="AH1109" s="215"/>
      <c r="AI1109" s="215"/>
      <c r="AJ1109" s="215"/>
      <c r="AK1109" s="215"/>
      <c r="AL1109" s="215"/>
      <c r="AM1109" s="215"/>
      <c r="AN1109" s="215"/>
      <c r="AO1109" s="215"/>
      <c r="AP1109" s="215"/>
      <c r="AQ1109" s="215"/>
      <c r="AR1109" s="215"/>
      <c r="AS1109" s="215"/>
      <c r="AT1109" s="215"/>
      <c r="AU1109" s="215"/>
      <c r="AV1109" s="215"/>
      <c r="AW1109" s="215"/>
      <c r="AX1109" s="215"/>
      <c r="AY1109" s="215"/>
      <c r="AZ1109" s="215"/>
      <c r="BA1109" s="215"/>
      <c r="BB1109" s="215"/>
      <c r="BC1109" s="215"/>
      <c r="BD1109" s="215"/>
      <c r="BE1109" s="215"/>
      <c r="BF1109" s="215"/>
      <c r="BG1109" s="215"/>
      <c r="BH1109" s="215"/>
      <c r="BI1109" s="215"/>
      <c r="BJ1109" s="215"/>
      <c r="BK1109" s="215"/>
      <c r="BL1109" s="215"/>
      <c r="BM1109" s="215"/>
      <c r="BN1109" s="215"/>
      <c r="BO1109" s="215"/>
      <c r="BP1109" s="215"/>
      <c r="BQ1109" s="215"/>
      <c r="BR1109" s="215"/>
      <c r="BS1109" s="215"/>
      <c r="BT1109" s="215"/>
      <c r="BU1109" s="215"/>
      <c r="BV1109" s="215"/>
      <c r="BW1109" s="215"/>
      <c r="BX1109" s="215"/>
      <c r="BY1109" s="215"/>
      <c r="BZ1109" s="215"/>
    </row>
    <row r="1110" spans="1:78" outlineLevel="1" x14ac:dyDescent="0.2">
      <c r="A1110" s="2" t="str">
        <f>'Language Index'!A572</f>
        <v>Other Assets/Liabilities</v>
      </c>
      <c r="B1110" s="17"/>
      <c r="C1110" s="17"/>
      <c r="D1110" s="18">
        <f>_xll.ciqfunctions.udf.CIQ($C$2,"IQ_OPEB_OTHER_FOREIGN",D$6,$F$2,,,Ccy,Conv)</f>
        <v>0</v>
      </c>
      <c r="E1110" s="18">
        <f>_xll.ciqfunctions.udf.CIQ($C$2,"IQ_OPEB_OTHER_FOREIGN",E$6,$F$2,,,Ccy,Conv)</f>
        <v>0</v>
      </c>
      <c r="F1110" s="18">
        <f>_xll.ciqfunctions.udf.CIQ($C$2,"IQ_OPEB_OTHER_FOREIGN",F$6,$F$2,,,Ccy,Conv)</f>
        <v>0</v>
      </c>
      <c r="G1110" s="18">
        <f>_xll.ciqfunctions.udf.CIQ($C$2,"IQ_OPEB_OTHER_FOREIGN",G$6,$F$2,,,Ccy,Conv)</f>
        <v>0</v>
      </c>
      <c r="H1110" s="18">
        <f>_xll.ciqfunctions.udf.CIQ($C$2,"IQ_OPEB_OTHER_FOREIGN",H$6,$F$2,,,Ccy,Conv)</f>
        <v>0</v>
      </c>
      <c r="I1110" s="18">
        <f>_xll.ciqfunctions.udf.CIQ($C$2,"IQ_OPEB_OTHER_FOREIGN",I$6,$F$2,,,Ccy,Conv)</f>
        <v>0</v>
      </c>
      <c r="J1110" s="18">
        <f>_xll.ciqfunctions.udf.CIQ($C$2,"IQ_OPEB_OTHER_FOREIGN",J$6,$F$2,,,Ccy,Conv)</f>
        <v>0</v>
      </c>
      <c r="K1110" s="18">
        <f>_xll.ciqfunctions.udf.CIQ($C$2,"IQ_OPEB_OTHER_FOREIGN",K$6,$F$2,,,Ccy,Conv)</f>
        <v>0</v>
      </c>
      <c r="L1110" s="18">
        <f>_xll.ciqfunctions.udf.CIQ($C$2,"IQ_OPEB_OTHER_FOREIGN",L$6,$F$2,,,Ccy,Conv)</f>
        <v>0</v>
      </c>
      <c r="M1110" s="18">
        <f>_xll.ciqfunctions.udf.CIQ($C$2,"IQ_OPEB_OTHER_FOREIGN",M$6,$F$2,,,Ccy,Conv)</f>
        <v>0</v>
      </c>
      <c r="N1110" s="18">
        <f>_xll.ciqfunctions.udf.CIQ($C$2,"IQ_OPEB_OTHER_FOREIGN",N$6,$F$2,,,Ccy,Conv)</f>
        <v>0</v>
      </c>
      <c r="O1110" s="30"/>
      <c r="P1110" s="18">
        <f>_xll.ciqfunctions.udf.CIQ($C$2,"IQ_OPEB_OTHER_FOREIGN",P$6,$F$2,,,Ccy,Conv)</f>
        <v>0</v>
      </c>
      <c r="Q1110" s="215"/>
      <c r="R1110" s="215"/>
      <c r="S1110" s="215"/>
      <c r="T1110" s="215"/>
      <c r="U1110" s="215"/>
      <c r="V1110" s="222"/>
      <c r="W1110" s="215"/>
      <c r="X1110" s="215"/>
      <c r="Y1110" s="215"/>
      <c r="Z1110" s="215"/>
      <c r="AA1110" s="215"/>
      <c r="AB1110" s="215"/>
      <c r="AC1110" s="215"/>
      <c r="AD1110" s="215"/>
      <c r="AE1110" s="215"/>
      <c r="AF1110" s="215"/>
      <c r="AG1110" s="215"/>
      <c r="AH1110" s="215"/>
      <c r="AI1110" s="215"/>
      <c r="AJ1110" s="215"/>
      <c r="AK1110" s="215"/>
      <c r="AL1110" s="215"/>
      <c r="AM1110" s="215"/>
      <c r="AN1110" s="215"/>
      <c r="AO1110" s="215"/>
      <c r="AP1110" s="215"/>
      <c r="AQ1110" s="215"/>
      <c r="AR1110" s="215"/>
      <c r="AS1110" s="215"/>
      <c r="AT1110" s="215"/>
      <c r="AU1110" s="215"/>
      <c r="AV1110" s="215"/>
      <c r="AW1110" s="215"/>
      <c r="AX1110" s="215"/>
      <c r="AY1110" s="215"/>
      <c r="AZ1110" s="215"/>
      <c r="BA1110" s="215"/>
      <c r="BB1110" s="215"/>
      <c r="BC1110" s="215"/>
      <c r="BD1110" s="215"/>
      <c r="BE1110" s="215"/>
      <c r="BF1110" s="215"/>
      <c r="BG1110" s="215"/>
      <c r="BH1110" s="215"/>
      <c r="BI1110" s="215"/>
      <c r="BJ1110" s="215"/>
      <c r="BK1110" s="215"/>
      <c r="BL1110" s="215"/>
      <c r="BM1110" s="215"/>
      <c r="BN1110" s="215"/>
      <c r="BO1110" s="215"/>
      <c r="BP1110" s="215"/>
      <c r="BQ1110" s="215"/>
      <c r="BR1110" s="215"/>
      <c r="BS1110" s="215"/>
      <c r="BT1110" s="215"/>
      <c r="BU1110" s="215"/>
      <c r="BV1110" s="215"/>
      <c r="BW1110" s="215"/>
      <c r="BX1110" s="215"/>
      <c r="BY1110" s="215"/>
      <c r="BZ1110" s="215"/>
    </row>
    <row r="1111" spans="1:78" outlineLevel="1" x14ac:dyDescent="0.2">
      <c r="A1111" s="9" t="str">
        <f>'Language Index'!A573</f>
        <v>Adj. for Liability Recognized on Balance Sheet</v>
      </c>
      <c r="B1111" s="17"/>
      <c r="C1111" s="17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30"/>
      <c r="P1111" s="18"/>
      <c r="Q1111" s="215"/>
      <c r="R1111" s="215"/>
      <c r="S1111" s="215"/>
      <c r="T1111" s="215"/>
      <c r="U1111" s="215"/>
      <c r="V1111" s="222"/>
      <c r="W1111" s="215"/>
      <c r="X1111" s="215"/>
      <c r="Y1111" s="215"/>
      <c r="Z1111" s="215"/>
      <c r="AA1111" s="215"/>
      <c r="AB1111" s="215"/>
      <c r="AC1111" s="215"/>
      <c r="AD1111" s="215"/>
      <c r="AE1111" s="215"/>
      <c r="AF1111" s="215"/>
      <c r="AG1111" s="215"/>
      <c r="AH1111" s="215"/>
      <c r="AI1111" s="215"/>
      <c r="AJ1111" s="215"/>
      <c r="AK1111" s="215"/>
      <c r="AL1111" s="215"/>
      <c r="AM1111" s="215"/>
      <c r="AN1111" s="215"/>
      <c r="AO1111" s="215"/>
      <c r="AP1111" s="215"/>
      <c r="AQ1111" s="215"/>
      <c r="AR1111" s="215"/>
      <c r="AS1111" s="215"/>
      <c r="AT1111" s="215"/>
      <c r="AU1111" s="215"/>
      <c r="AV1111" s="215"/>
      <c r="AW1111" s="215"/>
      <c r="AX1111" s="215"/>
      <c r="AY1111" s="215"/>
      <c r="AZ1111" s="215"/>
      <c r="BA1111" s="215"/>
      <c r="BB1111" s="215"/>
      <c r="BC1111" s="215"/>
      <c r="BD1111" s="215"/>
      <c r="BE1111" s="215"/>
      <c r="BF1111" s="215"/>
      <c r="BG1111" s="215"/>
      <c r="BH1111" s="215"/>
      <c r="BI1111" s="215"/>
      <c r="BJ1111" s="215"/>
      <c r="BK1111" s="215"/>
      <c r="BL1111" s="215"/>
      <c r="BM1111" s="215"/>
      <c r="BN1111" s="215"/>
      <c r="BO1111" s="215"/>
      <c r="BP1111" s="215"/>
      <c r="BQ1111" s="215"/>
      <c r="BR1111" s="215"/>
      <c r="BS1111" s="215"/>
      <c r="BT1111" s="215"/>
      <c r="BU1111" s="215"/>
      <c r="BV1111" s="215"/>
      <c r="BW1111" s="215"/>
      <c r="BX1111" s="215"/>
      <c r="BY1111" s="215"/>
      <c r="BZ1111" s="215"/>
    </row>
    <row r="1112" spans="1:78" outlineLevel="1" x14ac:dyDescent="0.2">
      <c r="A1112" s="2" t="str">
        <f>'Language Index'!A574</f>
        <v>Unrecog. Prior Plan Service Cost</v>
      </c>
      <c r="B1112" s="17"/>
      <c r="C1112" s="17"/>
      <c r="D1112" s="18">
        <f>_xll.ciqfunctions.udf.CIQ($C$2,"IQ_OPEB_UNRECOG_PRIOR_FOREIGN",D$6,$F$2,,,Ccy,Conv)</f>
        <v>0</v>
      </c>
      <c r="E1112" s="18">
        <f>_xll.ciqfunctions.udf.CIQ($C$2,"IQ_OPEB_UNRECOG_PRIOR_FOREIGN",E$6,$F$2,,,Ccy,Conv)</f>
        <v>0</v>
      </c>
      <c r="F1112" s="18">
        <f>_xll.ciqfunctions.udf.CIQ($C$2,"IQ_OPEB_UNRECOG_PRIOR_FOREIGN",F$6,$F$2,,,Ccy,Conv)</f>
        <v>0</v>
      </c>
      <c r="G1112" s="18">
        <f>_xll.ciqfunctions.udf.CIQ($C$2,"IQ_OPEB_UNRECOG_PRIOR_FOREIGN",G$6,$F$2,,,Ccy,Conv)</f>
        <v>0</v>
      </c>
      <c r="H1112" s="18">
        <f>_xll.ciqfunctions.udf.CIQ($C$2,"IQ_OPEB_UNRECOG_PRIOR_FOREIGN",H$6,$F$2,,,Ccy,Conv)</f>
        <v>0</v>
      </c>
      <c r="I1112" s="18">
        <f>_xll.ciqfunctions.udf.CIQ($C$2,"IQ_OPEB_UNRECOG_PRIOR_FOREIGN",I$6,$F$2,,,Ccy,Conv)</f>
        <v>0</v>
      </c>
      <c r="J1112" s="18">
        <f>_xll.ciqfunctions.udf.CIQ($C$2,"IQ_OPEB_UNRECOG_PRIOR_FOREIGN",J$6,$F$2,,,Ccy,Conv)</f>
        <v>0</v>
      </c>
      <c r="K1112" s="18">
        <f>_xll.ciqfunctions.udf.CIQ($C$2,"IQ_OPEB_UNRECOG_PRIOR_FOREIGN",K$6,$F$2,,,Ccy,Conv)</f>
        <v>0</v>
      </c>
      <c r="L1112" s="18">
        <f>_xll.ciqfunctions.udf.CIQ($C$2,"IQ_OPEB_UNRECOG_PRIOR_FOREIGN",L$6,$F$2,,,Ccy,Conv)</f>
        <v>0</v>
      </c>
      <c r="M1112" s="18">
        <f>_xll.ciqfunctions.udf.CIQ($C$2,"IQ_OPEB_UNRECOG_PRIOR_FOREIGN",M$6,$F$2,,,Ccy,Conv)</f>
        <v>0</v>
      </c>
      <c r="N1112" s="18">
        <f>_xll.ciqfunctions.udf.CIQ($C$2,"IQ_OPEB_UNRECOG_PRIOR_FOREIGN",N$6,$F$2,,,Ccy,Conv)</f>
        <v>0</v>
      </c>
      <c r="O1112" s="30"/>
      <c r="P1112" s="18">
        <f>_xll.ciqfunctions.udf.CIQ($C$2,"IQ_OPEB_UNRECOG_PRIOR_FOREIGN",P$6,$F$2,,,Ccy,Conv)</f>
        <v>0</v>
      </c>
      <c r="Q1112" s="215"/>
      <c r="R1112" s="215"/>
      <c r="S1112" s="215"/>
      <c r="T1112" s="215"/>
      <c r="U1112" s="215"/>
      <c r="V1112" s="222"/>
      <c r="W1112" s="215"/>
      <c r="X1112" s="215"/>
      <c r="Y1112" s="215"/>
      <c r="Z1112" s="215"/>
      <c r="AA1112" s="215"/>
      <c r="AB1112" s="215"/>
      <c r="AC1112" s="215"/>
      <c r="AD1112" s="215"/>
      <c r="AE1112" s="215"/>
      <c r="AF1112" s="215"/>
      <c r="AG1112" s="215"/>
      <c r="AH1112" s="215"/>
      <c r="AI1112" s="215"/>
      <c r="AJ1112" s="215"/>
      <c r="AK1112" s="215"/>
      <c r="AL1112" s="215"/>
      <c r="AM1112" s="215"/>
      <c r="AN1112" s="215"/>
      <c r="AO1112" s="215"/>
      <c r="AP1112" s="215"/>
      <c r="AQ1112" s="215"/>
      <c r="AR1112" s="215"/>
      <c r="AS1112" s="215"/>
      <c r="AT1112" s="215"/>
      <c r="AU1112" s="215"/>
      <c r="AV1112" s="215"/>
      <c r="AW1112" s="215"/>
      <c r="AX1112" s="215"/>
      <c r="AY1112" s="215"/>
      <c r="AZ1112" s="215"/>
      <c r="BA1112" s="215"/>
      <c r="BB1112" s="215"/>
      <c r="BC1112" s="215"/>
      <c r="BD1112" s="215"/>
      <c r="BE1112" s="215"/>
      <c r="BF1112" s="215"/>
      <c r="BG1112" s="215"/>
      <c r="BH1112" s="215"/>
      <c r="BI1112" s="215"/>
      <c r="BJ1112" s="215"/>
      <c r="BK1112" s="215"/>
      <c r="BL1112" s="215"/>
      <c r="BM1112" s="215"/>
      <c r="BN1112" s="215"/>
      <c r="BO1112" s="215"/>
      <c r="BP1112" s="215"/>
      <c r="BQ1112" s="215"/>
      <c r="BR1112" s="215"/>
      <c r="BS1112" s="215"/>
      <c r="BT1112" s="215"/>
      <c r="BU1112" s="215"/>
      <c r="BV1112" s="215"/>
      <c r="BW1112" s="215"/>
      <c r="BX1112" s="215"/>
      <c r="BY1112" s="215"/>
      <c r="BZ1112" s="215"/>
    </row>
    <row r="1113" spans="1:78" outlineLevel="1" x14ac:dyDescent="0.2">
      <c r="A1113" s="2" t="str">
        <f>'Language Index'!A575</f>
        <v>Other Adj. (Net Benefit Asset/Liab.)</v>
      </c>
      <c r="B1113" s="17"/>
      <c r="C1113" s="17"/>
      <c r="D1113" s="18">
        <f>_xll.ciqfunctions.udf.CIQ($C$2,"IQ_OPEB_OTHER_ADJ_FOREIGN",D$6,$F$2,,,Ccy,Conv)</f>
        <v>0</v>
      </c>
      <c r="E1113" s="18">
        <f>_xll.ciqfunctions.udf.CIQ($C$2,"IQ_OPEB_OTHER_ADJ_FOREIGN",E$6,$F$2,,,Ccy,Conv)</f>
        <v>0</v>
      </c>
      <c r="F1113" s="18">
        <f>_xll.ciqfunctions.udf.CIQ($C$2,"IQ_OPEB_OTHER_ADJ_FOREIGN",F$6,$F$2,,,Ccy,Conv)</f>
        <v>0</v>
      </c>
      <c r="G1113" s="18">
        <f>_xll.ciqfunctions.udf.CIQ($C$2,"IQ_OPEB_OTHER_ADJ_FOREIGN",G$6,$F$2,,,Ccy,Conv)</f>
        <v>0</v>
      </c>
      <c r="H1113" s="18">
        <f>_xll.ciqfunctions.udf.CIQ($C$2,"IQ_OPEB_OTHER_ADJ_FOREIGN",H$6,$F$2,,,Ccy,Conv)</f>
        <v>0</v>
      </c>
      <c r="I1113" s="18">
        <f>_xll.ciqfunctions.udf.CIQ($C$2,"IQ_OPEB_OTHER_ADJ_FOREIGN",I$6,$F$2,,,Ccy,Conv)</f>
        <v>0</v>
      </c>
      <c r="J1113" s="18">
        <f>_xll.ciqfunctions.udf.CIQ($C$2,"IQ_OPEB_OTHER_ADJ_FOREIGN",J$6,$F$2,,,Ccy,Conv)</f>
        <v>0</v>
      </c>
      <c r="K1113" s="18">
        <f>_xll.ciqfunctions.udf.CIQ($C$2,"IQ_OPEB_OTHER_ADJ_FOREIGN",K$6,$F$2,,,Ccy,Conv)</f>
        <v>0</v>
      </c>
      <c r="L1113" s="18">
        <f>_xll.ciqfunctions.udf.CIQ($C$2,"IQ_OPEB_OTHER_ADJ_FOREIGN",L$6,$F$2,,,Ccy,Conv)</f>
        <v>0</v>
      </c>
      <c r="M1113" s="18">
        <f>_xll.ciqfunctions.udf.CIQ($C$2,"IQ_OPEB_OTHER_ADJ_FOREIGN",M$6,$F$2,,,Ccy,Conv)</f>
        <v>0</v>
      </c>
      <c r="N1113" s="18">
        <f>_xll.ciqfunctions.udf.CIQ($C$2,"IQ_OPEB_OTHER_ADJ_FOREIGN",N$6,$F$2,,,Ccy,Conv)</f>
        <v>0</v>
      </c>
      <c r="O1113" s="30"/>
      <c r="P1113" s="18">
        <f>_xll.ciqfunctions.udf.CIQ($C$2,"IQ_OPEB_OTHER_ADJ_FOREIGN",P$6,$F$2,,,Ccy,Conv)</f>
        <v>0</v>
      </c>
      <c r="Q1113" s="215"/>
      <c r="R1113" s="215"/>
      <c r="S1113" s="215"/>
      <c r="T1113" s="215"/>
      <c r="U1113" s="215"/>
      <c r="V1113" s="222"/>
      <c r="W1113" s="215"/>
      <c r="X1113" s="215"/>
      <c r="Y1113" s="215"/>
      <c r="Z1113" s="215"/>
      <c r="AA1113" s="215"/>
      <c r="AB1113" s="215"/>
      <c r="AC1113" s="215"/>
      <c r="AD1113" s="215"/>
      <c r="AE1113" s="215"/>
      <c r="AF1113" s="215"/>
      <c r="AG1113" s="215"/>
      <c r="AH1113" s="215"/>
      <c r="AI1113" s="215"/>
      <c r="AJ1113" s="215"/>
      <c r="AK1113" s="215"/>
      <c r="AL1113" s="215"/>
      <c r="AM1113" s="215"/>
      <c r="AN1113" s="215"/>
      <c r="AO1113" s="215"/>
      <c r="AP1113" s="215"/>
      <c r="AQ1113" s="215"/>
      <c r="AR1113" s="215"/>
      <c r="AS1113" s="215"/>
      <c r="AT1113" s="215"/>
      <c r="AU1113" s="215"/>
      <c r="AV1113" s="215"/>
      <c r="AW1113" s="215"/>
      <c r="AX1113" s="215"/>
      <c r="AY1113" s="215"/>
      <c r="AZ1113" s="215"/>
      <c r="BA1113" s="215"/>
      <c r="BB1113" s="215"/>
      <c r="BC1113" s="215"/>
      <c r="BD1113" s="215"/>
      <c r="BE1113" s="215"/>
      <c r="BF1113" s="215"/>
      <c r="BG1113" s="215"/>
      <c r="BH1113" s="215"/>
      <c r="BI1113" s="215"/>
      <c r="BJ1113" s="215"/>
      <c r="BK1113" s="215"/>
      <c r="BL1113" s="215"/>
      <c r="BM1113" s="215"/>
      <c r="BN1113" s="215"/>
      <c r="BO1113" s="215"/>
      <c r="BP1113" s="215"/>
      <c r="BQ1113" s="215"/>
      <c r="BR1113" s="215"/>
      <c r="BS1113" s="215"/>
      <c r="BT1113" s="215"/>
      <c r="BU1113" s="215"/>
      <c r="BV1113" s="215"/>
      <c r="BW1113" s="215"/>
      <c r="BX1113" s="215"/>
      <c r="BY1113" s="215"/>
      <c r="BZ1113" s="215"/>
    </row>
    <row r="1114" spans="1:78" outlineLevel="1" x14ac:dyDescent="0.2">
      <c r="A1114" s="2" t="str">
        <f>'Language Index'!A576</f>
        <v>Net Asset/Liability Recognized on Balance Sheet</v>
      </c>
      <c r="B1114" s="17"/>
      <c r="C1114" s="17"/>
      <c r="D1114" s="18">
        <f>_xll.ciqfunctions.udf.CIQ($C$2,"IQ_OPEB_NET_ASSET_RECOG_FOREIGN",D$6,$F$2,,,Ccy,Conv)</f>
        <v>0</v>
      </c>
      <c r="E1114" s="18">
        <f>_xll.ciqfunctions.udf.CIQ($C$2,"IQ_OPEB_NET_ASSET_RECOG_FOREIGN",E$6,$F$2,,,Ccy,Conv)</f>
        <v>0</v>
      </c>
      <c r="F1114" s="18">
        <f>_xll.ciqfunctions.udf.CIQ($C$2,"IQ_OPEB_NET_ASSET_RECOG_FOREIGN",F$6,$F$2,,,Ccy,Conv)</f>
        <v>-564</v>
      </c>
      <c r="G1114" s="18">
        <f>_xll.ciqfunctions.udf.CIQ($C$2,"IQ_OPEB_NET_ASSET_RECOG_FOREIGN",G$6,$F$2,,,Ccy,Conv)</f>
        <v>0</v>
      </c>
      <c r="H1114" s="18">
        <f>_xll.ciqfunctions.udf.CIQ($C$2,"IQ_OPEB_NET_ASSET_RECOG_FOREIGN",H$6,$F$2,,,Ccy,Conv)</f>
        <v>0</v>
      </c>
      <c r="I1114" s="18">
        <f>_xll.ciqfunctions.udf.CIQ($C$2,"IQ_OPEB_NET_ASSET_RECOG_FOREIGN",I$6,$F$2,,,Ccy,Conv)</f>
        <v>0</v>
      </c>
      <c r="J1114" s="18">
        <f>_xll.ciqfunctions.udf.CIQ($C$2,"IQ_OPEB_NET_ASSET_RECOG_FOREIGN",J$6,$F$2,,,Ccy,Conv)</f>
        <v>-493</v>
      </c>
      <c r="K1114" s="18">
        <f>_xll.ciqfunctions.udf.CIQ($C$2,"IQ_OPEB_NET_ASSET_RECOG_FOREIGN",K$6,$F$2,,,Ccy,Conv)</f>
        <v>0</v>
      </c>
      <c r="L1114" s="18">
        <f>_xll.ciqfunctions.udf.CIQ($C$2,"IQ_OPEB_NET_ASSET_RECOG_FOREIGN",L$6,$F$2,,,Ccy,Conv)</f>
        <v>0</v>
      </c>
      <c r="M1114" s="18">
        <f>_xll.ciqfunctions.udf.CIQ($C$2,"IQ_OPEB_NET_ASSET_RECOG_FOREIGN",M$6,$F$2,,,Ccy,Conv)</f>
        <v>0</v>
      </c>
      <c r="N1114" s="18">
        <f>_xll.ciqfunctions.udf.CIQ($C$2,"IQ_OPEB_NET_ASSET_RECOG_FOREIGN",N$6,$F$2,,,Ccy,Conv)</f>
        <v>-538</v>
      </c>
      <c r="O1114" s="30"/>
      <c r="P1114" s="18">
        <f>_xll.ciqfunctions.udf.CIQ($C$2,"IQ_OPEB_NET_ASSET_RECOG_FOREIGN",P$6,$F$2,,,Ccy,Conv)</f>
        <v>-538</v>
      </c>
      <c r="Q1114" s="215"/>
      <c r="R1114" s="215"/>
      <c r="S1114" s="215"/>
      <c r="T1114" s="215"/>
      <c r="U1114" s="215"/>
      <c r="V1114" s="222"/>
      <c r="W1114" s="215"/>
      <c r="X1114" s="215"/>
      <c r="Y1114" s="215"/>
      <c r="Z1114" s="215"/>
      <c r="AA1114" s="215"/>
      <c r="AB1114" s="215"/>
      <c r="AC1114" s="215"/>
      <c r="AD1114" s="215"/>
      <c r="AE1114" s="215"/>
      <c r="AF1114" s="215"/>
      <c r="AG1114" s="215"/>
      <c r="AH1114" s="215"/>
      <c r="AI1114" s="215"/>
      <c r="AJ1114" s="215"/>
      <c r="AK1114" s="215"/>
      <c r="AL1114" s="215"/>
      <c r="AM1114" s="215"/>
      <c r="AN1114" s="215"/>
      <c r="AO1114" s="215"/>
      <c r="AP1114" s="215"/>
      <c r="AQ1114" s="215"/>
      <c r="AR1114" s="215"/>
      <c r="AS1114" s="215"/>
      <c r="AT1114" s="215"/>
      <c r="AU1114" s="215"/>
      <c r="AV1114" s="215"/>
      <c r="AW1114" s="215"/>
      <c r="AX1114" s="215"/>
      <c r="AY1114" s="215"/>
      <c r="AZ1114" s="215"/>
      <c r="BA1114" s="215"/>
      <c r="BB1114" s="215"/>
      <c r="BC1114" s="215"/>
      <c r="BD1114" s="215"/>
      <c r="BE1114" s="215"/>
      <c r="BF1114" s="215"/>
      <c r="BG1114" s="215"/>
      <c r="BH1114" s="215"/>
      <c r="BI1114" s="215"/>
      <c r="BJ1114" s="215"/>
      <c r="BK1114" s="215"/>
      <c r="BL1114" s="215"/>
      <c r="BM1114" s="215"/>
      <c r="BN1114" s="215"/>
      <c r="BO1114" s="215"/>
      <c r="BP1114" s="215"/>
      <c r="BQ1114" s="215"/>
      <c r="BR1114" s="215"/>
      <c r="BS1114" s="215"/>
      <c r="BT1114" s="215"/>
      <c r="BU1114" s="215"/>
      <c r="BV1114" s="215"/>
      <c r="BW1114" s="215"/>
      <c r="BX1114" s="215"/>
      <c r="BY1114" s="215"/>
      <c r="BZ1114" s="215"/>
    </row>
    <row r="1115" spans="1:78" outlineLevel="1" x14ac:dyDescent="0.2">
      <c r="A1115" s="9" t="str">
        <f>'Language Index'!A590</f>
        <v>Benefits Sensitivity Analysis</v>
      </c>
      <c r="B1115" s="17"/>
      <c r="C1115" s="17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30"/>
      <c r="P1115" s="18"/>
      <c r="Q1115" s="215"/>
      <c r="R1115" s="215"/>
      <c r="S1115" s="215"/>
      <c r="T1115" s="215"/>
      <c r="U1115" s="215"/>
      <c r="V1115" s="222"/>
      <c r="W1115" s="215"/>
      <c r="X1115" s="215"/>
      <c r="Y1115" s="215"/>
      <c r="Z1115" s="215"/>
      <c r="AA1115" s="215"/>
      <c r="AB1115" s="215"/>
      <c r="AC1115" s="215"/>
      <c r="AD1115" s="215"/>
      <c r="AE1115" s="215"/>
      <c r="AF1115" s="215"/>
      <c r="AG1115" s="215"/>
      <c r="AH1115" s="215"/>
      <c r="AI1115" s="215"/>
      <c r="AJ1115" s="215"/>
      <c r="AK1115" s="215"/>
      <c r="AL1115" s="215"/>
      <c r="AM1115" s="215"/>
      <c r="AN1115" s="215"/>
      <c r="AO1115" s="215"/>
      <c r="AP1115" s="215"/>
      <c r="AQ1115" s="215"/>
      <c r="AR1115" s="215"/>
      <c r="AS1115" s="215"/>
      <c r="AT1115" s="215"/>
      <c r="AU1115" s="215"/>
      <c r="AV1115" s="215"/>
      <c r="AW1115" s="215"/>
      <c r="AX1115" s="215"/>
      <c r="AY1115" s="215"/>
      <c r="AZ1115" s="215"/>
      <c r="BA1115" s="215"/>
      <c r="BB1115" s="215"/>
      <c r="BC1115" s="215"/>
      <c r="BD1115" s="215"/>
      <c r="BE1115" s="215"/>
      <c r="BF1115" s="215"/>
      <c r="BG1115" s="215"/>
      <c r="BH1115" s="215"/>
      <c r="BI1115" s="215"/>
      <c r="BJ1115" s="215"/>
      <c r="BK1115" s="215"/>
      <c r="BL1115" s="215"/>
      <c r="BM1115" s="215"/>
      <c r="BN1115" s="215"/>
      <c r="BO1115" s="215"/>
      <c r="BP1115" s="215"/>
      <c r="BQ1115" s="215"/>
      <c r="BR1115" s="215"/>
      <c r="BS1115" s="215"/>
      <c r="BT1115" s="215"/>
      <c r="BU1115" s="215"/>
      <c r="BV1115" s="215"/>
      <c r="BW1115" s="215"/>
      <c r="BX1115" s="215"/>
      <c r="BY1115" s="215"/>
      <c r="BZ1115" s="215"/>
    </row>
    <row r="1116" spans="1:78" outlineLevel="1" x14ac:dyDescent="0.2">
      <c r="A1116" s="2" t="str">
        <f>'Language Index'!A591</f>
        <v>1% Increase - Effect on Service and Interest Cost</v>
      </c>
      <c r="B1116" s="17"/>
      <c r="C1116" s="17"/>
      <c r="D1116" s="18">
        <f>_xll.ciqfunctions.udf.CIQ($C$2,"IQ_OPEB_INCREASE_EFFECT_SERVICE_INT_COST_FOREIGN",D$6,$F$2,,,Ccy,Conv)</f>
        <v>0</v>
      </c>
      <c r="E1116" s="18">
        <f>_xll.ciqfunctions.udf.CIQ($C$2,"IQ_OPEB_INCREASE_EFFECT_SERVICE_INT_COST_FOREIGN",E$6,$F$2,,,Ccy,Conv)</f>
        <v>0</v>
      </c>
      <c r="F1116" s="18">
        <f>_xll.ciqfunctions.udf.CIQ($C$2,"IQ_OPEB_INCREASE_EFFECT_SERVICE_INT_COST_FOREIGN",F$6,$F$2,,,Ccy,Conv)</f>
        <v>0</v>
      </c>
      <c r="G1116" s="18">
        <f>_xll.ciqfunctions.udf.CIQ($C$2,"IQ_OPEB_INCREASE_EFFECT_SERVICE_INT_COST_FOREIGN",G$6,$F$2,,,Ccy,Conv)</f>
        <v>0</v>
      </c>
      <c r="H1116" s="18">
        <f>_xll.ciqfunctions.udf.CIQ($C$2,"IQ_OPEB_INCREASE_EFFECT_SERVICE_INT_COST_FOREIGN",H$6,$F$2,,,Ccy,Conv)</f>
        <v>0</v>
      </c>
      <c r="I1116" s="18">
        <f>_xll.ciqfunctions.udf.CIQ($C$2,"IQ_OPEB_INCREASE_EFFECT_SERVICE_INT_COST_FOREIGN",I$6,$F$2,,,Ccy,Conv)</f>
        <v>0</v>
      </c>
      <c r="J1116" s="18">
        <f>_xll.ciqfunctions.udf.CIQ($C$2,"IQ_OPEB_INCREASE_EFFECT_SERVICE_INT_COST_FOREIGN",J$6,$F$2,,,Ccy,Conv)</f>
        <v>0</v>
      </c>
      <c r="K1116" s="18">
        <f>_xll.ciqfunctions.udf.CIQ($C$2,"IQ_OPEB_INCREASE_EFFECT_SERVICE_INT_COST_FOREIGN",K$6,$F$2,,,Ccy,Conv)</f>
        <v>0</v>
      </c>
      <c r="L1116" s="18">
        <f>_xll.ciqfunctions.udf.CIQ($C$2,"IQ_OPEB_INCREASE_EFFECT_SERVICE_INT_COST_FOREIGN",L$6,$F$2,,,Ccy,Conv)</f>
        <v>0</v>
      </c>
      <c r="M1116" s="18">
        <f>_xll.ciqfunctions.udf.CIQ($C$2,"IQ_OPEB_INCREASE_EFFECT_SERVICE_INT_COST_FOREIGN",M$6,$F$2,,,Ccy,Conv)</f>
        <v>0</v>
      </c>
      <c r="N1116" s="18">
        <f>_xll.ciqfunctions.udf.CIQ($C$2,"IQ_OPEB_INCREASE_EFFECT_SERVICE_INT_COST_FOREIGN",N$6,$F$2,,,Ccy,Conv)</f>
        <v>0</v>
      </c>
      <c r="O1116" s="30"/>
      <c r="P1116" s="18">
        <f>_xll.ciqfunctions.udf.CIQ($C$2,"IQ_OPEB_INCREASE_EFFECT_SERVICE_INT_COST_FOREIGN",P$6,$F$2,,,Ccy,Conv)</f>
        <v>0</v>
      </c>
      <c r="Q1116" s="215"/>
      <c r="R1116" s="215"/>
      <c r="S1116" s="215"/>
      <c r="T1116" s="215"/>
      <c r="U1116" s="215"/>
      <c r="V1116" s="222"/>
      <c r="W1116" s="215"/>
      <c r="X1116" s="215"/>
      <c r="Y1116" s="215"/>
      <c r="Z1116" s="215"/>
      <c r="AA1116" s="215"/>
      <c r="AB1116" s="215"/>
      <c r="AC1116" s="215"/>
      <c r="AD1116" s="215"/>
      <c r="AE1116" s="215"/>
      <c r="AF1116" s="215"/>
      <c r="AG1116" s="215"/>
      <c r="AH1116" s="215"/>
      <c r="AI1116" s="215"/>
      <c r="AJ1116" s="215"/>
      <c r="AK1116" s="215"/>
      <c r="AL1116" s="215"/>
      <c r="AM1116" s="215"/>
      <c r="AN1116" s="215"/>
      <c r="AO1116" s="215"/>
      <c r="AP1116" s="215"/>
      <c r="AQ1116" s="215"/>
      <c r="AR1116" s="215"/>
      <c r="AS1116" s="215"/>
      <c r="AT1116" s="215"/>
      <c r="AU1116" s="215"/>
      <c r="AV1116" s="215"/>
      <c r="AW1116" s="215"/>
      <c r="AX1116" s="215"/>
      <c r="AY1116" s="215"/>
      <c r="AZ1116" s="215"/>
      <c r="BA1116" s="215"/>
      <c r="BB1116" s="215"/>
      <c r="BC1116" s="215"/>
      <c r="BD1116" s="215"/>
      <c r="BE1116" s="215"/>
      <c r="BF1116" s="215"/>
      <c r="BG1116" s="215"/>
      <c r="BH1116" s="215"/>
      <c r="BI1116" s="215"/>
      <c r="BJ1116" s="215"/>
      <c r="BK1116" s="215"/>
      <c r="BL1116" s="215"/>
      <c r="BM1116" s="215"/>
      <c r="BN1116" s="215"/>
      <c r="BO1116" s="215"/>
      <c r="BP1116" s="215"/>
      <c r="BQ1116" s="215"/>
      <c r="BR1116" s="215"/>
      <c r="BS1116" s="215"/>
      <c r="BT1116" s="215"/>
      <c r="BU1116" s="215"/>
      <c r="BV1116" s="215"/>
      <c r="BW1116" s="215"/>
      <c r="BX1116" s="215"/>
      <c r="BY1116" s="215"/>
      <c r="BZ1116" s="215"/>
    </row>
    <row r="1117" spans="1:78" outlineLevel="1" x14ac:dyDescent="0.2">
      <c r="A1117" s="2" t="str">
        <f>'Language Index'!A592</f>
        <v>1% Increase - Effect on PBO</v>
      </c>
      <c r="B1117" s="17"/>
      <c r="C1117" s="17"/>
      <c r="D1117" s="18">
        <f>_xll.ciqfunctions.udf.CIQ($C$2,"IQ_OPEB_INCREASE_EFFECT_PBO_FOREIGN",D$6,$F$2,,,Ccy,Conv)</f>
        <v>0</v>
      </c>
      <c r="E1117" s="18">
        <f>_xll.ciqfunctions.udf.CIQ($C$2,"IQ_OPEB_INCREASE_EFFECT_PBO_FOREIGN",E$6,$F$2,,,Ccy,Conv)</f>
        <v>0</v>
      </c>
      <c r="F1117" s="18">
        <f>_xll.ciqfunctions.udf.CIQ($C$2,"IQ_OPEB_INCREASE_EFFECT_PBO_FOREIGN",F$6,$F$2,,,Ccy,Conv)</f>
        <v>0</v>
      </c>
      <c r="G1117" s="18">
        <f>_xll.ciqfunctions.udf.CIQ($C$2,"IQ_OPEB_INCREASE_EFFECT_PBO_FOREIGN",G$6,$F$2,,,Ccy,Conv)</f>
        <v>0</v>
      </c>
      <c r="H1117" s="18">
        <f>_xll.ciqfunctions.udf.CIQ($C$2,"IQ_OPEB_INCREASE_EFFECT_PBO_FOREIGN",H$6,$F$2,,,Ccy,Conv)</f>
        <v>0</v>
      </c>
      <c r="I1117" s="18">
        <f>_xll.ciqfunctions.udf.CIQ($C$2,"IQ_OPEB_INCREASE_EFFECT_PBO_FOREIGN",I$6,$F$2,,,Ccy,Conv)</f>
        <v>0</v>
      </c>
      <c r="J1117" s="18">
        <f>_xll.ciqfunctions.udf.CIQ($C$2,"IQ_OPEB_INCREASE_EFFECT_PBO_FOREIGN",J$6,$F$2,,,Ccy,Conv)</f>
        <v>0</v>
      </c>
      <c r="K1117" s="18">
        <f>_xll.ciqfunctions.udf.CIQ($C$2,"IQ_OPEB_INCREASE_EFFECT_PBO_FOREIGN",K$6,$F$2,,,Ccy,Conv)</f>
        <v>0</v>
      </c>
      <c r="L1117" s="18">
        <f>_xll.ciqfunctions.udf.CIQ($C$2,"IQ_OPEB_INCREASE_EFFECT_PBO_FOREIGN",L$6,$F$2,,,Ccy,Conv)</f>
        <v>0</v>
      </c>
      <c r="M1117" s="18">
        <f>_xll.ciqfunctions.udf.CIQ($C$2,"IQ_OPEB_INCREASE_EFFECT_PBO_FOREIGN",M$6,$F$2,,,Ccy,Conv)</f>
        <v>0</v>
      </c>
      <c r="N1117" s="18">
        <f>_xll.ciqfunctions.udf.CIQ($C$2,"IQ_OPEB_INCREASE_EFFECT_PBO_FOREIGN",N$6,$F$2,,,Ccy,Conv)</f>
        <v>0</v>
      </c>
      <c r="O1117" s="30"/>
      <c r="P1117" s="18">
        <f>_xll.ciqfunctions.udf.CIQ($C$2,"IQ_OPEB_INCREASE_EFFECT_PBO_FOREIGN",P$6,$F$2,,,Ccy,Conv)</f>
        <v>0</v>
      </c>
      <c r="Q1117" s="215"/>
      <c r="R1117" s="215"/>
      <c r="S1117" s="215"/>
      <c r="T1117" s="215"/>
      <c r="U1117" s="215"/>
      <c r="V1117" s="222"/>
      <c r="W1117" s="215"/>
      <c r="X1117" s="215"/>
      <c r="Y1117" s="215"/>
      <c r="Z1117" s="215"/>
      <c r="AA1117" s="215"/>
      <c r="AB1117" s="215"/>
      <c r="AC1117" s="215"/>
      <c r="AD1117" s="215"/>
      <c r="AE1117" s="215"/>
      <c r="AF1117" s="215"/>
      <c r="AG1117" s="215"/>
      <c r="AH1117" s="215"/>
      <c r="AI1117" s="215"/>
      <c r="AJ1117" s="215"/>
      <c r="AK1117" s="215"/>
      <c r="AL1117" s="215"/>
      <c r="AM1117" s="215"/>
      <c r="AN1117" s="215"/>
      <c r="AO1117" s="215"/>
      <c r="AP1117" s="215"/>
      <c r="AQ1117" s="215"/>
      <c r="AR1117" s="215"/>
      <c r="AS1117" s="215"/>
      <c r="AT1117" s="215"/>
      <c r="AU1117" s="215"/>
      <c r="AV1117" s="215"/>
      <c r="AW1117" s="215"/>
      <c r="AX1117" s="215"/>
      <c r="AY1117" s="215"/>
      <c r="AZ1117" s="215"/>
      <c r="BA1117" s="215"/>
      <c r="BB1117" s="215"/>
      <c r="BC1117" s="215"/>
      <c r="BD1117" s="215"/>
      <c r="BE1117" s="215"/>
      <c r="BF1117" s="215"/>
      <c r="BG1117" s="215"/>
      <c r="BH1117" s="215"/>
      <c r="BI1117" s="215"/>
      <c r="BJ1117" s="215"/>
      <c r="BK1117" s="215"/>
      <c r="BL1117" s="215"/>
      <c r="BM1117" s="215"/>
      <c r="BN1117" s="215"/>
      <c r="BO1117" s="215"/>
      <c r="BP1117" s="215"/>
      <c r="BQ1117" s="215"/>
      <c r="BR1117" s="215"/>
      <c r="BS1117" s="215"/>
      <c r="BT1117" s="215"/>
      <c r="BU1117" s="215"/>
      <c r="BV1117" s="215"/>
      <c r="BW1117" s="215"/>
      <c r="BX1117" s="215"/>
      <c r="BY1117" s="215"/>
      <c r="BZ1117" s="215"/>
    </row>
    <row r="1118" spans="1:78" outlineLevel="1" x14ac:dyDescent="0.2">
      <c r="A1118" s="2" t="str">
        <f>'Language Index'!A593</f>
        <v>1% Decrease - Effect on Service and Interest Cost</v>
      </c>
      <c r="B1118" s="17"/>
      <c r="C1118" s="17"/>
      <c r="D1118" s="18">
        <f>_xll.ciqfunctions.udf.CIQ($C$2,"IQ_OPEB_DECREASE_EFFECT_SERVICE_INT_COST_FOREIGN",D$6,$F$2,,,Ccy,Conv)</f>
        <v>0</v>
      </c>
      <c r="E1118" s="18">
        <f>_xll.ciqfunctions.udf.CIQ($C$2,"IQ_OPEB_DECREASE_EFFECT_SERVICE_INT_COST_FOREIGN",E$6,$F$2,,,Ccy,Conv)</f>
        <v>0</v>
      </c>
      <c r="F1118" s="18">
        <f>_xll.ciqfunctions.udf.CIQ($C$2,"IQ_OPEB_DECREASE_EFFECT_SERVICE_INT_COST_FOREIGN",F$6,$F$2,,,Ccy,Conv)</f>
        <v>0</v>
      </c>
      <c r="G1118" s="18">
        <f>_xll.ciqfunctions.udf.CIQ($C$2,"IQ_OPEB_DECREASE_EFFECT_SERVICE_INT_COST_FOREIGN",G$6,$F$2,,,Ccy,Conv)</f>
        <v>0</v>
      </c>
      <c r="H1118" s="18">
        <f>_xll.ciqfunctions.udf.CIQ($C$2,"IQ_OPEB_DECREASE_EFFECT_SERVICE_INT_COST_FOREIGN",H$6,$F$2,,,Ccy,Conv)</f>
        <v>0</v>
      </c>
      <c r="I1118" s="18">
        <f>_xll.ciqfunctions.udf.CIQ($C$2,"IQ_OPEB_DECREASE_EFFECT_SERVICE_INT_COST_FOREIGN",I$6,$F$2,,,Ccy,Conv)</f>
        <v>0</v>
      </c>
      <c r="J1118" s="18">
        <f>_xll.ciqfunctions.udf.CIQ($C$2,"IQ_OPEB_DECREASE_EFFECT_SERVICE_INT_COST_FOREIGN",J$6,$F$2,,,Ccy,Conv)</f>
        <v>0</v>
      </c>
      <c r="K1118" s="18">
        <f>_xll.ciqfunctions.udf.CIQ($C$2,"IQ_OPEB_DECREASE_EFFECT_SERVICE_INT_COST_FOREIGN",K$6,$F$2,,,Ccy,Conv)</f>
        <v>0</v>
      </c>
      <c r="L1118" s="18">
        <f>_xll.ciqfunctions.udf.CIQ($C$2,"IQ_OPEB_DECREASE_EFFECT_SERVICE_INT_COST_FOREIGN",L$6,$F$2,,,Ccy,Conv)</f>
        <v>0</v>
      </c>
      <c r="M1118" s="18">
        <f>_xll.ciqfunctions.udf.CIQ($C$2,"IQ_OPEB_DECREASE_EFFECT_SERVICE_INT_COST_FOREIGN",M$6,$F$2,,,Ccy,Conv)</f>
        <v>0</v>
      </c>
      <c r="N1118" s="18">
        <f>_xll.ciqfunctions.udf.CIQ($C$2,"IQ_OPEB_DECREASE_EFFECT_SERVICE_INT_COST_FOREIGN",N$6,$F$2,,,Ccy,Conv)</f>
        <v>0</v>
      </c>
      <c r="O1118" s="30"/>
      <c r="P1118" s="18">
        <f>_xll.ciqfunctions.udf.CIQ($C$2,"IQ_OPEB_DECREASE_EFFECT_SERVICE_INT_COST_FOREIGN",P$6,$F$2,,,Ccy,Conv)</f>
        <v>0</v>
      </c>
      <c r="Q1118" s="215"/>
      <c r="R1118" s="215"/>
      <c r="S1118" s="215"/>
      <c r="T1118" s="215"/>
      <c r="U1118" s="215"/>
      <c r="V1118" s="222"/>
      <c r="W1118" s="215"/>
      <c r="X1118" s="215"/>
      <c r="Y1118" s="215"/>
      <c r="Z1118" s="215"/>
      <c r="AA1118" s="215"/>
      <c r="AB1118" s="215"/>
      <c r="AC1118" s="215"/>
      <c r="AD1118" s="215"/>
      <c r="AE1118" s="215"/>
      <c r="AF1118" s="215"/>
      <c r="AG1118" s="215"/>
      <c r="AH1118" s="215"/>
      <c r="AI1118" s="215"/>
      <c r="AJ1118" s="215"/>
      <c r="AK1118" s="215"/>
      <c r="AL1118" s="215"/>
      <c r="AM1118" s="215"/>
      <c r="AN1118" s="215"/>
      <c r="AO1118" s="215"/>
      <c r="AP1118" s="215"/>
      <c r="AQ1118" s="215"/>
      <c r="AR1118" s="215"/>
      <c r="AS1118" s="215"/>
      <c r="AT1118" s="215"/>
      <c r="AU1118" s="215"/>
      <c r="AV1118" s="215"/>
      <c r="AW1118" s="215"/>
      <c r="AX1118" s="215"/>
      <c r="AY1118" s="215"/>
      <c r="AZ1118" s="215"/>
      <c r="BA1118" s="215"/>
      <c r="BB1118" s="215"/>
      <c r="BC1118" s="215"/>
      <c r="BD1118" s="215"/>
      <c r="BE1118" s="215"/>
      <c r="BF1118" s="215"/>
      <c r="BG1118" s="215"/>
      <c r="BH1118" s="215"/>
      <c r="BI1118" s="215"/>
      <c r="BJ1118" s="215"/>
      <c r="BK1118" s="215"/>
      <c r="BL1118" s="215"/>
      <c r="BM1118" s="215"/>
      <c r="BN1118" s="215"/>
      <c r="BO1118" s="215"/>
      <c r="BP1118" s="215"/>
      <c r="BQ1118" s="215"/>
      <c r="BR1118" s="215"/>
      <c r="BS1118" s="215"/>
      <c r="BT1118" s="215"/>
      <c r="BU1118" s="215"/>
      <c r="BV1118" s="215"/>
      <c r="BW1118" s="215"/>
      <c r="BX1118" s="215"/>
      <c r="BY1118" s="215"/>
      <c r="BZ1118" s="215"/>
    </row>
    <row r="1119" spans="1:78" outlineLevel="1" x14ac:dyDescent="0.2">
      <c r="A1119" s="2" t="str">
        <f>'Language Index'!A594</f>
        <v>1% Decrease - Effect on PBO</v>
      </c>
      <c r="B1119" s="17"/>
      <c r="C1119" s="17"/>
      <c r="D1119" s="18">
        <f>_xll.ciqfunctions.udf.CIQ($C$2,"IQ_OPEB_DECREASE_EFFECT_PBO_FOREIGN",D$6,$F$2,,,Ccy,Conv)</f>
        <v>0</v>
      </c>
      <c r="E1119" s="18">
        <f>_xll.ciqfunctions.udf.CIQ($C$2,"IQ_OPEB_DECREASE_EFFECT_PBO_FOREIGN",E$6,$F$2,,,Ccy,Conv)</f>
        <v>0</v>
      </c>
      <c r="F1119" s="18">
        <f>_xll.ciqfunctions.udf.CIQ($C$2,"IQ_OPEB_DECREASE_EFFECT_PBO_FOREIGN",F$6,$F$2,,,Ccy,Conv)</f>
        <v>0</v>
      </c>
      <c r="G1119" s="18">
        <f>_xll.ciqfunctions.udf.CIQ($C$2,"IQ_OPEB_DECREASE_EFFECT_PBO_FOREIGN",G$6,$F$2,,,Ccy,Conv)</f>
        <v>0</v>
      </c>
      <c r="H1119" s="18">
        <f>_xll.ciqfunctions.udf.CIQ($C$2,"IQ_OPEB_DECREASE_EFFECT_PBO_FOREIGN",H$6,$F$2,,,Ccy,Conv)</f>
        <v>0</v>
      </c>
      <c r="I1119" s="18">
        <f>_xll.ciqfunctions.udf.CIQ($C$2,"IQ_OPEB_DECREASE_EFFECT_PBO_FOREIGN",I$6,$F$2,,,Ccy,Conv)</f>
        <v>0</v>
      </c>
      <c r="J1119" s="18">
        <f>_xll.ciqfunctions.udf.CIQ($C$2,"IQ_OPEB_DECREASE_EFFECT_PBO_FOREIGN",J$6,$F$2,,,Ccy,Conv)</f>
        <v>0</v>
      </c>
      <c r="K1119" s="18">
        <f>_xll.ciqfunctions.udf.CIQ($C$2,"IQ_OPEB_DECREASE_EFFECT_PBO_FOREIGN",K$6,$F$2,,,Ccy,Conv)</f>
        <v>0</v>
      </c>
      <c r="L1119" s="18">
        <f>_xll.ciqfunctions.udf.CIQ($C$2,"IQ_OPEB_DECREASE_EFFECT_PBO_FOREIGN",L$6,$F$2,,,Ccy,Conv)</f>
        <v>0</v>
      </c>
      <c r="M1119" s="18">
        <f>_xll.ciqfunctions.udf.CIQ($C$2,"IQ_OPEB_DECREASE_EFFECT_PBO_FOREIGN",M$6,$F$2,,,Ccy,Conv)</f>
        <v>0</v>
      </c>
      <c r="N1119" s="18">
        <f>_xll.ciqfunctions.udf.CIQ($C$2,"IQ_OPEB_DECREASE_EFFECT_PBO_FOREIGN",N$6,$F$2,,,Ccy,Conv)</f>
        <v>0</v>
      </c>
      <c r="O1119" s="30"/>
      <c r="P1119" s="18">
        <f>_xll.ciqfunctions.udf.CIQ($C$2,"IQ_OPEB_DECREASE_EFFECT_PBO_FOREIGN",P$6,$F$2,,,Ccy,Conv)</f>
        <v>0</v>
      </c>
      <c r="Q1119" s="215"/>
      <c r="R1119" s="215"/>
      <c r="S1119" s="215"/>
      <c r="T1119" s="215"/>
      <c r="U1119" s="215"/>
      <c r="V1119" s="222"/>
      <c r="W1119" s="215"/>
      <c r="X1119" s="215"/>
      <c r="Y1119" s="215"/>
      <c r="Z1119" s="215"/>
      <c r="AA1119" s="215"/>
      <c r="AB1119" s="215"/>
      <c r="AC1119" s="215"/>
      <c r="AD1119" s="215"/>
      <c r="AE1119" s="215"/>
      <c r="AF1119" s="215"/>
      <c r="AG1119" s="215"/>
      <c r="AH1119" s="215"/>
      <c r="AI1119" s="215"/>
      <c r="AJ1119" s="215"/>
      <c r="AK1119" s="215"/>
      <c r="AL1119" s="215"/>
      <c r="AM1119" s="215"/>
      <c r="AN1119" s="215"/>
      <c r="AO1119" s="215"/>
      <c r="AP1119" s="215"/>
      <c r="AQ1119" s="215"/>
      <c r="AR1119" s="215"/>
      <c r="AS1119" s="215"/>
      <c r="AT1119" s="215"/>
      <c r="AU1119" s="215"/>
      <c r="AV1119" s="215"/>
      <c r="AW1119" s="215"/>
      <c r="AX1119" s="215"/>
      <c r="AY1119" s="215"/>
      <c r="AZ1119" s="215"/>
      <c r="BA1119" s="215"/>
      <c r="BB1119" s="215"/>
      <c r="BC1119" s="215"/>
      <c r="BD1119" s="215"/>
      <c r="BE1119" s="215"/>
      <c r="BF1119" s="215"/>
      <c r="BG1119" s="215"/>
      <c r="BH1119" s="215"/>
      <c r="BI1119" s="215"/>
      <c r="BJ1119" s="215"/>
      <c r="BK1119" s="215"/>
      <c r="BL1119" s="215"/>
      <c r="BM1119" s="215"/>
      <c r="BN1119" s="215"/>
      <c r="BO1119" s="215"/>
      <c r="BP1119" s="215"/>
      <c r="BQ1119" s="215"/>
      <c r="BR1119" s="215"/>
      <c r="BS1119" s="215"/>
      <c r="BT1119" s="215"/>
      <c r="BU1119" s="215"/>
      <c r="BV1119" s="215"/>
      <c r="BW1119" s="215"/>
      <c r="BX1119" s="215"/>
      <c r="BY1119" s="215"/>
      <c r="BZ1119" s="215"/>
    </row>
    <row r="1120" spans="1:78" outlineLevel="1" x14ac:dyDescent="0.2">
      <c r="A1120" s="9" t="str">
        <f>'Language Index'!A595</f>
        <v>Other Post-Retirement Benefit Related Items</v>
      </c>
      <c r="B1120" s="17"/>
      <c r="C1120" s="17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30"/>
      <c r="P1120" s="18"/>
      <c r="Q1120" s="215"/>
      <c r="R1120" s="215"/>
      <c r="S1120" s="215"/>
      <c r="T1120" s="215"/>
      <c r="U1120" s="215"/>
      <c r="V1120" s="222"/>
      <c r="W1120" s="215"/>
      <c r="X1120" s="215"/>
      <c r="Y1120" s="215"/>
      <c r="Z1120" s="215"/>
      <c r="AA1120" s="215"/>
      <c r="AB1120" s="215"/>
      <c r="AC1120" s="215"/>
      <c r="AD1120" s="215"/>
      <c r="AE1120" s="215"/>
      <c r="AF1120" s="215"/>
      <c r="AG1120" s="215"/>
      <c r="AH1120" s="215"/>
      <c r="AI1120" s="215"/>
      <c r="AJ1120" s="215"/>
      <c r="AK1120" s="215"/>
      <c r="AL1120" s="215"/>
      <c r="AM1120" s="215"/>
      <c r="AN1120" s="215"/>
      <c r="AO1120" s="215"/>
      <c r="AP1120" s="215"/>
      <c r="AQ1120" s="215"/>
      <c r="AR1120" s="215"/>
      <c r="AS1120" s="215"/>
      <c r="AT1120" s="215"/>
      <c r="AU1120" s="215"/>
      <c r="AV1120" s="215"/>
      <c r="AW1120" s="215"/>
      <c r="AX1120" s="215"/>
      <c r="AY1120" s="215"/>
      <c r="AZ1120" s="215"/>
      <c r="BA1120" s="215"/>
      <c r="BB1120" s="215"/>
      <c r="BC1120" s="215"/>
      <c r="BD1120" s="215"/>
      <c r="BE1120" s="215"/>
      <c r="BF1120" s="215"/>
      <c r="BG1120" s="215"/>
      <c r="BH1120" s="215"/>
      <c r="BI1120" s="215"/>
      <c r="BJ1120" s="215"/>
      <c r="BK1120" s="215"/>
      <c r="BL1120" s="215"/>
      <c r="BM1120" s="215"/>
      <c r="BN1120" s="215"/>
      <c r="BO1120" s="215"/>
      <c r="BP1120" s="215"/>
      <c r="BQ1120" s="215"/>
      <c r="BR1120" s="215"/>
      <c r="BS1120" s="215"/>
      <c r="BT1120" s="215"/>
      <c r="BU1120" s="215"/>
      <c r="BV1120" s="215"/>
      <c r="BW1120" s="215"/>
      <c r="BX1120" s="215"/>
      <c r="BY1120" s="215"/>
      <c r="BZ1120" s="215"/>
    </row>
    <row r="1121" spans="1:78" outlineLevel="1" x14ac:dyDescent="0.2">
      <c r="A1121" s="2" t="str">
        <f>'Language Index'!A596</f>
        <v>Health Care Cost Trend Rate, Initial</v>
      </c>
      <c r="B1121" s="17"/>
      <c r="C1121" s="17"/>
      <c r="D1121" s="18">
        <f>_xll.ciqfunctions.udf.CIQ($C$2,"IQ_OPEB_HEALTH_COST_TREND_INITIAL_FOREIGN",D$6,$F$2)</f>
        <v>0</v>
      </c>
      <c r="E1121" s="18">
        <f>_xll.ciqfunctions.udf.CIQ($C$2,"IQ_OPEB_HEALTH_COST_TREND_INITIAL_FOREIGN",E$6,$F$2)</f>
        <v>0</v>
      </c>
      <c r="F1121" s="18">
        <f>_xll.ciqfunctions.udf.CIQ($C$2,"IQ_OPEB_HEALTH_COST_TREND_INITIAL_FOREIGN",F$6,$F$2)</f>
        <v>0</v>
      </c>
      <c r="G1121" s="18">
        <f>_xll.ciqfunctions.udf.CIQ($C$2,"IQ_OPEB_HEALTH_COST_TREND_INITIAL_FOREIGN",G$6,$F$2)</f>
        <v>0</v>
      </c>
      <c r="H1121" s="18">
        <f>_xll.ciqfunctions.udf.CIQ($C$2,"IQ_OPEB_HEALTH_COST_TREND_INITIAL_FOREIGN",H$6,$F$2)</f>
        <v>0</v>
      </c>
      <c r="I1121" s="18">
        <f>_xll.ciqfunctions.udf.CIQ($C$2,"IQ_OPEB_HEALTH_COST_TREND_INITIAL_FOREIGN",I$6,$F$2)</f>
        <v>0</v>
      </c>
      <c r="J1121" s="18">
        <f>_xll.ciqfunctions.udf.CIQ($C$2,"IQ_OPEB_HEALTH_COST_TREND_INITIAL_FOREIGN",J$6,$F$2)</f>
        <v>0</v>
      </c>
      <c r="K1121" s="18">
        <f>_xll.ciqfunctions.udf.CIQ($C$2,"IQ_OPEB_HEALTH_COST_TREND_INITIAL_FOREIGN",K$6,$F$2)</f>
        <v>0</v>
      </c>
      <c r="L1121" s="18">
        <f>_xll.ciqfunctions.udf.CIQ($C$2,"IQ_OPEB_HEALTH_COST_TREND_INITIAL_FOREIGN",L$6,$F$2)</f>
        <v>0</v>
      </c>
      <c r="M1121" s="18">
        <f>_xll.ciqfunctions.udf.CIQ($C$2,"IQ_OPEB_HEALTH_COST_TREND_INITIAL_FOREIGN",M$6,$F$2)</f>
        <v>0</v>
      </c>
      <c r="N1121" s="18">
        <f>_xll.ciqfunctions.udf.CIQ($C$2,"IQ_OPEB_HEALTH_COST_TREND_INITIAL_FOREIGN",N$6,$F$2)</f>
        <v>0</v>
      </c>
      <c r="O1121" s="30"/>
      <c r="P1121" s="18">
        <f>_xll.ciqfunctions.udf.CIQ($C$2,"IQ_OPEB_HEALTH_COST_TREND_INITIAL_FOREIGN",P$6,$F$2)</f>
        <v>0</v>
      </c>
      <c r="Q1121" s="215"/>
      <c r="R1121" s="215"/>
      <c r="S1121" s="215"/>
      <c r="T1121" s="215"/>
      <c r="U1121" s="215"/>
      <c r="V1121" s="222"/>
      <c r="W1121" s="215"/>
      <c r="X1121" s="215"/>
      <c r="Y1121" s="215"/>
      <c r="Z1121" s="215"/>
      <c r="AA1121" s="215"/>
      <c r="AB1121" s="215"/>
      <c r="AC1121" s="215"/>
      <c r="AD1121" s="215"/>
      <c r="AE1121" s="215"/>
      <c r="AF1121" s="215"/>
      <c r="AG1121" s="215"/>
      <c r="AH1121" s="215"/>
      <c r="AI1121" s="215"/>
      <c r="AJ1121" s="215"/>
      <c r="AK1121" s="215"/>
      <c r="AL1121" s="215"/>
      <c r="AM1121" s="215"/>
      <c r="AN1121" s="215"/>
      <c r="AO1121" s="215"/>
      <c r="AP1121" s="215"/>
      <c r="AQ1121" s="215"/>
      <c r="AR1121" s="215"/>
      <c r="AS1121" s="215"/>
      <c r="AT1121" s="215"/>
      <c r="AU1121" s="215"/>
      <c r="AV1121" s="215"/>
      <c r="AW1121" s="215"/>
      <c r="AX1121" s="215"/>
      <c r="AY1121" s="215"/>
      <c r="AZ1121" s="215"/>
      <c r="BA1121" s="215"/>
      <c r="BB1121" s="215"/>
      <c r="BC1121" s="215"/>
      <c r="BD1121" s="215"/>
      <c r="BE1121" s="215"/>
      <c r="BF1121" s="215"/>
      <c r="BG1121" s="215"/>
      <c r="BH1121" s="215"/>
      <c r="BI1121" s="215"/>
      <c r="BJ1121" s="215"/>
      <c r="BK1121" s="215"/>
      <c r="BL1121" s="215"/>
      <c r="BM1121" s="215"/>
      <c r="BN1121" s="215"/>
      <c r="BO1121" s="215"/>
      <c r="BP1121" s="215"/>
      <c r="BQ1121" s="215"/>
      <c r="BR1121" s="215"/>
      <c r="BS1121" s="215"/>
      <c r="BT1121" s="215"/>
      <c r="BU1121" s="215"/>
      <c r="BV1121" s="215"/>
      <c r="BW1121" s="215"/>
      <c r="BX1121" s="215"/>
      <c r="BY1121" s="215"/>
      <c r="BZ1121" s="215"/>
    </row>
    <row r="1122" spans="1:78" outlineLevel="1" x14ac:dyDescent="0.2">
      <c r="A1122" s="2" t="str">
        <f>'Language Index'!A597</f>
        <v>Health Care Cost Trend Rate, Ultimate</v>
      </c>
      <c r="B1122" s="17"/>
      <c r="C1122" s="17"/>
      <c r="D1122" s="18">
        <f>_xll.ciqfunctions.udf.CIQ($C$2,"IQ_OPEB_HEALTH_COST_TREND_ULTIMATE_FOREIGN",D$6,$F$2)</f>
        <v>0</v>
      </c>
      <c r="E1122" s="18">
        <f>_xll.ciqfunctions.udf.CIQ($C$2,"IQ_OPEB_HEALTH_COST_TREND_ULTIMATE_FOREIGN",E$6,$F$2)</f>
        <v>0</v>
      </c>
      <c r="F1122" s="18">
        <f>_xll.ciqfunctions.udf.CIQ($C$2,"IQ_OPEB_HEALTH_COST_TREND_ULTIMATE_FOREIGN",F$6,$F$2)</f>
        <v>0</v>
      </c>
      <c r="G1122" s="18">
        <f>_xll.ciqfunctions.udf.CIQ($C$2,"IQ_OPEB_HEALTH_COST_TREND_ULTIMATE_FOREIGN",G$6,$F$2)</f>
        <v>0</v>
      </c>
      <c r="H1122" s="18">
        <f>_xll.ciqfunctions.udf.CIQ($C$2,"IQ_OPEB_HEALTH_COST_TREND_ULTIMATE_FOREIGN",H$6,$F$2)</f>
        <v>0</v>
      </c>
      <c r="I1122" s="18">
        <f>_xll.ciqfunctions.udf.CIQ($C$2,"IQ_OPEB_HEALTH_COST_TREND_ULTIMATE_FOREIGN",I$6,$F$2)</f>
        <v>0</v>
      </c>
      <c r="J1122" s="18">
        <f>_xll.ciqfunctions.udf.CIQ($C$2,"IQ_OPEB_HEALTH_COST_TREND_ULTIMATE_FOREIGN",J$6,$F$2)</f>
        <v>0</v>
      </c>
      <c r="K1122" s="18">
        <f>_xll.ciqfunctions.udf.CIQ($C$2,"IQ_OPEB_HEALTH_COST_TREND_ULTIMATE_FOREIGN",K$6,$F$2)</f>
        <v>0</v>
      </c>
      <c r="L1122" s="18">
        <f>_xll.ciqfunctions.udf.CIQ($C$2,"IQ_OPEB_HEALTH_COST_TREND_ULTIMATE_FOREIGN",L$6,$F$2)</f>
        <v>0</v>
      </c>
      <c r="M1122" s="18">
        <f>_xll.ciqfunctions.udf.CIQ($C$2,"IQ_OPEB_HEALTH_COST_TREND_ULTIMATE_FOREIGN",M$6,$F$2)</f>
        <v>0</v>
      </c>
      <c r="N1122" s="18">
        <f>_xll.ciqfunctions.udf.CIQ($C$2,"IQ_OPEB_HEALTH_COST_TREND_ULTIMATE_FOREIGN",N$6,$F$2)</f>
        <v>0</v>
      </c>
      <c r="O1122" s="30"/>
      <c r="P1122" s="18">
        <f>_xll.ciqfunctions.udf.CIQ($C$2,"IQ_OPEB_HEALTH_COST_TREND_ULTIMATE_FOREIGN",P$6,$F$2)</f>
        <v>0</v>
      </c>
      <c r="Q1122" s="215"/>
      <c r="R1122" s="215"/>
      <c r="S1122" s="215"/>
      <c r="T1122" s="215"/>
      <c r="U1122" s="215"/>
      <c r="V1122" s="222"/>
      <c r="W1122" s="215"/>
      <c r="X1122" s="215"/>
      <c r="Y1122" s="215"/>
      <c r="Z1122" s="215"/>
      <c r="AA1122" s="215"/>
      <c r="AB1122" s="215"/>
      <c r="AC1122" s="215"/>
      <c r="AD1122" s="215"/>
      <c r="AE1122" s="215"/>
      <c r="AF1122" s="215"/>
      <c r="AG1122" s="215"/>
      <c r="AH1122" s="215"/>
      <c r="AI1122" s="215"/>
      <c r="AJ1122" s="215"/>
      <c r="AK1122" s="215"/>
      <c r="AL1122" s="215"/>
      <c r="AM1122" s="215"/>
      <c r="AN1122" s="215"/>
      <c r="AO1122" s="215"/>
      <c r="AP1122" s="215"/>
      <c r="AQ1122" s="215"/>
      <c r="AR1122" s="215"/>
      <c r="AS1122" s="215"/>
      <c r="AT1122" s="215"/>
      <c r="AU1122" s="215"/>
      <c r="AV1122" s="215"/>
      <c r="AW1122" s="215"/>
      <c r="AX1122" s="215"/>
      <c r="AY1122" s="215"/>
      <c r="AZ1122" s="215"/>
      <c r="BA1122" s="215"/>
      <c r="BB1122" s="215"/>
      <c r="BC1122" s="215"/>
      <c r="BD1122" s="215"/>
      <c r="BE1122" s="215"/>
      <c r="BF1122" s="215"/>
      <c r="BG1122" s="215"/>
      <c r="BH1122" s="215"/>
      <c r="BI1122" s="215"/>
      <c r="BJ1122" s="215"/>
      <c r="BK1122" s="215"/>
      <c r="BL1122" s="215"/>
      <c r="BM1122" s="215"/>
      <c r="BN1122" s="215"/>
      <c r="BO1122" s="215"/>
      <c r="BP1122" s="215"/>
      <c r="BQ1122" s="215"/>
      <c r="BR1122" s="215"/>
      <c r="BS1122" s="215"/>
      <c r="BT1122" s="215"/>
      <c r="BU1122" s="215"/>
      <c r="BV1122" s="215"/>
      <c r="BW1122" s="215"/>
      <c r="BX1122" s="215"/>
      <c r="BY1122" s="215"/>
      <c r="BZ1122" s="215"/>
    </row>
    <row r="1123" spans="1:78" x14ac:dyDescent="0.2">
      <c r="A1123" s="2" t="str">
        <f>'Language Index'!A583</f>
        <v>Benefit Info Date</v>
      </c>
      <c r="B1123" s="17"/>
      <c r="C1123" s="17"/>
      <c r="D1123" s="35" t="str">
        <f>IF(_xll.ciqfunctions.udf.CIQ($C$2,"IQ_OPEB_BENEFIT_INFO_DATE_FOREIGN",D$6,$F$2)=0,"NA ",_xll.ciqfunctions.udf.CIQ($C$2,"IQ_OPEB_BENEFIT_INFO_DATE_FOREIGN",D$6,$F$2))</f>
        <v xml:space="preserve">NA </v>
      </c>
      <c r="E1123" s="35" t="str">
        <f>IF(_xll.ciqfunctions.udf.CIQ($C$2,"IQ_OPEB_BENEFIT_INFO_DATE_FOREIGN",E$6,$F$2)=0,"NA ",_xll.ciqfunctions.udf.CIQ($C$2,"IQ_OPEB_BENEFIT_INFO_DATE_FOREIGN",E$6,$F$2))</f>
        <v xml:space="preserve">NA </v>
      </c>
      <c r="F1123" s="35">
        <f>IF(_xll.ciqfunctions.udf.CIQ($C$2,"IQ_OPEB_BENEFIT_INFO_DATE_FOREIGN",F$6,$F$2)=0,"NA ",_xll.ciqfunctions.udf.CIQ($C$2,"IQ_OPEB_BENEFIT_INFO_DATE_FOREIGN",F$6,$F$2))</f>
        <v>45291</v>
      </c>
      <c r="G1123" s="35" t="str">
        <f>IF(_xll.ciqfunctions.udf.CIQ($C$2,"IQ_OPEB_BENEFIT_INFO_DATE_FOREIGN",G$6,$F$2)=0,"NA ",_xll.ciqfunctions.udf.CIQ($C$2,"IQ_OPEB_BENEFIT_INFO_DATE_FOREIGN",G$6,$F$2))</f>
        <v xml:space="preserve">NA </v>
      </c>
      <c r="H1123" s="35" t="str">
        <f>IF(_xll.ciqfunctions.udf.CIQ($C$2,"IQ_OPEB_BENEFIT_INFO_DATE_FOREIGN",H$6,$F$2)=0,"NA ",_xll.ciqfunctions.udf.CIQ($C$2,"IQ_OPEB_BENEFIT_INFO_DATE_FOREIGN",H$6,$F$2))</f>
        <v xml:space="preserve">NA </v>
      </c>
      <c r="I1123" s="35" t="str">
        <f>IF(_xll.ciqfunctions.udf.CIQ($C$2,"IQ_OPEB_BENEFIT_INFO_DATE_FOREIGN",I$6,$F$2)=0,"NA ",_xll.ciqfunctions.udf.CIQ($C$2,"IQ_OPEB_BENEFIT_INFO_DATE_FOREIGN",I$6,$F$2))</f>
        <v xml:space="preserve">NA </v>
      </c>
      <c r="J1123" s="35">
        <f>IF(_xll.ciqfunctions.udf.CIQ($C$2,"IQ_OPEB_BENEFIT_INFO_DATE_FOREIGN",J$6,$F$2)=0,"NA ",_xll.ciqfunctions.udf.CIQ($C$2,"IQ_OPEB_BENEFIT_INFO_DATE_FOREIGN",J$6,$F$2))</f>
        <v>45657</v>
      </c>
      <c r="K1123" s="35" t="str">
        <f>IF(_xll.ciqfunctions.udf.CIQ($C$2,"IQ_OPEB_BENEFIT_INFO_DATE_FOREIGN",K$6,$F$2)=0,"NA ",_xll.ciqfunctions.udf.CIQ($C$2,"IQ_OPEB_BENEFIT_INFO_DATE_FOREIGN",K$6,$F$2))</f>
        <v xml:space="preserve">NA </v>
      </c>
      <c r="L1123" s="35" t="str">
        <f>IF(_xll.ciqfunctions.udf.CIQ($C$2,"IQ_OPEB_BENEFIT_INFO_DATE_FOREIGN",L$6,$F$2)=0,"NA ",_xll.ciqfunctions.udf.CIQ($C$2,"IQ_OPEB_BENEFIT_INFO_DATE_FOREIGN",L$6,$F$2))</f>
        <v xml:space="preserve">NA </v>
      </c>
      <c r="M1123" s="35" t="str">
        <f>IF(_xll.ciqfunctions.udf.CIQ($C$2,"IQ_OPEB_BENEFIT_INFO_DATE_FOREIGN",M$6,$F$2)=0,"NA ",_xll.ciqfunctions.udf.CIQ($C$2,"IQ_OPEB_BENEFIT_INFO_DATE_FOREIGN",M$6,$F$2))</f>
        <v xml:space="preserve">NA </v>
      </c>
      <c r="N1123" s="35">
        <f>IF(_xll.ciqfunctions.udf.CIQ($C$2,"IQ_OPEB_BENEFIT_INFO_DATE_FOREIGN",N$6,$F$2)=0,"NA ",_xll.ciqfunctions.udf.CIQ($C$2,"IQ_OPEB_BENEFIT_INFO_DATE_FOREIGN",N$6,$F$2))</f>
        <v>46022</v>
      </c>
      <c r="O1123" s="35"/>
      <c r="P1123" s="35">
        <f>IF(_xll.ciqfunctions.udf.CIQ($C$2,"IQ_OPEB_BENEFIT_INFO_DATE_FOREIGN",P$6,$F$2)=0,"NA ",_xll.ciqfunctions.udf.CIQ($C$2,"IQ_OPEB_BENEFIT_INFO_DATE_FOREIGN",P$6,$F$2))</f>
        <v>46022</v>
      </c>
      <c r="Q1123" s="215"/>
      <c r="R1123" s="215"/>
      <c r="S1123" s="215"/>
      <c r="T1123" s="215"/>
      <c r="U1123" s="215"/>
      <c r="V1123" s="222"/>
      <c r="W1123" s="215"/>
      <c r="X1123" s="215"/>
      <c r="Y1123" s="215"/>
      <c r="Z1123" s="215"/>
      <c r="AA1123" s="215"/>
      <c r="AB1123" s="215"/>
      <c r="AC1123" s="215"/>
      <c r="AD1123" s="215"/>
      <c r="AE1123" s="215"/>
      <c r="AF1123" s="215"/>
      <c r="AG1123" s="215"/>
      <c r="AH1123" s="215"/>
      <c r="AI1123" s="215"/>
      <c r="AJ1123" s="215"/>
      <c r="AK1123" s="215"/>
      <c r="AL1123" s="215"/>
      <c r="AM1123" s="215"/>
      <c r="AN1123" s="215"/>
      <c r="AO1123" s="215"/>
      <c r="AP1123" s="215"/>
      <c r="AQ1123" s="215"/>
      <c r="AR1123" s="215"/>
      <c r="AS1123" s="215"/>
      <c r="AT1123" s="215"/>
      <c r="AU1123" s="215"/>
      <c r="AV1123" s="215"/>
      <c r="AW1123" s="215"/>
      <c r="AX1123" s="215"/>
      <c r="AY1123" s="215"/>
      <c r="AZ1123" s="215"/>
      <c r="BA1123" s="215"/>
      <c r="BB1123" s="215"/>
      <c r="BC1123" s="215"/>
      <c r="BD1123" s="215"/>
      <c r="BE1123" s="215"/>
      <c r="BF1123" s="215"/>
      <c r="BG1123" s="215"/>
      <c r="BH1123" s="215"/>
      <c r="BI1123" s="215"/>
      <c r="BJ1123" s="215"/>
      <c r="BK1123" s="215"/>
      <c r="BL1123" s="215"/>
      <c r="BM1123" s="215"/>
      <c r="BN1123" s="215"/>
      <c r="BO1123" s="215"/>
      <c r="BP1123" s="215"/>
      <c r="BQ1123" s="215"/>
      <c r="BR1123" s="215"/>
      <c r="BS1123" s="215"/>
      <c r="BT1123" s="215"/>
      <c r="BU1123" s="215"/>
      <c r="BV1123" s="215"/>
      <c r="BW1123" s="215"/>
      <c r="BX1123" s="215"/>
      <c r="BY1123" s="215"/>
      <c r="BZ1123" s="215"/>
    </row>
    <row r="1124" spans="1:78" outlineLevel="1" x14ac:dyDescent="0.2">
      <c r="A1124" s="32"/>
      <c r="B1124" s="1"/>
      <c r="C1124" s="1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15"/>
      <c r="R1124" s="215"/>
      <c r="S1124" s="215"/>
      <c r="T1124" s="215"/>
      <c r="U1124" s="215"/>
      <c r="V1124" s="222"/>
      <c r="W1124" s="215"/>
      <c r="X1124" s="215"/>
      <c r="Y1124" s="215"/>
      <c r="Z1124" s="215"/>
      <c r="AA1124" s="215"/>
      <c r="AB1124" s="215"/>
      <c r="AC1124" s="215"/>
      <c r="AD1124" s="215"/>
      <c r="AE1124" s="215"/>
      <c r="AF1124" s="215"/>
      <c r="AG1124" s="215"/>
      <c r="AH1124" s="215"/>
      <c r="AI1124" s="215"/>
      <c r="AJ1124" s="215"/>
      <c r="AK1124" s="215"/>
      <c r="AL1124" s="215"/>
      <c r="AM1124" s="215"/>
      <c r="AN1124" s="215"/>
      <c r="AO1124" s="215"/>
      <c r="AP1124" s="215"/>
      <c r="AQ1124" s="215"/>
      <c r="AR1124" s="215"/>
      <c r="AS1124" s="215"/>
      <c r="AT1124" s="215"/>
      <c r="AU1124" s="215"/>
      <c r="AV1124" s="215"/>
      <c r="AW1124" s="215"/>
      <c r="AX1124" s="215"/>
      <c r="AY1124" s="215"/>
      <c r="AZ1124" s="215"/>
      <c r="BA1124" s="215"/>
      <c r="BB1124" s="215"/>
      <c r="BC1124" s="215"/>
      <c r="BD1124" s="215"/>
      <c r="BE1124" s="215"/>
      <c r="BF1124" s="215"/>
      <c r="BG1124" s="215"/>
      <c r="BH1124" s="215"/>
      <c r="BI1124" s="215"/>
      <c r="BJ1124" s="215"/>
      <c r="BK1124" s="215"/>
      <c r="BL1124" s="215"/>
      <c r="BM1124" s="215"/>
      <c r="BN1124" s="215"/>
      <c r="BO1124" s="215"/>
      <c r="BP1124" s="215"/>
      <c r="BQ1124" s="215"/>
      <c r="BR1124" s="215"/>
      <c r="BS1124" s="215"/>
      <c r="BT1124" s="215"/>
      <c r="BU1124" s="215"/>
      <c r="BV1124" s="215"/>
      <c r="BW1124" s="215"/>
      <c r="BX1124" s="215"/>
      <c r="BY1124" s="215"/>
      <c r="BZ1124" s="215"/>
    </row>
    <row r="1125" spans="1:78" outlineLevel="1" x14ac:dyDescent="0.2">
      <c r="A1125" s="1"/>
      <c r="B1125" s="1"/>
      <c r="C1125" s="1"/>
      <c r="D1125" s="14" t="str">
        <f>$D$9</f>
        <v>Last Twelve Months Ended,</v>
      </c>
      <c r="E1125" s="14"/>
      <c r="F1125" s="15"/>
      <c r="G1125" s="15"/>
      <c r="H1125" s="15"/>
      <c r="I1125" s="15"/>
      <c r="J1125" s="15"/>
      <c r="K1125" s="15"/>
      <c r="L1125" s="15"/>
      <c r="M1125" s="15"/>
      <c r="N1125" s="15"/>
      <c r="O1125" s="4"/>
      <c r="P1125" s="14" t="str">
        <f>P548</f>
        <v>LTM</v>
      </c>
      <c r="Q1125" s="215"/>
      <c r="R1125" s="215"/>
      <c r="S1125" s="215"/>
      <c r="T1125" s="215"/>
      <c r="U1125" s="215"/>
      <c r="V1125" s="222"/>
      <c r="W1125" s="215"/>
      <c r="X1125" s="215"/>
      <c r="Y1125" s="215"/>
      <c r="Z1125" s="215"/>
      <c r="AA1125" s="215"/>
      <c r="AB1125" s="215"/>
      <c r="AC1125" s="215"/>
      <c r="AD1125" s="215"/>
      <c r="AE1125" s="215"/>
      <c r="AF1125" s="215"/>
      <c r="AG1125" s="215"/>
      <c r="AH1125" s="215"/>
      <c r="AI1125" s="215"/>
      <c r="AJ1125" s="215"/>
      <c r="AK1125" s="215"/>
      <c r="AL1125" s="215"/>
      <c r="AM1125" s="215"/>
      <c r="AN1125" s="215"/>
      <c r="AO1125" s="215"/>
      <c r="AP1125" s="215"/>
      <c r="AQ1125" s="215"/>
      <c r="AR1125" s="215"/>
      <c r="AS1125" s="215"/>
      <c r="AT1125" s="215"/>
      <c r="AU1125" s="215"/>
      <c r="AV1125" s="215"/>
      <c r="AW1125" s="215"/>
      <c r="AX1125" s="215"/>
      <c r="AY1125" s="215"/>
      <c r="AZ1125" s="215"/>
      <c r="BA1125" s="215"/>
      <c r="BB1125" s="215"/>
      <c r="BC1125" s="215"/>
      <c r="BD1125" s="215"/>
      <c r="BE1125" s="215"/>
      <c r="BF1125" s="215"/>
      <c r="BG1125" s="215"/>
      <c r="BH1125" s="215"/>
      <c r="BI1125" s="215"/>
      <c r="BJ1125" s="215"/>
      <c r="BK1125" s="215"/>
      <c r="BL1125" s="215"/>
      <c r="BM1125" s="215"/>
      <c r="BN1125" s="215"/>
      <c r="BO1125" s="215"/>
      <c r="BP1125" s="215"/>
      <c r="BQ1125" s="215"/>
      <c r="BR1125" s="215"/>
      <c r="BS1125" s="215"/>
      <c r="BT1125" s="215"/>
      <c r="BU1125" s="215"/>
      <c r="BV1125" s="215"/>
      <c r="BW1125" s="215"/>
      <c r="BX1125" s="215"/>
      <c r="BY1125" s="215"/>
      <c r="BZ1125" s="215"/>
    </row>
    <row r="1126" spans="1:78" outlineLevel="1" x14ac:dyDescent="0.2">
      <c r="A1126" s="1"/>
      <c r="B1126" s="1"/>
      <c r="C1126" s="1"/>
      <c r="D1126" s="64">
        <f>_xll.ciqfunctions.udf.CIQ($C$2, "IQ_PERIODDATE",D$6,$F$2)</f>
        <v>45107</v>
      </c>
      <c r="E1126" s="64">
        <f>_xll.ciqfunctions.udf.CIQ($C$2, "IQ_PERIODDATE",E$6,$F$2)</f>
        <v>45199</v>
      </c>
      <c r="F1126" s="64">
        <f>_xll.ciqfunctions.udf.CIQ($C$2, "IQ_PERIODDATE",F$6,$F$2)</f>
        <v>45291</v>
      </c>
      <c r="G1126" s="64">
        <f>_xll.ciqfunctions.udf.CIQ($C$2, "IQ_PERIODDATE",G$6,$F$2)</f>
        <v>45382</v>
      </c>
      <c r="H1126" s="64">
        <f>_xll.ciqfunctions.udf.CIQ($C$2, "IQ_PERIODDATE",H$6,$F$2)</f>
        <v>45473</v>
      </c>
      <c r="I1126" s="64">
        <f>_xll.ciqfunctions.udf.CIQ($C$2, "IQ_PERIODDATE",I$6,$F$2)</f>
        <v>45565</v>
      </c>
      <c r="J1126" s="64">
        <f>_xll.ciqfunctions.udf.CIQ($C$2, "IQ_PERIODDATE",J$6,$F$2)</f>
        <v>45657</v>
      </c>
      <c r="K1126" s="64">
        <f>_xll.ciqfunctions.udf.CIQ($C$2, "IQ_PERIODDATE",K$6,$F$2)</f>
        <v>45747</v>
      </c>
      <c r="L1126" s="64">
        <f>_xll.ciqfunctions.udf.CIQ($C$2, "IQ_PERIODDATE",L$6,$F$2)</f>
        <v>45838</v>
      </c>
      <c r="M1126" s="64">
        <f>_xll.ciqfunctions.udf.CIQ($C$2, "IQ_PERIODDATE",M$6,$F$2)</f>
        <v>45930</v>
      </c>
      <c r="N1126" s="64">
        <f>_xll.ciqfunctions.udf.CIQ($C$2, "IQ_PERIODDATE",N$6,$F$2)</f>
        <v>46022</v>
      </c>
      <c r="O1126" s="65"/>
      <c r="P1126" s="64">
        <f>_xll.ciqfunctions.udf.CIQ($C$2, "IQ_PERIODDATE",P$6,$F$2)</f>
        <v>46022</v>
      </c>
      <c r="Q1126" s="215"/>
      <c r="R1126" s="215"/>
      <c r="S1126" s="215"/>
      <c r="T1126" s="215"/>
      <c r="U1126" s="215"/>
      <c r="V1126" s="222"/>
      <c r="W1126" s="215"/>
      <c r="X1126" s="215"/>
      <c r="Y1126" s="215"/>
      <c r="Z1126" s="215"/>
      <c r="AA1126" s="215"/>
      <c r="AB1126" s="215"/>
      <c r="AC1126" s="215"/>
      <c r="AD1126" s="215"/>
      <c r="AE1126" s="215"/>
      <c r="AF1126" s="215"/>
      <c r="AG1126" s="215"/>
      <c r="AH1126" s="215"/>
      <c r="AI1126" s="215"/>
      <c r="AJ1126" s="215"/>
      <c r="AK1126" s="215"/>
      <c r="AL1126" s="215"/>
      <c r="AM1126" s="215"/>
      <c r="AN1126" s="215"/>
      <c r="AO1126" s="215"/>
      <c r="AP1126" s="215"/>
      <c r="AQ1126" s="215"/>
      <c r="AR1126" s="215"/>
      <c r="AS1126" s="215"/>
      <c r="AT1126" s="215"/>
      <c r="AU1126" s="215"/>
      <c r="AV1126" s="215"/>
      <c r="AW1126" s="215"/>
      <c r="AX1126" s="215"/>
      <c r="AY1126" s="215"/>
      <c r="AZ1126" s="215"/>
      <c r="BA1126" s="215"/>
      <c r="BB1126" s="215"/>
      <c r="BC1126" s="215"/>
      <c r="BD1126" s="215"/>
      <c r="BE1126" s="215"/>
      <c r="BF1126" s="215"/>
      <c r="BG1126" s="215"/>
      <c r="BH1126" s="215"/>
      <c r="BI1126" s="215"/>
      <c r="BJ1126" s="215"/>
      <c r="BK1126" s="215"/>
      <c r="BL1126" s="215"/>
      <c r="BM1126" s="215"/>
      <c r="BN1126" s="215"/>
      <c r="BO1126" s="215"/>
      <c r="BP1126" s="215"/>
      <c r="BQ1126" s="215"/>
      <c r="BR1126" s="215"/>
      <c r="BS1126" s="215"/>
      <c r="BT1126" s="215"/>
      <c r="BU1126" s="215"/>
      <c r="BV1126" s="215"/>
      <c r="BW1126" s="215"/>
      <c r="BX1126" s="215"/>
      <c r="BY1126" s="215"/>
      <c r="BZ1126" s="215"/>
    </row>
    <row r="1127" spans="1:78" outlineLevel="1" x14ac:dyDescent="0.2">
      <c r="A1127" s="9" t="str">
        <f>'Language Index'!A606</f>
        <v>Assets Under Management</v>
      </c>
      <c r="B1127" s="1"/>
      <c r="C1127" s="1"/>
      <c r="D1127" s="52"/>
      <c r="E1127" s="52"/>
      <c r="F1127" s="52"/>
      <c r="G1127" s="52"/>
      <c r="H1127" s="52"/>
      <c r="I1127" s="52"/>
      <c r="J1127" s="52"/>
      <c r="K1127" s="52"/>
      <c r="L1127" s="52"/>
      <c r="M1127" s="52"/>
      <c r="N1127" s="52"/>
      <c r="O1127" s="3"/>
      <c r="P1127" s="52"/>
      <c r="Q1127" s="215"/>
      <c r="R1127" s="215"/>
      <c r="S1127" s="215"/>
      <c r="T1127" s="215"/>
      <c r="U1127" s="215"/>
      <c r="V1127" s="222"/>
      <c r="W1127" s="215"/>
      <c r="X1127" s="215"/>
      <c r="Y1127" s="215"/>
      <c r="Z1127" s="215"/>
      <c r="AA1127" s="215"/>
      <c r="AB1127" s="215"/>
      <c r="AC1127" s="215"/>
      <c r="AD1127" s="215"/>
      <c r="AE1127" s="215"/>
      <c r="AF1127" s="215"/>
      <c r="AG1127" s="215"/>
      <c r="AH1127" s="215"/>
      <c r="AI1127" s="215"/>
      <c r="AJ1127" s="215"/>
      <c r="AK1127" s="215"/>
      <c r="AL1127" s="215"/>
      <c r="AM1127" s="215"/>
      <c r="AN1127" s="215"/>
      <c r="AO1127" s="215"/>
      <c r="AP1127" s="215"/>
      <c r="AQ1127" s="215"/>
      <c r="AR1127" s="215"/>
      <c r="AS1127" s="215"/>
      <c r="AT1127" s="215"/>
      <c r="AU1127" s="215"/>
      <c r="AV1127" s="215"/>
      <c r="AW1127" s="215"/>
      <c r="AX1127" s="215"/>
      <c r="AY1127" s="215"/>
      <c r="AZ1127" s="215"/>
      <c r="BA1127" s="215"/>
      <c r="BB1127" s="215"/>
      <c r="BC1127" s="215"/>
      <c r="BD1127" s="215"/>
      <c r="BE1127" s="215"/>
      <c r="BF1127" s="215"/>
      <c r="BG1127" s="215"/>
      <c r="BH1127" s="215"/>
      <c r="BI1127" s="215"/>
      <c r="BJ1127" s="215"/>
      <c r="BK1127" s="215"/>
      <c r="BL1127" s="215"/>
      <c r="BM1127" s="215"/>
      <c r="BN1127" s="215"/>
      <c r="BO1127" s="215"/>
      <c r="BP1127" s="215"/>
      <c r="BQ1127" s="215"/>
      <c r="BR1127" s="215"/>
      <c r="BS1127" s="215"/>
      <c r="BT1127" s="215"/>
      <c r="BU1127" s="215"/>
      <c r="BV1127" s="215"/>
      <c r="BW1127" s="215"/>
      <c r="BX1127" s="215"/>
      <c r="BY1127" s="215"/>
      <c r="BZ1127" s="215"/>
    </row>
    <row r="1128" spans="1:78" outlineLevel="1" x14ac:dyDescent="0.2">
      <c r="A1128" s="53" t="str">
        <f>'Language Index'!A607</f>
        <v>Assets Under Management - Equity</v>
      </c>
      <c r="B1128" s="2"/>
      <c r="C1128" s="2"/>
      <c r="D1128" s="18">
        <f>_xll.ciqfunctions.udf.CIQ($C$2, "IQ_AUM_EQUITY_FUNDS", D$6,$F$2,,,Ccy,Conv)</f>
        <v>0</v>
      </c>
      <c r="E1128" s="18">
        <f>_xll.ciqfunctions.udf.CIQ($C$2, "IQ_AUM_EQUITY_FUNDS", E$6,$F$2,,,Ccy,Conv)</f>
        <v>0</v>
      </c>
      <c r="F1128" s="18">
        <f>_xll.ciqfunctions.udf.CIQ($C$2, "IQ_AUM_EQUITY_FUNDS", F$6,$F$2,,,Ccy,Conv)</f>
        <v>0</v>
      </c>
      <c r="G1128" s="18">
        <f>_xll.ciqfunctions.udf.CIQ($C$2, "IQ_AUM_EQUITY_FUNDS", G$6,$F$2,,,Ccy,Conv)</f>
        <v>0</v>
      </c>
      <c r="H1128" s="18">
        <f>_xll.ciqfunctions.udf.CIQ($C$2, "IQ_AUM_EQUITY_FUNDS", H$6,$F$2,,,Ccy,Conv)</f>
        <v>0</v>
      </c>
      <c r="I1128" s="18">
        <f>_xll.ciqfunctions.udf.CIQ($C$2, "IQ_AUM_EQUITY_FUNDS", I$6,$F$2,,,Ccy,Conv)</f>
        <v>0</v>
      </c>
      <c r="J1128" s="18">
        <f>_xll.ciqfunctions.udf.CIQ($C$2, "IQ_AUM_EQUITY_FUNDS", J$6,$F$2,,,Ccy,Conv)</f>
        <v>0</v>
      </c>
      <c r="K1128" s="18">
        <f>_xll.ciqfunctions.udf.CIQ($C$2, "IQ_AUM_EQUITY_FUNDS", K$6,$F$2,,,Ccy,Conv)</f>
        <v>0</v>
      </c>
      <c r="L1128" s="18">
        <f>_xll.ciqfunctions.udf.CIQ($C$2, "IQ_AUM_EQUITY_FUNDS", L$6,$F$2,,,Ccy,Conv)</f>
        <v>0</v>
      </c>
      <c r="M1128" s="18">
        <f>_xll.ciqfunctions.udf.CIQ($C$2, "IQ_AUM_EQUITY_FUNDS", M$6,$F$2,,,Ccy,Conv)</f>
        <v>0</v>
      </c>
      <c r="N1128" s="18">
        <f>_xll.ciqfunctions.udf.CIQ($C$2, "IQ_AUM_EQUITY_FUNDS", N$6,$F$2,,,Ccy,Conv)</f>
        <v>0</v>
      </c>
      <c r="O1128" s="2"/>
      <c r="P1128" s="18">
        <f>_xll.ciqfunctions.udf.CIQ($C$2, "IQ_AUM_EQUITY_FUNDS", P$6,$F$2,,,Ccy,Conv)</f>
        <v>0</v>
      </c>
      <c r="Q1128" s="215"/>
      <c r="R1128" s="215"/>
      <c r="S1128" s="215"/>
      <c r="T1128" s="215"/>
      <c r="U1128" s="215"/>
      <c r="V1128" s="222"/>
      <c r="W1128" s="215"/>
      <c r="X1128" s="215"/>
      <c r="Y1128" s="215"/>
      <c r="Z1128" s="215"/>
      <c r="AA1128" s="215"/>
      <c r="AB1128" s="215"/>
      <c r="AC1128" s="215"/>
      <c r="AD1128" s="215"/>
      <c r="AE1128" s="215"/>
      <c r="AF1128" s="215"/>
      <c r="AG1128" s="215"/>
      <c r="AH1128" s="215"/>
      <c r="AI1128" s="215"/>
      <c r="AJ1128" s="215"/>
      <c r="AK1128" s="215"/>
      <c r="AL1128" s="215"/>
      <c r="AM1128" s="215"/>
      <c r="AN1128" s="215"/>
      <c r="AO1128" s="215"/>
      <c r="AP1128" s="215"/>
      <c r="AQ1128" s="215"/>
      <c r="AR1128" s="215"/>
      <c r="AS1128" s="215"/>
      <c r="AT1128" s="215"/>
      <c r="AU1128" s="215"/>
      <c r="AV1128" s="215"/>
      <c r="AW1128" s="215"/>
      <c r="AX1128" s="215"/>
      <c r="AY1128" s="215"/>
      <c r="AZ1128" s="215"/>
      <c r="BA1128" s="215"/>
      <c r="BB1128" s="215"/>
      <c r="BC1128" s="215"/>
      <c r="BD1128" s="215"/>
      <c r="BE1128" s="215"/>
      <c r="BF1128" s="215"/>
      <c r="BG1128" s="215"/>
      <c r="BH1128" s="215"/>
      <c r="BI1128" s="215"/>
      <c r="BJ1128" s="215"/>
      <c r="BK1128" s="215"/>
      <c r="BL1128" s="215"/>
      <c r="BM1128" s="215"/>
      <c r="BN1128" s="215"/>
      <c r="BO1128" s="215"/>
      <c r="BP1128" s="215"/>
      <c r="BQ1128" s="215"/>
      <c r="BR1128" s="215"/>
      <c r="BS1128" s="215"/>
      <c r="BT1128" s="215"/>
      <c r="BU1128" s="215"/>
      <c r="BV1128" s="215"/>
      <c r="BW1128" s="215"/>
      <c r="BX1128" s="215"/>
      <c r="BY1128" s="215"/>
      <c r="BZ1128" s="215"/>
    </row>
    <row r="1129" spans="1:78" outlineLevel="1" x14ac:dyDescent="0.2">
      <c r="A1129" s="53" t="str">
        <f>'Language Index'!A608</f>
        <v>Assets Under Management - Fixed</v>
      </c>
      <c r="B1129" s="2"/>
      <c r="C1129" s="2"/>
      <c r="D1129" s="18">
        <f>_xll.ciqfunctions.udf.CIQ($C$2, "IQ_AUM_FIXED_INCOME_FUNDS", D$6,$F$2,,,Ccy,Conv)</f>
        <v>0</v>
      </c>
      <c r="E1129" s="18">
        <f>_xll.ciqfunctions.udf.CIQ($C$2, "IQ_AUM_FIXED_INCOME_FUNDS", E$6,$F$2,,,Ccy,Conv)</f>
        <v>0</v>
      </c>
      <c r="F1129" s="18">
        <f>_xll.ciqfunctions.udf.CIQ($C$2, "IQ_AUM_FIXED_INCOME_FUNDS", F$6,$F$2,,,Ccy,Conv)</f>
        <v>0</v>
      </c>
      <c r="G1129" s="18">
        <f>_xll.ciqfunctions.udf.CIQ($C$2, "IQ_AUM_FIXED_INCOME_FUNDS", G$6,$F$2,,,Ccy,Conv)</f>
        <v>0</v>
      </c>
      <c r="H1129" s="18">
        <f>_xll.ciqfunctions.udf.CIQ($C$2, "IQ_AUM_FIXED_INCOME_FUNDS", H$6,$F$2,,,Ccy,Conv)</f>
        <v>0</v>
      </c>
      <c r="I1129" s="18">
        <f>_xll.ciqfunctions.udf.CIQ($C$2, "IQ_AUM_FIXED_INCOME_FUNDS", I$6,$F$2,,,Ccy,Conv)</f>
        <v>0</v>
      </c>
      <c r="J1129" s="18">
        <f>_xll.ciqfunctions.udf.CIQ($C$2, "IQ_AUM_FIXED_INCOME_FUNDS", J$6,$F$2,,,Ccy,Conv)</f>
        <v>0</v>
      </c>
      <c r="K1129" s="18">
        <f>_xll.ciqfunctions.udf.CIQ($C$2, "IQ_AUM_FIXED_INCOME_FUNDS", K$6,$F$2,,,Ccy,Conv)</f>
        <v>0</v>
      </c>
      <c r="L1129" s="18">
        <f>_xll.ciqfunctions.udf.CIQ($C$2, "IQ_AUM_FIXED_INCOME_FUNDS", L$6,$F$2,,,Ccy,Conv)</f>
        <v>0</v>
      </c>
      <c r="M1129" s="18">
        <f>_xll.ciqfunctions.udf.CIQ($C$2, "IQ_AUM_FIXED_INCOME_FUNDS", M$6,$F$2,,,Ccy,Conv)</f>
        <v>0</v>
      </c>
      <c r="N1129" s="18">
        <f>_xll.ciqfunctions.udf.CIQ($C$2, "IQ_AUM_FIXED_INCOME_FUNDS", N$6,$F$2,,,Ccy,Conv)</f>
        <v>0</v>
      </c>
      <c r="O1129" s="2"/>
      <c r="P1129" s="18">
        <f>_xll.ciqfunctions.udf.CIQ($C$2, "IQ_AUM_FIXED_INCOME_FUNDS", P$6,$F$2,,,Ccy,Conv)</f>
        <v>0</v>
      </c>
      <c r="Q1129" s="215"/>
      <c r="R1129" s="215"/>
      <c r="S1129" s="215"/>
      <c r="T1129" s="215"/>
      <c r="U1129" s="215"/>
      <c r="V1129" s="222"/>
      <c r="W1129" s="215"/>
      <c r="X1129" s="215"/>
      <c r="Y1129" s="215"/>
      <c r="Z1129" s="215"/>
      <c r="AA1129" s="215"/>
      <c r="AB1129" s="215"/>
      <c r="AC1129" s="215"/>
      <c r="AD1129" s="215"/>
      <c r="AE1129" s="215"/>
      <c r="AF1129" s="215"/>
      <c r="AG1129" s="215"/>
      <c r="AH1129" s="215"/>
      <c r="AI1129" s="215"/>
      <c r="AJ1129" s="215"/>
      <c r="AK1129" s="215"/>
      <c r="AL1129" s="215"/>
      <c r="AM1129" s="215"/>
      <c r="AN1129" s="215"/>
      <c r="AO1129" s="215"/>
      <c r="AP1129" s="215"/>
      <c r="AQ1129" s="215"/>
      <c r="AR1129" s="215"/>
      <c r="AS1129" s="215"/>
      <c r="AT1129" s="215"/>
      <c r="AU1129" s="215"/>
      <c r="AV1129" s="215"/>
      <c r="AW1129" s="215"/>
      <c r="AX1129" s="215"/>
      <c r="AY1129" s="215"/>
      <c r="AZ1129" s="215"/>
      <c r="BA1129" s="215"/>
      <c r="BB1129" s="215"/>
      <c r="BC1129" s="215"/>
      <c r="BD1129" s="215"/>
      <c r="BE1129" s="215"/>
      <c r="BF1129" s="215"/>
      <c r="BG1129" s="215"/>
      <c r="BH1129" s="215"/>
      <c r="BI1129" s="215"/>
      <c r="BJ1129" s="215"/>
      <c r="BK1129" s="215"/>
      <c r="BL1129" s="215"/>
      <c r="BM1129" s="215"/>
      <c r="BN1129" s="215"/>
      <c r="BO1129" s="215"/>
      <c r="BP1129" s="215"/>
      <c r="BQ1129" s="215"/>
      <c r="BR1129" s="215"/>
      <c r="BS1129" s="215"/>
      <c r="BT1129" s="215"/>
      <c r="BU1129" s="215"/>
      <c r="BV1129" s="215"/>
      <c r="BW1129" s="215"/>
      <c r="BX1129" s="215"/>
      <c r="BY1129" s="215"/>
      <c r="BZ1129" s="215"/>
    </row>
    <row r="1130" spans="1:78" outlineLevel="1" x14ac:dyDescent="0.2">
      <c r="A1130" s="53" t="str">
        <f>'Language Index'!A609</f>
        <v>Assets Under Management - Money Market</v>
      </c>
      <c r="B1130" s="2"/>
      <c r="C1130" s="2"/>
      <c r="D1130" s="18">
        <f>_xll.ciqfunctions.udf.CIQ($C$2, "IQ_AUM_MONEY_MARKET_FUNDS", D$6,$F$2,,,Ccy,Conv)</f>
        <v>0</v>
      </c>
      <c r="E1130" s="18">
        <f>_xll.ciqfunctions.udf.CIQ($C$2, "IQ_AUM_MONEY_MARKET_FUNDS", E$6,$F$2,,,Ccy,Conv)</f>
        <v>0</v>
      </c>
      <c r="F1130" s="18">
        <f>_xll.ciqfunctions.udf.CIQ($C$2, "IQ_AUM_MONEY_MARKET_FUNDS", F$6,$F$2,,,Ccy,Conv)</f>
        <v>0</v>
      </c>
      <c r="G1130" s="18">
        <f>_xll.ciqfunctions.udf.CIQ($C$2, "IQ_AUM_MONEY_MARKET_FUNDS", G$6,$F$2,,,Ccy,Conv)</f>
        <v>0</v>
      </c>
      <c r="H1130" s="18">
        <f>_xll.ciqfunctions.udf.CIQ($C$2, "IQ_AUM_MONEY_MARKET_FUNDS", H$6,$F$2,,,Ccy,Conv)</f>
        <v>0</v>
      </c>
      <c r="I1130" s="18">
        <f>_xll.ciqfunctions.udf.CIQ($C$2, "IQ_AUM_MONEY_MARKET_FUNDS", I$6,$F$2,,,Ccy,Conv)</f>
        <v>0</v>
      </c>
      <c r="J1130" s="18">
        <f>_xll.ciqfunctions.udf.CIQ($C$2, "IQ_AUM_MONEY_MARKET_FUNDS", J$6,$F$2,,,Ccy,Conv)</f>
        <v>0</v>
      </c>
      <c r="K1130" s="18">
        <f>_xll.ciqfunctions.udf.CIQ($C$2, "IQ_AUM_MONEY_MARKET_FUNDS", K$6,$F$2,,,Ccy,Conv)</f>
        <v>0</v>
      </c>
      <c r="L1130" s="18">
        <f>_xll.ciqfunctions.udf.CIQ($C$2, "IQ_AUM_MONEY_MARKET_FUNDS", L$6,$F$2,,,Ccy,Conv)</f>
        <v>0</v>
      </c>
      <c r="M1130" s="18">
        <f>_xll.ciqfunctions.udf.CIQ($C$2, "IQ_AUM_MONEY_MARKET_FUNDS", M$6,$F$2,,,Ccy,Conv)</f>
        <v>0</v>
      </c>
      <c r="N1130" s="18">
        <f>_xll.ciqfunctions.udf.CIQ($C$2, "IQ_AUM_MONEY_MARKET_FUNDS", N$6,$F$2,,,Ccy,Conv)</f>
        <v>0</v>
      </c>
      <c r="O1130" s="2"/>
      <c r="P1130" s="18">
        <f>_xll.ciqfunctions.udf.CIQ($C$2, "IQ_AUM_MONEY_MARKET_FUNDS", P$6,$F$2,,,Ccy,Conv)</f>
        <v>0</v>
      </c>
      <c r="Q1130" s="215"/>
      <c r="R1130" s="215"/>
      <c r="S1130" s="215"/>
      <c r="T1130" s="215"/>
      <c r="U1130" s="215"/>
      <c r="V1130" s="222"/>
      <c r="W1130" s="215"/>
      <c r="X1130" s="215"/>
      <c r="Y1130" s="215"/>
      <c r="Z1130" s="215"/>
      <c r="AA1130" s="215"/>
      <c r="AB1130" s="215"/>
      <c r="AC1130" s="215"/>
      <c r="AD1130" s="215"/>
      <c r="AE1130" s="215"/>
      <c r="AF1130" s="215"/>
      <c r="AG1130" s="215"/>
      <c r="AH1130" s="215"/>
      <c r="AI1130" s="215"/>
      <c r="AJ1130" s="215"/>
      <c r="AK1130" s="215"/>
      <c r="AL1130" s="215"/>
      <c r="AM1130" s="215"/>
      <c r="AN1130" s="215"/>
      <c r="AO1130" s="215"/>
      <c r="AP1130" s="215"/>
      <c r="AQ1130" s="215"/>
      <c r="AR1130" s="215"/>
      <c r="AS1130" s="215"/>
      <c r="AT1130" s="215"/>
      <c r="AU1130" s="215"/>
      <c r="AV1130" s="215"/>
      <c r="AW1130" s="215"/>
      <c r="AX1130" s="215"/>
      <c r="AY1130" s="215"/>
      <c r="AZ1130" s="215"/>
      <c r="BA1130" s="215"/>
      <c r="BB1130" s="215"/>
      <c r="BC1130" s="215"/>
      <c r="BD1130" s="215"/>
      <c r="BE1130" s="215"/>
      <c r="BF1130" s="215"/>
      <c r="BG1130" s="215"/>
      <c r="BH1130" s="215"/>
      <c r="BI1130" s="215"/>
      <c r="BJ1130" s="215"/>
      <c r="BK1130" s="215"/>
      <c r="BL1130" s="215"/>
      <c r="BM1130" s="215"/>
      <c r="BN1130" s="215"/>
      <c r="BO1130" s="215"/>
      <c r="BP1130" s="215"/>
      <c r="BQ1130" s="215"/>
      <c r="BR1130" s="215"/>
      <c r="BS1130" s="215"/>
      <c r="BT1130" s="215"/>
      <c r="BU1130" s="215"/>
      <c r="BV1130" s="215"/>
      <c r="BW1130" s="215"/>
      <c r="BX1130" s="215"/>
      <c r="BY1130" s="215"/>
      <c r="BZ1130" s="215"/>
    </row>
    <row r="1131" spans="1:78" outlineLevel="1" x14ac:dyDescent="0.2">
      <c r="A1131" s="53" t="str">
        <f>'Language Index'!A610</f>
        <v>Assets Under Management - Other</v>
      </c>
      <c r="B1131" s="2"/>
      <c r="C1131" s="2"/>
      <c r="D1131" s="18">
        <f>_xll.ciqfunctions.udf.CIQ($C$2, "IQ_AUM_OTHER", D$6,$F$2,,,Ccy,Conv)</f>
        <v>0</v>
      </c>
      <c r="E1131" s="18">
        <f>_xll.ciqfunctions.udf.CIQ($C$2, "IQ_AUM_OTHER", E$6,$F$2,,,Ccy,Conv)</f>
        <v>0</v>
      </c>
      <c r="F1131" s="18">
        <f>_xll.ciqfunctions.udf.CIQ($C$2, "IQ_AUM_OTHER", F$6,$F$2,,,Ccy,Conv)</f>
        <v>0</v>
      </c>
      <c r="G1131" s="18">
        <f>_xll.ciqfunctions.udf.CIQ($C$2, "IQ_AUM_OTHER", G$6,$F$2,,,Ccy,Conv)</f>
        <v>0</v>
      </c>
      <c r="H1131" s="18">
        <f>_xll.ciqfunctions.udf.CIQ($C$2, "IQ_AUM_OTHER", H$6,$F$2,,,Ccy,Conv)</f>
        <v>0</v>
      </c>
      <c r="I1131" s="18">
        <f>_xll.ciqfunctions.udf.CIQ($C$2, "IQ_AUM_OTHER", I$6,$F$2,,,Ccy,Conv)</f>
        <v>0</v>
      </c>
      <c r="J1131" s="18">
        <f>_xll.ciqfunctions.udf.CIQ($C$2, "IQ_AUM_OTHER", J$6,$F$2,,,Ccy,Conv)</f>
        <v>0</v>
      </c>
      <c r="K1131" s="18">
        <f>_xll.ciqfunctions.udf.CIQ($C$2, "IQ_AUM_OTHER", K$6,$F$2,,,Ccy,Conv)</f>
        <v>0</v>
      </c>
      <c r="L1131" s="18">
        <f>_xll.ciqfunctions.udf.CIQ($C$2, "IQ_AUM_OTHER", L$6,$F$2,,,Ccy,Conv)</f>
        <v>0</v>
      </c>
      <c r="M1131" s="18">
        <f>_xll.ciqfunctions.udf.CIQ($C$2, "IQ_AUM_OTHER", M$6,$F$2,,,Ccy,Conv)</f>
        <v>0</v>
      </c>
      <c r="N1131" s="18">
        <f>_xll.ciqfunctions.udf.CIQ($C$2, "IQ_AUM_OTHER", N$6,$F$2,,,Ccy,Conv)</f>
        <v>0</v>
      </c>
      <c r="O1131" s="2"/>
      <c r="P1131" s="18">
        <f>_xll.ciqfunctions.udf.CIQ($C$2, "IQ_AUM_OTHER", P$6,$F$2,,,Ccy,Conv)</f>
        <v>0</v>
      </c>
      <c r="Q1131" s="215"/>
      <c r="R1131" s="215"/>
      <c r="S1131" s="215"/>
      <c r="T1131" s="215"/>
      <c r="U1131" s="215"/>
      <c r="V1131" s="222"/>
      <c r="W1131" s="215"/>
      <c r="X1131" s="215"/>
      <c r="Y1131" s="215"/>
      <c r="Z1131" s="215"/>
      <c r="AA1131" s="215"/>
      <c r="AB1131" s="215"/>
      <c r="AC1131" s="215"/>
      <c r="AD1131" s="215"/>
      <c r="AE1131" s="215"/>
      <c r="AF1131" s="215"/>
      <c r="AG1131" s="215"/>
      <c r="AH1131" s="215"/>
      <c r="AI1131" s="215"/>
      <c r="AJ1131" s="215"/>
      <c r="AK1131" s="215"/>
      <c r="AL1131" s="215"/>
      <c r="AM1131" s="215"/>
      <c r="AN1131" s="215"/>
      <c r="AO1131" s="215"/>
      <c r="AP1131" s="215"/>
      <c r="AQ1131" s="215"/>
      <c r="AR1131" s="215"/>
      <c r="AS1131" s="215"/>
      <c r="AT1131" s="215"/>
      <c r="AU1131" s="215"/>
      <c r="AV1131" s="215"/>
      <c r="AW1131" s="215"/>
      <c r="AX1131" s="215"/>
      <c r="AY1131" s="215"/>
      <c r="AZ1131" s="215"/>
      <c r="BA1131" s="215"/>
      <c r="BB1131" s="215"/>
      <c r="BC1131" s="215"/>
      <c r="BD1131" s="215"/>
      <c r="BE1131" s="215"/>
      <c r="BF1131" s="215"/>
      <c r="BG1131" s="215"/>
      <c r="BH1131" s="215"/>
      <c r="BI1131" s="215"/>
      <c r="BJ1131" s="215"/>
      <c r="BK1131" s="215"/>
      <c r="BL1131" s="215"/>
      <c r="BM1131" s="215"/>
      <c r="BN1131" s="215"/>
      <c r="BO1131" s="215"/>
      <c r="BP1131" s="215"/>
      <c r="BQ1131" s="215"/>
      <c r="BR1131" s="215"/>
      <c r="BS1131" s="215"/>
      <c r="BT1131" s="215"/>
      <c r="BU1131" s="215"/>
      <c r="BV1131" s="215"/>
      <c r="BW1131" s="215"/>
      <c r="BX1131" s="215"/>
      <c r="BY1131" s="215"/>
      <c r="BZ1131" s="215"/>
    </row>
    <row r="1132" spans="1:78" outlineLevel="1" x14ac:dyDescent="0.2">
      <c r="A1132" s="6" t="str">
        <f>'Language Index'!A611</f>
        <v>Total Assets Under Management</v>
      </c>
      <c r="B1132" s="2"/>
      <c r="C1132" s="2"/>
      <c r="D1132" s="22">
        <f>_xll.ciqfunctions.udf.CIQ($C$2, "IQ_AUM", D$6,$F$2,,,Ccy,Conv)</f>
        <v>0</v>
      </c>
      <c r="E1132" s="22">
        <f>_xll.ciqfunctions.udf.CIQ($C$2, "IQ_AUM", E$6,$F$2,,,Ccy,Conv)</f>
        <v>0</v>
      </c>
      <c r="F1132" s="22">
        <f>_xll.ciqfunctions.udf.CIQ($C$2, "IQ_AUM", F$6,$F$2,,,Ccy,Conv)</f>
        <v>0</v>
      </c>
      <c r="G1132" s="22">
        <f>_xll.ciqfunctions.udf.CIQ($C$2, "IQ_AUM", G$6,$F$2,,,Ccy,Conv)</f>
        <v>0</v>
      </c>
      <c r="H1132" s="22">
        <f>_xll.ciqfunctions.udf.CIQ($C$2, "IQ_AUM", H$6,$F$2,,,Ccy,Conv)</f>
        <v>0</v>
      </c>
      <c r="I1132" s="22">
        <f>_xll.ciqfunctions.udf.CIQ($C$2, "IQ_AUM", I$6,$F$2,,,Ccy,Conv)</f>
        <v>0</v>
      </c>
      <c r="J1132" s="22">
        <f>_xll.ciqfunctions.udf.CIQ($C$2, "IQ_AUM", J$6,$F$2,,,Ccy,Conv)</f>
        <v>0</v>
      </c>
      <c r="K1132" s="22">
        <f>_xll.ciqfunctions.udf.CIQ($C$2, "IQ_AUM", K$6,$F$2,,,Ccy,Conv)</f>
        <v>0</v>
      </c>
      <c r="L1132" s="22">
        <f>_xll.ciqfunctions.udf.CIQ($C$2, "IQ_AUM", L$6,$F$2,,,Ccy,Conv)</f>
        <v>0</v>
      </c>
      <c r="M1132" s="22">
        <f>_xll.ciqfunctions.udf.CIQ($C$2, "IQ_AUM", M$6,$F$2,,,Ccy,Conv)</f>
        <v>0</v>
      </c>
      <c r="N1132" s="22">
        <f>_xll.ciqfunctions.udf.CIQ($C$2, "IQ_AUM", N$6,$F$2,,,Ccy,Conv)</f>
        <v>0</v>
      </c>
      <c r="O1132" s="9"/>
      <c r="P1132" s="22">
        <f>_xll.ciqfunctions.udf.CIQ($C$2, "IQ_AUM", P$6,$F$2,,,Ccy,Conv)</f>
        <v>0</v>
      </c>
      <c r="Q1132" s="215"/>
      <c r="R1132" s="215"/>
      <c r="S1132" s="215"/>
      <c r="T1132" s="215"/>
      <c r="U1132" s="215"/>
      <c r="V1132" s="222"/>
      <c r="W1132" s="215"/>
      <c r="X1132" s="215"/>
      <c r="Y1132" s="215"/>
      <c r="Z1132" s="215"/>
      <c r="AA1132" s="215"/>
      <c r="AB1132" s="215"/>
      <c r="AC1132" s="215"/>
      <c r="AD1132" s="215"/>
      <c r="AE1132" s="215"/>
      <c r="AF1132" s="215"/>
      <c r="AG1132" s="215"/>
      <c r="AH1132" s="215"/>
      <c r="AI1132" s="215"/>
      <c r="AJ1132" s="215"/>
      <c r="AK1132" s="215"/>
      <c r="AL1132" s="215"/>
      <c r="AM1132" s="215"/>
      <c r="AN1132" s="215"/>
      <c r="AO1132" s="215"/>
      <c r="AP1132" s="215"/>
      <c r="AQ1132" s="215"/>
      <c r="AR1132" s="215"/>
      <c r="AS1132" s="215"/>
      <c r="AT1132" s="215"/>
      <c r="AU1132" s="215"/>
      <c r="AV1132" s="215"/>
      <c r="AW1132" s="215"/>
      <c r="AX1132" s="215"/>
      <c r="AY1132" s="215"/>
      <c r="AZ1132" s="215"/>
      <c r="BA1132" s="215"/>
      <c r="BB1132" s="215"/>
      <c r="BC1132" s="215"/>
      <c r="BD1132" s="215"/>
      <c r="BE1132" s="215"/>
      <c r="BF1132" s="215"/>
      <c r="BG1132" s="215"/>
      <c r="BH1132" s="215"/>
      <c r="BI1132" s="215"/>
      <c r="BJ1132" s="215"/>
      <c r="BK1132" s="215"/>
      <c r="BL1132" s="215"/>
      <c r="BM1132" s="215"/>
      <c r="BN1132" s="215"/>
      <c r="BO1132" s="215"/>
      <c r="BP1132" s="215"/>
      <c r="BQ1132" s="215"/>
      <c r="BR1132" s="215"/>
      <c r="BS1132" s="215"/>
      <c r="BT1132" s="215"/>
      <c r="BU1132" s="215"/>
      <c r="BV1132" s="215"/>
      <c r="BW1132" s="215"/>
      <c r="BX1132" s="215"/>
      <c r="BY1132" s="215"/>
      <c r="BZ1132" s="215"/>
    </row>
    <row r="1133" spans="1:78" outlineLevel="1" x14ac:dyDescent="0.2">
      <c r="A1133" s="53" t="str">
        <f>'Language Index'!A612</f>
        <v>Assets Under Management - Private Equity</v>
      </c>
      <c r="B1133" s="9"/>
      <c r="C1133" s="9"/>
      <c r="D1133" s="18">
        <f>_xll.ciqfunctions.udf.CIQ($C$2, "IQ_AUM_PRIVATE_EQUITY", D$6,$F$2,,,Ccy,Conv)</f>
        <v>0</v>
      </c>
      <c r="E1133" s="18">
        <f>_xll.ciqfunctions.udf.CIQ($C$2, "IQ_AUM_PRIVATE_EQUITY", E$6,$F$2,,,Ccy,Conv)</f>
        <v>0</v>
      </c>
      <c r="F1133" s="18">
        <f>_xll.ciqfunctions.udf.CIQ($C$2, "IQ_AUM_PRIVATE_EQUITY", F$6,$F$2,,,Ccy,Conv)</f>
        <v>0</v>
      </c>
      <c r="G1133" s="18">
        <f>_xll.ciqfunctions.udf.CIQ($C$2, "IQ_AUM_PRIVATE_EQUITY", G$6,$F$2,,,Ccy,Conv)</f>
        <v>0</v>
      </c>
      <c r="H1133" s="18">
        <f>_xll.ciqfunctions.udf.CIQ($C$2, "IQ_AUM_PRIVATE_EQUITY", H$6,$F$2,,,Ccy,Conv)</f>
        <v>0</v>
      </c>
      <c r="I1133" s="18">
        <f>_xll.ciqfunctions.udf.CIQ($C$2, "IQ_AUM_PRIVATE_EQUITY", I$6,$F$2,,,Ccy,Conv)</f>
        <v>0</v>
      </c>
      <c r="J1133" s="18">
        <f>_xll.ciqfunctions.udf.CIQ($C$2, "IQ_AUM_PRIVATE_EQUITY", J$6,$F$2,,,Ccy,Conv)</f>
        <v>0</v>
      </c>
      <c r="K1133" s="18">
        <f>_xll.ciqfunctions.udf.CIQ($C$2, "IQ_AUM_PRIVATE_EQUITY", K$6,$F$2,,,Ccy,Conv)</f>
        <v>0</v>
      </c>
      <c r="L1133" s="18">
        <f>_xll.ciqfunctions.udf.CIQ($C$2, "IQ_AUM_PRIVATE_EQUITY", L$6,$F$2,,,Ccy,Conv)</f>
        <v>0</v>
      </c>
      <c r="M1133" s="18">
        <f>_xll.ciqfunctions.udf.CIQ($C$2, "IQ_AUM_PRIVATE_EQUITY", M$6,$F$2,,,Ccy,Conv)</f>
        <v>0</v>
      </c>
      <c r="N1133" s="18">
        <f>_xll.ciqfunctions.udf.CIQ($C$2, "IQ_AUM_PRIVATE_EQUITY", N$6,$F$2,,,Ccy,Conv)</f>
        <v>0</v>
      </c>
      <c r="O1133" s="9"/>
      <c r="P1133" s="18">
        <f>_xll.ciqfunctions.udf.CIQ($C$2, "IQ_AUM_PRIVATE_EQUITY", P$6,$F$2,,,Ccy,Conv)</f>
        <v>0</v>
      </c>
      <c r="Q1133" s="215"/>
      <c r="R1133" s="215"/>
      <c r="S1133" s="215"/>
      <c r="T1133" s="215"/>
      <c r="U1133" s="215"/>
      <c r="V1133" s="222"/>
      <c r="W1133" s="215"/>
      <c r="X1133" s="215"/>
      <c r="Y1133" s="215"/>
      <c r="Z1133" s="215"/>
      <c r="AA1133" s="215"/>
      <c r="AB1133" s="215"/>
      <c r="AC1133" s="215"/>
      <c r="AD1133" s="215"/>
      <c r="AE1133" s="215"/>
      <c r="AF1133" s="215"/>
      <c r="AG1133" s="215"/>
      <c r="AH1133" s="215"/>
      <c r="AI1133" s="215"/>
      <c r="AJ1133" s="215"/>
      <c r="AK1133" s="215"/>
      <c r="AL1133" s="215"/>
      <c r="AM1133" s="215"/>
      <c r="AN1133" s="215"/>
      <c r="AO1133" s="215"/>
      <c r="AP1133" s="215"/>
      <c r="AQ1133" s="215"/>
      <c r="AR1133" s="215"/>
      <c r="AS1133" s="215"/>
      <c r="AT1133" s="215"/>
      <c r="AU1133" s="215"/>
      <c r="AV1133" s="215"/>
      <c r="AW1133" s="215"/>
      <c r="AX1133" s="215"/>
      <c r="AY1133" s="215"/>
      <c r="AZ1133" s="215"/>
      <c r="BA1133" s="215"/>
      <c r="BB1133" s="215"/>
      <c r="BC1133" s="215"/>
      <c r="BD1133" s="215"/>
      <c r="BE1133" s="215"/>
      <c r="BF1133" s="215"/>
      <c r="BG1133" s="215"/>
      <c r="BH1133" s="215"/>
      <c r="BI1133" s="215"/>
      <c r="BJ1133" s="215"/>
      <c r="BK1133" s="215"/>
      <c r="BL1133" s="215"/>
      <c r="BM1133" s="215"/>
      <c r="BN1133" s="215"/>
      <c r="BO1133" s="215"/>
      <c r="BP1133" s="215"/>
      <c r="BQ1133" s="215"/>
      <c r="BR1133" s="215"/>
      <c r="BS1133" s="215"/>
      <c r="BT1133" s="215"/>
      <c r="BU1133" s="215"/>
      <c r="BV1133" s="215"/>
      <c r="BW1133" s="215"/>
      <c r="BX1133" s="215"/>
      <c r="BY1133" s="215"/>
      <c r="BZ1133" s="215"/>
    </row>
    <row r="1134" spans="1:78" outlineLevel="1" x14ac:dyDescent="0.2">
      <c r="A1134" s="53" t="str">
        <f>'Language Index'!A613</f>
        <v>Assets Under Management - Real Estate</v>
      </c>
      <c r="B1134" s="9"/>
      <c r="C1134" s="9"/>
      <c r="D1134" s="18">
        <f>_xll.ciqfunctions.udf.CIQ($C$2, "IQ_AUM_REAL_ESTATE", D$6,$F$2,,,Ccy,Conv)</f>
        <v>0</v>
      </c>
      <c r="E1134" s="18">
        <f>_xll.ciqfunctions.udf.CIQ($C$2, "IQ_AUM_REAL_ESTATE", E$6,$F$2,,,Ccy,Conv)</f>
        <v>0</v>
      </c>
      <c r="F1134" s="18">
        <f>_xll.ciqfunctions.udf.CIQ($C$2, "IQ_AUM_REAL_ESTATE", F$6,$F$2,,,Ccy,Conv)</f>
        <v>0</v>
      </c>
      <c r="G1134" s="18">
        <f>_xll.ciqfunctions.udf.CIQ($C$2, "IQ_AUM_REAL_ESTATE", G$6,$F$2,,,Ccy,Conv)</f>
        <v>0</v>
      </c>
      <c r="H1134" s="18">
        <f>_xll.ciqfunctions.udf.CIQ($C$2, "IQ_AUM_REAL_ESTATE", H$6,$F$2,,,Ccy,Conv)</f>
        <v>0</v>
      </c>
      <c r="I1134" s="18">
        <f>_xll.ciqfunctions.udf.CIQ($C$2, "IQ_AUM_REAL_ESTATE", I$6,$F$2,,,Ccy,Conv)</f>
        <v>0</v>
      </c>
      <c r="J1134" s="18">
        <f>_xll.ciqfunctions.udf.CIQ($C$2, "IQ_AUM_REAL_ESTATE", J$6,$F$2,,,Ccy,Conv)</f>
        <v>0</v>
      </c>
      <c r="K1134" s="18">
        <f>_xll.ciqfunctions.udf.CIQ($C$2, "IQ_AUM_REAL_ESTATE", K$6,$F$2,,,Ccy,Conv)</f>
        <v>0</v>
      </c>
      <c r="L1134" s="18">
        <f>_xll.ciqfunctions.udf.CIQ($C$2, "IQ_AUM_REAL_ESTATE", L$6,$F$2,,,Ccy,Conv)</f>
        <v>0</v>
      </c>
      <c r="M1134" s="18">
        <f>_xll.ciqfunctions.udf.CIQ($C$2, "IQ_AUM_REAL_ESTATE", M$6,$F$2,,,Ccy,Conv)</f>
        <v>0</v>
      </c>
      <c r="N1134" s="18">
        <f>_xll.ciqfunctions.udf.CIQ($C$2, "IQ_AUM_REAL_ESTATE", N$6,$F$2,,,Ccy,Conv)</f>
        <v>0</v>
      </c>
      <c r="O1134" s="9"/>
      <c r="P1134" s="18">
        <f>_xll.ciqfunctions.udf.CIQ($C$2, "IQ_AUM_REAL_ESTATE", P$6,$F$2,,,Ccy,Conv)</f>
        <v>0</v>
      </c>
      <c r="Q1134" s="215"/>
      <c r="R1134" s="215"/>
      <c r="S1134" s="215"/>
      <c r="T1134" s="215"/>
      <c r="U1134" s="215"/>
      <c r="V1134" s="222"/>
      <c r="W1134" s="215"/>
      <c r="X1134" s="215"/>
      <c r="Y1134" s="215"/>
      <c r="Z1134" s="215"/>
      <c r="AA1134" s="215"/>
      <c r="AB1134" s="215"/>
      <c r="AC1134" s="215"/>
      <c r="AD1134" s="215"/>
      <c r="AE1134" s="215"/>
      <c r="AF1134" s="215"/>
      <c r="AG1134" s="215"/>
      <c r="AH1134" s="215"/>
      <c r="AI1134" s="215"/>
      <c r="AJ1134" s="215"/>
      <c r="AK1134" s="215"/>
      <c r="AL1134" s="215"/>
      <c r="AM1134" s="215"/>
      <c r="AN1134" s="215"/>
      <c r="AO1134" s="215"/>
      <c r="AP1134" s="215"/>
      <c r="AQ1134" s="215"/>
      <c r="AR1134" s="215"/>
      <c r="AS1134" s="215"/>
      <c r="AT1134" s="215"/>
      <c r="AU1134" s="215"/>
      <c r="AV1134" s="215"/>
      <c r="AW1134" s="215"/>
      <c r="AX1134" s="215"/>
      <c r="AY1134" s="215"/>
      <c r="AZ1134" s="215"/>
      <c r="BA1134" s="215"/>
      <c r="BB1134" s="215"/>
      <c r="BC1134" s="215"/>
      <c r="BD1134" s="215"/>
      <c r="BE1134" s="215"/>
      <c r="BF1134" s="215"/>
      <c r="BG1134" s="215"/>
      <c r="BH1134" s="215"/>
      <c r="BI1134" s="215"/>
      <c r="BJ1134" s="215"/>
      <c r="BK1134" s="215"/>
      <c r="BL1134" s="215"/>
      <c r="BM1134" s="215"/>
      <c r="BN1134" s="215"/>
      <c r="BO1134" s="215"/>
      <c r="BP1134" s="215"/>
      <c r="BQ1134" s="215"/>
      <c r="BR1134" s="215"/>
      <c r="BS1134" s="215"/>
      <c r="BT1134" s="215"/>
      <c r="BU1134" s="215"/>
      <c r="BV1134" s="215"/>
      <c r="BW1134" s="215"/>
      <c r="BX1134" s="215"/>
      <c r="BY1134" s="215"/>
      <c r="BZ1134" s="215"/>
    </row>
    <row r="1135" spans="1:78" outlineLevel="1" x14ac:dyDescent="0.2">
      <c r="A1135" s="53" t="str">
        <f>'Language Index'!A614</f>
        <v>Assets Under Management - Institutional</v>
      </c>
      <c r="B1135" s="9"/>
      <c r="C1135" s="9"/>
      <c r="D1135" s="18">
        <f>_xll.ciqfunctions.udf.CIQ($C$2, "IQ_AUM_INSTITUTIONAL", D$6,$F$2,,,Ccy,Conv)</f>
        <v>0</v>
      </c>
      <c r="E1135" s="18">
        <f>_xll.ciqfunctions.udf.CIQ($C$2, "IQ_AUM_INSTITUTIONAL", E$6,$F$2,,,Ccy,Conv)</f>
        <v>0</v>
      </c>
      <c r="F1135" s="18">
        <f>_xll.ciqfunctions.udf.CIQ($C$2, "IQ_AUM_INSTITUTIONAL", F$6,$F$2,,,Ccy,Conv)</f>
        <v>0</v>
      </c>
      <c r="G1135" s="18">
        <f>_xll.ciqfunctions.udf.CIQ($C$2, "IQ_AUM_INSTITUTIONAL", G$6,$F$2,,,Ccy,Conv)</f>
        <v>0</v>
      </c>
      <c r="H1135" s="18">
        <f>_xll.ciqfunctions.udf.CIQ($C$2, "IQ_AUM_INSTITUTIONAL", H$6,$F$2,,,Ccy,Conv)</f>
        <v>0</v>
      </c>
      <c r="I1135" s="18">
        <f>_xll.ciqfunctions.udf.CIQ($C$2, "IQ_AUM_INSTITUTIONAL", I$6,$F$2,,,Ccy,Conv)</f>
        <v>0</v>
      </c>
      <c r="J1135" s="18">
        <f>_xll.ciqfunctions.udf.CIQ($C$2, "IQ_AUM_INSTITUTIONAL", J$6,$F$2,,,Ccy,Conv)</f>
        <v>0</v>
      </c>
      <c r="K1135" s="18">
        <f>_xll.ciqfunctions.udf.CIQ($C$2, "IQ_AUM_INSTITUTIONAL", K$6,$F$2,,,Ccy,Conv)</f>
        <v>0</v>
      </c>
      <c r="L1135" s="18">
        <f>_xll.ciqfunctions.udf.CIQ($C$2, "IQ_AUM_INSTITUTIONAL", L$6,$F$2,,,Ccy,Conv)</f>
        <v>0</v>
      </c>
      <c r="M1135" s="18">
        <f>_xll.ciqfunctions.udf.CIQ($C$2, "IQ_AUM_INSTITUTIONAL", M$6,$F$2,,,Ccy,Conv)</f>
        <v>0</v>
      </c>
      <c r="N1135" s="18">
        <f>_xll.ciqfunctions.udf.CIQ($C$2, "IQ_AUM_INSTITUTIONAL", N$6,$F$2,,,Ccy,Conv)</f>
        <v>0</v>
      </c>
      <c r="O1135" s="9"/>
      <c r="P1135" s="18">
        <f>_xll.ciqfunctions.udf.CIQ($C$2, "IQ_AUM_INSTITUTIONAL", P$6,$F$2,,,Ccy,Conv)</f>
        <v>0</v>
      </c>
      <c r="Q1135" s="215"/>
      <c r="R1135" s="215"/>
      <c r="S1135" s="215"/>
      <c r="T1135" s="215"/>
      <c r="U1135" s="215"/>
      <c r="V1135" s="222"/>
      <c r="W1135" s="215"/>
      <c r="X1135" s="215"/>
      <c r="Y1135" s="215"/>
      <c r="Z1135" s="215"/>
      <c r="AA1135" s="215"/>
      <c r="AB1135" s="215"/>
      <c r="AC1135" s="215"/>
      <c r="AD1135" s="215"/>
      <c r="AE1135" s="215"/>
      <c r="AF1135" s="215"/>
      <c r="AG1135" s="215"/>
      <c r="AH1135" s="215"/>
      <c r="AI1135" s="215"/>
      <c r="AJ1135" s="215"/>
      <c r="AK1135" s="215"/>
      <c r="AL1135" s="215"/>
      <c r="AM1135" s="215"/>
      <c r="AN1135" s="215"/>
      <c r="AO1135" s="215"/>
      <c r="AP1135" s="215"/>
      <c r="AQ1135" s="215"/>
      <c r="AR1135" s="215"/>
      <c r="AS1135" s="215"/>
      <c r="AT1135" s="215"/>
      <c r="AU1135" s="215"/>
      <c r="AV1135" s="215"/>
      <c r="AW1135" s="215"/>
      <c r="AX1135" s="215"/>
      <c r="AY1135" s="215"/>
      <c r="AZ1135" s="215"/>
      <c r="BA1135" s="215"/>
      <c r="BB1135" s="215"/>
      <c r="BC1135" s="215"/>
      <c r="BD1135" s="215"/>
      <c r="BE1135" s="215"/>
      <c r="BF1135" s="215"/>
      <c r="BG1135" s="215"/>
      <c r="BH1135" s="215"/>
      <c r="BI1135" s="215"/>
      <c r="BJ1135" s="215"/>
      <c r="BK1135" s="215"/>
      <c r="BL1135" s="215"/>
      <c r="BM1135" s="215"/>
      <c r="BN1135" s="215"/>
      <c r="BO1135" s="215"/>
      <c r="BP1135" s="215"/>
      <c r="BQ1135" s="215"/>
      <c r="BR1135" s="215"/>
      <c r="BS1135" s="215"/>
      <c r="BT1135" s="215"/>
      <c r="BU1135" s="215"/>
      <c r="BV1135" s="215"/>
      <c r="BW1135" s="215"/>
      <c r="BX1135" s="215"/>
      <c r="BY1135" s="215"/>
      <c r="BZ1135" s="215"/>
    </row>
    <row r="1136" spans="1:78" outlineLevel="1" x14ac:dyDescent="0.2">
      <c r="A1136" s="53" t="str">
        <f>'Language Index'!A615</f>
        <v>Assets Under Management - Retail</v>
      </c>
      <c r="B1136" s="9"/>
      <c r="C1136" s="9"/>
      <c r="D1136" s="18">
        <f>_xll.ciqfunctions.udf.CIQ($C$2, "IQ_AUM_RETAIL", D$6,$F$2,,,Ccy,Conv)</f>
        <v>0</v>
      </c>
      <c r="E1136" s="18">
        <f>_xll.ciqfunctions.udf.CIQ($C$2, "IQ_AUM_RETAIL", E$6,$F$2,,,Ccy,Conv)</f>
        <v>0</v>
      </c>
      <c r="F1136" s="18">
        <f>_xll.ciqfunctions.udf.CIQ($C$2, "IQ_AUM_RETAIL", F$6,$F$2,,,Ccy,Conv)</f>
        <v>0</v>
      </c>
      <c r="G1136" s="18">
        <f>_xll.ciqfunctions.udf.CIQ($C$2, "IQ_AUM_RETAIL", G$6,$F$2,,,Ccy,Conv)</f>
        <v>0</v>
      </c>
      <c r="H1136" s="18">
        <f>_xll.ciqfunctions.udf.CIQ($C$2, "IQ_AUM_RETAIL", H$6,$F$2,,,Ccy,Conv)</f>
        <v>0</v>
      </c>
      <c r="I1136" s="18">
        <f>_xll.ciqfunctions.udf.CIQ($C$2, "IQ_AUM_RETAIL", I$6,$F$2,,,Ccy,Conv)</f>
        <v>0</v>
      </c>
      <c r="J1136" s="18">
        <f>_xll.ciqfunctions.udf.CIQ($C$2, "IQ_AUM_RETAIL", J$6,$F$2,,,Ccy,Conv)</f>
        <v>0</v>
      </c>
      <c r="K1136" s="18">
        <f>_xll.ciqfunctions.udf.CIQ($C$2, "IQ_AUM_RETAIL", K$6,$F$2,,,Ccy,Conv)</f>
        <v>0</v>
      </c>
      <c r="L1136" s="18">
        <f>_xll.ciqfunctions.udf.CIQ($C$2, "IQ_AUM_RETAIL", L$6,$F$2,,,Ccy,Conv)</f>
        <v>0</v>
      </c>
      <c r="M1136" s="18">
        <f>_xll.ciqfunctions.udf.CIQ($C$2, "IQ_AUM_RETAIL", M$6,$F$2,,,Ccy,Conv)</f>
        <v>0</v>
      </c>
      <c r="N1136" s="18">
        <f>_xll.ciqfunctions.udf.CIQ($C$2, "IQ_AUM_RETAIL", N$6,$F$2,,,Ccy,Conv)</f>
        <v>0</v>
      </c>
      <c r="O1136" s="9"/>
      <c r="P1136" s="18">
        <f>_xll.ciqfunctions.udf.CIQ($C$2, "IQ_AUM_RETAIL", P$6,$F$2,,,Ccy,Conv)</f>
        <v>0</v>
      </c>
      <c r="Q1136" s="215"/>
      <c r="R1136" s="215"/>
      <c r="S1136" s="215"/>
      <c r="T1136" s="215"/>
      <c r="U1136" s="215"/>
      <c r="V1136" s="222"/>
      <c r="W1136" s="215"/>
      <c r="X1136" s="215"/>
      <c r="Y1136" s="215"/>
      <c r="Z1136" s="215"/>
      <c r="AA1136" s="215"/>
      <c r="AB1136" s="215"/>
      <c r="AC1136" s="215"/>
      <c r="AD1136" s="215"/>
      <c r="AE1136" s="215"/>
      <c r="AF1136" s="215"/>
      <c r="AG1136" s="215"/>
      <c r="AH1136" s="215"/>
      <c r="AI1136" s="215"/>
      <c r="AJ1136" s="215"/>
      <c r="AK1136" s="215"/>
      <c r="AL1136" s="215"/>
      <c r="AM1136" s="215"/>
      <c r="AN1136" s="215"/>
      <c r="AO1136" s="215"/>
      <c r="AP1136" s="215"/>
      <c r="AQ1136" s="215"/>
      <c r="AR1136" s="215"/>
      <c r="AS1136" s="215"/>
      <c r="AT1136" s="215"/>
      <c r="AU1136" s="215"/>
      <c r="AV1136" s="215"/>
      <c r="AW1136" s="215"/>
      <c r="AX1136" s="215"/>
      <c r="AY1136" s="215"/>
      <c r="AZ1136" s="215"/>
      <c r="BA1136" s="215"/>
      <c r="BB1136" s="215"/>
      <c r="BC1136" s="215"/>
      <c r="BD1136" s="215"/>
      <c r="BE1136" s="215"/>
      <c r="BF1136" s="215"/>
      <c r="BG1136" s="215"/>
      <c r="BH1136" s="215"/>
      <c r="BI1136" s="215"/>
      <c r="BJ1136" s="215"/>
      <c r="BK1136" s="215"/>
      <c r="BL1136" s="215"/>
      <c r="BM1136" s="215"/>
      <c r="BN1136" s="215"/>
      <c r="BO1136" s="215"/>
      <c r="BP1136" s="215"/>
      <c r="BQ1136" s="215"/>
      <c r="BR1136" s="215"/>
      <c r="BS1136" s="215"/>
      <c r="BT1136" s="215"/>
      <c r="BU1136" s="215"/>
      <c r="BV1136" s="215"/>
      <c r="BW1136" s="215"/>
      <c r="BX1136" s="215"/>
      <c r="BY1136" s="215"/>
      <c r="BZ1136" s="215"/>
    </row>
    <row r="1137" spans="1:78" outlineLevel="1" x14ac:dyDescent="0.2">
      <c r="A1137" s="53" t="str">
        <f>'Language Index'!A616</f>
        <v>Assets Under Management - High Net Worth</v>
      </c>
      <c r="B1137" s="9"/>
      <c r="C1137" s="9"/>
      <c r="D1137" s="18">
        <f>_xll.ciqfunctions.udf.CIQ($C$2, "IQ_AUM_HIGH_NET_WORTH", D$6,$F$2,,,Ccy,Conv)</f>
        <v>0</v>
      </c>
      <c r="E1137" s="18">
        <f>_xll.ciqfunctions.udf.CIQ($C$2, "IQ_AUM_HIGH_NET_WORTH", E$6,$F$2,,,Ccy,Conv)</f>
        <v>0</v>
      </c>
      <c r="F1137" s="18">
        <f>_xll.ciqfunctions.udf.CIQ($C$2, "IQ_AUM_HIGH_NET_WORTH", F$6,$F$2,,,Ccy,Conv)</f>
        <v>0</v>
      </c>
      <c r="G1137" s="18">
        <f>_xll.ciqfunctions.udf.CIQ($C$2, "IQ_AUM_HIGH_NET_WORTH", G$6,$F$2,,,Ccy,Conv)</f>
        <v>0</v>
      </c>
      <c r="H1137" s="18">
        <f>_xll.ciqfunctions.udf.CIQ($C$2, "IQ_AUM_HIGH_NET_WORTH", H$6,$F$2,,,Ccy,Conv)</f>
        <v>0</v>
      </c>
      <c r="I1137" s="18">
        <f>_xll.ciqfunctions.udf.CIQ($C$2, "IQ_AUM_HIGH_NET_WORTH", I$6,$F$2,,,Ccy,Conv)</f>
        <v>0</v>
      </c>
      <c r="J1137" s="18">
        <f>_xll.ciqfunctions.udf.CIQ($C$2, "IQ_AUM_HIGH_NET_WORTH", J$6,$F$2,,,Ccy,Conv)</f>
        <v>0</v>
      </c>
      <c r="K1137" s="18">
        <f>_xll.ciqfunctions.udf.CIQ($C$2, "IQ_AUM_HIGH_NET_WORTH", K$6,$F$2,,,Ccy,Conv)</f>
        <v>0</v>
      </c>
      <c r="L1137" s="18">
        <f>_xll.ciqfunctions.udf.CIQ($C$2, "IQ_AUM_HIGH_NET_WORTH", L$6,$F$2,,,Ccy,Conv)</f>
        <v>0</v>
      </c>
      <c r="M1137" s="18">
        <f>_xll.ciqfunctions.udf.CIQ($C$2, "IQ_AUM_HIGH_NET_WORTH", M$6,$F$2,,,Ccy,Conv)</f>
        <v>0</v>
      </c>
      <c r="N1137" s="18">
        <f>_xll.ciqfunctions.udf.CIQ($C$2, "IQ_AUM_HIGH_NET_WORTH", N$6,$F$2,,,Ccy,Conv)</f>
        <v>0</v>
      </c>
      <c r="O1137" s="9"/>
      <c r="P1137" s="18">
        <f>_xll.ciqfunctions.udf.CIQ($C$2, "IQ_AUM_HIGH_NET_WORTH", P$6,$F$2,,,Ccy,Conv)</f>
        <v>0</v>
      </c>
      <c r="Q1137" s="215"/>
      <c r="R1137" s="215"/>
      <c r="S1137" s="215"/>
      <c r="T1137" s="215"/>
      <c r="U1137" s="215"/>
      <c r="V1137" s="222"/>
      <c r="W1137" s="215"/>
      <c r="X1137" s="215"/>
      <c r="Y1137" s="215"/>
      <c r="Z1137" s="215"/>
      <c r="AA1137" s="215"/>
      <c r="AB1137" s="215"/>
      <c r="AC1137" s="215"/>
      <c r="AD1137" s="215"/>
      <c r="AE1137" s="215"/>
      <c r="AF1137" s="215"/>
      <c r="AG1137" s="215"/>
      <c r="AH1137" s="215"/>
      <c r="AI1137" s="215"/>
      <c r="AJ1137" s="215"/>
      <c r="AK1137" s="215"/>
      <c r="AL1137" s="215"/>
      <c r="AM1137" s="215"/>
      <c r="AN1137" s="215"/>
      <c r="AO1137" s="215"/>
      <c r="AP1137" s="215"/>
      <c r="AQ1137" s="215"/>
      <c r="AR1137" s="215"/>
      <c r="AS1137" s="215"/>
      <c r="AT1137" s="215"/>
      <c r="AU1137" s="215"/>
      <c r="AV1137" s="215"/>
      <c r="AW1137" s="215"/>
      <c r="AX1137" s="215"/>
      <c r="AY1137" s="215"/>
      <c r="AZ1137" s="215"/>
      <c r="BA1137" s="215"/>
      <c r="BB1137" s="215"/>
      <c r="BC1137" s="215"/>
      <c r="BD1137" s="215"/>
      <c r="BE1137" s="215"/>
      <c r="BF1137" s="215"/>
      <c r="BG1137" s="215"/>
      <c r="BH1137" s="215"/>
      <c r="BI1137" s="215"/>
      <c r="BJ1137" s="215"/>
      <c r="BK1137" s="215"/>
      <c r="BL1137" s="215"/>
      <c r="BM1137" s="215"/>
      <c r="BN1137" s="215"/>
      <c r="BO1137" s="215"/>
      <c r="BP1137" s="215"/>
      <c r="BQ1137" s="215"/>
      <c r="BR1137" s="215"/>
      <c r="BS1137" s="215"/>
      <c r="BT1137" s="215"/>
      <c r="BU1137" s="215"/>
      <c r="BV1137" s="215"/>
      <c r="BW1137" s="215"/>
      <c r="BX1137" s="215"/>
      <c r="BY1137" s="215"/>
      <c r="BZ1137" s="215"/>
    </row>
    <row r="1138" spans="1:78" outlineLevel="1" x14ac:dyDescent="0.2">
      <c r="A1138" s="53" t="str">
        <f>'Language Index'!A617</f>
        <v>Assets Under Management - Other Clients</v>
      </c>
      <c r="B1138" s="9"/>
      <c r="C1138" s="9"/>
      <c r="D1138" s="18">
        <f>_xll.ciqfunctions.udf.CIQ($C$2, "IQ_AUM_OTHER_CLIENTS", D$6,$F$2,,,Ccy,Conv)</f>
        <v>0</v>
      </c>
      <c r="E1138" s="18">
        <f>_xll.ciqfunctions.udf.CIQ($C$2, "IQ_AUM_OTHER_CLIENTS", E$6,$F$2,,,Ccy,Conv)</f>
        <v>0</v>
      </c>
      <c r="F1138" s="18">
        <f>_xll.ciqfunctions.udf.CIQ($C$2, "IQ_AUM_OTHER_CLIENTS", F$6,$F$2,,,Ccy,Conv)</f>
        <v>0</v>
      </c>
      <c r="G1138" s="18">
        <f>_xll.ciqfunctions.udf.CIQ($C$2, "IQ_AUM_OTHER_CLIENTS", G$6,$F$2,,,Ccy,Conv)</f>
        <v>0</v>
      </c>
      <c r="H1138" s="18">
        <f>_xll.ciqfunctions.udf.CIQ($C$2, "IQ_AUM_OTHER_CLIENTS", H$6,$F$2,,,Ccy,Conv)</f>
        <v>0</v>
      </c>
      <c r="I1138" s="18">
        <f>_xll.ciqfunctions.udf.CIQ($C$2, "IQ_AUM_OTHER_CLIENTS", I$6,$F$2,,,Ccy,Conv)</f>
        <v>0</v>
      </c>
      <c r="J1138" s="18">
        <f>_xll.ciqfunctions.udf.CIQ($C$2, "IQ_AUM_OTHER_CLIENTS", J$6,$F$2,,,Ccy,Conv)</f>
        <v>0</v>
      </c>
      <c r="K1138" s="18">
        <f>_xll.ciqfunctions.udf.CIQ($C$2, "IQ_AUM_OTHER_CLIENTS", K$6,$F$2,,,Ccy,Conv)</f>
        <v>0</v>
      </c>
      <c r="L1138" s="18">
        <f>_xll.ciqfunctions.udf.CIQ($C$2, "IQ_AUM_OTHER_CLIENTS", L$6,$F$2,,,Ccy,Conv)</f>
        <v>0</v>
      </c>
      <c r="M1138" s="18">
        <f>_xll.ciqfunctions.udf.CIQ($C$2, "IQ_AUM_OTHER_CLIENTS", M$6,$F$2,,,Ccy,Conv)</f>
        <v>0</v>
      </c>
      <c r="N1138" s="18">
        <f>_xll.ciqfunctions.udf.CIQ($C$2, "IQ_AUM_OTHER_CLIENTS", N$6,$F$2,,,Ccy,Conv)</f>
        <v>0</v>
      </c>
      <c r="O1138" s="9"/>
      <c r="P1138" s="18">
        <f>_xll.ciqfunctions.udf.CIQ($C$2, "IQ_AUM_OTHER_CLIENTS", P$6,$F$2,,,Ccy,Conv)</f>
        <v>0</v>
      </c>
      <c r="Q1138" s="215"/>
      <c r="R1138" s="215"/>
      <c r="S1138" s="215"/>
      <c r="T1138" s="215"/>
      <c r="U1138" s="215"/>
      <c r="V1138" s="222"/>
      <c r="W1138" s="215"/>
      <c r="X1138" s="215"/>
      <c r="Y1138" s="215"/>
      <c r="Z1138" s="215"/>
      <c r="AA1138" s="215"/>
      <c r="AB1138" s="215"/>
      <c r="AC1138" s="215"/>
      <c r="AD1138" s="215"/>
      <c r="AE1138" s="215"/>
      <c r="AF1138" s="215"/>
      <c r="AG1138" s="215"/>
      <c r="AH1138" s="215"/>
      <c r="AI1138" s="215"/>
      <c r="AJ1138" s="215"/>
      <c r="AK1138" s="215"/>
      <c r="AL1138" s="215"/>
      <c r="AM1138" s="215"/>
      <c r="AN1138" s="215"/>
      <c r="AO1138" s="215"/>
      <c r="AP1138" s="215"/>
      <c r="AQ1138" s="215"/>
      <c r="AR1138" s="215"/>
      <c r="AS1138" s="215"/>
      <c r="AT1138" s="215"/>
      <c r="AU1138" s="215"/>
      <c r="AV1138" s="215"/>
      <c r="AW1138" s="215"/>
      <c r="AX1138" s="215"/>
      <c r="AY1138" s="215"/>
      <c r="AZ1138" s="215"/>
      <c r="BA1138" s="215"/>
      <c r="BB1138" s="215"/>
      <c r="BC1138" s="215"/>
      <c r="BD1138" s="215"/>
      <c r="BE1138" s="215"/>
      <c r="BF1138" s="215"/>
      <c r="BG1138" s="215"/>
      <c r="BH1138" s="215"/>
      <c r="BI1138" s="215"/>
      <c r="BJ1138" s="215"/>
      <c r="BK1138" s="215"/>
      <c r="BL1138" s="215"/>
      <c r="BM1138" s="215"/>
      <c r="BN1138" s="215"/>
      <c r="BO1138" s="215"/>
      <c r="BP1138" s="215"/>
      <c r="BQ1138" s="215"/>
      <c r="BR1138" s="215"/>
      <c r="BS1138" s="215"/>
      <c r="BT1138" s="215"/>
      <c r="BU1138" s="215"/>
      <c r="BV1138" s="215"/>
      <c r="BW1138" s="215"/>
      <c r="BX1138" s="215"/>
      <c r="BY1138" s="215"/>
      <c r="BZ1138" s="215"/>
    </row>
    <row r="1139" spans="1:78" outlineLevel="1" x14ac:dyDescent="0.2">
      <c r="A1139" s="53" t="str">
        <f>'Language Index'!A618</f>
        <v>Assets Under Management - Domestic</v>
      </c>
      <c r="B1139" s="9"/>
      <c r="C1139" s="9"/>
      <c r="D1139" s="18">
        <f>_xll.ciqfunctions.udf.CIQ($C$2, "IQ_AUM_DOMESTIC", D$6,$F$2,,,Ccy,Conv)</f>
        <v>0</v>
      </c>
      <c r="E1139" s="18">
        <f>_xll.ciqfunctions.udf.CIQ($C$2, "IQ_AUM_DOMESTIC", E$6,$F$2,,,Ccy,Conv)</f>
        <v>0</v>
      </c>
      <c r="F1139" s="18">
        <f>_xll.ciqfunctions.udf.CIQ($C$2, "IQ_AUM_DOMESTIC", F$6,$F$2,,,Ccy,Conv)</f>
        <v>0</v>
      </c>
      <c r="G1139" s="18">
        <f>_xll.ciqfunctions.udf.CIQ($C$2, "IQ_AUM_DOMESTIC", G$6,$F$2,,,Ccy,Conv)</f>
        <v>0</v>
      </c>
      <c r="H1139" s="18">
        <f>_xll.ciqfunctions.udf.CIQ($C$2, "IQ_AUM_DOMESTIC", H$6,$F$2,,,Ccy,Conv)</f>
        <v>0</v>
      </c>
      <c r="I1139" s="18">
        <f>_xll.ciqfunctions.udf.CIQ($C$2, "IQ_AUM_DOMESTIC", I$6,$F$2,,,Ccy,Conv)</f>
        <v>0</v>
      </c>
      <c r="J1139" s="18">
        <f>_xll.ciqfunctions.udf.CIQ($C$2, "IQ_AUM_DOMESTIC", J$6,$F$2,,,Ccy,Conv)</f>
        <v>0</v>
      </c>
      <c r="K1139" s="18">
        <f>_xll.ciqfunctions.udf.CIQ($C$2, "IQ_AUM_DOMESTIC", K$6,$F$2,,,Ccy,Conv)</f>
        <v>0</v>
      </c>
      <c r="L1139" s="18">
        <f>_xll.ciqfunctions.udf.CIQ($C$2, "IQ_AUM_DOMESTIC", L$6,$F$2,,,Ccy,Conv)</f>
        <v>0</v>
      </c>
      <c r="M1139" s="18">
        <f>_xll.ciqfunctions.udf.CIQ($C$2, "IQ_AUM_DOMESTIC", M$6,$F$2,,,Ccy,Conv)</f>
        <v>0</v>
      </c>
      <c r="N1139" s="18">
        <f>_xll.ciqfunctions.udf.CIQ($C$2, "IQ_AUM_DOMESTIC", N$6,$F$2,,,Ccy,Conv)</f>
        <v>0</v>
      </c>
      <c r="O1139" s="9"/>
      <c r="P1139" s="18">
        <f>_xll.ciqfunctions.udf.CIQ($C$2, "IQ_AUM_DOMESTIC", P$6,$F$2,,,Ccy,Conv)</f>
        <v>0</v>
      </c>
      <c r="Q1139" s="215"/>
      <c r="R1139" s="215"/>
      <c r="S1139" s="215"/>
      <c r="T1139" s="215"/>
      <c r="U1139" s="215"/>
      <c r="V1139" s="222"/>
      <c r="W1139" s="215"/>
      <c r="X1139" s="215"/>
      <c r="Y1139" s="215"/>
      <c r="Z1139" s="215"/>
      <c r="AA1139" s="215"/>
      <c r="AB1139" s="215"/>
      <c r="AC1139" s="215"/>
      <c r="AD1139" s="215"/>
      <c r="AE1139" s="215"/>
      <c r="AF1139" s="215"/>
      <c r="AG1139" s="215"/>
      <c r="AH1139" s="215"/>
      <c r="AI1139" s="215"/>
      <c r="AJ1139" s="215"/>
      <c r="AK1139" s="215"/>
      <c r="AL1139" s="215"/>
      <c r="AM1139" s="215"/>
      <c r="AN1139" s="215"/>
      <c r="AO1139" s="215"/>
      <c r="AP1139" s="215"/>
      <c r="AQ1139" s="215"/>
      <c r="AR1139" s="215"/>
      <c r="AS1139" s="215"/>
      <c r="AT1139" s="215"/>
      <c r="AU1139" s="215"/>
      <c r="AV1139" s="215"/>
      <c r="AW1139" s="215"/>
      <c r="AX1139" s="215"/>
      <c r="AY1139" s="215"/>
      <c r="AZ1139" s="215"/>
      <c r="BA1139" s="215"/>
      <c r="BB1139" s="215"/>
      <c r="BC1139" s="215"/>
      <c r="BD1139" s="215"/>
      <c r="BE1139" s="215"/>
      <c r="BF1139" s="215"/>
      <c r="BG1139" s="215"/>
      <c r="BH1139" s="215"/>
      <c r="BI1139" s="215"/>
      <c r="BJ1139" s="215"/>
      <c r="BK1139" s="215"/>
      <c r="BL1139" s="215"/>
      <c r="BM1139" s="215"/>
      <c r="BN1139" s="215"/>
      <c r="BO1139" s="215"/>
      <c r="BP1139" s="215"/>
      <c r="BQ1139" s="215"/>
      <c r="BR1139" s="215"/>
      <c r="BS1139" s="215"/>
      <c r="BT1139" s="215"/>
      <c r="BU1139" s="215"/>
      <c r="BV1139" s="215"/>
      <c r="BW1139" s="215"/>
      <c r="BX1139" s="215"/>
      <c r="BY1139" s="215"/>
      <c r="BZ1139" s="215"/>
    </row>
    <row r="1140" spans="1:78" outlineLevel="1" x14ac:dyDescent="0.2">
      <c r="A1140" s="53" t="str">
        <f>'Language Index'!A619</f>
        <v>Assets Under Management - Foreign</v>
      </c>
      <c r="B1140" s="9"/>
      <c r="C1140" s="9"/>
      <c r="D1140" s="18">
        <f>_xll.ciqfunctions.udf.CIQ($C$2, "IQ_AUM_FOREIGN", D$6,$F$2,,,Ccy,Conv)</f>
        <v>0</v>
      </c>
      <c r="E1140" s="18">
        <f>_xll.ciqfunctions.udf.CIQ($C$2, "IQ_AUM_FOREIGN", E$6,$F$2,,,Ccy,Conv)</f>
        <v>0</v>
      </c>
      <c r="F1140" s="18">
        <f>_xll.ciqfunctions.udf.CIQ($C$2, "IQ_AUM_FOREIGN", F$6,$F$2,,,Ccy,Conv)</f>
        <v>0</v>
      </c>
      <c r="G1140" s="18">
        <f>_xll.ciqfunctions.udf.CIQ($C$2, "IQ_AUM_FOREIGN", G$6,$F$2,,,Ccy,Conv)</f>
        <v>0</v>
      </c>
      <c r="H1140" s="18">
        <f>_xll.ciqfunctions.udf.CIQ($C$2, "IQ_AUM_FOREIGN", H$6,$F$2,,,Ccy,Conv)</f>
        <v>0</v>
      </c>
      <c r="I1140" s="18">
        <f>_xll.ciqfunctions.udf.CIQ($C$2, "IQ_AUM_FOREIGN", I$6,$F$2,,,Ccy,Conv)</f>
        <v>0</v>
      </c>
      <c r="J1140" s="18">
        <f>_xll.ciqfunctions.udf.CIQ($C$2, "IQ_AUM_FOREIGN", J$6,$F$2,,,Ccy,Conv)</f>
        <v>0</v>
      </c>
      <c r="K1140" s="18">
        <f>_xll.ciqfunctions.udf.CIQ($C$2, "IQ_AUM_FOREIGN", K$6,$F$2,,,Ccy,Conv)</f>
        <v>0</v>
      </c>
      <c r="L1140" s="18">
        <f>_xll.ciqfunctions.udf.CIQ($C$2, "IQ_AUM_FOREIGN", L$6,$F$2,,,Ccy,Conv)</f>
        <v>0</v>
      </c>
      <c r="M1140" s="18">
        <f>_xll.ciqfunctions.udf.CIQ($C$2, "IQ_AUM_FOREIGN", M$6,$F$2,,,Ccy,Conv)</f>
        <v>0</v>
      </c>
      <c r="N1140" s="18">
        <f>_xll.ciqfunctions.udf.CIQ($C$2, "IQ_AUM_FOREIGN", N$6,$F$2,,,Ccy,Conv)</f>
        <v>0</v>
      </c>
      <c r="O1140" s="9"/>
      <c r="P1140" s="18">
        <f>_xll.ciqfunctions.udf.CIQ($C$2, "IQ_AUM_FOREIGN", P$6,$F$2,,,Ccy,Conv)</f>
        <v>0</v>
      </c>
      <c r="Q1140" s="215"/>
      <c r="R1140" s="215"/>
      <c r="S1140" s="215"/>
      <c r="T1140" s="215"/>
      <c r="U1140" s="215"/>
      <c r="V1140" s="222"/>
      <c r="W1140" s="215"/>
      <c r="X1140" s="215"/>
      <c r="Y1140" s="215"/>
      <c r="Z1140" s="215"/>
      <c r="AA1140" s="215"/>
      <c r="AB1140" s="215"/>
      <c r="AC1140" s="215"/>
      <c r="AD1140" s="215"/>
      <c r="AE1140" s="215"/>
      <c r="AF1140" s="215"/>
      <c r="AG1140" s="215"/>
      <c r="AH1140" s="215"/>
      <c r="AI1140" s="215"/>
      <c r="AJ1140" s="215"/>
      <c r="AK1140" s="215"/>
      <c r="AL1140" s="215"/>
      <c r="AM1140" s="215"/>
      <c r="AN1140" s="215"/>
      <c r="AO1140" s="215"/>
      <c r="AP1140" s="215"/>
      <c r="AQ1140" s="215"/>
      <c r="AR1140" s="215"/>
      <c r="AS1140" s="215"/>
      <c r="AT1140" s="215"/>
      <c r="AU1140" s="215"/>
      <c r="AV1140" s="215"/>
      <c r="AW1140" s="215"/>
      <c r="AX1140" s="215"/>
      <c r="AY1140" s="215"/>
      <c r="AZ1140" s="215"/>
      <c r="BA1140" s="215"/>
      <c r="BB1140" s="215"/>
      <c r="BC1140" s="215"/>
      <c r="BD1140" s="215"/>
      <c r="BE1140" s="215"/>
      <c r="BF1140" s="215"/>
      <c r="BG1140" s="215"/>
      <c r="BH1140" s="215"/>
      <c r="BI1140" s="215"/>
      <c r="BJ1140" s="215"/>
      <c r="BK1140" s="215"/>
      <c r="BL1140" s="215"/>
      <c r="BM1140" s="215"/>
      <c r="BN1140" s="215"/>
      <c r="BO1140" s="215"/>
      <c r="BP1140" s="215"/>
      <c r="BQ1140" s="215"/>
      <c r="BR1140" s="215"/>
      <c r="BS1140" s="215"/>
      <c r="BT1140" s="215"/>
      <c r="BU1140" s="215"/>
      <c r="BV1140" s="215"/>
      <c r="BW1140" s="215"/>
      <c r="BX1140" s="215"/>
      <c r="BY1140" s="215"/>
      <c r="BZ1140" s="215"/>
    </row>
    <row r="1141" spans="1:78" outlineLevel="1" x14ac:dyDescent="0.2">
      <c r="A1141" s="53" t="str">
        <f>'Language Index'!A620</f>
        <v>Assets Under Management - Fee Earning</v>
      </c>
      <c r="B1141" s="9"/>
      <c r="C1141" s="9"/>
      <c r="D1141" s="18">
        <f>_xll.ciqfunctions.udf.CIQ($C$2, "IQ_AUM_FEE_EARNING", D$6,$F$2,,,Ccy,Conv)</f>
        <v>0</v>
      </c>
      <c r="E1141" s="18">
        <f>_xll.ciqfunctions.udf.CIQ($C$2, "IQ_AUM_FEE_EARNING", E$6,$F$2,,,Ccy,Conv)</f>
        <v>0</v>
      </c>
      <c r="F1141" s="18">
        <f>_xll.ciqfunctions.udf.CIQ($C$2, "IQ_AUM_FEE_EARNING", F$6,$F$2,,,Ccy,Conv)</f>
        <v>0</v>
      </c>
      <c r="G1141" s="18">
        <f>_xll.ciqfunctions.udf.CIQ($C$2, "IQ_AUM_FEE_EARNING", G$6,$F$2,,,Ccy,Conv)</f>
        <v>0</v>
      </c>
      <c r="H1141" s="18">
        <f>_xll.ciqfunctions.udf.CIQ($C$2, "IQ_AUM_FEE_EARNING", H$6,$F$2,,,Ccy,Conv)</f>
        <v>0</v>
      </c>
      <c r="I1141" s="18">
        <f>_xll.ciqfunctions.udf.CIQ($C$2, "IQ_AUM_FEE_EARNING", I$6,$F$2,,,Ccy,Conv)</f>
        <v>0</v>
      </c>
      <c r="J1141" s="18">
        <f>_xll.ciqfunctions.udf.CIQ($C$2, "IQ_AUM_FEE_EARNING", J$6,$F$2,,,Ccy,Conv)</f>
        <v>0</v>
      </c>
      <c r="K1141" s="18">
        <f>_xll.ciqfunctions.udf.CIQ($C$2, "IQ_AUM_FEE_EARNING", K$6,$F$2,,,Ccy,Conv)</f>
        <v>0</v>
      </c>
      <c r="L1141" s="18">
        <f>_xll.ciqfunctions.udf.CIQ($C$2, "IQ_AUM_FEE_EARNING", L$6,$F$2,,,Ccy,Conv)</f>
        <v>0</v>
      </c>
      <c r="M1141" s="18">
        <f>_xll.ciqfunctions.udf.CIQ($C$2, "IQ_AUM_FEE_EARNING", M$6,$F$2,,,Ccy,Conv)</f>
        <v>0</v>
      </c>
      <c r="N1141" s="18">
        <f>_xll.ciqfunctions.udf.CIQ($C$2, "IQ_AUM_FEE_EARNING", N$6,$F$2,,,Ccy,Conv)</f>
        <v>0</v>
      </c>
      <c r="O1141" s="9"/>
      <c r="P1141" s="18">
        <f>_xll.ciqfunctions.udf.CIQ($C$2, "IQ_AUM_FEE_EARNING", P$6,$F$2,,,Ccy,Conv)</f>
        <v>0</v>
      </c>
      <c r="Q1141" s="215"/>
      <c r="R1141" s="215"/>
      <c r="S1141" s="215"/>
      <c r="T1141" s="215"/>
      <c r="U1141" s="215"/>
      <c r="V1141" s="222"/>
      <c r="W1141" s="215"/>
      <c r="X1141" s="215"/>
      <c r="Y1141" s="215"/>
      <c r="Z1141" s="215"/>
      <c r="AA1141" s="215"/>
      <c r="AB1141" s="215"/>
      <c r="AC1141" s="215"/>
      <c r="AD1141" s="215"/>
      <c r="AE1141" s="215"/>
      <c r="AF1141" s="215"/>
      <c r="AG1141" s="215"/>
      <c r="AH1141" s="215"/>
      <c r="AI1141" s="215"/>
      <c r="AJ1141" s="215"/>
      <c r="AK1141" s="215"/>
      <c r="AL1141" s="215"/>
      <c r="AM1141" s="215"/>
      <c r="AN1141" s="215"/>
      <c r="AO1141" s="215"/>
      <c r="AP1141" s="215"/>
      <c r="AQ1141" s="215"/>
      <c r="AR1141" s="215"/>
      <c r="AS1141" s="215"/>
      <c r="AT1141" s="215"/>
      <c r="AU1141" s="215"/>
      <c r="AV1141" s="215"/>
      <c r="AW1141" s="215"/>
      <c r="AX1141" s="215"/>
      <c r="AY1141" s="215"/>
      <c r="AZ1141" s="215"/>
      <c r="BA1141" s="215"/>
      <c r="BB1141" s="215"/>
      <c r="BC1141" s="215"/>
      <c r="BD1141" s="215"/>
      <c r="BE1141" s="215"/>
      <c r="BF1141" s="215"/>
      <c r="BG1141" s="215"/>
      <c r="BH1141" s="215"/>
      <c r="BI1141" s="215"/>
      <c r="BJ1141" s="215"/>
      <c r="BK1141" s="215"/>
      <c r="BL1141" s="215"/>
      <c r="BM1141" s="215"/>
      <c r="BN1141" s="215"/>
      <c r="BO1141" s="215"/>
      <c r="BP1141" s="215"/>
      <c r="BQ1141" s="215"/>
      <c r="BR1141" s="215"/>
      <c r="BS1141" s="215"/>
      <c r="BT1141" s="215"/>
      <c r="BU1141" s="215"/>
      <c r="BV1141" s="215"/>
      <c r="BW1141" s="215"/>
      <c r="BX1141" s="215"/>
      <c r="BY1141" s="215"/>
      <c r="BZ1141" s="215"/>
    </row>
    <row r="1142" spans="1:78" outlineLevel="1" x14ac:dyDescent="0.2">
      <c r="A1142" s="53" t="str">
        <f>'Language Index'!A621</f>
        <v>Assets Under Management - Non Fee Earning</v>
      </c>
      <c r="B1142" s="9"/>
      <c r="C1142" s="9"/>
      <c r="D1142" s="18">
        <f>_xll.ciqfunctions.udf.CIQ($C$2, "IQ_AUM_NON_FEE_EARNING", D$6,$F$2,,,Ccy,Conv)</f>
        <v>0</v>
      </c>
      <c r="E1142" s="18">
        <f>_xll.ciqfunctions.udf.CIQ($C$2, "IQ_AUM_NON_FEE_EARNING", E$6,$F$2,,,Ccy,Conv)</f>
        <v>0</v>
      </c>
      <c r="F1142" s="18">
        <f>_xll.ciqfunctions.udf.CIQ($C$2, "IQ_AUM_NON_FEE_EARNING", F$6,$F$2,,,Ccy,Conv)</f>
        <v>0</v>
      </c>
      <c r="G1142" s="18">
        <f>_xll.ciqfunctions.udf.CIQ($C$2, "IQ_AUM_NON_FEE_EARNING", G$6,$F$2,,,Ccy,Conv)</f>
        <v>0</v>
      </c>
      <c r="H1142" s="18">
        <f>_xll.ciqfunctions.udf.CIQ($C$2, "IQ_AUM_NON_FEE_EARNING", H$6,$F$2,,,Ccy,Conv)</f>
        <v>0</v>
      </c>
      <c r="I1142" s="18">
        <f>_xll.ciqfunctions.udf.CIQ($C$2, "IQ_AUM_NON_FEE_EARNING", I$6,$F$2,,,Ccy,Conv)</f>
        <v>0</v>
      </c>
      <c r="J1142" s="18">
        <f>_xll.ciqfunctions.udf.CIQ($C$2, "IQ_AUM_NON_FEE_EARNING", J$6,$F$2,,,Ccy,Conv)</f>
        <v>0</v>
      </c>
      <c r="K1142" s="18">
        <f>_xll.ciqfunctions.udf.CIQ($C$2, "IQ_AUM_NON_FEE_EARNING", K$6,$F$2,,,Ccy,Conv)</f>
        <v>0</v>
      </c>
      <c r="L1142" s="18">
        <f>_xll.ciqfunctions.udf.CIQ($C$2, "IQ_AUM_NON_FEE_EARNING", L$6,$F$2,,,Ccy,Conv)</f>
        <v>0</v>
      </c>
      <c r="M1142" s="18">
        <f>_xll.ciqfunctions.udf.CIQ($C$2, "IQ_AUM_NON_FEE_EARNING", M$6,$F$2,,,Ccy,Conv)</f>
        <v>0</v>
      </c>
      <c r="N1142" s="18">
        <f>_xll.ciqfunctions.udf.CIQ($C$2, "IQ_AUM_NON_FEE_EARNING", N$6,$F$2,,,Ccy,Conv)</f>
        <v>0</v>
      </c>
      <c r="O1142" s="9"/>
      <c r="P1142" s="18">
        <f>_xll.ciqfunctions.udf.CIQ($C$2, "IQ_AUM_NON_FEE_EARNING", P$6,$F$2,,,Ccy,Conv)</f>
        <v>0</v>
      </c>
      <c r="Q1142" s="215"/>
      <c r="R1142" s="215"/>
      <c r="S1142" s="215"/>
      <c r="T1142" s="215"/>
      <c r="U1142" s="215"/>
      <c r="V1142" s="222"/>
      <c r="W1142" s="215"/>
      <c r="X1142" s="215"/>
      <c r="Y1142" s="215"/>
      <c r="Z1142" s="215"/>
      <c r="AA1142" s="215"/>
      <c r="AB1142" s="215"/>
      <c r="AC1142" s="215"/>
      <c r="AD1142" s="215"/>
      <c r="AE1142" s="215"/>
      <c r="AF1142" s="215"/>
      <c r="AG1142" s="215"/>
      <c r="AH1142" s="215"/>
      <c r="AI1142" s="215"/>
      <c r="AJ1142" s="215"/>
      <c r="AK1142" s="215"/>
      <c r="AL1142" s="215"/>
      <c r="AM1142" s="215"/>
      <c r="AN1142" s="215"/>
      <c r="AO1142" s="215"/>
      <c r="AP1142" s="215"/>
      <c r="AQ1142" s="215"/>
      <c r="AR1142" s="215"/>
      <c r="AS1142" s="215"/>
      <c r="AT1142" s="215"/>
      <c r="AU1142" s="215"/>
      <c r="AV1142" s="215"/>
      <c r="AW1142" s="215"/>
      <c r="AX1142" s="215"/>
      <c r="AY1142" s="215"/>
      <c r="AZ1142" s="215"/>
      <c r="BA1142" s="215"/>
      <c r="BB1142" s="215"/>
      <c r="BC1142" s="215"/>
      <c r="BD1142" s="215"/>
      <c r="BE1142" s="215"/>
      <c r="BF1142" s="215"/>
      <c r="BG1142" s="215"/>
      <c r="BH1142" s="215"/>
      <c r="BI1142" s="215"/>
      <c r="BJ1142" s="215"/>
      <c r="BK1142" s="215"/>
      <c r="BL1142" s="215"/>
      <c r="BM1142" s="215"/>
      <c r="BN1142" s="215"/>
      <c r="BO1142" s="215"/>
      <c r="BP1142" s="215"/>
      <c r="BQ1142" s="215"/>
      <c r="BR1142" s="215"/>
      <c r="BS1142" s="215"/>
      <c r="BT1142" s="215"/>
      <c r="BU1142" s="215"/>
      <c r="BV1142" s="215"/>
      <c r="BW1142" s="215"/>
      <c r="BX1142" s="215"/>
      <c r="BY1142" s="215"/>
      <c r="BZ1142" s="215"/>
    </row>
    <row r="1143" spans="1:78" outlineLevel="1" x14ac:dyDescent="0.2">
      <c r="A1143" s="53" t="str">
        <f>'Language Index'!A622</f>
        <v>Assets Under Management - Retail Customers</v>
      </c>
      <c r="B1143" s="9"/>
      <c r="C1143" s="9"/>
      <c r="D1143" s="18">
        <f>_xll.ciqfunctions.udf.CIQ($C$2, "IQ_AUM_RETAIL_CUSTOMERS", D$6,$F$2)</f>
        <v>0</v>
      </c>
      <c r="E1143" s="18">
        <f>_xll.ciqfunctions.udf.CIQ($C$2, "IQ_AUM_RETAIL_CUSTOMERS", E$6,$F$2)</f>
        <v>0</v>
      </c>
      <c r="F1143" s="18">
        <f>_xll.ciqfunctions.udf.CIQ($C$2, "IQ_AUM_RETAIL_CUSTOMERS", F$6,$F$2)</f>
        <v>0</v>
      </c>
      <c r="G1143" s="18">
        <f>_xll.ciqfunctions.udf.CIQ($C$2, "IQ_AUM_RETAIL_CUSTOMERS", G$6,$F$2)</f>
        <v>0</v>
      </c>
      <c r="H1143" s="18">
        <f>_xll.ciqfunctions.udf.CIQ($C$2, "IQ_AUM_RETAIL_CUSTOMERS", H$6,$F$2)</f>
        <v>0</v>
      </c>
      <c r="I1143" s="18">
        <f>_xll.ciqfunctions.udf.CIQ($C$2, "IQ_AUM_RETAIL_CUSTOMERS", I$6,$F$2)</f>
        <v>0</v>
      </c>
      <c r="J1143" s="18">
        <f>_xll.ciqfunctions.udf.CIQ($C$2, "IQ_AUM_RETAIL_CUSTOMERS", J$6,$F$2)</f>
        <v>0</v>
      </c>
      <c r="K1143" s="18">
        <f>_xll.ciqfunctions.udf.CIQ($C$2, "IQ_AUM_RETAIL_CUSTOMERS", K$6,$F$2)</f>
        <v>0</v>
      </c>
      <c r="L1143" s="18">
        <f>_xll.ciqfunctions.udf.CIQ($C$2, "IQ_AUM_RETAIL_CUSTOMERS", L$6,$F$2)</f>
        <v>0</v>
      </c>
      <c r="M1143" s="18">
        <f>_xll.ciqfunctions.udf.CIQ($C$2, "IQ_AUM_RETAIL_CUSTOMERS", M$6,$F$2)</f>
        <v>0</v>
      </c>
      <c r="N1143" s="18">
        <f>_xll.ciqfunctions.udf.CIQ($C$2, "IQ_AUM_RETAIL_CUSTOMERS", N$6,$F$2)</f>
        <v>0</v>
      </c>
      <c r="O1143" s="9"/>
      <c r="P1143" s="18">
        <f>_xll.ciqfunctions.udf.CIQ($C$2, "IQ_AUM_RETAIL_CUSTOMERS", P$6,$F$2)</f>
        <v>0</v>
      </c>
      <c r="Q1143" s="215"/>
      <c r="R1143" s="215"/>
      <c r="S1143" s="215"/>
      <c r="T1143" s="215"/>
      <c r="U1143" s="215"/>
      <c r="V1143" s="222"/>
      <c r="W1143" s="215"/>
      <c r="X1143" s="215"/>
      <c r="Y1143" s="215"/>
      <c r="Z1143" s="215"/>
      <c r="AA1143" s="215"/>
      <c r="AB1143" s="215"/>
      <c r="AC1143" s="215"/>
      <c r="AD1143" s="215"/>
      <c r="AE1143" s="215"/>
      <c r="AF1143" s="215"/>
      <c r="AG1143" s="215"/>
      <c r="AH1143" s="215"/>
      <c r="AI1143" s="215"/>
      <c r="AJ1143" s="215"/>
      <c r="AK1143" s="215"/>
      <c r="AL1143" s="215"/>
      <c r="AM1143" s="215"/>
      <c r="AN1143" s="215"/>
      <c r="AO1143" s="215"/>
      <c r="AP1143" s="215"/>
      <c r="AQ1143" s="215"/>
      <c r="AR1143" s="215"/>
      <c r="AS1143" s="215"/>
      <c r="AT1143" s="215"/>
      <c r="AU1143" s="215"/>
      <c r="AV1143" s="215"/>
      <c r="AW1143" s="215"/>
      <c r="AX1143" s="215"/>
      <c r="AY1143" s="215"/>
      <c r="AZ1143" s="215"/>
      <c r="BA1143" s="215"/>
      <c r="BB1143" s="215"/>
      <c r="BC1143" s="215"/>
      <c r="BD1143" s="215"/>
      <c r="BE1143" s="215"/>
      <c r="BF1143" s="215"/>
      <c r="BG1143" s="215"/>
      <c r="BH1143" s="215"/>
      <c r="BI1143" s="215"/>
      <c r="BJ1143" s="215"/>
      <c r="BK1143" s="215"/>
      <c r="BL1143" s="215"/>
      <c r="BM1143" s="215"/>
      <c r="BN1143" s="215"/>
      <c r="BO1143" s="215"/>
      <c r="BP1143" s="215"/>
      <c r="BQ1143" s="215"/>
      <c r="BR1143" s="215"/>
      <c r="BS1143" s="215"/>
      <c r="BT1143" s="215"/>
      <c r="BU1143" s="215"/>
      <c r="BV1143" s="215"/>
      <c r="BW1143" s="215"/>
      <c r="BX1143" s="215"/>
      <c r="BY1143" s="215"/>
      <c r="BZ1143" s="215"/>
    </row>
    <row r="1144" spans="1:78" outlineLevel="1" x14ac:dyDescent="0.2">
      <c r="A1144" s="53" t="str">
        <f>'Language Index'!A623</f>
        <v>Assets Under Management - Institutional Customers</v>
      </c>
      <c r="B1144" s="9"/>
      <c r="C1144" s="9"/>
      <c r="D1144" s="18">
        <f>_xll.ciqfunctions.udf.CIQ($C$2, "IQ_AUM_INSTITUTIONAL_CUSTOMERS", D$6,$F$2)</f>
        <v>0</v>
      </c>
      <c r="E1144" s="18">
        <f>_xll.ciqfunctions.udf.CIQ($C$2, "IQ_AUM_INSTITUTIONAL_CUSTOMERS", E$6,$F$2)</f>
        <v>0</v>
      </c>
      <c r="F1144" s="18">
        <f>_xll.ciqfunctions.udf.CIQ($C$2, "IQ_AUM_INSTITUTIONAL_CUSTOMERS", F$6,$F$2)</f>
        <v>0</v>
      </c>
      <c r="G1144" s="18">
        <f>_xll.ciqfunctions.udf.CIQ($C$2, "IQ_AUM_INSTITUTIONAL_CUSTOMERS", G$6,$F$2)</f>
        <v>0</v>
      </c>
      <c r="H1144" s="18">
        <f>_xll.ciqfunctions.udf.CIQ($C$2, "IQ_AUM_INSTITUTIONAL_CUSTOMERS", H$6,$F$2)</f>
        <v>0</v>
      </c>
      <c r="I1144" s="18">
        <f>_xll.ciqfunctions.udf.CIQ($C$2, "IQ_AUM_INSTITUTIONAL_CUSTOMERS", I$6,$F$2)</f>
        <v>0</v>
      </c>
      <c r="J1144" s="18">
        <f>_xll.ciqfunctions.udf.CIQ($C$2, "IQ_AUM_INSTITUTIONAL_CUSTOMERS", J$6,$F$2)</f>
        <v>0</v>
      </c>
      <c r="K1144" s="18">
        <f>_xll.ciqfunctions.udf.CIQ($C$2, "IQ_AUM_INSTITUTIONAL_CUSTOMERS", K$6,$F$2)</f>
        <v>0</v>
      </c>
      <c r="L1144" s="18">
        <f>_xll.ciqfunctions.udf.CIQ($C$2, "IQ_AUM_INSTITUTIONAL_CUSTOMERS", L$6,$F$2)</f>
        <v>0</v>
      </c>
      <c r="M1144" s="18">
        <f>_xll.ciqfunctions.udf.CIQ($C$2, "IQ_AUM_INSTITUTIONAL_CUSTOMERS", M$6,$F$2)</f>
        <v>0</v>
      </c>
      <c r="N1144" s="18">
        <f>_xll.ciqfunctions.udf.CIQ($C$2, "IQ_AUM_INSTITUTIONAL_CUSTOMERS", N$6,$F$2)</f>
        <v>0</v>
      </c>
      <c r="O1144" s="9"/>
      <c r="P1144" s="18">
        <f>_xll.ciqfunctions.udf.CIQ($C$2, "IQ_AUM_INSTITUTIONAL_CUSTOMERS", P$6,$F$2)</f>
        <v>0</v>
      </c>
      <c r="Q1144" s="215"/>
      <c r="R1144" s="215"/>
      <c r="S1144" s="215"/>
      <c r="T1144" s="215"/>
      <c r="U1144" s="215"/>
      <c r="V1144" s="222"/>
      <c r="W1144" s="215"/>
      <c r="X1144" s="215"/>
      <c r="Y1144" s="215"/>
      <c r="Z1144" s="215"/>
      <c r="AA1144" s="215"/>
      <c r="AB1144" s="215"/>
      <c r="AC1144" s="215"/>
      <c r="AD1144" s="215"/>
      <c r="AE1144" s="215"/>
      <c r="AF1144" s="215"/>
      <c r="AG1144" s="215"/>
      <c r="AH1144" s="215"/>
      <c r="AI1144" s="215"/>
      <c r="AJ1144" s="215"/>
      <c r="AK1144" s="215"/>
      <c r="AL1144" s="215"/>
      <c r="AM1144" s="215"/>
      <c r="AN1144" s="215"/>
      <c r="AO1144" s="215"/>
      <c r="AP1144" s="215"/>
      <c r="AQ1144" s="215"/>
      <c r="AR1144" s="215"/>
      <c r="AS1144" s="215"/>
      <c r="AT1144" s="215"/>
      <c r="AU1144" s="215"/>
      <c r="AV1144" s="215"/>
      <c r="AW1144" s="215"/>
      <c r="AX1144" s="215"/>
      <c r="AY1144" s="215"/>
      <c r="AZ1144" s="215"/>
      <c r="BA1144" s="215"/>
      <c r="BB1144" s="215"/>
      <c r="BC1144" s="215"/>
      <c r="BD1144" s="215"/>
      <c r="BE1144" s="215"/>
      <c r="BF1144" s="215"/>
      <c r="BG1144" s="215"/>
      <c r="BH1144" s="215"/>
      <c r="BI1144" s="215"/>
      <c r="BJ1144" s="215"/>
      <c r="BK1144" s="215"/>
      <c r="BL1144" s="215"/>
      <c r="BM1144" s="215"/>
      <c r="BN1144" s="215"/>
      <c r="BO1144" s="215"/>
      <c r="BP1144" s="215"/>
      <c r="BQ1144" s="215"/>
      <c r="BR1144" s="215"/>
      <c r="BS1144" s="215"/>
      <c r="BT1144" s="215"/>
      <c r="BU1144" s="215"/>
      <c r="BV1144" s="215"/>
      <c r="BW1144" s="215"/>
      <c r="BX1144" s="215"/>
      <c r="BY1144" s="215"/>
      <c r="BZ1144" s="215"/>
    </row>
    <row r="1145" spans="1:78" outlineLevel="1" x14ac:dyDescent="0.2">
      <c r="A1145" s="53" t="str">
        <f>'Language Index'!A624</f>
        <v>Assets Under Management - Small, Medium Enterprise Customers</v>
      </c>
      <c r="B1145" s="9"/>
      <c r="C1145" s="9"/>
      <c r="D1145" s="18">
        <f>_xll.ciqfunctions.udf.CIQ($C$2, "IQ_AUM_SME_CUSTOMERS", D$6,$F$2)</f>
        <v>0</v>
      </c>
      <c r="E1145" s="18">
        <f>_xll.ciqfunctions.udf.CIQ($C$2, "IQ_AUM_SME_CUSTOMERS", E$6,$F$2)</f>
        <v>0</v>
      </c>
      <c r="F1145" s="18">
        <f>_xll.ciqfunctions.udf.CIQ($C$2, "IQ_AUM_SME_CUSTOMERS", F$6,$F$2)</f>
        <v>0</v>
      </c>
      <c r="G1145" s="18">
        <f>_xll.ciqfunctions.udf.CIQ($C$2, "IQ_AUM_SME_CUSTOMERS", G$6,$F$2)</f>
        <v>0</v>
      </c>
      <c r="H1145" s="18">
        <f>_xll.ciqfunctions.udf.CIQ($C$2, "IQ_AUM_SME_CUSTOMERS", H$6,$F$2)</f>
        <v>0</v>
      </c>
      <c r="I1145" s="18">
        <f>_xll.ciqfunctions.udf.CIQ($C$2, "IQ_AUM_SME_CUSTOMERS", I$6,$F$2)</f>
        <v>0</v>
      </c>
      <c r="J1145" s="18">
        <f>_xll.ciqfunctions.udf.CIQ($C$2, "IQ_AUM_SME_CUSTOMERS", J$6,$F$2)</f>
        <v>0</v>
      </c>
      <c r="K1145" s="18">
        <f>_xll.ciqfunctions.udf.CIQ($C$2, "IQ_AUM_SME_CUSTOMERS", K$6,$F$2)</f>
        <v>0</v>
      </c>
      <c r="L1145" s="18">
        <f>_xll.ciqfunctions.udf.CIQ($C$2, "IQ_AUM_SME_CUSTOMERS", L$6,$F$2)</f>
        <v>0</v>
      </c>
      <c r="M1145" s="18">
        <f>_xll.ciqfunctions.udf.CIQ($C$2, "IQ_AUM_SME_CUSTOMERS", M$6,$F$2)</f>
        <v>0</v>
      </c>
      <c r="N1145" s="18">
        <f>_xll.ciqfunctions.udf.CIQ($C$2, "IQ_AUM_SME_CUSTOMERS", N$6,$F$2)</f>
        <v>0</v>
      </c>
      <c r="O1145" s="9"/>
      <c r="P1145" s="18">
        <f>_xll.ciqfunctions.udf.CIQ($C$2, "IQ_AUM_SME_CUSTOMERS", P$6,$F$2)</f>
        <v>0</v>
      </c>
      <c r="Q1145" s="215"/>
      <c r="R1145" s="215"/>
      <c r="S1145" s="215"/>
      <c r="T1145" s="215"/>
      <c r="U1145" s="215"/>
      <c r="V1145" s="222"/>
      <c r="W1145" s="215"/>
      <c r="X1145" s="215"/>
      <c r="Y1145" s="215"/>
      <c r="Z1145" s="215"/>
      <c r="AA1145" s="215"/>
      <c r="AB1145" s="215"/>
      <c r="AC1145" s="215"/>
      <c r="AD1145" s="215"/>
      <c r="AE1145" s="215"/>
      <c r="AF1145" s="215"/>
      <c r="AG1145" s="215"/>
      <c r="AH1145" s="215"/>
      <c r="AI1145" s="215"/>
      <c r="AJ1145" s="215"/>
      <c r="AK1145" s="215"/>
      <c r="AL1145" s="215"/>
      <c r="AM1145" s="215"/>
      <c r="AN1145" s="215"/>
      <c r="AO1145" s="215"/>
      <c r="AP1145" s="215"/>
      <c r="AQ1145" s="215"/>
      <c r="AR1145" s="215"/>
      <c r="AS1145" s="215"/>
      <c r="AT1145" s="215"/>
      <c r="AU1145" s="215"/>
      <c r="AV1145" s="215"/>
      <c r="AW1145" s="215"/>
      <c r="AX1145" s="215"/>
      <c r="AY1145" s="215"/>
      <c r="AZ1145" s="215"/>
      <c r="BA1145" s="215"/>
      <c r="BB1145" s="215"/>
      <c r="BC1145" s="215"/>
      <c r="BD1145" s="215"/>
      <c r="BE1145" s="215"/>
      <c r="BF1145" s="215"/>
      <c r="BG1145" s="215"/>
      <c r="BH1145" s="215"/>
      <c r="BI1145" s="215"/>
      <c r="BJ1145" s="215"/>
      <c r="BK1145" s="215"/>
      <c r="BL1145" s="215"/>
      <c r="BM1145" s="215"/>
      <c r="BN1145" s="215"/>
      <c r="BO1145" s="215"/>
      <c r="BP1145" s="215"/>
      <c r="BQ1145" s="215"/>
      <c r="BR1145" s="215"/>
      <c r="BS1145" s="215"/>
      <c r="BT1145" s="215"/>
      <c r="BU1145" s="215"/>
      <c r="BV1145" s="215"/>
      <c r="BW1145" s="215"/>
      <c r="BX1145" s="215"/>
      <c r="BY1145" s="215"/>
      <c r="BZ1145" s="215"/>
    </row>
    <row r="1146" spans="1:78" outlineLevel="1" x14ac:dyDescent="0.2">
      <c r="A1146" s="53" t="str">
        <f>'Language Index'!A625</f>
        <v>Assets Under Management - Other Customers</v>
      </c>
      <c r="B1146" s="9"/>
      <c r="C1146" s="9"/>
      <c r="D1146" s="18">
        <f>_xll.ciqfunctions.udf.CIQ($C$2, "IQ_AUM_OTHER_CUSTOMERS", D$6,$F$2)</f>
        <v>0</v>
      </c>
      <c r="E1146" s="18">
        <f>_xll.ciqfunctions.udf.CIQ($C$2, "IQ_AUM_OTHER_CUSTOMERS", E$6,$F$2)</f>
        <v>0</v>
      </c>
      <c r="F1146" s="18">
        <f>_xll.ciqfunctions.udf.CIQ($C$2, "IQ_AUM_OTHER_CUSTOMERS", F$6,$F$2)</f>
        <v>0</v>
      </c>
      <c r="G1146" s="18">
        <f>_xll.ciqfunctions.udf.CIQ($C$2, "IQ_AUM_OTHER_CUSTOMERS", G$6,$F$2)</f>
        <v>0</v>
      </c>
      <c r="H1146" s="18">
        <f>_xll.ciqfunctions.udf.CIQ($C$2, "IQ_AUM_OTHER_CUSTOMERS", H$6,$F$2)</f>
        <v>0</v>
      </c>
      <c r="I1146" s="18">
        <f>_xll.ciqfunctions.udf.CIQ($C$2, "IQ_AUM_OTHER_CUSTOMERS", I$6,$F$2)</f>
        <v>0</v>
      </c>
      <c r="J1146" s="18">
        <f>_xll.ciqfunctions.udf.CIQ($C$2, "IQ_AUM_OTHER_CUSTOMERS", J$6,$F$2)</f>
        <v>0</v>
      </c>
      <c r="K1146" s="18">
        <f>_xll.ciqfunctions.udf.CIQ($C$2, "IQ_AUM_OTHER_CUSTOMERS", K$6,$F$2)</f>
        <v>0</v>
      </c>
      <c r="L1146" s="18">
        <f>_xll.ciqfunctions.udf.CIQ($C$2, "IQ_AUM_OTHER_CUSTOMERS", L$6,$F$2)</f>
        <v>0</v>
      </c>
      <c r="M1146" s="18">
        <f>_xll.ciqfunctions.udf.CIQ($C$2, "IQ_AUM_OTHER_CUSTOMERS", M$6,$F$2)</f>
        <v>0</v>
      </c>
      <c r="N1146" s="18">
        <f>_xll.ciqfunctions.udf.CIQ($C$2, "IQ_AUM_OTHER_CUSTOMERS", N$6,$F$2)</f>
        <v>0</v>
      </c>
      <c r="O1146" s="9"/>
      <c r="P1146" s="18">
        <f>_xll.ciqfunctions.udf.CIQ($C$2, "IQ_AUM_OTHER_CUSTOMERS", P$6,$F$2)</f>
        <v>0</v>
      </c>
      <c r="Q1146" s="215"/>
      <c r="R1146" s="215"/>
      <c r="S1146" s="215"/>
      <c r="T1146" s="215"/>
      <c r="U1146" s="215"/>
      <c r="V1146" s="222"/>
      <c r="W1146" s="215"/>
      <c r="X1146" s="215"/>
      <c r="Y1146" s="215"/>
      <c r="Z1146" s="215"/>
      <c r="AA1146" s="215"/>
      <c r="AB1146" s="215"/>
      <c r="AC1146" s="215"/>
      <c r="AD1146" s="215"/>
      <c r="AE1146" s="215"/>
      <c r="AF1146" s="215"/>
      <c r="AG1146" s="215"/>
      <c r="AH1146" s="215"/>
      <c r="AI1146" s="215"/>
      <c r="AJ1146" s="215"/>
      <c r="AK1146" s="215"/>
      <c r="AL1146" s="215"/>
      <c r="AM1146" s="215"/>
      <c r="AN1146" s="215"/>
      <c r="AO1146" s="215"/>
      <c r="AP1146" s="215"/>
      <c r="AQ1146" s="215"/>
      <c r="AR1146" s="215"/>
      <c r="AS1146" s="215"/>
      <c r="AT1146" s="215"/>
      <c r="AU1146" s="215"/>
      <c r="AV1146" s="215"/>
      <c r="AW1146" s="215"/>
      <c r="AX1146" s="215"/>
      <c r="AY1146" s="215"/>
      <c r="AZ1146" s="215"/>
      <c r="BA1146" s="215"/>
      <c r="BB1146" s="215"/>
      <c r="BC1146" s="215"/>
      <c r="BD1146" s="215"/>
      <c r="BE1146" s="215"/>
      <c r="BF1146" s="215"/>
      <c r="BG1146" s="215"/>
      <c r="BH1146" s="215"/>
      <c r="BI1146" s="215"/>
      <c r="BJ1146" s="215"/>
      <c r="BK1146" s="215"/>
      <c r="BL1146" s="215"/>
      <c r="BM1146" s="215"/>
      <c r="BN1146" s="215"/>
      <c r="BO1146" s="215"/>
      <c r="BP1146" s="215"/>
      <c r="BQ1146" s="215"/>
      <c r="BR1146" s="215"/>
      <c r="BS1146" s="215"/>
      <c r="BT1146" s="215"/>
      <c r="BU1146" s="215"/>
      <c r="BV1146" s="215"/>
      <c r="BW1146" s="215"/>
      <c r="BX1146" s="215"/>
      <c r="BY1146" s="215"/>
      <c r="BZ1146" s="215"/>
    </row>
    <row r="1147" spans="1:78" outlineLevel="1" x14ac:dyDescent="0.2">
      <c r="A1147" s="53" t="str">
        <f>'Language Index'!A626</f>
        <v>Assets Under Management - Total Customers</v>
      </c>
      <c r="B1147" s="9"/>
      <c r="C1147" s="9"/>
      <c r="D1147" s="18">
        <f>_xll.ciqfunctions.udf.CIQ($C$2, "IQ_AUM_TOTAL_CUSTOMERS", D$6,$F$2)</f>
        <v>0</v>
      </c>
      <c r="E1147" s="18">
        <f>_xll.ciqfunctions.udf.CIQ($C$2, "IQ_AUM_TOTAL_CUSTOMERS", E$6,$F$2)</f>
        <v>0</v>
      </c>
      <c r="F1147" s="18">
        <f>_xll.ciqfunctions.udf.CIQ($C$2, "IQ_AUM_TOTAL_CUSTOMERS", F$6,$F$2)</f>
        <v>0</v>
      </c>
      <c r="G1147" s="18">
        <f>_xll.ciqfunctions.udf.CIQ($C$2, "IQ_AUM_TOTAL_CUSTOMERS", G$6,$F$2)</f>
        <v>0</v>
      </c>
      <c r="H1147" s="18">
        <f>_xll.ciqfunctions.udf.CIQ($C$2, "IQ_AUM_TOTAL_CUSTOMERS", H$6,$F$2)</f>
        <v>0</v>
      </c>
      <c r="I1147" s="18">
        <f>_xll.ciqfunctions.udf.CIQ($C$2, "IQ_AUM_TOTAL_CUSTOMERS", I$6,$F$2)</f>
        <v>0</v>
      </c>
      <c r="J1147" s="18">
        <f>_xll.ciqfunctions.udf.CIQ($C$2, "IQ_AUM_TOTAL_CUSTOMERS", J$6,$F$2)</f>
        <v>0</v>
      </c>
      <c r="K1147" s="18">
        <f>_xll.ciqfunctions.udf.CIQ($C$2, "IQ_AUM_TOTAL_CUSTOMERS", K$6,$F$2)</f>
        <v>0</v>
      </c>
      <c r="L1147" s="18">
        <f>_xll.ciqfunctions.udf.CIQ($C$2, "IQ_AUM_TOTAL_CUSTOMERS", L$6,$F$2)</f>
        <v>0</v>
      </c>
      <c r="M1147" s="18">
        <f>_xll.ciqfunctions.udf.CIQ($C$2, "IQ_AUM_TOTAL_CUSTOMERS", M$6,$F$2)</f>
        <v>0</v>
      </c>
      <c r="N1147" s="18">
        <f>_xll.ciqfunctions.udf.CIQ($C$2, "IQ_AUM_TOTAL_CUSTOMERS", N$6,$F$2)</f>
        <v>0</v>
      </c>
      <c r="O1147" s="9"/>
      <c r="P1147" s="18">
        <f>_xll.ciqfunctions.udf.CIQ($C$2, "IQ_AUM_TOTAL_CUSTOMERS", P$6,$F$2)</f>
        <v>0</v>
      </c>
      <c r="Q1147" s="215"/>
      <c r="R1147" s="215"/>
      <c r="S1147" s="215"/>
      <c r="T1147" s="215"/>
      <c r="U1147" s="215"/>
      <c r="V1147" s="222"/>
      <c r="W1147" s="215"/>
      <c r="X1147" s="215"/>
      <c r="Y1147" s="215"/>
      <c r="Z1147" s="215"/>
      <c r="AA1147" s="215"/>
      <c r="AB1147" s="215"/>
      <c r="AC1147" s="215"/>
      <c r="AD1147" s="215"/>
      <c r="AE1147" s="215"/>
      <c r="AF1147" s="215"/>
      <c r="AG1147" s="215"/>
      <c r="AH1147" s="215"/>
      <c r="AI1147" s="215"/>
      <c r="AJ1147" s="215"/>
      <c r="AK1147" s="215"/>
      <c r="AL1147" s="215"/>
      <c r="AM1147" s="215"/>
      <c r="AN1147" s="215"/>
      <c r="AO1147" s="215"/>
      <c r="AP1147" s="215"/>
      <c r="AQ1147" s="215"/>
      <c r="AR1147" s="215"/>
      <c r="AS1147" s="215"/>
      <c r="AT1147" s="215"/>
      <c r="AU1147" s="215"/>
      <c r="AV1147" s="215"/>
      <c r="AW1147" s="215"/>
      <c r="AX1147" s="215"/>
      <c r="AY1147" s="215"/>
      <c r="AZ1147" s="215"/>
      <c r="BA1147" s="215"/>
      <c r="BB1147" s="215"/>
      <c r="BC1147" s="215"/>
      <c r="BD1147" s="215"/>
      <c r="BE1147" s="215"/>
      <c r="BF1147" s="215"/>
      <c r="BG1147" s="215"/>
      <c r="BH1147" s="215"/>
      <c r="BI1147" s="215"/>
      <c r="BJ1147" s="215"/>
      <c r="BK1147" s="215"/>
      <c r="BL1147" s="215"/>
      <c r="BM1147" s="215"/>
      <c r="BN1147" s="215"/>
      <c r="BO1147" s="215"/>
      <c r="BP1147" s="215"/>
      <c r="BQ1147" s="215"/>
      <c r="BR1147" s="215"/>
      <c r="BS1147" s="215"/>
      <c r="BT1147" s="215"/>
      <c r="BU1147" s="215"/>
      <c r="BV1147" s="215"/>
      <c r="BW1147" s="215"/>
      <c r="BX1147" s="215"/>
      <c r="BY1147" s="215"/>
      <c r="BZ1147" s="215"/>
    </row>
    <row r="1148" spans="1:78" outlineLevel="1" x14ac:dyDescent="0.2">
      <c r="A1148" s="53" t="str">
        <f>'Language Index'!A627</f>
        <v>Assets Under Management - Beginning of Period</v>
      </c>
      <c r="B1148" s="9"/>
      <c r="C1148" s="9"/>
      <c r="D1148" s="18">
        <f>_xll.ciqfunctions.udf.CIQ($C$2, "IQ_AUM_BOP", D$6,$F$2,,,Ccy,Conv)</f>
        <v>0</v>
      </c>
      <c r="E1148" s="18">
        <f>_xll.ciqfunctions.udf.CIQ($C$2, "IQ_AUM_BOP", E$6,$F$2,,,Ccy,Conv)</f>
        <v>0</v>
      </c>
      <c r="F1148" s="18">
        <f>_xll.ciqfunctions.udf.CIQ($C$2, "IQ_AUM_BOP", F$6,$F$2,,,Ccy,Conv)</f>
        <v>0</v>
      </c>
      <c r="G1148" s="18">
        <f>_xll.ciqfunctions.udf.CIQ($C$2, "IQ_AUM_BOP", G$6,$F$2,,,Ccy,Conv)</f>
        <v>0</v>
      </c>
      <c r="H1148" s="18">
        <f>_xll.ciqfunctions.udf.CIQ($C$2, "IQ_AUM_BOP", H$6,$F$2,,,Ccy,Conv)</f>
        <v>0</v>
      </c>
      <c r="I1148" s="18">
        <f>_xll.ciqfunctions.udf.CIQ($C$2, "IQ_AUM_BOP", I$6,$F$2,,,Ccy,Conv)</f>
        <v>0</v>
      </c>
      <c r="J1148" s="18">
        <f>_xll.ciqfunctions.udf.CIQ($C$2, "IQ_AUM_BOP", J$6,$F$2,,,Ccy,Conv)</f>
        <v>0</v>
      </c>
      <c r="K1148" s="18">
        <f>_xll.ciqfunctions.udf.CIQ($C$2, "IQ_AUM_BOP", K$6,$F$2,,,Ccy,Conv)</f>
        <v>0</v>
      </c>
      <c r="L1148" s="18">
        <f>_xll.ciqfunctions.udf.CIQ($C$2, "IQ_AUM_BOP", L$6,$F$2,,,Ccy,Conv)</f>
        <v>0</v>
      </c>
      <c r="M1148" s="18">
        <f>_xll.ciqfunctions.udf.CIQ($C$2, "IQ_AUM_BOP", M$6,$F$2,,,Ccy,Conv)</f>
        <v>0</v>
      </c>
      <c r="N1148" s="18">
        <f>_xll.ciqfunctions.udf.CIQ($C$2, "IQ_AUM_BOP", N$6,$F$2,,,Ccy,Conv)</f>
        <v>0</v>
      </c>
      <c r="O1148" s="9"/>
      <c r="P1148" s="18">
        <f>_xll.ciqfunctions.udf.CIQ($C$2, "IQ_AUM_BOP", P$6,$F$2,,,Ccy,Conv)</f>
        <v>0</v>
      </c>
      <c r="Q1148" s="215"/>
      <c r="R1148" s="215"/>
      <c r="S1148" s="215"/>
      <c r="T1148" s="215"/>
      <c r="U1148" s="215"/>
      <c r="V1148" s="222"/>
      <c r="W1148" s="215"/>
      <c r="X1148" s="215"/>
      <c r="Y1148" s="215"/>
      <c r="Z1148" s="215"/>
      <c r="AA1148" s="215"/>
      <c r="AB1148" s="215"/>
      <c r="AC1148" s="215"/>
      <c r="AD1148" s="215"/>
      <c r="AE1148" s="215"/>
      <c r="AF1148" s="215"/>
      <c r="AG1148" s="215"/>
      <c r="AH1148" s="215"/>
      <c r="AI1148" s="215"/>
      <c r="AJ1148" s="215"/>
      <c r="AK1148" s="215"/>
      <c r="AL1148" s="215"/>
      <c r="AM1148" s="215"/>
      <c r="AN1148" s="215"/>
      <c r="AO1148" s="215"/>
      <c r="AP1148" s="215"/>
      <c r="AQ1148" s="215"/>
      <c r="AR1148" s="215"/>
      <c r="AS1148" s="215"/>
      <c r="AT1148" s="215"/>
      <c r="AU1148" s="215"/>
      <c r="AV1148" s="215"/>
      <c r="AW1148" s="215"/>
      <c r="AX1148" s="215"/>
      <c r="AY1148" s="215"/>
      <c r="AZ1148" s="215"/>
      <c r="BA1148" s="215"/>
      <c r="BB1148" s="215"/>
      <c r="BC1148" s="215"/>
      <c r="BD1148" s="215"/>
      <c r="BE1148" s="215"/>
      <c r="BF1148" s="215"/>
      <c r="BG1148" s="215"/>
      <c r="BH1148" s="215"/>
      <c r="BI1148" s="215"/>
      <c r="BJ1148" s="215"/>
      <c r="BK1148" s="215"/>
      <c r="BL1148" s="215"/>
      <c r="BM1148" s="215"/>
      <c r="BN1148" s="215"/>
      <c r="BO1148" s="215"/>
      <c r="BP1148" s="215"/>
      <c r="BQ1148" s="215"/>
      <c r="BR1148" s="215"/>
      <c r="BS1148" s="215"/>
      <c r="BT1148" s="215"/>
      <c r="BU1148" s="215"/>
      <c r="BV1148" s="215"/>
      <c r="BW1148" s="215"/>
      <c r="BX1148" s="215"/>
      <c r="BY1148" s="215"/>
      <c r="BZ1148" s="215"/>
    </row>
    <row r="1149" spans="1:78" outlineLevel="1" x14ac:dyDescent="0.2">
      <c r="A1149" s="53" t="str">
        <f>'Language Index'!A628</f>
        <v>Assets Under Management - Inflows</v>
      </c>
      <c r="B1149" s="9"/>
      <c r="C1149" s="9"/>
      <c r="D1149" s="18">
        <f>_xll.ciqfunctions.udf.CIQ($C$2, "IQ_AUM_INFLOWS", D$6,$F$2,,,Ccy,Conv)</f>
        <v>0</v>
      </c>
      <c r="E1149" s="18">
        <f>_xll.ciqfunctions.udf.CIQ($C$2, "IQ_AUM_INFLOWS", E$6,$F$2,,,Ccy,Conv)</f>
        <v>0</v>
      </c>
      <c r="F1149" s="18">
        <f>_xll.ciqfunctions.udf.CIQ($C$2, "IQ_AUM_INFLOWS", F$6,$F$2,,,Ccy,Conv)</f>
        <v>0</v>
      </c>
      <c r="G1149" s="18">
        <f>_xll.ciqfunctions.udf.CIQ($C$2, "IQ_AUM_INFLOWS", G$6,$F$2,,,Ccy,Conv)</f>
        <v>0</v>
      </c>
      <c r="H1149" s="18">
        <f>_xll.ciqfunctions.udf.CIQ($C$2, "IQ_AUM_INFLOWS", H$6,$F$2,,,Ccy,Conv)</f>
        <v>0</v>
      </c>
      <c r="I1149" s="18">
        <f>_xll.ciqfunctions.udf.CIQ($C$2, "IQ_AUM_INFLOWS", I$6,$F$2,,,Ccy,Conv)</f>
        <v>0</v>
      </c>
      <c r="J1149" s="18">
        <f>_xll.ciqfunctions.udf.CIQ($C$2, "IQ_AUM_INFLOWS", J$6,$F$2,,,Ccy,Conv)</f>
        <v>0</v>
      </c>
      <c r="K1149" s="18">
        <f>_xll.ciqfunctions.udf.CIQ($C$2, "IQ_AUM_INFLOWS", K$6,$F$2,,,Ccy,Conv)</f>
        <v>0</v>
      </c>
      <c r="L1149" s="18">
        <f>_xll.ciqfunctions.udf.CIQ($C$2, "IQ_AUM_INFLOWS", L$6,$F$2,,,Ccy,Conv)</f>
        <v>0</v>
      </c>
      <c r="M1149" s="18">
        <f>_xll.ciqfunctions.udf.CIQ($C$2, "IQ_AUM_INFLOWS", M$6,$F$2,,,Ccy,Conv)</f>
        <v>0</v>
      </c>
      <c r="N1149" s="18">
        <f>_xll.ciqfunctions.udf.CIQ($C$2, "IQ_AUM_INFLOWS", N$6,$F$2,,,Ccy,Conv)</f>
        <v>0</v>
      </c>
      <c r="O1149" s="9"/>
      <c r="P1149" s="18">
        <f>_xll.ciqfunctions.udf.CIQ($C$2, "IQ_AUM_INFLOWS", P$6,$F$2,,,Ccy,Conv)</f>
        <v>0</v>
      </c>
      <c r="Q1149" s="215"/>
      <c r="R1149" s="215"/>
      <c r="S1149" s="215"/>
      <c r="T1149" s="215"/>
      <c r="U1149" s="215"/>
      <c r="V1149" s="222"/>
      <c r="W1149" s="215"/>
      <c r="X1149" s="215"/>
      <c r="Y1149" s="215"/>
      <c r="Z1149" s="215"/>
      <c r="AA1149" s="215"/>
      <c r="AB1149" s="215"/>
      <c r="AC1149" s="215"/>
      <c r="AD1149" s="215"/>
      <c r="AE1149" s="215"/>
      <c r="AF1149" s="215"/>
      <c r="AG1149" s="215"/>
      <c r="AH1149" s="215"/>
      <c r="AI1149" s="215"/>
      <c r="AJ1149" s="215"/>
      <c r="AK1149" s="215"/>
      <c r="AL1149" s="215"/>
      <c r="AM1149" s="215"/>
      <c r="AN1149" s="215"/>
      <c r="AO1149" s="215"/>
      <c r="AP1149" s="215"/>
      <c r="AQ1149" s="215"/>
      <c r="AR1149" s="215"/>
      <c r="AS1149" s="215"/>
      <c r="AT1149" s="215"/>
      <c r="AU1149" s="215"/>
      <c r="AV1149" s="215"/>
      <c r="AW1149" s="215"/>
      <c r="AX1149" s="215"/>
      <c r="AY1149" s="215"/>
      <c r="AZ1149" s="215"/>
      <c r="BA1149" s="215"/>
      <c r="BB1149" s="215"/>
      <c r="BC1149" s="215"/>
      <c r="BD1149" s="215"/>
      <c r="BE1149" s="215"/>
      <c r="BF1149" s="215"/>
      <c r="BG1149" s="215"/>
      <c r="BH1149" s="215"/>
      <c r="BI1149" s="215"/>
      <c r="BJ1149" s="215"/>
      <c r="BK1149" s="215"/>
      <c r="BL1149" s="215"/>
      <c r="BM1149" s="215"/>
      <c r="BN1149" s="215"/>
      <c r="BO1149" s="215"/>
      <c r="BP1149" s="215"/>
      <c r="BQ1149" s="215"/>
      <c r="BR1149" s="215"/>
      <c r="BS1149" s="215"/>
      <c r="BT1149" s="215"/>
      <c r="BU1149" s="215"/>
      <c r="BV1149" s="215"/>
      <c r="BW1149" s="215"/>
      <c r="BX1149" s="215"/>
      <c r="BY1149" s="215"/>
      <c r="BZ1149" s="215"/>
    </row>
    <row r="1150" spans="1:78" outlineLevel="1" x14ac:dyDescent="0.2">
      <c r="A1150" s="53" t="str">
        <f>'Language Index'!A629</f>
        <v>Assets Under Management - Outflows</v>
      </c>
      <c r="B1150" s="9"/>
      <c r="C1150" s="9"/>
      <c r="D1150" s="18">
        <f>_xll.ciqfunctions.udf.CIQ($C$2, "IQ_AUM_OUTFLOWS", D$6,$F$2,,,Ccy,Conv)</f>
        <v>0</v>
      </c>
      <c r="E1150" s="18">
        <f>_xll.ciqfunctions.udf.CIQ($C$2, "IQ_AUM_OUTFLOWS", E$6,$F$2,,,Ccy,Conv)</f>
        <v>0</v>
      </c>
      <c r="F1150" s="18">
        <f>_xll.ciqfunctions.udf.CIQ($C$2, "IQ_AUM_OUTFLOWS", F$6,$F$2,,,Ccy,Conv)</f>
        <v>0</v>
      </c>
      <c r="G1150" s="18">
        <f>_xll.ciqfunctions.udf.CIQ($C$2, "IQ_AUM_OUTFLOWS", G$6,$F$2,,,Ccy,Conv)</f>
        <v>0</v>
      </c>
      <c r="H1150" s="18">
        <f>_xll.ciqfunctions.udf.CIQ($C$2, "IQ_AUM_OUTFLOWS", H$6,$F$2,,,Ccy,Conv)</f>
        <v>0</v>
      </c>
      <c r="I1150" s="18">
        <f>_xll.ciqfunctions.udf.CIQ($C$2, "IQ_AUM_OUTFLOWS", I$6,$F$2,,,Ccy,Conv)</f>
        <v>0</v>
      </c>
      <c r="J1150" s="18">
        <f>_xll.ciqfunctions.udf.CIQ($C$2, "IQ_AUM_OUTFLOWS", J$6,$F$2,,,Ccy,Conv)</f>
        <v>0</v>
      </c>
      <c r="K1150" s="18">
        <f>_xll.ciqfunctions.udf.CIQ($C$2, "IQ_AUM_OUTFLOWS", K$6,$F$2,,,Ccy,Conv)</f>
        <v>0</v>
      </c>
      <c r="L1150" s="18">
        <f>_xll.ciqfunctions.udf.CIQ($C$2, "IQ_AUM_OUTFLOWS", L$6,$F$2,,,Ccy,Conv)</f>
        <v>0</v>
      </c>
      <c r="M1150" s="18">
        <f>_xll.ciqfunctions.udf.CIQ($C$2, "IQ_AUM_OUTFLOWS", M$6,$F$2,,,Ccy,Conv)</f>
        <v>0</v>
      </c>
      <c r="N1150" s="18">
        <f>_xll.ciqfunctions.udf.CIQ($C$2, "IQ_AUM_OUTFLOWS", N$6,$F$2,,,Ccy,Conv)</f>
        <v>0</v>
      </c>
      <c r="O1150" s="9"/>
      <c r="P1150" s="18">
        <f>_xll.ciqfunctions.udf.CIQ($C$2, "IQ_AUM_OUTFLOWS", P$6,$F$2,,,Ccy,Conv)</f>
        <v>0</v>
      </c>
      <c r="Q1150" s="215"/>
      <c r="R1150" s="215"/>
      <c r="S1150" s="215"/>
      <c r="T1150" s="215"/>
      <c r="U1150" s="215"/>
      <c r="V1150" s="222"/>
      <c r="W1150" s="215"/>
      <c r="X1150" s="215"/>
      <c r="Y1150" s="215"/>
      <c r="Z1150" s="215"/>
      <c r="AA1150" s="215"/>
      <c r="AB1150" s="215"/>
      <c r="AC1150" s="215"/>
      <c r="AD1150" s="215"/>
      <c r="AE1150" s="215"/>
      <c r="AF1150" s="215"/>
      <c r="AG1150" s="215"/>
      <c r="AH1150" s="215"/>
      <c r="AI1150" s="215"/>
      <c r="AJ1150" s="215"/>
      <c r="AK1150" s="215"/>
      <c r="AL1150" s="215"/>
      <c r="AM1150" s="215"/>
      <c r="AN1150" s="215"/>
      <c r="AO1150" s="215"/>
      <c r="AP1150" s="215"/>
      <c r="AQ1150" s="215"/>
      <c r="AR1150" s="215"/>
      <c r="AS1150" s="215"/>
      <c r="AT1150" s="215"/>
      <c r="AU1150" s="215"/>
      <c r="AV1150" s="215"/>
      <c r="AW1150" s="215"/>
      <c r="AX1150" s="215"/>
      <c r="AY1150" s="215"/>
      <c r="AZ1150" s="215"/>
      <c r="BA1150" s="215"/>
      <c r="BB1150" s="215"/>
      <c r="BC1150" s="215"/>
      <c r="BD1150" s="215"/>
      <c r="BE1150" s="215"/>
      <c r="BF1150" s="215"/>
      <c r="BG1150" s="215"/>
      <c r="BH1150" s="215"/>
      <c r="BI1150" s="215"/>
      <c r="BJ1150" s="215"/>
      <c r="BK1150" s="215"/>
      <c r="BL1150" s="215"/>
      <c r="BM1150" s="215"/>
      <c r="BN1150" s="215"/>
      <c r="BO1150" s="215"/>
      <c r="BP1150" s="215"/>
      <c r="BQ1150" s="215"/>
      <c r="BR1150" s="215"/>
      <c r="BS1150" s="215"/>
      <c r="BT1150" s="215"/>
      <c r="BU1150" s="215"/>
      <c r="BV1150" s="215"/>
      <c r="BW1150" s="215"/>
      <c r="BX1150" s="215"/>
      <c r="BY1150" s="215"/>
      <c r="BZ1150" s="215"/>
    </row>
    <row r="1151" spans="1:78" outlineLevel="1" x14ac:dyDescent="0.2">
      <c r="A1151" s="53" t="str">
        <f>'Language Index'!A630</f>
        <v>Assets Under Management - Net Inflows / (Outflows)</v>
      </c>
      <c r="B1151" s="9"/>
      <c r="C1151" s="9"/>
      <c r="D1151" s="18">
        <f>_xll.ciqfunctions.udf.CIQ($C$2, "IQ_AUM_NET_INFLOWS_OUTFLOWS", D$6,$F$2,,,Ccy,Conv)</f>
        <v>0</v>
      </c>
      <c r="E1151" s="18">
        <f>_xll.ciqfunctions.udf.CIQ($C$2, "IQ_AUM_NET_INFLOWS_OUTFLOWS", E$6,$F$2,,,Ccy,Conv)</f>
        <v>0</v>
      </c>
      <c r="F1151" s="18">
        <f>_xll.ciqfunctions.udf.CIQ($C$2, "IQ_AUM_NET_INFLOWS_OUTFLOWS", F$6,$F$2,,,Ccy,Conv)</f>
        <v>0</v>
      </c>
      <c r="G1151" s="18">
        <f>_xll.ciqfunctions.udf.CIQ($C$2, "IQ_AUM_NET_INFLOWS_OUTFLOWS", G$6,$F$2,,,Ccy,Conv)</f>
        <v>0</v>
      </c>
      <c r="H1151" s="18">
        <f>_xll.ciqfunctions.udf.CIQ($C$2, "IQ_AUM_NET_INFLOWS_OUTFLOWS", H$6,$F$2,,,Ccy,Conv)</f>
        <v>0</v>
      </c>
      <c r="I1151" s="18">
        <f>_xll.ciqfunctions.udf.CIQ($C$2, "IQ_AUM_NET_INFLOWS_OUTFLOWS", I$6,$F$2,,,Ccy,Conv)</f>
        <v>0</v>
      </c>
      <c r="J1151" s="18">
        <f>_xll.ciqfunctions.udf.CIQ($C$2, "IQ_AUM_NET_INFLOWS_OUTFLOWS", J$6,$F$2,,,Ccy,Conv)</f>
        <v>0</v>
      </c>
      <c r="K1151" s="18">
        <f>_xll.ciqfunctions.udf.CIQ($C$2, "IQ_AUM_NET_INFLOWS_OUTFLOWS", K$6,$F$2,,,Ccy,Conv)</f>
        <v>0</v>
      </c>
      <c r="L1151" s="18">
        <f>_xll.ciqfunctions.udf.CIQ($C$2, "IQ_AUM_NET_INFLOWS_OUTFLOWS", L$6,$F$2,,,Ccy,Conv)</f>
        <v>0</v>
      </c>
      <c r="M1151" s="18">
        <f>_xll.ciqfunctions.udf.CIQ($C$2, "IQ_AUM_NET_INFLOWS_OUTFLOWS", M$6,$F$2,,,Ccy,Conv)</f>
        <v>0</v>
      </c>
      <c r="N1151" s="18">
        <f>_xll.ciqfunctions.udf.CIQ($C$2, "IQ_AUM_NET_INFLOWS_OUTFLOWS", N$6,$F$2,,,Ccy,Conv)</f>
        <v>0</v>
      </c>
      <c r="O1151" s="9"/>
      <c r="P1151" s="18">
        <f>_xll.ciqfunctions.udf.CIQ($C$2, "IQ_AUM_NET_INFLOWS_OUTFLOWS", P$6,$F$2,,,Ccy,Conv)</f>
        <v>0</v>
      </c>
      <c r="Q1151" s="215"/>
      <c r="R1151" s="215"/>
      <c r="S1151" s="215"/>
      <c r="T1151" s="215"/>
      <c r="U1151" s="215"/>
      <c r="V1151" s="222"/>
      <c r="W1151" s="215"/>
      <c r="X1151" s="215"/>
      <c r="Y1151" s="215"/>
      <c r="Z1151" s="215"/>
      <c r="AA1151" s="215"/>
      <c r="AB1151" s="215"/>
      <c r="AC1151" s="215"/>
      <c r="AD1151" s="215"/>
      <c r="AE1151" s="215"/>
      <c r="AF1151" s="215"/>
      <c r="AG1151" s="215"/>
      <c r="AH1151" s="215"/>
      <c r="AI1151" s="215"/>
      <c r="AJ1151" s="215"/>
      <c r="AK1151" s="215"/>
      <c r="AL1151" s="215"/>
      <c r="AM1151" s="215"/>
      <c r="AN1151" s="215"/>
      <c r="AO1151" s="215"/>
      <c r="AP1151" s="215"/>
      <c r="AQ1151" s="215"/>
      <c r="AR1151" s="215"/>
      <c r="AS1151" s="215"/>
      <c r="AT1151" s="215"/>
      <c r="AU1151" s="215"/>
      <c r="AV1151" s="215"/>
      <c r="AW1151" s="215"/>
      <c r="AX1151" s="215"/>
      <c r="AY1151" s="215"/>
      <c r="AZ1151" s="215"/>
      <c r="BA1151" s="215"/>
      <c r="BB1151" s="215"/>
      <c r="BC1151" s="215"/>
      <c r="BD1151" s="215"/>
      <c r="BE1151" s="215"/>
      <c r="BF1151" s="215"/>
      <c r="BG1151" s="215"/>
      <c r="BH1151" s="215"/>
      <c r="BI1151" s="215"/>
      <c r="BJ1151" s="215"/>
      <c r="BK1151" s="215"/>
      <c r="BL1151" s="215"/>
      <c r="BM1151" s="215"/>
      <c r="BN1151" s="215"/>
      <c r="BO1151" s="215"/>
      <c r="BP1151" s="215"/>
      <c r="BQ1151" s="215"/>
      <c r="BR1151" s="215"/>
      <c r="BS1151" s="215"/>
      <c r="BT1151" s="215"/>
      <c r="BU1151" s="215"/>
      <c r="BV1151" s="215"/>
      <c r="BW1151" s="215"/>
      <c r="BX1151" s="215"/>
      <c r="BY1151" s="215"/>
      <c r="BZ1151" s="215"/>
    </row>
    <row r="1152" spans="1:78" outlineLevel="1" x14ac:dyDescent="0.2">
      <c r="A1152" s="53" t="str">
        <f>'Language Index'!A631</f>
        <v>Assets Under Management - Cash Flows &amp; Dividends</v>
      </c>
      <c r="B1152" s="9"/>
      <c r="C1152" s="9"/>
      <c r="D1152" s="18">
        <f>_xll.ciqfunctions.udf.CIQ($C$2, "IQ_AUM_CASH_FLOWS_DIVIDENDS", D$6,$F$2,,,Ccy,Conv)</f>
        <v>0</v>
      </c>
      <c r="E1152" s="18">
        <f>_xll.ciqfunctions.udf.CIQ($C$2, "IQ_AUM_CASH_FLOWS_DIVIDENDS", E$6,$F$2,,,Ccy,Conv)</f>
        <v>0</v>
      </c>
      <c r="F1152" s="18">
        <f>_xll.ciqfunctions.udf.CIQ($C$2, "IQ_AUM_CASH_FLOWS_DIVIDENDS", F$6,$F$2,,,Ccy,Conv)</f>
        <v>0</v>
      </c>
      <c r="G1152" s="18">
        <f>_xll.ciqfunctions.udf.CIQ($C$2, "IQ_AUM_CASH_FLOWS_DIVIDENDS", G$6,$F$2,,,Ccy,Conv)</f>
        <v>0</v>
      </c>
      <c r="H1152" s="18">
        <f>_xll.ciqfunctions.udf.CIQ($C$2, "IQ_AUM_CASH_FLOWS_DIVIDENDS", H$6,$F$2,,,Ccy,Conv)</f>
        <v>0</v>
      </c>
      <c r="I1152" s="18">
        <f>_xll.ciqfunctions.udf.CIQ($C$2, "IQ_AUM_CASH_FLOWS_DIVIDENDS", I$6,$F$2,,,Ccy,Conv)</f>
        <v>0</v>
      </c>
      <c r="J1152" s="18">
        <f>_xll.ciqfunctions.udf.CIQ($C$2, "IQ_AUM_CASH_FLOWS_DIVIDENDS", J$6,$F$2,,,Ccy,Conv)</f>
        <v>0</v>
      </c>
      <c r="K1152" s="18">
        <f>_xll.ciqfunctions.udf.CIQ($C$2, "IQ_AUM_CASH_FLOWS_DIVIDENDS", K$6,$F$2,,,Ccy,Conv)</f>
        <v>0</v>
      </c>
      <c r="L1152" s="18">
        <f>_xll.ciqfunctions.udf.CIQ($C$2, "IQ_AUM_CASH_FLOWS_DIVIDENDS", L$6,$F$2,,,Ccy,Conv)</f>
        <v>0</v>
      </c>
      <c r="M1152" s="18">
        <f>_xll.ciqfunctions.udf.CIQ($C$2, "IQ_AUM_CASH_FLOWS_DIVIDENDS", M$6,$F$2,,,Ccy,Conv)</f>
        <v>0</v>
      </c>
      <c r="N1152" s="18">
        <f>_xll.ciqfunctions.udf.CIQ($C$2, "IQ_AUM_CASH_FLOWS_DIVIDENDS", N$6,$F$2,,,Ccy,Conv)</f>
        <v>0</v>
      </c>
      <c r="O1152" s="9"/>
      <c r="P1152" s="18">
        <f>_xll.ciqfunctions.udf.CIQ($C$2, "IQ_AUM_CASH_FLOWS_DIVIDENDS", P$6,$F$2,,,Ccy,Conv)</f>
        <v>0</v>
      </c>
      <c r="Q1152" s="215"/>
      <c r="R1152" s="215"/>
      <c r="S1152" s="215"/>
      <c r="T1152" s="215"/>
      <c r="U1152" s="215"/>
      <c r="V1152" s="222"/>
      <c r="W1152" s="215"/>
      <c r="X1152" s="215"/>
      <c r="Y1152" s="215"/>
      <c r="Z1152" s="215"/>
      <c r="AA1152" s="215"/>
      <c r="AB1152" s="215"/>
      <c r="AC1152" s="215"/>
      <c r="AD1152" s="215"/>
      <c r="AE1152" s="215"/>
      <c r="AF1152" s="215"/>
      <c r="AG1152" s="215"/>
      <c r="AH1152" s="215"/>
      <c r="AI1152" s="215"/>
      <c r="AJ1152" s="215"/>
      <c r="AK1152" s="215"/>
      <c r="AL1152" s="215"/>
      <c r="AM1152" s="215"/>
      <c r="AN1152" s="215"/>
      <c r="AO1152" s="215"/>
      <c r="AP1152" s="215"/>
      <c r="AQ1152" s="215"/>
      <c r="AR1152" s="215"/>
      <c r="AS1152" s="215"/>
      <c r="AT1152" s="215"/>
      <c r="AU1152" s="215"/>
      <c r="AV1152" s="215"/>
      <c r="AW1152" s="215"/>
      <c r="AX1152" s="215"/>
      <c r="AY1152" s="215"/>
      <c r="AZ1152" s="215"/>
      <c r="BA1152" s="215"/>
      <c r="BB1152" s="215"/>
      <c r="BC1152" s="215"/>
      <c r="BD1152" s="215"/>
      <c r="BE1152" s="215"/>
      <c r="BF1152" s="215"/>
      <c r="BG1152" s="215"/>
      <c r="BH1152" s="215"/>
      <c r="BI1152" s="215"/>
      <c r="BJ1152" s="215"/>
      <c r="BK1152" s="215"/>
      <c r="BL1152" s="215"/>
      <c r="BM1152" s="215"/>
      <c r="BN1152" s="215"/>
      <c r="BO1152" s="215"/>
      <c r="BP1152" s="215"/>
      <c r="BQ1152" s="215"/>
      <c r="BR1152" s="215"/>
      <c r="BS1152" s="215"/>
      <c r="BT1152" s="215"/>
      <c r="BU1152" s="215"/>
      <c r="BV1152" s="215"/>
      <c r="BW1152" s="215"/>
      <c r="BX1152" s="215"/>
      <c r="BY1152" s="215"/>
      <c r="BZ1152" s="215"/>
    </row>
    <row r="1153" spans="1:78" outlineLevel="1" x14ac:dyDescent="0.2">
      <c r="A1153" s="53" t="str">
        <f>'Language Index'!A632</f>
        <v>Assets Under Management - Market Appreciation / (Depreciation)</v>
      </c>
      <c r="B1153" s="9"/>
      <c r="C1153" s="9"/>
      <c r="D1153" s="18">
        <f>_xll.ciqfunctions.udf.CIQ($C$2, "IQ_AUM_MARKET_APPRECIATION_DEPRECIATION", D$6,$F$2,,,Ccy,Conv)</f>
        <v>0</v>
      </c>
      <c r="E1153" s="18">
        <f>_xll.ciqfunctions.udf.CIQ($C$2, "IQ_AUM_MARKET_APPRECIATION_DEPRECIATION", E$6,$F$2,,,Ccy,Conv)</f>
        <v>0</v>
      </c>
      <c r="F1153" s="18">
        <f>_xll.ciqfunctions.udf.CIQ($C$2, "IQ_AUM_MARKET_APPRECIATION_DEPRECIATION", F$6,$F$2,,,Ccy,Conv)</f>
        <v>0</v>
      </c>
      <c r="G1153" s="18">
        <f>_xll.ciqfunctions.udf.CIQ($C$2, "IQ_AUM_MARKET_APPRECIATION_DEPRECIATION", G$6,$F$2,,,Ccy,Conv)</f>
        <v>0</v>
      </c>
      <c r="H1153" s="18">
        <f>_xll.ciqfunctions.udf.CIQ($C$2, "IQ_AUM_MARKET_APPRECIATION_DEPRECIATION", H$6,$F$2,,,Ccy,Conv)</f>
        <v>0</v>
      </c>
      <c r="I1153" s="18">
        <f>_xll.ciqfunctions.udf.CIQ($C$2, "IQ_AUM_MARKET_APPRECIATION_DEPRECIATION", I$6,$F$2,,,Ccy,Conv)</f>
        <v>0</v>
      </c>
      <c r="J1153" s="18">
        <f>_xll.ciqfunctions.udf.CIQ($C$2, "IQ_AUM_MARKET_APPRECIATION_DEPRECIATION", J$6,$F$2,,,Ccy,Conv)</f>
        <v>0</v>
      </c>
      <c r="K1153" s="18">
        <f>_xll.ciqfunctions.udf.CIQ($C$2, "IQ_AUM_MARKET_APPRECIATION_DEPRECIATION", K$6,$F$2,,,Ccy,Conv)</f>
        <v>0</v>
      </c>
      <c r="L1153" s="18">
        <f>_xll.ciqfunctions.udf.CIQ($C$2, "IQ_AUM_MARKET_APPRECIATION_DEPRECIATION", L$6,$F$2,,,Ccy,Conv)</f>
        <v>0</v>
      </c>
      <c r="M1153" s="18">
        <f>_xll.ciqfunctions.udf.CIQ($C$2, "IQ_AUM_MARKET_APPRECIATION_DEPRECIATION", M$6,$F$2,,,Ccy,Conv)</f>
        <v>0</v>
      </c>
      <c r="N1153" s="18">
        <f>_xll.ciqfunctions.udf.CIQ($C$2, "IQ_AUM_MARKET_APPRECIATION_DEPRECIATION", N$6,$F$2,,,Ccy,Conv)</f>
        <v>0</v>
      </c>
      <c r="O1153" s="9"/>
      <c r="P1153" s="18">
        <f>_xll.ciqfunctions.udf.CIQ($C$2, "IQ_AUM_MARKET_APPRECIATION_DEPRECIATION", P$6,$F$2,,,Ccy,Conv)</f>
        <v>0</v>
      </c>
      <c r="Q1153" s="215"/>
      <c r="R1153" s="215"/>
      <c r="S1153" s="215"/>
      <c r="T1153" s="215"/>
      <c r="U1153" s="215"/>
      <c r="V1153" s="222"/>
      <c r="W1153" s="215"/>
      <c r="X1153" s="215"/>
      <c r="Y1153" s="215"/>
      <c r="Z1153" s="215"/>
      <c r="AA1153" s="215"/>
      <c r="AB1153" s="215"/>
      <c r="AC1153" s="215"/>
      <c r="AD1153" s="215"/>
      <c r="AE1153" s="215"/>
      <c r="AF1153" s="215"/>
      <c r="AG1153" s="215"/>
      <c r="AH1153" s="215"/>
      <c r="AI1153" s="215"/>
      <c r="AJ1153" s="215"/>
      <c r="AK1153" s="215"/>
      <c r="AL1153" s="215"/>
      <c r="AM1153" s="215"/>
      <c r="AN1153" s="215"/>
      <c r="AO1153" s="215"/>
      <c r="AP1153" s="215"/>
      <c r="AQ1153" s="215"/>
      <c r="AR1153" s="215"/>
      <c r="AS1153" s="215"/>
      <c r="AT1153" s="215"/>
      <c r="AU1153" s="215"/>
      <c r="AV1153" s="215"/>
      <c r="AW1153" s="215"/>
      <c r="AX1153" s="215"/>
      <c r="AY1153" s="215"/>
      <c r="AZ1153" s="215"/>
      <c r="BA1153" s="215"/>
      <c r="BB1153" s="215"/>
      <c r="BC1153" s="215"/>
      <c r="BD1153" s="215"/>
      <c r="BE1153" s="215"/>
      <c r="BF1153" s="215"/>
      <c r="BG1153" s="215"/>
      <c r="BH1153" s="215"/>
      <c r="BI1153" s="215"/>
      <c r="BJ1153" s="215"/>
      <c r="BK1153" s="215"/>
      <c r="BL1153" s="215"/>
      <c r="BM1153" s="215"/>
      <c r="BN1153" s="215"/>
      <c r="BO1153" s="215"/>
      <c r="BP1153" s="215"/>
      <c r="BQ1153" s="215"/>
      <c r="BR1153" s="215"/>
      <c r="BS1153" s="215"/>
      <c r="BT1153" s="215"/>
      <c r="BU1153" s="215"/>
      <c r="BV1153" s="215"/>
      <c r="BW1153" s="215"/>
      <c r="BX1153" s="215"/>
      <c r="BY1153" s="215"/>
      <c r="BZ1153" s="215"/>
    </row>
    <row r="1154" spans="1:78" outlineLevel="1" x14ac:dyDescent="0.2">
      <c r="A1154" s="53" t="str">
        <f>'Language Index'!A633</f>
        <v>Assets Under Management - Acquisitions and Transfers</v>
      </c>
      <c r="B1154" s="9"/>
      <c r="C1154" s="9"/>
      <c r="D1154" s="18">
        <f>_xll.ciqfunctions.udf.CIQ($C$2, "IQ_AUM_ACQUISITIONS_TRANSFERS", D$6,$F$2,,,Ccy,Conv)</f>
        <v>0</v>
      </c>
      <c r="E1154" s="18">
        <f>_xll.ciqfunctions.udf.CIQ($C$2, "IQ_AUM_ACQUISITIONS_TRANSFERS", E$6,$F$2,,,Ccy,Conv)</f>
        <v>0</v>
      </c>
      <c r="F1154" s="18">
        <f>_xll.ciqfunctions.udf.CIQ($C$2, "IQ_AUM_ACQUISITIONS_TRANSFERS", F$6,$F$2,,,Ccy,Conv)</f>
        <v>0</v>
      </c>
      <c r="G1154" s="18">
        <f>_xll.ciqfunctions.udf.CIQ($C$2, "IQ_AUM_ACQUISITIONS_TRANSFERS", G$6,$F$2,,,Ccy,Conv)</f>
        <v>0</v>
      </c>
      <c r="H1154" s="18">
        <f>_xll.ciqfunctions.udf.CIQ($C$2, "IQ_AUM_ACQUISITIONS_TRANSFERS", H$6,$F$2,,,Ccy,Conv)</f>
        <v>0</v>
      </c>
      <c r="I1154" s="18">
        <f>_xll.ciqfunctions.udf.CIQ($C$2, "IQ_AUM_ACQUISITIONS_TRANSFERS", I$6,$F$2,,,Ccy,Conv)</f>
        <v>0</v>
      </c>
      <c r="J1154" s="18">
        <f>_xll.ciqfunctions.udf.CIQ($C$2, "IQ_AUM_ACQUISITIONS_TRANSFERS", J$6,$F$2,,,Ccy,Conv)</f>
        <v>0</v>
      </c>
      <c r="K1154" s="18">
        <f>_xll.ciqfunctions.udf.CIQ($C$2, "IQ_AUM_ACQUISITIONS_TRANSFERS", K$6,$F$2,,,Ccy,Conv)</f>
        <v>0</v>
      </c>
      <c r="L1154" s="18">
        <f>_xll.ciqfunctions.udf.CIQ($C$2, "IQ_AUM_ACQUISITIONS_TRANSFERS", L$6,$F$2,,,Ccy,Conv)</f>
        <v>0</v>
      </c>
      <c r="M1154" s="18">
        <f>_xll.ciqfunctions.udf.CIQ($C$2, "IQ_AUM_ACQUISITIONS_TRANSFERS", M$6,$F$2,,,Ccy,Conv)</f>
        <v>0</v>
      </c>
      <c r="N1154" s="18">
        <f>_xll.ciqfunctions.udf.CIQ($C$2, "IQ_AUM_ACQUISITIONS_TRANSFERS", N$6,$F$2,,,Ccy,Conv)</f>
        <v>0</v>
      </c>
      <c r="O1154" s="9"/>
      <c r="P1154" s="18">
        <f>_xll.ciqfunctions.udf.CIQ($C$2, "IQ_AUM_ACQUISITIONS_TRANSFERS", P$6,$F$2,,,Ccy,Conv)</f>
        <v>0</v>
      </c>
      <c r="Q1154" s="215"/>
      <c r="R1154" s="215"/>
      <c r="S1154" s="215"/>
      <c r="T1154" s="215"/>
      <c r="U1154" s="215"/>
      <c r="V1154" s="222"/>
      <c r="W1154" s="215"/>
      <c r="X1154" s="215"/>
      <c r="Y1154" s="215"/>
      <c r="Z1154" s="215"/>
      <c r="AA1154" s="215"/>
      <c r="AB1154" s="215"/>
      <c r="AC1154" s="215"/>
      <c r="AD1154" s="215"/>
      <c r="AE1154" s="215"/>
      <c r="AF1154" s="215"/>
      <c r="AG1154" s="215"/>
      <c r="AH1154" s="215"/>
      <c r="AI1154" s="215"/>
      <c r="AJ1154" s="215"/>
      <c r="AK1154" s="215"/>
      <c r="AL1154" s="215"/>
      <c r="AM1154" s="215"/>
      <c r="AN1154" s="215"/>
      <c r="AO1154" s="215"/>
      <c r="AP1154" s="215"/>
      <c r="AQ1154" s="215"/>
      <c r="AR1154" s="215"/>
      <c r="AS1154" s="215"/>
      <c r="AT1154" s="215"/>
      <c r="AU1154" s="215"/>
      <c r="AV1154" s="215"/>
      <c r="AW1154" s="215"/>
      <c r="AX1154" s="215"/>
      <c r="AY1154" s="215"/>
      <c r="AZ1154" s="215"/>
      <c r="BA1154" s="215"/>
      <c r="BB1154" s="215"/>
      <c r="BC1154" s="215"/>
      <c r="BD1154" s="215"/>
      <c r="BE1154" s="215"/>
      <c r="BF1154" s="215"/>
      <c r="BG1154" s="215"/>
      <c r="BH1154" s="215"/>
      <c r="BI1154" s="215"/>
      <c r="BJ1154" s="215"/>
      <c r="BK1154" s="215"/>
      <c r="BL1154" s="215"/>
      <c r="BM1154" s="215"/>
      <c r="BN1154" s="215"/>
      <c r="BO1154" s="215"/>
      <c r="BP1154" s="215"/>
      <c r="BQ1154" s="215"/>
      <c r="BR1154" s="215"/>
      <c r="BS1154" s="215"/>
      <c r="BT1154" s="215"/>
      <c r="BU1154" s="215"/>
      <c r="BV1154" s="215"/>
      <c r="BW1154" s="215"/>
      <c r="BX1154" s="215"/>
      <c r="BY1154" s="215"/>
      <c r="BZ1154" s="215"/>
    </row>
    <row r="1155" spans="1:78" outlineLevel="1" x14ac:dyDescent="0.2">
      <c r="A1155" s="53" t="str">
        <f>'Language Index'!A634</f>
        <v>Assets Under Management - Other Adjustments</v>
      </c>
      <c r="B1155" s="9"/>
      <c r="C1155" s="9"/>
      <c r="D1155" s="18">
        <f>_xll.ciqfunctions.udf.CIQ($C$2, "IQ_AUM_OTHER_ADJUSTMENTS", D$6,$F$2,,,Ccy,Conv)</f>
        <v>0</v>
      </c>
      <c r="E1155" s="18">
        <f>_xll.ciqfunctions.udf.CIQ($C$2, "IQ_AUM_OTHER_ADJUSTMENTS", E$6,$F$2,,,Ccy,Conv)</f>
        <v>0</v>
      </c>
      <c r="F1155" s="18">
        <f>_xll.ciqfunctions.udf.CIQ($C$2, "IQ_AUM_OTHER_ADJUSTMENTS", F$6,$F$2,,,Ccy,Conv)</f>
        <v>0</v>
      </c>
      <c r="G1155" s="18">
        <f>_xll.ciqfunctions.udf.CIQ($C$2, "IQ_AUM_OTHER_ADJUSTMENTS", G$6,$F$2,,,Ccy,Conv)</f>
        <v>0</v>
      </c>
      <c r="H1155" s="18">
        <f>_xll.ciqfunctions.udf.CIQ($C$2, "IQ_AUM_OTHER_ADJUSTMENTS", H$6,$F$2,,,Ccy,Conv)</f>
        <v>0</v>
      </c>
      <c r="I1155" s="18">
        <f>_xll.ciqfunctions.udf.CIQ($C$2, "IQ_AUM_OTHER_ADJUSTMENTS", I$6,$F$2,,,Ccy,Conv)</f>
        <v>0</v>
      </c>
      <c r="J1155" s="18">
        <f>_xll.ciqfunctions.udf.CIQ($C$2, "IQ_AUM_OTHER_ADJUSTMENTS", J$6,$F$2,,,Ccy,Conv)</f>
        <v>0</v>
      </c>
      <c r="K1155" s="18">
        <f>_xll.ciqfunctions.udf.CIQ($C$2, "IQ_AUM_OTHER_ADJUSTMENTS", K$6,$F$2,,,Ccy,Conv)</f>
        <v>0</v>
      </c>
      <c r="L1155" s="18">
        <f>_xll.ciqfunctions.udf.CIQ($C$2, "IQ_AUM_OTHER_ADJUSTMENTS", L$6,$F$2,,,Ccy,Conv)</f>
        <v>0</v>
      </c>
      <c r="M1155" s="18">
        <f>_xll.ciqfunctions.udf.CIQ($C$2, "IQ_AUM_OTHER_ADJUSTMENTS", M$6,$F$2,,,Ccy,Conv)</f>
        <v>0</v>
      </c>
      <c r="N1155" s="18">
        <f>_xll.ciqfunctions.udf.CIQ($C$2, "IQ_AUM_OTHER_ADJUSTMENTS", N$6,$F$2,,,Ccy,Conv)</f>
        <v>0</v>
      </c>
      <c r="O1155" s="9"/>
      <c r="P1155" s="18">
        <f>_xll.ciqfunctions.udf.CIQ($C$2, "IQ_AUM_OTHER_ADJUSTMENTS", P$6,$F$2,,,Ccy,Conv)</f>
        <v>0</v>
      </c>
      <c r="Q1155" s="215"/>
      <c r="R1155" s="215"/>
      <c r="S1155" s="215"/>
      <c r="T1155" s="215"/>
      <c r="U1155" s="215"/>
      <c r="V1155" s="222"/>
      <c r="W1155" s="215"/>
      <c r="X1155" s="215"/>
      <c r="Y1155" s="215"/>
      <c r="Z1155" s="215"/>
      <c r="AA1155" s="215"/>
      <c r="AB1155" s="215"/>
      <c r="AC1155" s="215"/>
      <c r="AD1155" s="215"/>
      <c r="AE1155" s="215"/>
      <c r="AF1155" s="215"/>
      <c r="AG1155" s="215"/>
      <c r="AH1155" s="215"/>
      <c r="AI1155" s="215"/>
      <c r="AJ1155" s="215"/>
      <c r="AK1155" s="215"/>
      <c r="AL1155" s="215"/>
      <c r="AM1155" s="215"/>
      <c r="AN1155" s="215"/>
      <c r="AO1155" s="215"/>
      <c r="AP1155" s="215"/>
      <c r="AQ1155" s="215"/>
      <c r="AR1155" s="215"/>
      <c r="AS1155" s="215"/>
      <c r="AT1155" s="215"/>
      <c r="AU1155" s="215"/>
      <c r="AV1155" s="215"/>
      <c r="AW1155" s="215"/>
      <c r="AX1155" s="215"/>
      <c r="AY1155" s="215"/>
      <c r="AZ1155" s="215"/>
      <c r="BA1155" s="215"/>
      <c r="BB1155" s="215"/>
      <c r="BC1155" s="215"/>
      <c r="BD1155" s="215"/>
      <c r="BE1155" s="215"/>
      <c r="BF1155" s="215"/>
      <c r="BG1155" s="215"/>
      <c r="BH1155" s="215"/>
      <c r="BI1155" s="215"/>
      <c r="BJ1155" s="215"/>
      <c r="BK1155" s="215"/>
      <c r="BL1155" s="215"/>
      <c r="BM1155" s="215"/>
      <c r="BN1155" s="215"/>
      <c r="BO1155" s="215"/>
      <c r="BP1155" s="215"/>
      <c r="BQ1155" s="215"/>
      <c r="BR1155" s="215"/>
      <c r="BS1155" s="215"/>
      <c r="BT1155" s="215"/>
      <c r="BU1155" s="215"/>
      <c r="BV1155" s="215"/>
      <c r="BW1155" s="215"/>
      <c r="BX1155" s="215"/>
      <c r="BY1155" s="215"/>
      <c r="BZ1155" s="215"/>
    </row>
    <row r="1156" spans="1:78" outlineLevel="1" x14ac:dyDescent="0.2">
      <c r="A1156" s="53" t="str">
        <f>'Language Index'!A635</f>
        <v>Assets Under Management - End of Period</v>
      </c>
      <c r="B1156" s="9"/>
      <c r="C1156" s="9"/>
      <c r="D1156" s="18">
        <f>_xll.ciqfunctions.udf.CIQ($C$2, "IQ_AUM_EOP", D$6,$F$2,,,Ccy,Conv)</f>
        <v>0</v>
      </c>
      <c r="E1156" s="18">
        <f>_xll.ciqfunctions.udf.CIQ($C$2, "IQ_AUM_EOP", E$6,$F$2,,,Ccy,Conv)</f>
        <v>0</v>
      </c>
      <c r="F1156" s="18">
        <f>_xll.ciqfunctions.udf.CIQ($C$2, "IQ_AUM_EOP", F$6,$F$2,,,Ccy,Conv)</f>
        <v>0</v>
      </c>
      <c r="G1156" s="18">
        <f>_xll.ciqfunctions.udf.CIQ($C$2, "IQ_AUM_EOP", G$6,$F$2,,,Ccy,Conv)</f>
        <v>0</v>
      </c>
      <c r="H1156" s="18">
        <f>_xll.ciqfunctions.udf.CIQ($C$2, "IQ_AUM_EOP", H$6,$F$2,,,Ccy,Conv)</f>
        <v>0</v>
      </c>
      <c r="I1156" s="18">
        <f>_xll.ciqfunctions.udf.CIQ($C$2, "IQ_AUM_EOP", I$6,$F$2,,,Ccy,Conv)</f>
        <v>0</v>
      </c>
      <c r="J1156" s="18">
        <f>_xll.ciqfunctions.udf.CIQ($C$2, "IQ_AUM_EOP", J$6,$F$2,,,Ccy,Conv)</f>
        <v>0</v>
      </c>
      <c r="K1156" s="18">
        <f>_xll.ciqfunctions.udf.CIQ($C$2, "IQ_AUM_EOP", K$6,$F$2,,,Ccy,Conv)</f>
        <v>0</v>
      </c>
      <c r="L1156" s="18">
        <f>_xll.ciqfunctions.udf.CIQ($C$2, "IQ_AUM_EOP", L$6,$F$2,,,Ccy,Conv)</f>
        <v>0</v>
      </c>
      <c r="M1156" s="18">
        <f>_xll.ciqfunctions.udf.CIQ($C$2, "IQ_AUM_EOP", M$6,$F$2,,,Ccy,Conv)</f>
        <v>0</v>
      </c>
      <c r="N1156" s="18">
        <f>_xll.ciqfunctions.udf.CIQ($C$2, "IQ_AUM_EOP", N$6,$F$2,,,Ccy,Conv)</f>
        <v>0</v>
      </c>
      <c r="O1156" s="9"/>
      <c r="P1156" s="18">
        <f>_xll.ciqfunctions.udf.CIQ($C$2, "IQ_AUM_EOP", P$6,$F$2,,,Ccy,Conv)</f>
        <v>0</v>
      </c>
      <c r="Q1156" s="215"/>
      <c r="R1156" s="215"/>
      <c r="S1156" s="215"/>
      <c r="T1156" s="215"/>
      <c r="U1156" s="215"/>
      <c r="V1156" s="222"/>
      <c r="W1156" s="215"/>
      <c r="X1156" s="215"/>
      <c r="Y1156" s="215"/>
      <c r="Z1156" s="215"/>
      <c r="AA1156" s="215"/>
      <c r="AB1156" s="215"/>
      <c r="AC1156" s="215"/>
      <c r="AD1156" s="215"/>
      <c r="AE1156" s="215"/>
      <c r="AF1156" s="215"/>
      <c r="AG1156" s="215"/>
      <c r="AH1156" s="215"/>
      <c r="AI1156" s="215"/>
      <c r="AJ1156" s="215"/>
      <c r="AK1156" s="215"/>
      <c r="AL1156" s="215"/>
      <c r="AM1156" s="215"/>
      <c r="AN1156" s="215"/>
      <c r="AO1156" s="215"/>
      <c r="AP1156" s="215"/>
      <c r="AQ1156" s="215"/>
      <c r="AR1156" s="215"/>
      <c r="AS1156" s="215"/>
      <c r="AT1156" s="215"/>
      <c r="AU1156" s="215"/>
      <c r="AV1156" s="215"/>
      <c r="AW1156" s="215"/>
      <c r="AX1156" s="215"/>
      <c r="AY1156" s="215"/>
      <c r="AZ1156" s="215"/>
      <c r="BA1156" s="215"/>
      <c r="BB1156" s="215"/>
      <c r="BC1156" s="215"/>
      <c r="BD1156" s="215"/>
      <c r="BE1156" s="215"/>
      <c r="BF1156" s="215"/>
      <c r="BG1156" s="215"/>
      <c r="BH1156" s="215"/>
      <c r="BI1156" s="215"/>
      <c r="BJ1156" s="215"/>
      <c r="BK1156" s="215"/>
      <c r="BL1156" s="215"/>
      <c r="BM1156" s="215"/>
      <c r="BN1156" s="215"/>
      <c r="BO1156" s="215"/>
      <c r="BP1156" s="215"/>
      <c r="BQ1156" s="215"/>
      <c r="BR1156" s="215"/>
      <c r="BS1156" s="215"/>
      <c r="BT1156" s="215"/>
      <c r="BU1156" s="215"/>
      <c r="BV1156" s="215"/>
      <c r="BW1156" s="215"/>
      <c r="BX1156" s="215"/>
      <c r="BY1156" s="215"/>
      <c r="BZ1156" s="215"/>
    </row>
    <row r="1157" spans="1:78" outlineLevel="1" x14ac:dyDescent="0.2">
      <c r="A1157" s="53" t="str">
        <f>'Language Index'!A636</f>
        <v>Assets Under Management - Average</v>
      </c>
      <c r="B1157" s="9"/>
      <c r="C1157" s="9"/>
      <c r="D1157" s="18">
        <f>_xll.ciqfunctions.udf.CIQ($C$2, "IQ_AUM_AVERAGE", D$6,$F$2,,,Ccy,Conv)</f>
        <v>0</v>
      </c>
      <c r="E1157" s="18">
        <f>_xll.ciqfunctions.udf.CIQ($C$2, "IQ_AUM_AVERAGE", E$6,$F$2,,,Ccy,Conv)</f>
        <v>0</v>
      </c>
      <c r="F1157" s="18">
        <f>_xll.ciqfunctions.udf.CIQ($C$2, "IQ_AUM_AVERAGE", F$6,$F$2,,,Ccy,Conv)</f>
        <v>0</v>
      </c>
      <c r="G1157" s="18">
        <f>_xll.ciqfunctions.udf.CIQ($C$2, "IQ_AUM_AVERAGE", G$6,$F$2,,,Ccy,Conv)</f>
        <v>0</v>
      </c>
      <c r="H1157" s="18">
        <f>_xll.ciqfunctions.udf.CIQ($C$2, "IQ_AUM_AVERAGE", H$6,$F$2,,,Ccy,Conv)</f>
        <v>0</v>
      </c>
      <c r="I1157" s="18">
        <f>_xll.ciqfunctions.udf.CIQ($C$2, "IQ_AUM_AVERAGE", I$6,$F$2,,,Ccy,Conv)</f>
        <v>0</v>
      </c>
      <c r="J1157" s="18">
        <f>_xll.ciqfunctions.udf.CIQ($C$2, "IQ_AUM_AVERAGE", J$6,$F$2,,,Ccy,Conv)</f>
        <v>0</v>
      </c>
      <c r="K1157" s="18">
        <f>_xll.ciqfunctions.udf.CIQ($C$2, "IQ_AUM_AVERAGE", K$6,$F$2,,,Ccy,Conv)</f>
        <v>0</v>
      </c>
      <c r="L1157" s="18">
        <f>_xll.ciqfunctions.udf.CIQ($C$2, "IQ_AUM_AVERAGE", L$6,$F$2,,,Ccy,Conv)</f>
        <v>0</v>
      </c>
      <c r="M1157" s="18">
        <f>_xll.ciqfunctions.udf.CIQ($C$2, "IQ_AUM_AVERAGE", M$6,$F$2,,,Ccy,Conv)</f>
        <v>0</v>
      </c>
      <c r="N1157" s="18">
        <f>_xll.ciqfunctions.udf.CIQ($C$2, "IQ_AUM_AVERAGE", N$6,$F$2,,,Ccy,Conv)</f>
        <v>0</v>
      </c>
      <c r="O1157" s="9"/>
      <c r="P1157" s="18">
        <f>_xll.ciqfunctions.udf.CIQ($C$2, "IQ_AUM_AVERAGE", P$6,$F$2,,,Ccy,Conv)</f>
        <v>0</v>
      </c>
      <c r="Q1157" s="215"/>
      <c r="R1157" s="215"/>
      <c r="S1157" s="215"/>
      <c r="T1157" s="215"/>
      <c r="U1157" s="215"/>
      <c r="V1157" s="222"/>
      <c r="W1157" s="215"/>
      <c r="X1157" s="215"/>
      <c r="Y1157" s="215"/>
      <c r="Z1157" s="215"/>
      <c r="AA1157" s="215"/>
      <c r="AB1157" s="215"/>
      <c r="AC1157" s="215"/>
      <c r="AD1157" s="215"/>
      <c r="AE1157" s="215"/>
      <c r="AF1157" s="215"/>
      <c r="AG1157" s="215"/>
      <c r="AH1157" s="215"/>
      <c r="AI1157" s="215"/>
      <c r="AJ1157" s="215"/>
      <c r="AK1157" s="215"/>
      <c r="AL1157" s="215"/>
      <c r="AM1157" s="215"/>
      <c r="AN1157" s="215"/>
      <c r="AO1157" s="215"/>
      <c r="AP1157" s="215"/>
      <c r="AQ1157" s="215"/>
      <c r="AR1157" s="215"/>
      <c r="AS1157" s="215"/>
      <c r="AT1157" s="215"/>
      <c r="AU1157" s="215"/>
      <c r="AV1157" s="215"/>
      <c r="AW1157" s="215"/>
      <c r="AX1157" s="215"/>
      <c r="AY1157" s="215"/>
      <c r="AZ1157" s="215"/>
      <c r="BA1157" s="215"/>
      <c r="BB1157" s="215"/>
      <c r="BC1157" s="215"/>
      <c r="BD1157" s="215"/>
      <c r="BE1157" s="215"/>
      <c r="BF1157" s="215"/>
      <c r="BG1157" s="215"/>
      <c r="BH1157" s="215"/>
      <c r="BI1157" s="215"/>
      <c r="BJ1157" s="215"/>
      <c r="BK1157" s="215"/>
      <c r="BL1157" s="215"/>
      <c r="BM1157" s="215"/>
      <c r="BN1157" s="215"/>
      <c r="BO1157" s="215"/>
      <c r="BP1157" s="215"/>
      <c r="BQ1157" s="215"/>
      <c r="BR1157" s="215"/>
      <c r="BS1157" s="215"/>
      <c r="BT1157" s="215"/>
      <c r="BU1157" s="215"/>
      <c r="BV1157" s="215"/>
      <c r="BW1157" s="215"/>
      <c r="BX1157" s="215"/>
      <c r="BY1157" s="215"/>
      <c r="BZ1157" s="215"/>
    </row>
    <row r="1158" spans="1:78" outlineLevel="1" x14ac:dyDescent="0.2">
      <c r="A1158" s="53" t="str">
        <f>'Language Index'!A637</f>
        <v>Assets Under Management - Net Change</v>
      </c>
      <c r="B1158" s="9"/>
      <c r="C1158" s="9"/>
      <c r="D1158" s="18">
        <f>_xll.ciqfunctions.udf.CIQ($C$2, "IQ_AUM_NET_CHANGE", D$6,$F$2,,,Ccy,Conv)</f>
        <v>0</v>
      </c>
      <c r="E1158" s="18">
        <f>_xll.ciqfunctions.udf.CIQ($C$2, "IQ_AUM_NET_CHANGE", E$6,$F$2,,,Ccy,Conv)</f>
        <v>0</v>
      </c>
      <c r="F1158" s="18">
        <f>_xll.ciqfunctions.udf.CIQ($C$2, "IQ_AUM_NET_CHANGE", F$6,$F$2,,,Ccy,Conv)</f>
        <v>0</v>
      </c>
      <c r="G1158" s="18">
        <f>_xll.ciqfunctions.udf.CIQ($C$2, "IQ_AUM_NET_CHANGE", G$6,$F$2,,,Ccy,Conv)</f>
        <v>0</v>
      </c>
      <c r="H1158" s="18">
        <f>_xll.ciqfunctions.udf.CIQ($C$2, "IQ_AUM_NET_CHANGE", H$6,$F$2,,,Ccy,Conv)</f>
        <v>0</v>
      </c>
      <c r="I1158" s="18">
        <f>_xll.ciqfunctions.udf.CIQ($C$2, "IQ_AUM_NET_CHANGE", I$6,$F$2,,,Ccy,Conv)</f>
        <v>0</v>
      </c>
      <c r="J1158" s="18">
        <f>_xll.ciqfunctions.udf.CIQ($C$2, "IQ_AUM_NET_CHANGE", J$6,$F$2,,,Ccy,Conv)</f>
        <v>0</v>
      </c>
      <c r="K1158" s="18">
        <f>_xll.ciqfunctions.udf.CIQ($C$2, "IQ_AUM_NET_CHANGE", K$6,$F$2,,,Ccy,Conv)</f>
        <v>0</v>
      </c>
      <c r="L1158" s="18">
        <f>_xll.ciqfunctions.udf.CIQ($C$2, "IQ_AUM_NET_CHANGE", L$6,$F$2,,,Ccy,Conv)</f>
        <v>0</v>
      </c>
      <c r="M1158" s="18">
        <f>_xll.ciqfunctions.udf.CIQ($C$2, "IQ_AUM_NET_CHANGE", M$6,$F$2,,,Ccy,Conv)</f>
        <v>0</v>
      </c>
      <c r="N1158" s="18">
        <f>_xll.ciqfunctions.udf.CIQ($C$2, "IQ_AUM_NET_CHANGE", N$6,$F$2,,,Ccy,Conv)</f>
        <v>0</v>
      </c>
      <c r="O1158" s="9"/>
      <c r="P1158" s="18">
        <f>_xll.ciqfunctions.udf.CIQ($C$2, "IQ_AUM_NET_CHANGE", P$6,$F$2,,,Ccy,Conv)</f>
        <v>0</v>
      </c>
      <c r="Q1158" s="215"/>
      <c r="R1158" s="215"/>
      <c r="S1158" s="215"/>
      <c r="T1158" s="215"/>
      <c r="U1158" s="215"/>
      <c r="V1158" s="222"/>
      <c r="W1158" s="215"/>
      <c r="X1158" s="215"/>
      <c r="Y1158" s="215"/>
      <c r="Z1158" s="215"/>
      <c r="AA1158" s="215"/>
      <c r="AB1158" s="215"/>
      <c r="AC1158" s="215"/>
      <c r="AD1158" s="215"/>
      <c r="AE1158" s="215"/>
      <c r="AF1158" s="215"/>
      <c r="AG1158" s="215"/>
      <c r="AH1158" s="215"/>
      <c r="AI1158" s="215"/>
      <c r="AJ1158" s="215"/>
      <c r="AK1158" s="215"/>
      <c r="AL1158" s="215"/>
      <c r="AM1158" s="215"/>
      <c r="AN1158" s="215"/>
      <c r="AO1158" s="215"/>
      <c r="AP1158" s="215"/>
      <c r="AQ1158" s="215"/>
      <c r="AR1158" s="215"/>
      <c r="AS1158" s="215"/>
      <c r="AT1158" s="215"/>
      <c r="AU1158" s="215"/>
      <c r="AV1158" s="215"/>
      <c r="AW1158" s="215"/>
      <c r="AX1158" s="215"/>
      <c r="AY1158" s="215"/>
      <c r="AZ1158" s="215"/>
      <c r="BA1158" s="215"/>
      <c r="BB1158" s="215"/>
      <c r="BC1158" s="215"/>
      <c r="BD1158" s="215"/>
      <c r="BE1158" s="215"/>
      <c r="BF1158" s="215"/>
      <c r="BG1158" s="215"/>
      <c r="BH1158" s="215"/>
      <c r="BI1158" s="215"/>
      <c r="BJ1158" s="215"/>
      <c r="BK1158" s="215"/>
      <c r="BL1158" s="215"/>
      <c r="BM1158" s="215"/>
      <c r="BN1158" s="215"/>
      <c r="BO1158" s="215"/>
      <c r="BP1158" s="215"/>
      <c r="BQ1158" s="215"/>
      <c r="BR1158" s="215"/>
      <c r="BS1158" s="215"/>
      <c r="BT1158" s="215"/>
      <c r="BU1158" s="215"/>
      <c r="BV1158" s="215"/>
      <c r="BW1158" s="215"/>
      <c r="BX1158" s="215"/>
      <c r="BY1158" s="215"/>
      <c r="BZ1158" s="215"/>
    </row>
    <row r="1159" spans="1:78" outlineLevel="1" x14ac:dyDescent="0.2">
      <c r="A1159" s="45"/>
      <c r="B1159" s="9"/>
      <c r="C1159" s="9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9"/>
      <c r="P1159" s="22"/>
      <c r="Q1159" s="215"/>
      <c r="R1159" s="215"/>
      <c r="S1159" s="215"/>
      <c r="T1159" s="215"/>
      <c r="U1159" s="215"/>
      <c r="V1159" s="222"/>
      <c r="W1159" s="215"/>
      <c r="X1159" s="215"/>
      <c r="Y1159" s="215"/>
      <c r="Z1159" s="215"/>
      <c r="AA1159" s="215"/>
      <c r="AB1159" s="215"/>
      <c r="AC1159" s="215"/>
      <c r="AD1159" s="215"/>
      <c r="AE1159" s="215"/>
      <c r="AF1159" s="215"/>
      <c r="AG1159" s="215"/>
      <c r="AH1159" s="215"/>
      <c r="AI1159" s="215"/>
      <c r="AJ1159" s="215"/>
      <c r="AK1159" s="215"/>
      <c r="AL1159" s="215"/>
      <c r="AM1159" s="215"/>
      <c r="AN1159" s="215"/>
      <c r="AO1159" s="215"/>
      <c r="AP1159" s="215"/>
      <c r="AQ1159" s="215"/>
      <c r="AR1159" s="215"/>
      <c r="AS1159" s="215"/>
      <c r="AT1159" s="215"/>
      <c r="AU1159" s="215"/>
      <c r="AV1159" s="215"/>
      <c r="AW1159" s="215"/>
      <c r="AX1159" s="215"/>
      <c r="AY1159" s="215"/>
      <c r="AZ1159" s="215"/>
      <c r="BA1159" s="215"/>
      <c r="BB1159" s="215"/>
      <c r="BC1159" s="215"/>
      <c r="BD1159" s="215"/>
      <c r="BE1159" s="215"/>
      <c r="BF1159" s="215"/>
      <c r="BG1159" s="215"/>
      <c r="BH1159" s="215"/>
      <c r="BI1159" s="215"/>
      <c r="BJ1159" s="215"/>
      <c r="BK1159" s="215"/>
      <c r="BL1159" s="215"/>
      <c r="BM1159" s="215"/>
      <c r="BN1159" s="215"/>
      <c r="BO1159" s="215"/>
      <c r="BP1159" s="215"/>
      <c r="BQ1159" s="215"/>
      <c r="BR1159" s="215"/>
      <c r="BS1159" s="215"/>
      <c r="BT1159" s="215"/>
      <c r="BU1159" s="215"/>
      <c r="BV1159" s="215"/>
      <c r="BW1159" s="215"/>
      <c r="BX1159" s="215"/>
      <c r="BY1159" s="215"/>
      <c r="BZ1159" s="215"/>
    </row>
    <row r="1160" spans="1:78" outlineLevel="1" x14ac:dyDescent="0.2">
      <c r="A1160" s="2" t="str">
        <f>'Language Index'!A638</f>
        <v>Mutual Fund - Beginning of Period</v>
      </c>
      <c r="B1160" s="9"/>
      <c r="C1160" s="9"/>
      <c r="D1160" s="18">
        <f>_xll.ciqfunctions.udf.CIQ($C$2, "IQ_MUTUAL_FUND_BOP", D$6,$F$2,,,Ccy,Conv)</f>
        <v>0</v>
      </c>
      <c r="E1160" s="18">
        <f>_xll.ciqfunctions.udf.CIQ($C$2, "IQ_MUTUAL_FUND_BOP", E$6,$F$2,,,Ccy,Conv)</f>
        <v>0</v>
      </c>
      <c r="F1160" s="18">
        <f>_xll.ciqfunctions.udf.CIQ($C$2, "IQ_MUTUAL_FUND_BOP", F$6,$F$2,,,Ccy,Conv)</f>
        <v>0</v>
      </c>
      <c r="G1160" s="18">
        <f>_xll.ciqfunctions.udf.CIQ($C$2, "IQ_MUTUAL_FUND_BOP", G$6,$F$2,,,Ccy,Conv)</f>
        <v>0</v>
      </c>
      <c r="H1160" s="18">
        <f>_xll.ciqfunctions.udf.CIQ($C$2, "IQ_MUTUAL_FUND_BOP", H$6,$F$2,,,Ccy,Conv)</f>
        <v>0</v>
      </c>
      <c r="I1160" s="18">
        <f>_xll.ciqfunctions.udf.CIQ($C$2, "IQ_MUTUAL_FUND_BOP", I$6,$F$2,,,Ccy,Conv)</f>
        <v>0</v>
      </c>
      <c r="J1160" s="18">
        <f>_xll.ciqfunctions.udf.CIQ($C$2, "IQ_MUTUAL_FUND_BOP", J$6,$F$2,,,Ccy,Conv)</f>
        <v>0</v>
      </c>
      <c r="K1160" s="18">
        <f>_xll.ciqfunctions.udf.CIQ($C$2, "IQ_MUTUAL_FUND_BOP", K$6,$F$2,,,Ccy,Conv)</f>
        <v>0</v>
      </c>
      <c r="L1160" s="18">
        <f>_xll.ciqfunctions.udf.CIQ($C$2, "IQ_MUTUAL_FUND_BOP", L$6,$F$2,,,Ccy,Conv)</f>
        <v>0</v>
      </c>
      <c r="M1160" s="18">
        <f>_xll.ciqfunctions.udf.CIQ($C$2, "IQ_MUTUAL_FUND_BOP", M$6,$F$2,,,Ccy,Conv)</f>
        <v>0</v>
      </c>
      <c r="N1160" s="18">
        <f>_xll.ciqfunctions.udf.CIQ($C$2, "IQ_MUTUAL_FUND_BOP", N$6,$F$2,,,Ccy,Conv)</f>
        <v>0</v>
      </c>
      <c r="O1160" s="9"/>
      <c r="P1160" s="18">
        <f>_xll.ciqfunctions.udf.CIQ($C$2, "IQ_MUTUAL_FUND_BOP", P$6,$F$2,,,Ccy,Conv)</f>
        <v>0</v>
      </c>
      <c r="Q1160" s="215"/>
      <c r="R1160" s="215"/>
      <c r="S1160" s="215"/>
      <c r="T1160" s="215"/>
      <c r="U1160" s="215"/>
      <c r="V1160" s="222"/>
      <c r="W1160" s="215"/>
      <c r="X1160" s="215"/>
      <c r="Y1160" s="215"/>
      <c r="Z1160" s="215"/>
      <c r="AA1160" s="215"/>
      <c r="AB1160" s="215"/>
      <c r="AC1160" s="215"/>
      <c r="AD1160" s="215"/>
      <c r="AE1160" s="215"/>
      <c r="AF1160" s="215"/>
      <c r="AG1160" s="215"/>
      <c r="AH1160" s="215"/>
      <c r="AI1160" s="215"/>
      <c r="AJ1160" s="215"/>
      <c r="AK1160" s="215"/>
      <c r="AL1160" s="215"/>
      <c r="AM1160" s="215"/>
      <c r="AN1160" s="215"/>
      <c r="AO1160" s="215"/>
      <c r="AP1160" s="215"/>
      <c r="AQ1160" s="215"/>
      <c r="AR1160" s="215"/>
      <c r="AS1160" s="215"/>
      <c r="AT1160" s="215"/>
      <c r="AU1160" s="215"/>
      <c r="AV1160" s="215"/>
      <c r="AW1160" s="215"/>
      <c r="AX1160" s="215"/>
      <c r="AY1160" s="215"/>
      <c r="AZ1160" s="215"/>
      <c r="BA1160" s="215"/>
      <c r="BB1160" s="215"/>
      <c r="BC1160" s="215"/>
      <c r="BD1160" s="215"/>
      <c r="BE1160" s="215"/>
      <c r="BF1160" s="215"/>
      <c r="BG1160" s="215"/>
      <c r="BH1160" s="215"/>
      <c r="BI1160" s="215"/>
      <c r="BJ1160" s="215"/>
      <c r="BK1160" s="215"/>
      <c r="BL1160" s="215"/>
      <c r="BM1160" s="215"/>
      <c r="BN1160" s="215"/>
      <c r="BO1160" s="215"/>
      <c r="BP1160" s="215"/>
      <c r="BQ1160" s="215"/>
      <c r="BR1160" s="215"/>
      <c r="BS1160" s="215"/>
      <c r="BT1160" s="215"/>
      <c r="BU1160" s="215"/>
      <c r="BV1160" s="215"/>
      <c r="BW1160" s="215"/>
      <c r="BX1160" s="215"/>
      <c r="BY1160" s="215"/>
      <c r="BZ1160" s="215"/>
    </row>
    <row r="1161" spans="1:78" outlineLevel="1" x14ac:dyDescent="0.2">
      <c r="A1161" s="2" t="str">
        <f>'Language Index'!A639</f>
        <v>Mutual Fund - Sales</v>
      </c>
      <c r="B1161" s="9"/>
      <c r="C1161" s="9"/>
      <c r="D1161" s="18">
        <f>_xll.ciqfunctions.udf.CIQ($C$2, "IQ_MUTUAL_FUND_SALES", D$6,$F$2,,,Ccy,Conv)</f>
        <v>0</v>
      </c>
      <c r="E1161" s="18">
        <f>_xll.ciqfunctions.udf.CIQ($C$2, "IQ_MUTUAL_FUND_SALES", E$6,$F$2,,,Ccy,Conv)</f>
        <v>0</v>
      </c>
      <c r="F1161" s="18">
        <f>_xll.ciqfunctions.udf.CIQ($C$2, "IQ_MUTUAL_FUND_SALES", F$6,$F$2,,,Ccy,Conv)</f>
        <v>0</v>
      </c>
      <c r="G1161" s="18">
        <f>_xll.ciqfunctions.udf.CIQ($C$2, "IQ_MUTUAL_FUND_SALES", G$6,$F$2,,,Ccy,Conv)</f>
        <v>0</v>
      </c>
      <c r="H1161" s="18">
        <f>_xll.ciqfunctions.udf.CIQ($C$2, "IQ_MUTUAL_FUND_SALES", H$6,$F$2,,,Ccy,Conv)</f>
        <v>0</v>
      </c>
      <c r="I1161" s="18">
        <f>_xll.ciqfunctions.udf.CIQ($C$2, "IQ_MUTUAL_FUND_SALES", I$6,$F$2,,,Ccy,Conv)</f>
        <v>0</v>
      </c>
      <c r="J1161" s="18">
        <f>_xll.ciqfunctions.udf.CIQ($C$2, "IQ_MUTUAL_FUND_SALES", J$6,$F$2,,,Ccy,Conv)</f>
        <v>0</v>
      </c>
      <c r="K1161" s="18">
        <f>_xll.ciqfunctions.udf.CIQ($C$2, "IQ_MUTUAL_FUND_SALES", K$6,$F$2,,,Ccy,Conv)</f>
        <v>0</v>
      </c>
      <c r="L1161" s="18">
        <f>_xll.ciqfunctions.udf.CIQ($C$2, "IQ_MUTUAL_FUND_SALES", L$6,$F$2,,,Ccy,Conv)</f>
        <v>0</v>
      </c>
      <c r="M1161" s="18">
        <f>_xll.ciqfunctions.udf.CIQ($C$2, "IQ_MUTUAL_FUND_SALES", M$6,$F$2,,,Ccy,Conv)</f>
        <v>0</v>
      </c>
      <c r="N1161" s="18">
        <f>_xll.ciqfunctions.udf.CIQ($C$2, "IQ_MUTUAL_FUND_SALES", N$6,$F$2,,,Ccy,Conv)</f>
        <v>0</v>
      </c>
      <c r="O1161" s="9"/>
      <c r="P1161" s="18">
        <f>_xll.ciqfunctions.udf.CIQ($C$2, "IQ_MUTUAL_FUND_SALES", P$6,$F$2,,,Ccy,Conv)</f>
        <v>0</v>
      </c>
      <c r="Q1161" s="215"/>
      <c r="R1161" s="215"/>
      <c r="S1161" s="215"/>
      <c r="T1161" s="215"/>
      <c r="U1161" s="215"/>
      <c r="V1161" s="222"/>
      <c r="W1161" s="215"/>
      <c r="X1161" s="215"/>
      <c r="Y1161" s="215"/>
      <c r="Z1161" s="215"/>
      <c r="AA1161" s="215"/>
      <c r="AB1161" s="215"/>
      <c r="AC1161" s="215"/>
      <c r="AD1161" s="215"/>
      <c r="AE1161" s="215"/>
      <c r="AF1161" s="215"/>
      <c r="AG1161" s="215"/>
      <c r="AH1161" s="215"/>
      <c r="AI1161" s="215"/>
      <c r="AJ1161" s="215"/>
      <c r="AK1161" s="215"/>
      <c r="AL1161" s="215"/>
      <c r="AM1161" s="215"/>
      <c r="AN1161" s="215"/>
      <c r="AO1161" s="215"/>
      <c r="AP1161" s="215"/>
      <c r="AQ1161" s="215"/>
      <c r="AR1161" s="215"/>
      <c r="AS1161" s="215"/>
      <c r="AT1161" s="215"/>
      <c r="AU1161" s="215"/>
      <c r="AV1161" s="215"/>
      <c r="AW1161" s="215"/>
      <c r="AX1161" s="215"/>
      <c r="AY1161" s="215"/>
      <c r="AZ1161" s="215"/>
      <c r="BA1161" s="215"/>
      <c r="BB1161" s="215"/>
      <c r="BC1161" s="215"/>
      <c r="BD1161" s="215"/>
      <c r="BE1161" s="215"/>
      <c r="BF1161" s="215"/>
      <c r="BG1161" s="215"/>
      <c r="BH1161" s="215"/>
      <c r="BI1161" s="215"/>
      <c r="BJ1161" s="215"/>
      <c r="BK1161" s="215"/>
      <c r="BL1161" s="215"/>
      <c r="BM1161" s="215"/>
      <c r="BN1161" s="215"/>
      <c r="BO1161" s="215"/>
      <c r="BP1161" s="215"/>
      <c r="BQ1161" s="215"/>
      <c r="BR1161" s="215"/>
      <c r="BS1161" s="215"/>
      <c r="BT1161" s="215"/>
      <c r="BU1161" s="215"/>
      <c r="BV1161" s="215"/>
      <c r="BW1161" s="215"/>
      <c r="BX1161" s="215"/>
      <c r="BY1161" s="215"/>
      <c r="BZ1161" s="215"/>
    </row>
    <row r="1162" spans="1:78" outlineLevel="1" x14ac:dyDescent="0.2">
      <c r="A1162" s="2" t="str">
        <f>'Language Index'!A640</f>
        <v>Mutual Fund - Redemptions</v>
      </c>
      <c r="B1162" s="9"/>
      <c r="C1162" s="9"/>
      <c r="D1162" s="18">
        <f>_xll.ciqfunctions.udf.CIQ($C$2, "IQ_MUTUAL_FUND_REDEMPTIONS", D$6,$F$2,,,Ccy,Conv)</f>
        <v>0</v>
      </c>
      <c r="E1162" s="18">
        <f>_xll.ciqfunctions.udf.CIQ($C$2, "IQ_MUTUAL_FUND_REDEMPTIONS", E$6,$F$2,,,Ccy,Conv)</f>
        <v>0</v>
      </c>
      <c r="F1162" s="18">
        <f>_xll.ciqfunctions.udf.CIQ($C$2, "IQ_MUTUAL_FUND_REDEMPTIONS", F$6,$F$2,,,Ccy,Conv)</f>
        <v>0</v>
      </c>
      <c r="G1162" s="18">
        <f>_xll.ciqfunctions.udf.CIQ($C$2, "IQ_MUTUAL_FUND_REDEMPTIONS", G$6,$F$2,,,Ccy,Conv)</f>
        <v>0</v>
      </c>
      <c r="H1162" s="18">
        <f>_xll.ciqfunctions.udf.CIQ($C$2, "IQ_MUTUAL_FUND_REDEMPTIONS", H$6,$F$2,,,Ccy,Conv)</f>
        <v>0</v>
      </c>
      <c r="I1162" s="18">
        <f>_xll.ciqfunctions.udf.CIQ($C$2, "IQ_MUTUAL_FUND_REDEMPTIONS", I$6,$F$2,,,Ccy,Conv)</f>
        <v>0</v>
      </c>
      <c r="J1162" s="18">
        <f>_xll.ciqfunctions.udf.CIQ($C$2, "IQ_MUTUAL_FUND_REDEMPTIONS", J$6,$F$2,,,Ccy,Conv)</f>
        <v>0</v>
      </c>
      <c r="K1162" s="18">
        <f>_xll.ciqfunctions.udf.CIQ($C$2, "IQ_MUTUAL_FUND_REDEMPTIONS", K$6,$F$2,,,Ccy,Conv)</f>
        <v>0</v>
      </c>
      <c r="L1162" s="18">
        <f>_xll.ciqfunctions.udf.CIQ($C$2, "IQ_MUTUAL_FUND_REDEMPTIONS", L$6,$F$2,,,Ccy,Conv)</f>
        <v>0</v>
      </c>
      <c r="M1162" s="18">
        <f>_xll.ciqfunctions.udf.CIQ($C$2, "IQ_MUTUAL_FUND_REDEMPTIONS", M$6,$F$2,,,Ccy,Conv)</f>
        <v>0</v>
      </c>
      <c r="N1162" s="18">
        <f>_xll.ciqfunctions.udf.CIQ($C$2, "IQ_MUTUAL_FUND_REDEMPTIONS", N$6,$F$2,,,Ccy,Conv)</f>
        <v>0</v>
      </c>
      <c r="O1162" s="9"/>
      <c r="P1162" s="18">
        <f>_xll.ciqfunctions.udf.CIQ($C$2, "IQ_MUTUAL_FUND_REDEMPTIONS", P$6,$F$2,,,Ccy,Conv)</f>
        <v>0</v>
      </c>
      <c r="Q1162" s="215"/>
      <c r="R1162" s="215"/>
      <c r="S1162" s="215"/>
      <c r="T1162" s="215"/>
      <c r="U1162" s="215"/>
      <c r="V1162" s="222"/>
      <c r="W1162" s="215"/>
      <c r="X1162" s="215"/>
      <c r="Y1162" s="215"/>
      <c r="Z1162" s="215"/>
      <c r="AA1162" s="215"/>
      <c r="AB1162" s="215"/>
      <c r="AC1162" s="215"/>
      <c r="AD1162" s="215"/>
      <c r="AE1162" s="215"/>
      <c r="AF1162" s="215"/>
      <c r="AG1162" s="215"/>
      <c r="AH1162" s="215"/>
      <c r="AI1162" s="215"/>
      <c r="AJ1162" s="215"/>
      <c r="AK1162" s="215"/>
      <c r="AL1162" s="215"/>
      <c r="AM1162" s="215"/>
      <c r="AN1162" s="215"/>
      <c r="AO1162" s="215"/>
      <c r="AP1162" s="215"/>
      <c r="AQ1162" s="215"/>
      <c r="AR1162" s="215"/>
      <c r="AS1162" s="215"/>
      <c r="AT1162" s="215"/>
      <c r="AU1162" s="215"/>
      <c r="AV1162" s="215"/>
      <c r="AW1162" s="215"/>
      <c r="AX1162" s="215"/>
      <c r="AY1162" s="215"/>
      <c r="AZ1162" s="215"/>
      <c r="BA1162" s="215"/>
      <c r="BB1162" s="215"/>
      <c r="BC1162" s="215"/>
      <c r="BD1162" s="215"/>
      <c r="BE1162" s="215"/>
      <c r="BF1162" s="215"/>
      <c r="BG1162" s="215"/>
      <c r="BH1162" s="215"/>
      <c r="BI1162" s="215"/>
      <c r="BJ1162" s="215"/>
      <c r="BK1162" s="215"/>
      <c r="BL1162" s="215"/>
      <c r="BM1162" s="215"/>
      <c r="BN1162" s="215"/>
      <c r="BO1162" s="215"/>
      <c r="BP1162" s="215"/>
      <c r="BQ1162" s="215"/>
      <c r="BR1162" s="215"/>
      <c r="BS1162" s="215"/>
      <c r="BT1162" s="215"/>
      <c r="BU1162" s="215"/>
      <c r="BV1162" s="215"/>
      <c r="BW1162" s="215"/>
      <c r="BX1162" s="215"/>
      <c r="BY1162" s="215"/>
      <c r="BZ1162" s="215"/>
    </row>
    <row r="1163" spans="1:78" outlineLevel="1" x14ac:dyDescent="0.2">
      <c r="A1163" s="2" t="str">
        <f>'Language Index'!A641</f>
        <v>Mutual Fund - Net Sales</v>
      </c>
      <c r="B1163" s="9"/>
      <c r="C1163" s="9"/>
      <c r="D1163" s="18">
        <f>_xll.ciqfunctions.udf.CIQ($C$2, "IQ_MUTUAL_FUND_NET_SALES", D$6,$F$2,,,Ccy,Conv)</f>
        <v>0</v>
      </c>
      <c r="E1163" s="18">
        <f>_xll.ciqfunctions.udf.CIQ($C$2, "IQ_MUTUAL_FUND_NET_SALES", E$6,$F$2,,,Ccy,Conv)</f>
        <v>0</v>
      </c>
      <c r="F1163" s="18">
        <f>_xll.ciqfunctions.udf.CIQ($C$2, "IQ_MUTUAL_FUND_NET_SALES", F$6,$F$2,,,Ccy,Conv)</f>
        <v>0</v>
      </c>
      <c r="G1163" s="18">
        <f>_xll.ciqfunctions.udf.CIQ($C$2, "IQ_MUTUAL_FUND_NET_SALES", G$6,$F$2,,,Ccy,Conv)</f>
        <v>0</v>
      </c>
      <c r="H1163" s="18">
        <f>_xll.ciqfunctions.udf.CIQ($C$2, "IQ_MUTUAL_FUND_NET_SALES", H$6,$F$2,,,Ccy,Conv)</f>
        <v>0</v>
      </c>
      <c r="I1163" s="18">
        <f>_xll.ciqfunctions.udf.CIQ($C$2, "IQ_MUTUAL_FUND_NET_SALES", I$6,$F$2,,,Ccy,Conv)</f>
        <v>0</v>
      </c>
      <c r="J1163" s="18">
        <f>_xll.ciqfunctions.udf.CIQ($C$2, "IQ_MUTUAL_FUND_NET_SALES", J$6,$F$2,,,Ccy,Conv)</f>
        <v>0</v>
      </c>
      <c r="K1163" s="18">
        <f>_xll.ciqfunctions.udf.CIQ($C$2, "IQ_MUTUAL_FUND_NET_SALES", K$6,$F$2,,,Ccy,Conv)</f>
        <v>0</v>
      </c>
      <c r="L1163" s="18">
        <f>_xll.ciqfunctions.udf.CIQ($C$2, "IQ_MUTUAL_FUND_NET_SALES", L$6,$F$2,,,Ccy,Conv)</f>
        <v>0</v>
      </c>
      <c r="M1163" s="18">
        <f>_xll.ciqfunctions.udf.CIQ($C$2, "IQ_MUTUAL_FUND_NET_SALES", M$6,$F$2,,,Ccy,Conv)</f>
        <v>0</v>
      </c>
      <c r="N1163" s="18">
        <f>_xll.ciqfunctions.udf.CIQ($C$2, "IQ_MUTUAL_FUND_NET_SALES", N$6,$F$2,,,Ccy,Conv)</f>
        <v>0</v>
      </c>
      <c r="O1163" s="9"/>
      <c r="P1163" s="18">
        <f>_xll.ciqfunctions.udf.CIQ($C$2, "IQ_MUTUAL_FUND_NET_SALES", P$6,$F$2,,,Ccy,Conv)</f>
        <v>0</v>
      </c>
      <c r="Q1163" s="215"/>
      <c r="R1163" s="215"/>
      <c r="S1163" s="215"/>
      <c r="T1163" s="215"/>
      <c r="U1163" s="215"/>
      <c r="V1163" s="222"/>
      <c r="W1163" s="215"/>
      <c r="X1163" s="215"/>
      <c r="Y1163" s="215"/>
      <c r="Z1163" s="215"/>
      <c r="AA1163" s="215"/>
      <c r="AB1163" s="215"/>
      <c r="AC1163" s="215"/>
      <c r="AD1163" s="215"/>
      <c r="AE1163" s="215"/>
      <c r="AF1163" s="215"/>
      <c r="AG1163" s="215"/>
      <c r="AH1163" s="215"/>
      <c r="AI1163" s="215"/>
      <c r="AJ1163" s="215"/>
      <c r="AK1163" s="215"/>
      <c r="AL1163" s="215"/>
      <c r="AM1163" s="215"/>
      <c r="AN1163" s="215"/>
      <c r="AO1163" s="215"/>
      <c r="AP1163" s="215"/>
      <c r="AQ1163" s="215"/>
      <c r="AR1163" s="215"/>
      <c r="AS1163" s="215"/>
      <c r="AT1163" s="215"/>
      <c r="AU1163" s="215"/>
      <c r="AV1163" s="215"/>
      <c r="AW1163" s="215"/>
      <c r="AX1163" s="215"/>
      <c r="AY1163" s="215"/>
      <c r="AZ1163" s="215"/>
      <c r="BA1163" s="215"/>
      <c r="BB1163" s="215"/>
      <c r="BC1163" s="215"/>
      <c r="BD1163" s="215"/>
      <c r="BE1163" s="215"/>
      <c r="BF1163" s="215"/>
      <c r="BG1163" s="215"/>
      <c r="BH1163" s="215"/>
      <c r="BI1163" s="215"/>
      <c r="BJ1163" s="215"/>
      <c r="BK1163" s="215"/>
      <c r="BL1163" s="215"/>
      <c r="BM1163" s="215"/>
      <c r="BN1163" s="215"/>
      <c r="BO1163" s="215"/>
      <c r="BP1163" s="215"/>
      <c r="BQ1163" s="215"/>
      <c r="BR1163" s="215"/>
      <c r="BS1163" s="215"/>
      <c r="BT1163" s="215"/>
      <c r="BU1163" s="215"/>
      <c r="BV1163" s="215"/>
      <c r="BW1163" s="215"/>
      <c r="BX1163" s="215"/>
      <c r="BY1163" s="215"/>
      <c r="BZ1163" s="215"/>
    </row>
    <row r="1164" spans="1:78" outlineLevel="1" x14ac:dyDescent="0.2">
      <c r="A1164" s="2" t="str">
        <f>'Language Index'!A642</f>
        <v>Mutual Fund - Market Appreciation / (Depreciation)</v>
      </c>
      <c r="B1164" s="9"/>
      <c r="C1164" s="9"/>
      <c r="D1164" s="18">
        <f>_xll.ciqfunctions.udf.CIQ($C$2, "IQ_MUTUAL_FUND_APPRECIATION_DEPRECIATION", D$6,$F$2,,,Ccy,Conv)</f>
        <v>0</v>
      </c>
      <c r="E1164" s="18">
        <f>_xll.ciqfunctions.udf.CIQ($C$2, "IQ_MUTUAL_FUND_APPRECIATION_DEPRECIATION", E$6,$F$2,,,Ccy,Conv)</f>
        <v>0</v>
      </c>
      <c r="F1164" s="18">
        <f>_xll.ciqfunctions.udf.CIQ($C$2, "IQ_MUTUAL_FUND_APPRECIATION_DEPRECIATION", F$6,$F$2,,,Ccy,Conv)</f>
        <v>0</v>
      </c>
      <c r="G1164" s="18">
        <f>_xll.ciqfunctions.udf.CIQ($C$2, "IQ_MUTUAL_FUND_APPRECIATION_DEPRECIATION", G$6,$F$2,,,Ccy,Conv)</f>
        <v>0</v>
      </c>
      <c r="H1164" s="18">
        <f>_xll.ciqfunctions.udf.CIQ($C$2, "IQ_MUTUAL_FUND_APPRECIATION_DEPRECIATION", H$6,$F$2,,,Ccy,Conv)</f>
        <v>0</v>
      </c>
      <c r="I1164" s="18">
        <f>_xll.ciqfunctions.udf.CIQ($C$2, "IQ_MUTUAL_FUND_APPRECIATION_DEPRECIATION", I$6,$F$2,,,Ccy,Conv)</f>
        <v>0</v>
      </c>
      <c r="J1164" s="18">
        <f>_xll.ciqfunctions.udf.CIQ($C$2, "IQ_MUTUAL_FUND_APPRECIATION_DEPRECIATION", J$6,$F$2,,,Ccy,Conv)</f>
        <v>0</v>
      </c>
      <c r="K1164" s="18">
        <f>_xll.ciqfunctions.udf.CIQ($C$2, "IQ_MUTUAL_FUND_APPRECIATION_DEPRECIATION", K$6,$F$2,,,Ccy,Conv)</f>
        <v>0</v>
      </c>
      <c r="L1164" s="18">
        <f>_xll.ciqfunctions.udf.CIQ($C$2, "IQ_MUTUAL_FUND_APPRECIATION_DEPRECIATION", L$6,$F$2,,,Ccy,Conv)</f>
        <v>0</v>
      </c>
      <c r="M1164" s="18">
        <f>_xll.ciqfunctions.udf.CIQ($C$2, "IQ_MUTUAL_FUND_APPRECIATION_DEPRECIATION", M$6,$F$2,,,Ccy,Conv)</f>
        <v>0</v>
      </c>
      <c r="N1164" s="18">
        <f>_xll.ciqfunctions.udf.CIQ($C$2, "IQ_MUTUAL_FUND_APPRECIATION_DEPRECIATION", N$6,$F$2,,,Ccy,Conv)</f>
        <v>0</v>
      </c>
      <c r="O1164" s="9"/>
      <c r="P1164" s="18">
        <f>_xll.ciqfunctions.udf.CIQ($C$2, "IQ_MUTUAL_FUND_APPRECIATION_DEPRECIATION", P$6,$F$2,,,Ccy,Conv)</f>
        <v>0</v>
      </c>
      <c r="Q1164" s="245"/>
      <c r="R1164" s="215"/>
      <c r="S1164" s="215"/>
      <c r="T1164" s="215"/>
      <c r="U1164" s="215"/>
      <c r="V1164" s="222"/>
      <c r="W1164" s="215"/>
      <c r="X1164" s="215"/>
      <c r="Y1164" s="215"/>
      <c r="Z1164" s="215"/>
      <c r="AA1164" s="215"/>
      <c r="AB1164" s="215"/>
      <c r="AC1164" s="215"/>
      <c r="AD1164" s="215"/>
      <c r="AE1164" s="215"/>
      <c r="AF1164" s="215"/>
      <c r="AG1164" s="215"/>
      <c r="AH1164" s="215"/>
      <c r="AI1164" s="215"/>
      <c r="AJ1164" s="215"/>
      <c r="AK1164" s="215"/>
      <c r="AL1164" s="215"/>
      <c r="AM1164" s="215"/>
      <c r="AN1164" s="215"/>
      <c r="AO1164" s="215"/>
      <c r="AP1164" s="215"/>
      <c r="AQ1164" s="215"/>
      <c r="AR1164" s="215"/>
      <c r="AS1164" s="215"/>
      <c r="AT1164" s="215"/>
      <c r="AU1164" s="215"/>
      <c r="AV1164" s="215"/>
      <c r="AW1164" s="215"/>
      <c r="AX1164" s="215"/>
      <c r="AY1164" s="215"/>
      <c r="AZ1164" s="215"/>
      <c r="BA1164" s="215"/>
      <c r="BB1164" s="215"/>
      <c r="BC1164" s="215"/>
      <c r="BD1164" s="215"/>
      <c r="BE1164" s="215"/>
      <c r="BF1164" s="215"/>
      <c r="BG1164" s="215"/>
      <c r="BH1164" s="215"/>
      <c r="BI1164" s="215"/>
      <c r="BJ1164" s="215"/>
      <c r="BK1164" s="215"/>
      <c r="BL1164" s="215"/>
      <c r="BM1164" s="215"/>
      <c r="BN1164" s="215"/>
      <c r="BO1164" s="215"/>
      <c r="BP1164" s="215"/>
      <c r="BQ1164" s="215"/>
      <c r="BR1164" s="215"/>
      <c r="BS1164" s="215"/>
      <c r="BT1164" s="215"/>
      <c r="BU1164" s="215"/>
      <c r="BV1164" s="215"/>
      <c r="BW1164" s="215"/>
      <c r="BX1164" s="215"/>
      <c r="BY1164" s="215"/>
      <c r="BZ1164" s="215"/>
    </row>
    <row r="1165" spans="1:78" outlineLevel="1" x14ac:dyDescent="0.2">
      <c r="A1165" s="2" t="str">
        <f>'Language Index'!A643</f>
        <v>Mutual Fund - Acquisitions and Other</v>
      </c>
      <c r="B1165" s="9"/>
      <c r="C1165" s="9"/>
      <c r="D1165" s="18">
        <f>_xll.ciqfunctions.udf.CIQ($C$2, "IQ_MUTUAL_FUND_ACQUISITIONS_OTHER", D$6,$F$2,,,Ccy,Conv)</f>
        <v>0</v>
      </c>
      <c r="E1165" s="18">
        <f>_xll.ciqfunctions.udf.CIQ($C$2, "IQ_MUTUAL_FUND_ACQUISITIONS_OTHER", E$6,$F$2,,,Ccy,Conv)</f>
        <v>0</v>
      </c>
      <c r="F1165" s="18">
        <f>_xll.ciqfunctions.udf.CIQ($C$2, "IQ_MUTUAL_FUND_ACQUISITIONS_OTHER", F$6,$F$2,,,Ccy,Conv)</f>
        <v>0</v>
      </c>
      <c r="G1165" s="18">
        <f>_xll.ciqfunctions.udf.CIQ($C$2, "IQ_MUTUAL_FUND_ACQUISITIONS_OTHER", G$6,$F$2,,,Ccy,Conv)</f>
        <v>0</v>
      </c>
      <c r="H1165" s="18">
        <f>_xll.ciqfunctions.udf.CIQ($C$2, "IQ_MUTUAL_FUND_ACQUISITIONS_OTHER", H$6,$F$2,,,Ccy,Conv)</f>
        <v>0</v>
      </c>
      <c r="I1165" s="18">
        <f>_xll.ciqfunctions.udf.CIQ($C$2, "IQ_MUTUAL_FUND_ACQUISITIONS_OTHER", I$6,$F$2,,,Ccy,Conv)</f>
        <v>0</v>
      </c>
      <c r="J1165" s="18">
        <f>_xll.ciqfunctions.udf.CIQ($C$2, "IQ_MUTUAL_FUND_ACQUISITIONS_OTHER", J$6,$F$2,,,Ccy,Conv)</f>
        <v>0</v>
      </c>
      <c r="K1165" s="18">
        <f>_xll.ciqfunctions.udf.CIQ($C$2, "IQ_MUTUAL_FUND_ACQUISITIONS_OTHER", K$6,$F$2,,,Ccy,Conv)</f>
        <v>0</v>
      </c>
      <c r="L1165" s="18">
        <f>_xll.ciqfunctions.udf.CIQ($C$2, "IQ_MUTUAL_FUND_ACQUISITIONS_OTHER", L$6,$F$2,,,Ccy,Conv)</f>
        <v>0</v>
      </c>
      <c r="M1165" s="18">
        <f>_xll.ciqfunctions.udf.CIQ($C$2, "IQ_MUTUAL_FUND_ACQUISITIONS_OTHER", M$6,$F$2,,,Ccy,Conv)</f>
        <v>0</v>
      </c>
      <c r="N1165" s="18">
        <f>_xll.ciqfunctions.udf.CIQ($C$2, "IQ_MUTUAL_FUND_ACQUISITIONS_OTHER", N$6,$F$2,,,Ccy,Conv)</f>
        <v>0</v>
      </c>
      <c r="O1165" s="9"/>
      <c r="P1165" s="18">
        <f>_xll.ciqfunctions.udf.CIQ($C$2, "IQ_MUTUAL_FUND_ACQUISITIONS_OTHER", P$6,$F$2,,,Ccy,Conv)</f>
        <v>0</v>
      </c>
      <c r="Q1165" s="245"/>
      <c r="R1165" s="215"/>
      <c r="S1165" s="215"/>
      <c r="T1165" s="215"/>
      <c r="U1165" s="215"/>
      <c r="V1165" s="222"/>
      <c r="W1165" s="215"/>
      <c r="X1165" s="215"/>
      <c r="Y1165" s="215"/>
      <c r="Z1165" s="215"/>
      <c r="AA1165" s="215"/>
      <c r="AB1165" s="215"/>
      <c r="AC1165" s="215"/>
      <c r="AD1165" s="215"/>
      <c r="AE1165" s="215"/>
      <c r="AF1165" s="215"/>
      <c r="AG1165" s="215"/>
      <c r="AH1165" s="215"/>
      <c r="AI1165" s="215"/>
      <c r="AJ1165" s="215"/>
      <c r="AK1165" s="215"/>
      <c r="AL1165" s="215"/>
      <c r="AM1165" s="215"/>
      <c r="AN1165" s="215"/>
      <c r="AO1165" s="215"/>
      <c r="AP1165" s="215"/>
      <c r="AQ1165" s="215"/>
      <c r="AR1165" s="215"/>
      <c r="AS1165" s="215"/>
      <c r="AT1165" s="215"/>
      <c r="AU1165" s="215"/>
      <c r="AV1165" s="215"/>
      <c r="AW1165" s="215"/>
      <c r="AX1165" s="215"/>
      <c r="AY1165" s="215"/>
      <c r="AZ1165" s="215"/>
      <c r="BA1165" s="215"/>
      <c r="BB1165" s="215"/>
      <c r="BC1165" s="215"/>
      <c r="BD1165" s="215"/>
      <c r="BE1165" s="215"/>
      <c r="BF1165" s="215"/>
      <c r="BG1165" s="215"/>
      <c r="BH1165" s="215"/>
      <c r="BI1165" s="215"/>
      <c r="BJ1165" s="215"/>
      <c r="BK1165" s="215"/>
      <c r="BL1165" s="215"/>
      <c r="BM1165" s="215"/>
      <c r="BN1165" s="215"/>
      <c r="BO1165" s="215"/>
      <c r="BP1165" s="215"/>
      <c r="BQ1165" s="215"/>
      <c r="BR1165" s="215"/>
      <c r="BS1165" s="215"/>
      <c r="BT1165" s="215"/>
      <c r="BU1165" s="215"/>
      <c r="BV1165" s="215"/>
      <c r="BW1165" s="215"/>
      <c r="BX1165" s="215"/>
      <c r="BY1165" s="215"/>
      <c r="BZ1165" s="215"/>
    </row>
    <row r="1166" spans="1:78" outlineLevel="1" x14ac:dyDescent="0.2">
      <c r="A1166" s="2" t="str">
        <f>'Language Index'!A644</f>
        <v>Mutual Fund - End of Period</v>
      </c>
      <c r="B1166" s="9"/>
      <c r="C1166" s="9"/>
      <c r="D1166" s="18">
        <f>_xll.ciqfunctions.udf.CIQ($C$2, "IQ_MUTUAL_FUND_EOP", D$6,$F$2,,,Ccy,Conv)</f>
        <v>0</v>
      </c>
      <c r="E1166" s="18">
        <f>_xll.ciqfunctions.udf.CIQ($C$2, "IQ_MUTUAL_FUND_EOP", E$6,$F$2,,,Ccy,Conv)</f>
        <v>0</v>
      </c>
      <c r="F1166" s="18">
        <f>_xll.ciqfunctions.udf.CIQ($C$2, "IQ_MUTUAL_FUND_EOP", F$6,$F$2,,,Ccy,Conv)</f>
        <v>0</v>
      </c>
      <c r="G1166" s="18">
        <f>_xll.ciqfunctions.udf.CIQ($C$2, "IQ_MUTUAL_FUND_EOP", G$6,$F$2,,,Ccy,Conv)</f>
        <v>0</v>
      </c>
      <c r="H1166" s="18">
        <f>_xll.ciqfunctions.udf.CIQ($C$2, "IQ_MUTUAL_FUND_EOP", H$6,$F$2,,,Ccy,Conv)</f>
        <v>0</v>
      </c>
      <c r="I1166" s="18">
        <f>_xll.ciqfunctions.udf.CIQ($C$2, "IQ_MUTUAL_FUND_EOP", I$6,$F$2,,,Ccy,Conv)</f>
        <v>0</v>
      </c>
      <c r="J1166" s="18">
        <f>_xll.ciqfunctions.udf.CIQ($C$2, "IQ_MUTUAL_FUND_EOP", J$6,$F$2,,,Ccy,Conv)</f>
        <v>0</v>
      </c>
      <c r="K1166" s="18">
        <f>_xll.ciqfunctions.udf.CIQ($C$2, "IQ_MUTUAL_FUND_EOP", K$6,$F$2,,,Ccy,Conv)</f>
        <v>0</v>
      </c>
      <c r="L1166" s="18">
        <f>_xll.ciqfunctions.udf.CIQ($C$2, "IQ_MUTUAL_FUND_EOP", L$6,$F$2,,,Ccy,Conv)</f>
        <v>0</v>
      </c>
      <c r="M1166" s="18">
        <f>_xll.ciqfunctions.udf.CIQ($C$2, "IQ_MUTUAL_FUND_EOP", M$6,$F$2,,,Ccy,Conv)</f>
        <v>0</v>
      </c>
      <c r="N1166" s="18">
        <f>_xll.ciqfunctions.udf.CIQ($C$2, "IQ_MUTUAL_FUND_EOP", N$6,$F$2,,,Ccy,Conv)</f>
        <v>0</v>
      </c>
      <c r="O1166" s="9"/>
      <c r="P1166" s="18">
        <f>_xll.ciqfunctions.udf.CIQ($C$2, "IQ_MUTUAL_FUND_EOP", P$6,$F$2,,,Ccy,Conv)</f>
        <v>0</v>
      </c>
      <c r="Q1166" s="245"/>
      <c r="R1166" s="215"/>
      <c r="S1166" s="215"/>
      <c r="T1166" s="215"/>
      <c r="U1166" s="215"/>
      <c r="V1166" s="222"/>
      <c r="W1166" s="215"/>
      <c r="X1166" s="215"/>
      <c r="Y1166" s="215"/>
      <c r="Z1166" s="215"/>
      <c r="AA1166" s="215"/>
      <c r="AB1166" s="215"/>
      <c r="AC1166" s="215"/>
      <c r="AD1166" s="215"/>
      <c r="AE1166" s="215"/>
      <c r="AF1166" s="215"/>
      <c r="AG1166" s="215"/>
      <c r="AH1166" s="215"/>
      <c r="AI1166" s="215"/>
      <c r="AJ1166" s="215"/>
      <c r="AK1166" s="215"/>
      <c r="AL1166" s="215"/>
      <c r="AM1166" s="215"/>
      <c r="AN1166" s="215"/>
      <c r="AO1166" s="215"/>
      <c r="AP1166" s="215"/>
      <c r="AQ1166" s="215"/>
      <c r="AR1166" s="215"/>
      <c r="AS1166" s="215"/>
      <c r="AT1166" s="215"/>
      <c r="AU1166" s="215"/>
      <c r="AV1166" s="215"/>
      <c r="AW1166" s="215"/>
      <c r="AX1166" s="215"/>
      <c r="AY1166" s="215"/>
      <c r="AZ1166" s="215"/>
      <c r="BA1166" s="215"/>
      <c r="BB1166" s="215"/>
      <c r="BC1166" s="215"/>
      <c r="BD1166" s="215"/>
      <c r="BE1166" s="215"/>
      <c r="BF1166" s="215"/>
      <c r="BG1166" s="215"/>
      <c r="BH1166" s="215"/>
      <c r="BI1166" s="215"/>
      <c r="BJ1166" s="215"/>
      <c r="BK1166" s="215"/>
      <c r="BL1166" s="215"/>
      <c r="BM1166" s="215"/>
      <c r="BN1166" s="215"/>
      <c r="BO1166" s="215"/>
      <c r="BP1166" s="215"/>
      <c r="BQ1166" s="215"/>
      <c r="BR1166" s="215"/>
      <c r="BS1166" s="215"/>
      <c r="BT1166" s="215"/>
      <c r="BU1166" s="215"/>
      <c r="BV1166" s="215"/>
      <c r="BW1166" s="215"/>
      <c r="BX1166" s="215"/>
      <c r="BY1166" s="215"/>
      <c r="BZ1166" s="215"/>
    </row>
    <row r="1167" spans="1:78" outlineLevel="1" x14ac:dyDescent="0.2">
      <c r="A1167" s="2"/>
      <c r="B1167" s="9"/>
      <c r="C1167" s="9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9"/>
      <c r="P1167" s="22"/>
      <c r="Q1167" s="245"/>
      <c r="R1167" s="215"/>
      <c r="S1167" s="215"/>
      <c r="T1167" s="215"/>
      <c r="U1167" s="215"/>
      <c r="V1167" s="222"/>
      <c r="W1167" s="215"/>
      <c r="X1167" s="215"/>
      <c r="Y1167" s="215"/>
      <c r="Z1167" s="215"/>
      <c r="AA1167" s="215"/>
      <c r="AB1167" s="215"/>
      <c r="AC1167" s="215"/>
      <c r="AD1167" s="215"/>
      <c r="AE1167" s="215"/>
      <c r="AF1167" s="215"/>
      <c r="AG1167" s="215"/>
      <c r="AH1167" s="215"/>
      <c r="AI1167" s="215"/>
      <c r="AJ1167" s="215"/>
      <c r="AK1167" s="215"/>
      <c r="AL1167" s="215"/>
      <c r="AM1167" s="215"/>
      <c r="AN1167" s="215"/>
      <c r="AO1167" s="215"/>
      <c r="AP1167" s="215"/>
      <c r="AQ1167" s="215"/>
      <c r="AR1167" s="215"/>
      <c r="AS1167" s="215"/>
      <c r="AT1167" s="215"/>
      <c r="AU1167" s="215"/>
      <c r="AV1167" s="215"/>
      <c r="AW1167" s="215"/>
      <c r="AX1167" s="215"/>
      <c r="AY1167" s="215"/>
      <c r="AZ1167" s="215"/>
      <c r="BA1167" s="215"/>
      <c r="BB1167" s="215"/>
      <c r="BC1167" s="215"/>
      <c r="BD1167" s="215"/>
      <c r="BE1167" s="215"/>
      <c r="BF1167" s="215"/>
      <c r="BG1167" s="215"/>
      <c r="BH1167" s="215"/>
      <c r="BI1167" s="215"/>
      <c r="BJ1167" s="215"/>
      <c r="BK1167" s="215"/>
      <c r="BL1167" s="215"/>
      <c r="BM1167" s="215"/>
      <c r="BN1167" s="215"/>
      <c r="BO1167" s="215"/>
      <c r="BP1167" s="215"/>
      <c r="BQ1167" s="215"/>
      <c r="BR1167" s="215"/>
      <c r="BS1167" s="215"/>
      <c r="BT1167" s="215"/>
      <c r="BU1167" s="215"/>
      <c r="BV1167" s="215"/>
      <c r="BW1167" s="215"/>
      <c r="BX1167" s="215"/>
      <c r="BY1167" s="215"/>
      <c r="BZ1167" s="215"/>
    </row>
    <row r="1168" spans="1:78" outlineLevel="1" x14ac:dyDescent="0.2">
      <c r="A1168" s="2" t="str">
        <f>'Language Index'!A645</f>
        <v>Daily Average Revenue Trades</v>
      </c>
      <c r="B1168" s="9"/>
      <c r="C1168" s="9"/>
      <c r="D1168" s="18">
        <f>_xll.ciqfunctions.udf.CIQ($C$2, "IQ_DART", D$6,$F$2)</f>
        <v>0</v>
      </c>
      <c r="E1168" s="18">
        <f>_xll.ciqfunctions.udf.CIQ($C$2, "IQ_DART", E$6,$F$2)</f>
        <v>0</v>
      </c>
      <c r="F1168" s="18">
        <f>_xll.ciqfunctions.udf.CIQ($C$2, "IQ_DART", F$6,$F$2)</f>
        <v>0</v>
      </c>
      <c r="G1168" s="18">
        <f>_xll.ciqfunctions.udf.CIQ($C$2, "IQ_DART", G$6,$F$2)</f>
        <v>0</v>
      </c>
      <c r="H1168" s="18">
        <f>_xll.ciqfunctions.udf.CIQ($C$2, "IQ_DART", H$6,$F$2)</f>
        <v>0</v>
      </c>
      <c r="I1168" s="18">
        <f>_xll.ciqfunctions.udf.CIQ($C$2, "IQ_DART", I$6,$F$2)</f>
        <v>0</v>
      </c>
      <c r="J1168" s="18">
        <f>_xll.ciqfunctions.udf.CIQ($C$2, "IQ_DART", J$6,$F$2)</f>
        <v>0</v>
      </c>
      <c r="K1168" s="18">
        <f>_xll.ciqfunctions.udf.CIQ($C$2, "IQ_DART", K$6,$F$2)</f>
        <v>0</v>
      </c>
      <c r="L1168" s="18">
        <f>_xll.ciqfunctions.udf.CIQ($C$2, "IQ_DART", L$6,$F$2)</f>
        <v>0</v>
      </c>
      <c r="M1168" s="18">
        <f>_xll.ciqfunctions.udf.CIQ($C$2, "IQ_DART", M$6,$F$2)</f>
        <v>0</v>
      </c>
      <c r="N1168" s="18">
        <f>_xll.ciqfunctions.udf.CIQ($C$2, "IQ_DART", N$6,$F$2)</f>
        <v>0</v>
      </c>
      <c r="O1168" s="9"/>
      <c r="P1168" s="18">
        <f>_xll.ciqfunctions.udf.CIQ($C$2, "IQ_DART", P$6,$F$2)</f>
        <v>0</v>
      </c>
      <c r="Q1168" s="215"/>
      <c r="R1168" s="215"/>
      <c r="S1168" s="215"/>
      <c r="T1168" s="215"/>
      <c r="U1168" s="215"/>
      <c r="V1168" s="222"/>
      <c r="W1168" s="215"/>
      <c r="X1168" s="215"/>
      <c r="Y1168" s="215"/>
      <c r="Z1168" s="215"/>
      <c r="AA1168" s="215"/>
      <c r="AB1168" s="215"/>
      <c r="AC1168" s="215"/>
      <c r="AD1168" s="215"/>
      <c r="AE1168" s="215"/>
      <c r="AF1168" s="215"/>
      <c r="AG1168" s="215"/>
      <c r="AH1168" s="215"/>
      <c r="AI1168" s="215"/>
      <c r="AJ1168" s="215"/>
      <c r="AK1168" s="215"/>
      <c r="AL1168" s="215"/>
      <c r="AM1168" s="215"/>
      <c r="AN1168" s="215"/>
      <c r="AO1168" s="215"/>
      <c r="AP1168" s="215"/>
      <c r="AQ1168" s="215"/>
      <c r="AR1168" s="215"/>
      <c r="AS1168" s="215"/>
      <c r="AT1168" s="215"/>
      <c r="AU1168" s="215"/>
      <c r="AV1168" s="215"/>
      <c r="AW1168" s="215"/>
      <c r="AX1168" s="215"/>
      <c r="AY1168" s="215"/>
      <c r="AZ1168" s="215"/>
      <c r="BA1168" s="215"/>
      <c r="BB1168" s="215"/>
      <c r="BC1168" s="215"/>
      <c r="BD1168" s="215"/>
      <c r="BE1168" s="215"/>
      <c r="BF1168" s="215"/>
      <c r="BG1168" s="215"/>
      <c r="BH1168" s="215"/>
      <c r="BI1168" s="215"/>
      <c r="BJ1168" s="215"/>
      <c r="BK1168" s="215"/>
      <c r="BL1168" s="215"/>
      <c r="BM1168" s="215"/>
      <c r="BN1168" s="215"/>
      <c r="BO1168" s="215"/>
      <c r="BP1168" s="215"/>
      <c r="BQ1168" s="215"/>
      <c r="BR1168" s="215"/>
      <c r="BS1168" s="215"/>
      <c r="BT1168" s="215"/>
      <c r="BU1168" s="215"/>
      <c r="BV1168" s="215"/>
      <c r="BW1168" s="215"/>
      <c r="BX1168" s="215"/>
      <c r="BY1168" s="215"/>
      <c r="BZ1168" s="215"/>
    </row>
    <row r="1169" spans="1:78" outlineLevel="1" x14ac:dyDescent="0.2">
      <c r="A1169" s="2" t="str">
        <f>'Language Index'!A646</f>
        <v>Number of Trades Executed</v>
      </c>
      <c r="B1169" s="9"/>
      <c r="C1169" s="9"/>
      <c r="D1169" s="18">
        <f>_xll.ciqfunctions.udf.CIQ($C$2, "IQ_NUMBER_TRADES_EXECUTED", D$6,$F$2)</f>
        <v>0</v>
      </c>
      <c r="E1169" s="18">
        <f>_xll.ciqfunctions.udf.CIQ($C$2, "IQ_NUMBER_TRADES_EXECUTED", E$6,$F$2)</f>
        <v>0</v>
      </c>
      <c r="F1169" s="18">
        <f>_xll.ciqfunctions.udf.CIQ($C$2, "IQ_NUMBER_TRADES_EXECUTED", F$6,$F$2)</f>
        <v>0</v>
      </c>
      <c r="G1169" s="18">
        <f>_xll.ciqfunctions.udf.CIQ($C$2, "IQ_NUMBER_TRADES_EXECUTED", G$6,$F$2)</f>
        <v>0</v>
      </c>
      <c r="H1169" s="18">
        <f>_xll.ciqfunctions.udf.CIQ($C$2, "IQ_NUMBER_TRADES_EXECUTED", H$6,$F$2)</f>
        <v>0</v>
      </c>
      <c r="I1169" s="18">
        <f>_xll.ciqfunctions.udf.CIQ($C$2, "IQ_NUMBER_TRADES_EXECUTED", I$6,$F$2)</f>
        <v>0</v>
      </c>
      <c r="J1169" s="18">
        <f>_xll.ciqfunctions.udf.CIQ($C$2, "IQ_NUMBER_TRADES_EXECUTED", J$6,$F$2)</f>
        <v>0</v>
      </c>
      <c r="K1169" s="18">
        <f>_xll.ciqfunctions.udf.CIQ($C$2, "IQ_NUMBER_TRADES_EXECUTED", K$6,$F$2)</f>
        <v>0</v>
      </c>
      <c r="L1169" s="18">
        <f>_xll.ciqfunctions.udf.CIQ($C$2, "IQ_NUMBER_TRADES_EXECUTED", L$6,$F$2)</f>
        <v>0</v>
      </c>
      <c r="M1169" s="18">
        <f>_xll.ciqfunctions.udf.CIQ($C$2, "IQ_NUMBER_TRADES_EXECUTED", M$6,$F$2)</f>
        <v>0</v>
      </c>
      <c r="N1169" s="18">
        <f>_xll.ciqfunctions.udf.CIQ($C$2, "IQ_NUMBER_TRADES_EXECUTED", N$6,$F$2)</f>
        <v>0</v>
      </c>
      <c r="O1169" s="9"/>
      <c r="P1169" s="18">
        <f>_xll.ciqfunctions.udf.CIQ($C$2, "IQ_NUMBER_TRADES_EXECUTED", P$6,$F$2)</f>
        <v>0</v>
      </c>
      <c r="Q1169" s="215"/>
      <c r="R1169" s="215"/>
      <c r="S1169" s="215"/>
      <c r="T1169" s="215"/>
      <c r="U1169" s="215"/>
      <c r="V1169" s="222"/>
      <c r="W1169" s="215"/>
      <c r="X1169" s="215"/>
      <c r="Y1169" s="215"/>
      <c r="Z1169" s="215"/>
      <c r="AA1169" s="215"/>
      <c r="AB1169" s="215"/>
      <c r="AC1169" s="215"/>
      <c r="AD1169" s="215"/>
      <c r="AE1169" s="215"/>
      <c r="AF1169" s="215"/>
      <c r="AG1169" s="215"/>
      <c r="AH1169" s="215"/>
      <c r="AI1169" s="215"/>
      <c r="AJ1169" s="215"/>
      <c r="AK1169" s="215"/>
      <c r="AL1169" s="215"/>
      <c r="AM1169" s="215"/>
      <c r="AN1169" s="215"/>
      <c r="AO1169" s="215"/>
      <c r="AP1169" s="215"/>
      <c r="AQ1169" s="215"/>
      <c r="AR1169" s="215"/>
      <c r="AS1169" s="215"/>
      <c r="AT1169" s="215"/>
      <c r="AU1169" s="215"/>
      <c r="AV1169" s="215"/>
      <c r="AW1169" s="215"/>
      <c r="AX1169" s="215"/>
      <c r="AY1169" s="215"/>
      <c r="AZ1169" s="215"/>
      <c r="BA1169" s="215"/>
      <c r="BB1169" s="215"/>
      <c r="BC1169" s="215"/>
      <c r="BD1169" s="215"/>
      <c r="BE1169" s="215"/>
      <c r="BF1169" s="215"/>
      <c r="BG1169" s="215"/>
      <c r="BH1169" s="215"/>
      <c r="BI1169" s="215"/>
      <c r="BJ1169" s="215"/>
      <c r="BK1169" s="215"/>
      <c r="BL1169" s="215"/>
      <c r="BM1169" s="215"/>
      <c r="BN1169" s="215"/>
      <c r="BO1169" s="215"/>
      <c r="BP1169" s="215"/>
      <c r="BQ1169" s="215"/>
      <c r="BR1169" s="215"/>
      <c r="BS1169" s="215"/>
      <c r="BT1169" s="215"/>
      <c r="BU1169" s="215"/>
      <c r="BV1169" s="215"/>
      <c r="BW1169" s="215"/>
      <c r="BX1169" s="215"/>
      <c r="BY1169" s="215"/>
      <c r="BZ1169" s="215"/>
    </row>
    <row r="1170" spans="1:78" outlineLevel="1" x14ac:dyDescent="0.2">
      <c r="A1170" s="2" t="str">
        <f>'Language Index'!A647</f>
        <v>Organic Growth Rate</v>
      </c>
      <c r="B1170" s="9"/>
      <c r="C1170" s="9"/>
      <c r="D1170" s="18">
        <f>_xll.ciqfunctions.udf.CIQ($C$2, "IQ_ORGANIC_GROWTH_RATE", D$6,$F$2)</f>
        <v>0</v>
      </c>
      <c r="E1170" s="18">
        <f>_xll.ciqfunctions.udf.CIQ($C$2, "IQ_ORGANIC_GROWTH_RATE", E$6,$F$2)</f>
        <v>0</v>
      </c>
      <c r="F1170" s="18">
        <f>_xll.ciqfunctions.udf.CIQ($C$2, "IQ_ORGANIC_GROWTH_RATE", F$6,$F$2)</f>
        <v>0</v>
      </c>
      <c r="G1170" s="18">
        <f>_xll.ciqfunctions.udf.CIQ($C$2, "IQ_ORGANIC_GROWTH_RATE", G$6,$F$2)</f>
        <v>0</v>
      </c>
      <c r="H1170" s="18">
        <f>_xll.ciqfunctions.udf.CIQ($C$2, "IQ_ORGANIC_GROWTH_RATE", H$6,$F$2)</f>
        <v>0</v>
      </c>
      <c r="I1170" s="18">
        <f>_xll.ciqfunctions.udf.CIQ($C$2, "IQ_ORGANIC_GROWTH_RATE", I$6,$F$2)</f>
        <v>0</v>
      </c>
      <c r="J1170" s="18">
        <f>_xll.ciqfunctions.udf.CIQ($C$2, "IQ_ORGANIC_GROWTH_RATE", J$6,$F$2)</f>
        <v>0</v>
      </c>
      <c r="K1170" s="18">
        <f>_xll.ciqfunctions.udf.CIQ($C$2, "IQ_ORGANIC_GROWTH_RATE", K$6,$F$2)</f>
        <v>0</v>
      </c>
      <c r="L1170" s="18">
        <f>_xll.ciqfunctions.udf.CIQ($C$2, "IQ_ORGANIC_GROWTH_RATE", L$6,$F$2)</f>
        <v>0</v>
      </c>
      <c r="M1170" s="18">
        <f>_xll.ciqfunctions.udf.CIQ($C$2, "IQ_ORGANIC_GROWTH_RATE", M$6,$F$2)</f>
        <v>0</v>
      </c>
      <c r="N1170" s="18">
        <f>_xll.ciqfunctions.udf.CIQ($C$2, "IQ_ORGANIC_GROWTH_RATE", N$6,$F$2)</f>
        <v>0</v>
      </c>
      <c r="O1170" s="9"/>
      <c r="P1170" s="18">
        <f>_xll.ciqfunctions.udf.CIQ($C$2, "IQ_ORGANIC_GROWTH_RATE", P$6,$F$2)</f>
        <v>0</v>
      </c>
      <c r="Q1170" s="215"/>
      <c r="R1170" s="215"/>
      <c r="S1170" s="215"/>
      <c r="T1170" s="215"/>
      <c r="U1170" s="215"/>
      <c r="V1170" s="222"/>
      <c r="W1170" s="215"/>
      <c r="X1170" s="215"/>
      <c r="Y1170" s="215"/>
      <c r="Z1170" s="215"/>
      <c r="AA1170" s="215"/>
      <c r="AB1170" s="215"/>
      <c r="AC1170" s="215"/>
      <c r="AD1170" s="215"/>
      <c r="AE1170" s="215"/>
      <c r="AF1170" s="215"/>
      <c r="AG1170" s="215"/>
      <c r="AH1170" s="215"/>
      <c r="AI1170" s="215"/>
      <c r="AJ1170" s="215"/>
      <c r="AK1170" s="215"/>
      <c r="AL1170" s="215"/>
      <c r="AM1170" s="215"/>
      <c r="AN1170" s="215"/>
      <c r="AO1170" s="215"/>
      <c r="AP1170" s="215"/>
      <c r="AQ1170" s="215"/>
      <c r="AR1170" s="215"/>
      <c r="AS1170" s="215"/>
      <c r="AT1170" s="215"/>
      <c r="AU1170" s="215"/>
      <c r="AV1170" s="215"/>
      <c r="AW1170" s="215"/>
      <c r="AX1170" s="215"/>
      <c r="AY1170" s="215"/>
      <c r="AZ1170" s="215"/>
      <c r="BA1170" s="215"/>
      <c r="BB1170" s="215"/>
      <c r="BC1170" s="215"/>
      <c r="BD1170" s="215"/>
      <c r="BE1170" s="215"/>
      <c r="BF1170" s="215"/>
      <c r="BG1170" s="215"/>
      <c r="BH1170" s="215"/>
      <c r="BI1170" s="215"/>
      <c r="BJ1170" s="215"/>
      <c r="BK1170" s="215"/>
      <c r="BL1170" s="215"/>
      <c r="BM1170" s="215"/>
      <c r="BN1170" s="215"/>
      <c r="BO1170" s="215"/>
      <c r="BP1170" s="215"/>
      <c r="BQ1170" s="215"/>
      <c r="BR1170" s="215"/>
      <c r="BS1170" s="215"/>
      <c r="BT1170" s="215"/>
      <c r="BU1170" s="215"/>
      <c r="BV1170" s="215"/>
      <c r="BW1170" s="215"/>
      <c r="BX1170" s="215"/>
      <c r="BY1170" s="215"/>
      <c r="BZ1170" s="215"/>
    </row>
    <row r="1171" spans="1:78" outlineLevel="1" x14ac:dyDescent="0.2">
      <c r="A1171" s="2" t="str">
        <f>'Language Index'!A648</f>
        <v>Net New Client Assets</v>
      </c>
      <c r="B1171" s="9"/>
      <c r="C1171" s="9"/>
      <c r="D1171" s="18">
        <f>_xll.ciqfunctions.udf.CIQ($C$2, "IQ_NET_NEW_CLIENT_ASSETS", D$6,$F$2,,,Ccy,Conv)</f>
        <v>0</v>
      </c>
      <c r="E1171" s="18">
        <f>_xll.ciqfunctions.udf.CIQ($C$2, "IQ_NET_NEW_CLIENT_ASSETS", E$6,$F$2,,,Ccy,Conv)</f>
        <v>0</v>
      </c>
      <c r="F1171" s="18">
        <f>_xll.ciqfunctions.udf.CIQ($C$2, "IQ_NET_NEW_CLIENT_ASSETS", F$6,$F$2,,,Ccy,Conv)</f>
        <v>0</v>
      </c>
      <c r="G1171" s="18">
        <f>_xll.ciqfunctions.udf.CIQ($C$2, "IQ_NET_NEW_CLIENT_ASSETS", G$6,$F$2,,,Ccy,Conv)</f>
        <v>0</v>
      </c>
      <c r="H1171" s="18">
        <f>_xll.ciqfunctions.udf.CIQ($C$2, "IQ_NET_NEW_CLIENT_ASSETS", H$6,$F$2,,,Ccy,Conv)</f>
        <v>0</v>
      </c>
      <c r="I1171" s="18">
        <f>_xll.ciqfunctions.udf.CIQ($C$2, "IQ_NET_NEW_CLIENT_ASSETS", I$6,$F$2,,,Ccy,Conv)</f>
        <v>0</v>
      </c>
      <c r="J1171" s="18">
        <f>_xll.ciqfunctions.udf.CIQ($C$2, "IQ_NET_NEW_CLIENT_ASSETS", J$6,$F$2,,,Ccy,Conv)</f>
        <v>0</v>
      </c>
      <c r="K1171" s="18">
        <f>_xll.ciqfunctions.udf.CIQ($C$2, "IQ_NET_NEW_CLIENT_ASSETS", K$6,$F$2,,,Ccy,Conv)</f>
        <v>0</v>
      </c>
      <c r="L1171" s="18">
        <f>_xll.ciqfunctions.udf.CIQ($C$2, "IQ_NET_NEW_CLIENT_ASSETS", L$6,$F$2,,,Ccy,Conv)</f>
        <v>0</v>
      </c>
      <c r="M1171" s="18">
        <f>_xll.ciqfunctions.udf.CIQ($C$2, "IQ_NET_NEW_CLIENT_ASSETS", M$6,$F$2,,,Ccy,Conv)</f>
        <v>0</v>
      </c>
      <c r="N1171" s="18">
        <f>_xll.ciqfunctions.udf.CIQ($C$2, "IQ_NET_NEW_CLIENT_ASSETS", N$6,$F$2,,,Ccy,Conv)</f>
        <v>0</v>
      </c>
      <c r="O1171" s="9"/>
      <c r="P1171" s="18">
        <f>_xll.ciqfunctions.udf.CIQ($C$2, "IQ_NET_NEW_CLIENT_ASSETS", P$6,$F$2,,,Ccy,Conv)</f>
        <v>0</v>
      </c>
      <c r="Q1171" s="215"/>
      <c r="R1171" s="215"/>
      <c r="S1171" s="215"/>
      <c r="T1171" s="215"/>
      <c r="U1171" s="215"/>
      <c r="V1171" s="222"/>
      <c r="W1171" s="215"/>
      <c r="X1171" s="215"/>
      <c r="Y1171" s="215"/>
      <c r="Z1171" s="215"/>
      <c r="AA1171" s="215"/>
      <c r="AB1171" s="215"/>
      <c r="AC1171" s="215"/>
      <c r="AD1171" s="215"/>
      <c r="AE1171" s="215"/>
      <c r="AF1171" s="215"/>
      <c r="AG1171" s="215"/>
      <c r="AH1171" s="215"/>
      <c r="AI1171" s="215"/>
      <c r="AJ1171" s="215"/>
      <c r="AK1171" s="215"/>
      <c r="AL1171" s="215"/>
      <c r="AM1171" s="215"/>
      <c r="AN1171" s="215"/>
      <c r="AO1171" s="215"/>
      <c r="AP1171" s="215"/>
      <c r="AQ1171" s="215"/>
      <c r="AR1171" s="215"/>
      <c r="AS1171" s="215"/>
      <c r="AT1171" s="215"/>
      <c r="AU1171" s="215"/>
      <c r="AV1171" s="215"/>
      <c r="AW1171" s="215"/>
      <c r="AX1171" s="215"/>
      <c r="AY1171" s="215"/>
      <c r="AZ1171" s="215"/>
      <c r="BA1171" s="215"/>
      <c r="BB1171" s="215"/>
      <c r="BC1171" s="215"/>
      <c r="BD1171" s="215"/>
      <c r="BE1171" s="215"/>
      <c r="BF1171" s="215"/>
      <c r="BG1171" s="215"/>
      <c r="BH1171" s="215"/>
      <c r="BI1171" s="215"/>
      <c r="BJ1171" s="215"/>
      <c r="BK1171" s="215"/>
      <c r="BL1171" s="215"/>
      <c r="BM1171" s="215"/>
      <c r="BN1171" s="215"/>
      <c r="BO1171" s="215"/>
      <c r="BP1171" s="215"/>
      <c r="BQ1171" s="215"/>
      <c r="BR1171" s="215"/>
      <c r="BS1171" s="215"/>
      <c r="BT1171" s="215"/>
      <c r="BU1171" s="215"/>
      <c r="BV1171" s="215"/>
      <c r="BW1171" s="215"/>
      <c r="BX1171" s="215"/>
      <c r="BY1171" s="215"/>
      <c r="BZ1171" s="215"/>
    </row>
    <row r="1172" spans="1:78" outlineLevel="1" x14ac:dyDescent="0.2">
      <c r="A1172" s="2" t="str">
        <f>'Language Index'!A649</f>
        <v>Average Revenue Per Trade</v>
      </c>
      <c r="B1172" s="9"/>
      <c r="C1172" s="9"/>
      <c r="D1172" s="18">
        <f>_xll.ciqfunctions.udf.CIQ($C$2, "IQ_AVG_REV_PER_TRADE", D$6,$F$2,,,Ccy,Conv)</f>
        <v>0</v>
      </c>
      <c r="E1172" s="18">
        <f>_xll.ciqfunctions.udf.CIQ($C$2, "IQ_AVG_REV_PER_TRADE", E$6,$F$2,,,Ccy,Conv)</f>
        <v>0</v>
      </c>
      <c r="F1172" s="18">
        <f>_xll.ciqfunctions.udf.CIQ($C$2, "IQ_AVG_REV_PER_TRADE", F$6,$F$2,,,Ccy,Conv)</f>
        <v>0</v>
      </c>
      <c r="G1172" s="18">
        <f>_xll.ciqfunctions.udf.CIQ($C$2, "IQ_AVG_REV_PER_TRADE", G$6,$F$2,,,Ccy,Conv)</f>
        <v>0</v>
      </c>
      <c r="H1172" s="18">
        <f>_xll.ciqfunctions.udf.CIQ($C$2, "IQ_AVG_REV_PER_TRADE", H$6,$F$2,,,Ccy,Conv)</f>
        <v>0</v>
      </c>
      <c r="I1172" s="18">
        <f>_xll.ciqfunctions.udf.CIQ($C$2, "IQ_AVG_REV_PER_TRADE", I$6,$F$2,,,Ccy,Conv)</f>
        <v>0</v>
      </c>
      <c r="J1172" s="18">
        <f>_xll.ciqfunctions.udf.CIQ($C$2, "IQ_AVG_REV_PER_TRADE", J$6,$F$2,,,Ccy,Conv)</f>
        <v>0</v>
      </c>
      <c r="K1172" s="18">
        <f>_xll.ciqfunctions.udf.CIQ($C$2, "IQ_AVG_REV_PER_TRADE", K$6,$F$2,,,Ccy,Conv)</f>
        <v>0</v>
      </c>
      <c r="L1172" s="18">
        <f>_xll.ciqfunctions.udf.CIQ($C$2, "IQ_AVG_REV_PER_TRADE", L$6,$F$2,,,Ccy,Conv)</f>
        <v>0</v>
      </c>
      <c r="M1172" s="18">
        <f>_xll.ciqfunctions.udf.CIQ($C$2, "IQ_AVG_REV_PER_TRADE", M$6,$F$2,,,Ccy,Conv)</f>
        <v>0</v>
      </c>
      <c r="N1172" s="18">
        <f>_xll.ciqfunctions.udf.CIQ($C$2, "IQ_AVG_REV_PER_TRADE", N$6,$F$2,,,Ccy,Conv)</f>
        <v>0</v>
      </c>
      <c r="O1172" s="9"/>
      <c r="P1172" s="18">
        <f>_xll.ciqfunctions.udf.CIQ($C$2, "IQ_AVG_REV_PER_TRADE", P$6,$F$2,,,Ccy,Conv)</f>
        <v>0</v>
      </c>
      <c r="Q1172" s="215"/>
      <c r="R1172" s="215"/>
      <c r="S1172" s="215"/>
      <c r="T1172" s="215"/>
      <c r="U1172" s="215"/>
      <c r="V1172" s="222"/>
      <c r="W1172" s="215"/>
      <c r="X1172" s="215"/>
      <c r="Y1172" s="215"/>
      <c r="Z1172" s="215"/>
      <c r="AA1172" s="215"/>
      <c r="AB1172" s="215"/>
      <c r="AC1172" s="215"/>
      <c r="AD1172" s="215"/>
      <c r="AE1172" s="215"/>
      <c r="AF1172" s="215"/>
      <c r="AG1172" s="215"/>
      <c r="AH1172" s="215"/>
      <c r="AI1172" s="215"/>
      <c r="AJ1172" s="215"/>
      <c r="AK1172" s="215"/>
      <c r="AL1172" s="215"/>
      <c r="AM1172" s="215"/>
      <c r="AN1172" s="215"/>
      <c r="AO1172" s="215"/>
      <c r="AP1172" s="215"/>
      <c r="AQ1172" s="215"/>
      <c r="AR1172" s="215"/>
      <c r="AS1172" s="215"/>
      <c r="AT1172" s="215"/>
      <c r="AU1172" s="215"/>
      <c r="AV1172" s="215"/>
      <c r="AW1172" s="215"/>
      <c r="AX1172" s="215"/>
      <c r="AY1172" s="215"/>
      <c r="AZ1172" s="215"/>
      <c r="BA1172" s="215"/>
      <c r="BB1172" s="215"/>
      <c r="BC1172" s="215"/>
      <c r="BD1172" s="215"/>
      <c r="BE1172" s="215"/>
      <c r="BF1172" s="215"/>
      <c r="BG1172" s="215"/>
      <c r="BH1172" s="215"/>
      <c r="BI1172" s="215"/>
      <c r="BJ1172" s="215"/>
      <c r="BK1172" s="215"/>
      <c r="BL1172" s="215"/>
      <c r="BM1172" s="215"/>
      <c r="BN1172" s="215"/>
      <c r="BO1172" s="215"/>
      <c r="BP1172" s="215"/>
      <c r="BQ1172" s="215"/>
      <c r="BR1172" s="215"/>
      <c r="BS1172" s="215"/>
      <c r="BT1172" s="215"/>
      <c r="BU1172" s="215"/>
      <c r="BV1172" s="215"/>
      <c r="BW1172" s="215"/>
      <c r="BX1172" s="215"/>
      <c r="BY1172" s="215"/>
      <c r="BZ1172" s="215"/>
    </row>
    <row r="1173" spans="1:78" outlineLevel="1" x14ac:dyDescent="0.2">
      <c r="A1173" s="2" t="str">
        <f>'Language Index'!A650</f>
        <v>Assets Under Administration</v>
      </c>
      <c r="B1173" s="9"/>
      <c r="C1173" s="9"/>
      <c r="D1173" s="18">
        <f>_xll.ciqfunctions.udf.CIQ($C$2, "IQ_ASSETS_UNDER_ADMINISTRATION", D$6,$F$2,,,Ccy,Conv)</f>
        <v>0</v>
      </c>
      <c r="E1173" s="18">
        <f>_xll.ciqfunctions.udf.CIQ($C$2, "IQ_ASSETS_UNDER_ADMINISTRATION", E$6,$F$2,,,Ccy,Conv)</f>
        <v>0</v>
      </c>
      <c r="F1173" s="18">
        <f>_xll.ciqfunctions.udf.CIQ($C$2, "IQ_ASSETS_UNDER_ADMINISTRATION", F$6,$F$2,,,Ccy,Conv)</f>
        <v>0</v>
      </c>
      <c r="G1173" s="18">
        <f>_xll.ciqfunctions.udf.CIQ($C$2, "IQ_ASSETS_UNDER_ADMINISTRATION", G$6,$F$2,,,Ccy,Conv)</f>
        <v>0</v>
      </c>
      <c r="H1173" s="18">
        <f>_xll.ciqfunctions.udf.CIQ($C$2, "IQ_ASSETS_UNDER_ADMINISTRATION", H$6,$F$2,,,Ccy,Conv)</f>
        <v>0</v>
      </c>
      <c r="I1173" s="18">
        <f>_xll.ciqfunctions.udf.CIQ($C$2, "IQ_ASSETS_UNDER_ADMINISTRATION", I$6,$F$2,,,Ccy,Conv)</f>
        <v>0</v>
      </c>
      <c r="J1173" s="18">
        <f>_xll.ciqfunctions.udf.CIQ($C$2, "IQ_ASSETS_UNDER_ADMINISTRATION", J$6,$F$2,,,Ccy,Conv)</f>
        <v>0</v>
      </c>
      <c r="K1173" s="18">
        <f>_xll.ciqfunctions.udf.CIQ($C$2, "IQ_ASSETS_UNDER_ADMINISTRATION", K$6,$F$2,,,Ccy,Conv)</f>
        <v>0</v>
      </c>
      <c r="L1173" s="18">
        <f>_xll.ciqfunctions.udf.CIQ($C$2, "IQ_ASSETS_UNDER_ADMINISTRATION", L$6,$F$2,,,Ccy,Conv)</f>
        <v>0</v>
      </c>
      <c r="M1173" s="18">
        <f>_xll.ciqfunctions.udf.CIQ($C$2, "IQ_ASSETS_UNDER_ADMINISTRATION", M$6,$F$2,,,Ccy,Conv)</f>
        <v>0</v>
      </c>
      <c r="N1173" s="18">
        <f>_xll.ciqfunctions.udf.CIQ($C$2, "IQ_ASSETS_UNDER_ADMINISTRATION", N$6,$F$2,,,Ccy,Conv)</f>
        <v>0</v>
      </c>
      <c r="O1173" s="9"/>
      <c r="P1173" s="18">
        <f>_xll.ciqfunctions.udf.CIQ($C$2, "IQ_ASSETS_UNDER_ADMINISTRATION", P$6,$F$2,,,Ccy,Conv)</f>
        <v>0</v>
      </c>
      <c r="Q1173" s="215"/>
      <c r="R1173" s="215"/>
      <c r="S1173" s="215"/>
      <c r="T1173" s="215"/>
      <c r="U1173" s="215"/>
      <c r="V1173" s="222"/>
      <c r="W1173" s="215"/>
      <c r="X1173" s="215"/>
      <c r="Y1173" s="215"/>
      <c r="Z1173" s="215"/>
      <c r="AA1173" s="215"/>
      <c r="AB1173" s="215"/>
      <c r="AC1173" s="215"/>
      <c r="AD1173" s="215"/>
      <c r="AE1173" s="215"/>
      <c r="AF1173" s="215"/>
      <c r="AG1173" s="215"/>
      <c r="AH1173" s="215"/>
      <c r="AI1173" s="215"/>
      <c r="AJ1173" s="215"/>
      <c r="AK1173" s="215"/>
      <c r="AL1173" s="215"/>
      <c r="AM1173" s="215"/>
      <c r="AN1173" s="215"/>
      <c r="AO1173" s="215"/>
      <c r="AP1173" s="215"/>
      <c r="AQ1173" s="215"/>
      <c r="AR1173" s="215"/>
      <c r="AS1173" s="215"/>
      <c r="AT1173" s="215"/>
      <c r="AU1173" s="215"/>
      <c r="AV1173" s="215"/>
      <c r="AW1173" s="215"/>
      <c r="AX1173" s="215"/>
      <c r="AY1173" s="215"/>
      <c r="AZ1173" s="215"/>
      <c r="BA1173" s="215"/>
      <c r="BB1173" s="215"/>
      <c r="BC1173" s="215"/>
      <c r="BD1173" s="215"/>
      <c r="BE1173" s="215"/>
      <c r="BF1173" s="215"/>
      <c r="BG1173" s="215"/>
      <c r="BH1173" s="215"/>
      <c r="BI1173" s="215"/>
      <c r="BJ1173" s="215"/>
      <c r="BK1173" s="215"/>
      <c r="BL1173" s="215"/>
      <c r="BM1173" s="215"/>
      <c r="BN1173" s="215"/>
      <c r="BO1173" s="215"/>
      <c r="BP1173" s="215"/>
      <c r="BQ1173" s="215"/>
      <c r="BR1173" s="215"/>
      <c r="BS1173" s="215"/>
      <c r="BT1173" s="215"/>
      <c r="BU1173" s="215"/>
      <c r="BV1173" s="215"/>
      <c r="BW1173" s="215"/>
      <c r="BX1173" s="215"/>
      <c r="BY1173" s="215"/>
      <c r="BZ1173" s="215"/>
    </row>
    <row r="1174" spans="1:78" outlineLevel="1" x14ac:dyDescent="0.2">
      <c r="A1174" s="2" t="str">
        <f>'Language Index'!A651</f>
        <v>Value of Customer Assets</v>
      </c>
      <c r="B1174" s="9"/>
      <c r="C1174" s="9"/>
      <c r="D1174" s="18">
        <f>_xll.ciqfunctions.udf.CIQ($C$2, "IQ_VALUE_CUSTOMER_ASSETS", D$6,$F$2,,,Ccy,Conv)</f>
        <v>0</v>
      </c>
      <c r="E1174" s="18">
        <f>_xll.ciqfunctions.udf.CIQ($C$2, "IQ_VALUE_CUSTOMER_ASSETS", E$6,$F$2,,,Ccy,Conv)</f>
        <v>0</v>
      </c>
      <c r="F1174" s="18">
        <f>_xll.ciqfunctions.udf.CIQ($C$2, "IQ_VALUE_CUSTOMER_ASSETS", F$6,$F$2,,,Ccy,Conv)</f>
        <v>0</v>
      </c>
      <c r="G1174" s="18">
        <f>_xll.ciqfunctions.udf.CIQ($C$2, "IQ_VALUE_CUSTOMER_ASSETS", G$6,$F$2,,,Ccy,Conv)</f>
        <v>0</v>
      </c>
      <c r="H1174" s="18">
        <f>_xll.ciqfunctions.udf.CIQ($C$2, "IQ_VALUE_CUSTOMER_ASSETS", H$6,$F$2,,,Ccy,Conv)</f>
        <v>0</v>
      </c>
      <c r="I1174" s="18">
        <f>_xll.ciqfunctions.udf.CIQ($C$2, "IQ_VALUE_CUSTOMER_ASSETS", I$6,$F$2,,,Ccy,Conv)</f>
        <v>0</v>
      </c>
      <c r="J1174" s="18">
        <f>_xll.ciqfunctions.udf.CIQ($C$2, "IQ_VALUE_CUSTOMER_ASSETS", J$6,$F$2,,,Ccy,Conv)</f>
        <v>0</v>
      </c>
      <c r="K1174" s="18">
        <f>_xll.ciqfunctions.udf.CIQ($C$2, "IQ_VALUE_CUSTOMER_ASSETS", K$6,$F$2,,,Ccy,Conv)</f>
        <v>0</v>
      </c>
      <c r="L1174" s="18">
        <f>_xll.ciqfunctions.udf.CIQ($C$2, "IQ_VALUE_CUSTOMER_ASSETS", L$6,$F$2,,,Ccy,Conv)</f>
        <v>0</v>
      </c>
      <c r="M1174" s="18">
        <f>_xll.ciqfunctions.udf.CIQ($C$2, "IQ_VALUE_CUSTOMER_ASSETS", M$6,$F$2,,,Ccy,Conv)</f>
        <v>0</v>
      </c>
      <c r="N1174" s="18">
        <f>_xll.ciqfunctions.udf.CIQ($C$2, "IQ_VALUE_CUSTOMER_ASSETS", N$6,$F$2,,,Ccy,Conv)</f>
        <v>0</v>
      </c>
      <c r="O1174" s="9"/>
      <c r="P1174" s="18">
        <f>_xll.ciqfunctions.udf.CIQ($C$2, "IQ_VALUE_CUSTOMER_ASSETS", P$6,$F$2,,,Ccy,Conv)</f>
        <v>0</v>
      </c>
      <c r="Q1174" s="215"/>
      <c r="R1174" s="215"/>
      <c r="S1174" s="215"/>
      <c r="T1174" s="215"/>
      <c r="U1174" s="215"/>
      <c r="V1174" s="222"/>
      <c r="W1174" s="215"/>
      <c r="X1174" s="215"/>
      <c r="Y1174" s="215"/>
      <c r="Z1174" s="215"/>
      <c r="AA1174" s="215"/>
      <c r="AB1174" s="215"/>
      <c r="AC1174" s="215"/>
      <c r="AD1174" s="215"/>
      <c r="AE1174" s="215"/>
      <c r="AF1174" s="215"/>
      <c r="AG1174" s="215"/>
      <c r="AH1174" s="215"/>
      <c r="AI1174" s="215"/>
      <c r="AJ1174" s="215"/>
      <c r="AK1174" s="215"/>
      <c r="AL1174" s="215"/>
      <c r="AM1174" s="215"/>
      <c r="AN1174" s="215"/>
      <c r="AO1174" s="215"/>
      <c r="AP1174" s="215"/>
      <c r="AQ1174" s="215"/>
      <c r="AR1174" s="215"/>
      <c r="AS1174" s="215"/>
      <c r="AT1174" s="215"/>
      <c r="AU1174" s="215"/>
      <c r="AV1174" s="215"/>
      <c r="AW1174" s="215"/>
      <c r="AX1174" s="215"/>
      <c r="AY1174" s="215"/>
      <c r="AZ1174" s="215"/>
      <c r="BA1174" s="215"/>
      <c r="BB1174" s="215"/>
      <c r="BC1174" s="215"/>
      <c r="BD1174" s="215"/>
      <c r="BE1174" s="215"/>
      <c r="BF1174" s="215"/>
      <c r="BG1174" s="215"/>
      <c r="BH1174" s="215"/>
      <c r="BI1174" s="215"/>
      <c r="BJ1174" s="215"/>
      <c r="BK1174" s="215"/>
      <c r="BL1174" s="215"/>
      <c r="BM1174" s="215"/>
      <c r="BN1174" s="215"/>
      <c r="BO1174" s="215"/>
      <c r="BP1174" s="215"/>
      <c r="BQ1174" s="215"/>
      <c r="BR1174" s="215"/>
      <c r="BS1174" s="215"/>
      <c r="BT1174" s="215"/>
      <c r="BU1174" s="215"/>
      <c r="BV1174" s="215"/>
      <c r="BW1174" s="215"/>
      <c r="BX1174" s="215"/>
      <c r="BY1174" s="215"/>
      <c r="BZ1174" s="215"/>
    </row>
    <row r="1175" spans="1:78" outlineLevel="1" x14ac:dyDescent="0.2">
      <c r="A1175" s="2" t="str">
        <f>'Language Index'!A652</f>
        <v>Asset Managed Growth Rate</v>
      </c>
      <c r="B1175" s="9"/>
      <c r="C1175" s="9"/>
      <c r="D1175" s="18">
        <f>_xll.ciqfunctions.udf.CIQ($C$2, "IQ_ASSET_MANAGED_GROWTH_RATE", D$6,$F$2)</f>
        <v>0</v>
      </c>
      <c r="E1175" s="18">
        <f>_xll.ciqfunctions.udf.CIQ($C$2, "IQ_ASSET_MANAGED_GROWTH_RATE", E$6,$F$2)</f>
        <v>0</v>
      </c>
      <c r="F1175" s="18">
        <f>_xll.ciqfunctions.udf.CIQ($C$2, "IQ_ASSET_MANAGED_GROWTH_RATE", F$6,$F$2)</f>
        <v>0</v>
      </c>
      <c r="G1175" s="18">
        <f>_xll.ciqfunctions.udf.CIQ($C$2, "IQ_ASSET_MANAGED_GROWTH_RATE", G$6,$F$2)</f>
        <v>0</v>
      </c>
      <c r="H1175" s="18">
        <f>_xll.ciqfunctions.udf.CIQ($C$2, "IQ_ASSET_MANAGED_GROWTH_RATE", H$6,$F$2)</f>
        <v>0</v>
      </c>
      <c r="I1175" s="18">
        <f>_xll.ciqfunctions.udf.CIQ($C$2, "IQ_ASSET_MANAGED_GROWTH_RATE", I$6,$F$2)</f>
        <v>0</v>
      </c>
      <c r="J1175" s="18">
        <f>_xll.ciqfunctions.udf.CIQ($C$2, "IQ_ASSET_MANAGED_GROWTH_RATE", J$6,$F$2)</f>
        <v>0</v>
      </c>
      <c r="K1175" s="18">
        <f>_xll.ciqfunctions.udf.CIQ($C$2, "IQ_ASSET_MANAGED_GROWTH_RATE", K$6,$F$2)</f>
        <v>0</v>
      </c>
      <c r="L1175" s="18">
        <f>_xll.ciqfunctions.udf.CIQ($C$2, "IQ_ASSET_MANAGED_GROWTH_RATE", L$6,$F$2)</f>
        <v>0</v>
      </c>
      <c r="M1175" s="18">
        <f>_xll.ciqfunctions.udf.CIQ($C$2, "IQ_ASSET_MANAGED_GROWTH_RATE", M$6,$F$2)</f>
        <v>0</v>
      </c>
      <c r="N1175" s="18">
        <f>_xll.ciqfunctions.udf.CIQ($C$2, "IQ_ASSET_MANAGED_GROWTH_RATE", N$6,$F$2)</f>
        <v>0</v>
      </c>
      <c r="O1175" s="9"/>
      <c r="P1175" s="18">
        <f>_xll.ciqfunctions.udf.CIQ($C$2, "IQ_ASSET_MANAGED_GROWTH_RATE", P$6,$F$2)</f>
        <v>0</v>
      </c>
      <c r="Q1175" s="215"/>
      <c r="R1175" s="215"/>
      <c r="S1175" s="215"/>
      <c r="T1175" s="215"/>
      <c r="U1175" s="215"/>
      <c r="V1175" s="222"/>
      <c r="W1175" s="215"/>
      <c r="X1175" s="215"/>
      <c r="Y1175" s="215"/>
      <c r="Z1175" s="215"/>
      <c r="AA1175" s="215"/>
      <c r="AB1175" s="215"/>
      <c r="AC1175" s="215"/>
      <c r="AD1175" s="215"/>
      <c r="AE1175" s="215"/>
      <c r="AF1175" s="215"/>
      <c r="AG1175" s="215"/>
      <c r="AH1175" s="215"/>
      <c r="AI1175" s="215"/>
      <c r="AJ1175" s="215"/>
      <c r="AK1175" s="215"/>
      <c r="AL1175" s="215"/>
      <c r="AM1175" s="215"/>
      <c r="AN1175" s="215"/>
      <c r="AO1175" s="215"/>
      <c r="AP1175" s="215"/>
      <c r="AQ1175" s="215"/>
      <c r="AR1175" s="215"/>
      <c r="AS1175" s="215"/>
      <c r="AT1175" s="215"/>
      <c r="AU1175" s="215"/>
      <c r="AV1175" s="215"/>
      <c r="AW1175" s="215"/>
      <c r="AX1175" s="215"/>
      <c r="AY1175" s="215"/>
      <c r="AZ1175" s="215"/>
      <c r="BA1175" s="215"/>
      <c r="BB1175" s="215"/>
      <c r="BC1175" s="215"/>
      <c r="BD1175" s="215"/>
      <c r="BE1175" s="215"/>
      <c r="BF1175" s="215"/>
      <c r="BG1175" s="215"/>
      <c r="BH1175" s="215"/>
      <c r="BI1175" s="215"/>
      <c r="BJ1175" s="215"/>
      <c r="BK1175" s="215"/>
      <c r="BL1175" s="215"/>
      <c r="BM1175" s="215"/>
      <c r="BN1175" s="215"/>
      <c r="BO1175" s="215"/>
      <c r="BP1175" s="215"/>
      <c r="BQ1175" s="215"/>
      <c r="BR1175" s="215"/>
      <c r="BS1175" s="215"/>
      <c r="BT1175" s="215"/>
      <c r="BU1175" s="215"/>
      <c r="BV1175" s="215"/>
      <c r="BW1175" s="215"/>
      <c r="BX1175" s="215"/>
      <c r="BY1175" s="215"/>
      <c r="BZ1175" s="215"/>
    </row>
    <row r="1176" spans="1:78" outlineLevel="1" x14ac:dyDescent="0.2">
      <c r="A1176" s="17"/>
      <c r="B1176" s="2"/>
      <c r="C1176" s="2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2"/>
      <c r="P1176" s="18"/>
      <c r="Q1176" s="215"/>
      <c r="R1176" s="215"/>
      <c r="S1176" s="215"/>
      <c r="T1176" s="215"/>
      <c r="U1176" s="215"/>
      <c r="V1176" s="222"/>
      <c r="W1176" s="215"/>
      <c r="X1176" s="215"/>
      <c r="Y1176" s="215"/>
      <c r="Z1176" s="215"/>
      <c r="AA1176" s="215"/>
      <c r="AB1176" s="215"/>
      <c r="AC1176" s="215"/>
      <c r="AD1176" s="215"/>
      <c r="AE1176" s="215"/>
      <c r="AF1176" s="215"/>
      <c r="AG1176" s="215"/>
      <c r="AH1176" s="215"/>
      <c r="AI1176" s="215"/>
      <c r="AJ1176" s="215"/>
      <c r="AK1176" s="215"/>
      <c r="AL1176" s="215"/>
      <c r="AM1176" s="215"/>
      <c r="AN1176" s="215"/>
      <c r="AO1176" s="215"/>
      <c r="AP1176" s="215"/>
      <c r="AQ1176" s="215"/>
      <c r="AR1176" s="215"/>
      <c r="AS1176" s="215"/>
      <c r="AT1176" s="215"/>
      <c r="AU1176" s="215"/>
      <c r="AV1176" s="215"/>
      <c r="AW1176" s="215"/>
      <c r="AX1176" s="215"/>
      <c r="AY1176" s="215"/>
      <c r="AZ1176" s="215"/>
      <c r="BA1176" s="215"/>
      <c r="BB1176" s="215"/>
      <c r="BC1176" s="215"/>
      <c r="BD1176" s="215"/>
      <c r="BE1176" s="215"/>
      <c r="BF1176" s="215"/>
      <c r="BG1176" s="215"/>
      <c r="BH1176" s="215"/>
      <c r="BI1176" s="215"/>
      <c r="BJ1176" s="215"/>
      <c r="BK1176" s="215"/>
      <c r="BL1176" s="215"/>
      <c r="BM1176" s="215"/>
      <c r="BN1176" s="215"/>
      <c r="BO1176" s="215"/>
      <c r="BP1176" s="215"/>
      <c r="BQ1176" s="215"/>
      <c r="BR1176" s="215"/>
      <c r="BS1176" s="215"/>
      <c r="BT1176" s="215"/>
      <c r="BU1176" s="215"/>
      <c r="BV1176" s="215"/>
      <c r="BW1176" s="215"/>
      <c r="BX1176" s="215"/>
      <c r="BY1176" s="215"/>
      <c r="BZ1176" s="215"/>
    </row>
    <row r="1177" spans="1:78" outlineLevel="1" x14ac:dyDescent="0.2">
      <c r="A1177" s="2" t="str">
        <f>'Language Index'!A653</f>
        <v>Assets Under Capital Lease - Accumulated Dep.</v>
      </c>
      <c r="B1177" s="17"/>
      <c r="C1177" s="17"/>
      <c r="D1177" s="18">
        <f>_xll.ciqfunctions.udf.CIQ($C$2,"IQ_ASSETS_CAP_LEASE_DEPR",D$6,$F$2,,,Ccy,Conv)</f>
        <v>0</v>
      </c>
      <c r="E1177" s="18">
        <f>_xll.ciqfunctions.udf.CIQ($C$2,"IQ_ASSETS_CAP_LEASE_DEPR",E$6,$F$2,,,Ccy,Conv)</f>
        <v>0</v>
      </c>
      <c r="F1177" s="18">
        <f>_xll.ciqfunctions.udf.CIQ($C$2,"IQ_ASSETS_CAP_LEASE_DEPR",F$6,$F$2,,,Ccy,Conv)</f>
        <v>0</v>
      </c>
      <c r="G1177" s="18">
        <f>_xll.ciqfunctions.udf.CIQ($C$2,"IQ_ASSETS_CAP_LEASE_DEPR",G$6,$F$2,,,Ccy,Conv)</f>
        <v>0</v>
      </c>
      <c r="H1177" s="18">
        <f>_xll.ciqfunctions.udf.CIQ($C$2,"IQ_ASSETS_CAP_LEASE_DEPR",H$6,$F$2,,,Ccy,Conv)</f>
        <v>0</v>
      </c>
      <c r="I1177" s="18">
        <f>_xll.ciqfunctions.udf.CIQ($C$2,"IQ_ASSETS_CAP_LEASE_DEPR",I$6,$F$2,,,Ccy,Conv)</f>
        <v>0</v>
      </c>
      <c r="J1177" s="18">
        <f>_xll.ciqfunctions.udf.CIQ($C$2,"IQ_ASSETS_CAP_LEASE_DEPR",J$6,$F$2,,,Ccy,Conv)</f>
        <v>0</v>
      </c>
      <c r="K1177" s="18">
        <f>_xll.ciqfunctions.udf.CIQ($C$2,"IQ_ASSETS_CAP_LEASE_DEPR",K$6,$F$2,,,Ccy,Conv)</f>
        <v>0</v>
      </c>
      <c r="L1177" s="18">
        <f>_xll.ciqfunctions.udf.CIQ($C$2,"IQ_ASSETS_CAP_LEASE_DEPR",L$6,$F$2,,,Ccy,Conv)</f>
        <v>0</v>
      </c>
      <c r="M1177" s="18">
        <f>_xll.ciqfunctions.udf.CIQ($C$2,"IQ_ASSETS_CAP_LEASE_DEPR",M$6,$F$2,,,Ccy,Conv)</f>
        <v>0</v>
      </c>
      <c r="N1177" s="18">
        <f>_xll.ciqfunctions.udf.CIQ($C$2,"IQ_ASSETS_CAP_LEASE_DEPR",N$6,$F$2,,,Ccy,Conv)</f>
        <v>0</v>
      </c>
      <c r="O1177" s="30"/>
      <c r="P1177" s="18">
        <f>_xll.ciqfunctions.udf.CIQ($C$2,"IQ_ASSETS_CAP_LEASE_DEPR",P$6,$F$2,,,Ccy,Conv)</f>
        <v>0</v>
      </c>
      <c r="Q1177" s="215"/>
      <c r="R1177" s="215"/>
      <c r="S1177" s="215"/>
      <c r="T1177" s="215"/>
      <c r="U1177" s="215"/>
      <c r="V1177" s="222"/>
      <c r="W1177" s="215"/>
      <c r="X1177" s="215"/>
      <c r="Y1177" s="215"/>
      <c r="Z1177" s="215"/>
      <c r="AA1177" s="215"/>
      <c r="AB1177" s="215"/>
      <c r="AC1177" s="215"/>
      <c r="AD1177" s="215"/>
      <c r="AE1177" s="215"/>
      <c r="AF1177" s="215"/>
      <c r="AG1177" s="215"/>
      <c r="AH1177" s="215"/>
      <c r="AI1177" s="215"/>
      <c r="AJ1177" s="215"/>
      <c r="AK1177" s="215"/>
      <c r="AL1177" s="215"/>
      <c r="AM1177" s="215"/>
      <c r="AN1177" s="215"/>
      <c r="AO1177" s="215"/>
      <c r="AP1177" s="215"/>
      <c r="AQ1177" s="215"/>
      <c r="AR1177" s="215"/>
      <c r="AS1177" s="215"/>
      <c r="AT1177" s="215"/>
      <c r="AU1177" s="215"/>
      <c r="AV1177" s="215"/>
      <c r="AW1177" s="215"/>
      <c r="AX1177" s="215"/>
      <c r="AY1177" s="215"/>
      <c r="AZ1177" s="215"/>
      <c r="BA1177" s="215"/>
      <c r="BB1177" s="215"/>
      <c r="BC1177" s="215"/>
      <c r="BD1177" s="215"/>
      <c r="BE1177" s="215"/>
      <c r="BF1177" s="215"/>
      <c r="BG1177" s="215"/>
      <c r="BH1177" s="215"/>
      <c r="BI1177" s="215"/>
      <c r="BJ1177" s="215"/>
      <c r="BK1177" s="215"/>
      <c r="BL1177" s="215"/>
      <c r="BM1177" s="215"/>
      <c r="BN1177" s="215"/>
      <c r="BO1177" s="215"/>
      <c r="BP1177" s="215"/>
      <c r="BQ1177" s="215"/>
      <c r="BR1177" s="215"/>
      <c r="BS1177" s="215"/>
      <c r="BT1177" s="215"/>
      <c r="BU1177" s="215"/>
      <c r="BV1177" s="215"/>
      <c r="BW1177" s="215"/>
      <c r="BX1177" s="215"/>
      <c r="BY1177" s="215"/>
      <c r="BZ1177" s="215"/>
    </row>
    <row r="1178" spans="1:78" outlineLevel="1" x14ac:dyDescent="0.2">
      <c r="A1178" s="2" t="str">
        <f>'Language Index'!A654</f>
        <v>Assets Under Capital Lease - Gross</v>
      </c>
      <c r="B1178" s="17"/>
      <c r="C1178" s="17"/>
      <c r="D1178" s="18">
        <f>_xll.ciqfunctions.udf.CIQ($C$2,"IQ_ASSETS_CAP_LEASE_GROSS",D$6,$F$2,,,Ccy,Conv)</f>
        <v>0</v>
      </c>
      <c r="E1178" s="18">
        <f>_xll.ciqfunctions.udf.CIQ($C$2,"IQ_ASSETS_CAP_LEASE_GROSS",E$6,$F$2,,,Ccy,Conv)</f>
        <v>0</v>
      </c>
      <c r="F1178" s="18">
        <f>_xll.ciqfunctions.udf.CIQ($C$2,"IQ_ASSETS_CAP_LEASE_GROSS",F$6,$F$2,,,Ccy,Conv)</f>
        <v>0</v>
      </c>
      <c r="G1178" s="18">
        <f>_xll.ciqfunctions.udf.CIQ($C$2,"IQ_ASSETS_CAP_LEASE_GROSS",G$6,$F$2,,,Ccy,Conv)</f>
        <v>0</v>
      </c>
      <c r="H1178" s="18">
        <f>_xll.ciqfunctions.udf.CIQ($C$2,"IQ_ASSETS_CAP_LEASE_GROSS",H$6,$F$2,,,Ccy,Conv)</f>
        <v>0</v>
      </c>
      <c r="I1178" s="18">
        <f>_xll.ciqfunctions.udf.CIQ($C$2,"IQ_ASSETS_CAP_LEASE_GROSS",I$6,$F$2,,,Ccy,Conv)</f>
        <v>0</v>
      </c>
      <c r="J1178" s="18">
        <f>_xll.ciqfunctions.udf.CIQ($C$2,"IQ_ASSETS_CAP_LEASE_GROSS",J$6,$F$2,,,Ccy,Conv)</f>
        <v>0</v>
      </c>
      <c r="K1178" s="18">
        <f>_xll.ciqfunctions.udf.CIQ($C$2,"IQ_ASSETS_CAP_LEASE_GROSS",K$6,$F$2,,,Ccy,Conv)</f>
        <v>0</v>
      </c>
      <c r="L1178" s="18">
        <f>_xll.ciqfunctions.udf.CIQ($C$2,"IQ_ASSETS_CAP_LEASE_GROSS",L$6,$F$2,,,Ccy,Conv)</f>
        <v>0</v>
      </c>
      <c r="M1178" s="18">
        <f>_xll.ciqfunctions.udf.CIQ($C$2,"IQ_ASSETS_CAP_LEASE_GROSS",M$6,$F$2,,,Ccy,Conv)</f>
        <v>0</v>
      </c>
      <c r="N1178" s="18">
        <f>_xll.ciqfunctions.udf.CIQ($C$2,"IQ_ASSETS_CAP_LEASE_GROSS",N$6,$F$2,,,Ccy,Conv)</f>
        <v>0</v>
      </c>
      <c r="O1178" s="30"/>
      <c r="P1178" s="18">
        <f>_xll.ciqfunctions.udf.CIQ($C$2,"IQ_ASSETS_CAP_LEASE_GROSS",P$6,$F$2,,,Ccy,Conv)</f>
        <v>0</v>
      </c>
      <c r="Q1178" s="215"/>
      <c r="R1178" s="215"/>
      <c r="S1178" s="215"/>
      <c r="T1178" s="215"/>
      <c r="U1178" s="215"/>
      <c r="V1178" s="222"/>
      <c r="W1178" s="215"/>
      <c r="X1178" s="215"/>
      <c r="Y1178" s="215"/>
      <c r="Z1178" s="215"/>
      <c r="AA1178" s="215"/>
      <c r="AB1178" s="215"/>
      <c r="AC1178" s="215"/>
      <c r="AD1178" s="215"/>
      <c r="AE1178" s="215"/>
      <c r="AF1178" s="215"/>
      <c r="AG1178" s="215"/>
      <c r="AH1178" s="215"/>
      <c r="AI1178" s="215"/>
      <c r="AJ1178" s="215"/>
      <c r="AK1178" s="215"/>
      <c r="AL1178" s="215"/>
      <c r="AM1178" s="215"/>
      <c r="AN1178" s="215"/>
      <c r="AO1178" s="215"/>
      <c r="AP1178" s="215"/>
      <c r="AQ1178" s="215"/>
      <c r="AR1178" s="215"/>
      <c r="AS1178" s="215"/>
      <c r="AT1178" s="215"/>
      <c r="AU1178" s="215"/>
      <c r="AV1178" s="215"/>
      <c r="AW1178" s="215"/>
      <c r="AX1178" s="215"/>
      <c r="AY1178" s="215"/>
      <c r="AZ1178" s="215"/>
      <c r="BA1178" s="215"/>
      <c r="BB1178" s="215"/>
      <c r="BC1178" s="215"/>
      <c r="BD1178" s="215"/>
      <c r="BE1178" s="215"/>
      <c r="BF1178" s="215"/>
      <c r="BG1178" s="215"/>
      <c r="BH1178" s="215"/>
      <c r="BI1178" s="215"/>
      <c r="BJ1178" s="215"/>
      <c r="BK1178" s="215"/>
      <c r="BL1178" s="215"/>
      <c r="BM1178" s="215"/>
      <c r="BN1178" s="215"/>
      <c r="BO1178" s="215"/>
      <c r="BP1178" s="215"/>
      <c r="BQ1178" s="215"/>
      <c r="BR1178" s="215"/>
      <c r="BS1178" s="215"/>
      <c r="BT1178" s="215"/>
      <c r="BU1178" s="215"/>
      <c r="BV1178" s="215"/>
      <c r="BW1178" s="215"/>
      <c r="BX1178" s="215"/>
      <c r="BY1178" s="215"/>
      <c r="BZ1178" s="215"/>
    </row>
    <row r="1179" spans="1:78" outlineLevel="1" x14ac:dyDescent="0.2">
      <c r="A1179" s="2" t="str">
        <f>'Language Index'!A655</f>
        <v>Assets on Operating Lease - Accumulated Dep.</v>
      </c>
      <c r="B1179" s="17"/>
      <c r="C1179" s="17"/>
      <c r="D1179" s="18">
        <f>_xll.ciqfunctions.udf.CIQ($C$2,"IQ_ASSETS_OPER_LEASE_DEPR",D$6,$F$2,,,Ccy,Conv)</f>
        <v>0</v>
      </c>
      <c r="E1179" s="18">
        <f>_xll.ciqfunctions.udf.CIQ($C$2,"IQ_ASSETS_OPER_LEASE_DEPR",E$6,$F$2,,,Ccy,Conv)</f>
        <v>0</v>
      </c>
      <c r="F1179" s="18">
        <f>_xll.ciqfunctions.udf.CIQ($C$2,"IQ_ASSETS_OPER_LEASE_DEPR",F$6,$F$2,,,Ccy,Conv)</f>
        <v>0</v>
      </c>
      <c r="G1179" s="18">
        <f>_xll.ciqfunctions.udf.CIQ($C$2,"IQ_ASSETS_OPER_LEASE_DEPR",G$6,$F$2,,,Ccy,Conv)</f>
        <v>0</v>
      </c>
      <c r="H1179" s="18">
        <f>_xll.ciqfunctions.udf.CIQ($C$2,"IQ_ASSETS_OPER_LEASE_DEPR",H$6,$F$2,,,Ccy,Conv)</f>
        <v>0</v>
      </c>
      <c r="I1179" s="18">
        <f>_xll.ciqfunctions.udf.CIQ($C$2,"IQ_ASSETS_OPER_LEASE_DEPR",I$6,$F$2,,,Ccy,Conv)</f>
        <v>0</v>
      </c>
      <c r="J1179" s="18">
        <f>_xll.ciqfunctions.udf.CIQ($C$2,"IQ_ASSETS_OPER_LEASE_DEPR",J$6,$F$2,,,Ccy,Conv)</f>
        <v>0</v>
      </c>
      <c r="K1179" s="18">
        <f>_xll.ciqfunctions.udf.CIQ($C$2,"IQ_ASSETS_OPER_LEASE_DEPR",K$6,$F$2,,,Ccy,Conv)</f>
        <v>0</v>
      </c>
      <c r="L1179" s="18">
        <f>_xll.ciqfunctions.udf.CIQ($C$2,"IQ_ASSETS_OPER_LEASE_DEPR",L$6,$F$2,,,Ccy,Conv)</f>
        <v>0</v>
      </c>
      <c r="M1179" s="18">
        <f>_xll.ciqfunctions.udf.CIQ($C$2,"IQ_ASSETS_OPER_LEASE_DEPR",M$6,$F$2,,,Ccy,Conv)</f>
        <v>0</v>
      </c>
      <c r="N1179" s="18">
        <f>_xll.ciqfunctions.udf.CIQ($C$2,"IQ_ASSETS_OPER_LEASE_DEPR",N$6,$F$2,,,Ccy,Conv)</f>
        <v>0</v>
      </c>
      <c r="O1179" s="30"/>
      <c r="P1179" s="18">
        <f>_xll.ciqfunctions.udf.CIQ($C$2,"IQ_ASSETS_OPER_LEASE_DEPR",P$6,$F$2,,,Ccy,Conv)</f>
        <v>0</v>
      </c>
      <c r="Q1179" s="215"/>
      <c r="R1179" s="215"/>
      <c r="S1179" s="215"/>
      <c r="T1179" s="215"/>
      <c r="U1179" s="215"/>
      <c r="V1179" s="222"/>
      <c r="W1179" s="215"/>
      <c r="X1179" s="215"/>
      <c r="Y1179" s="215"/>
      <c r="Z1179" s="215"/>
      <c r="AA1179" s="215"/>
      <c r="AB1179" s="215"/>
      <c r="AC1179" s="215"/>
      <c r="AD1179" s="215"/>
      <c r="AE1179" s="215"/>
      <c r="AF1179" s="215"/>
      <c r="AG1179" s="215"/>
      <c r="AH1179" s="215"/>
      <c r="AI1179" s="215"/>
      <c r="AJ1179" s="215"/>
      <c r="AK1179" s="215"/>
      <c r="AL1179" s="215"/>
      <c r="AM1179" s="215"/>
      <c r="AN1179" s="215"/>
      <c r="AO1179" s="215"/>
      <c r="AP1179" s="215"/>
      <c r="AQ1179" s="215"/>
      <c r="AR1179" s="215"/>
      <c r="AS1179" s="215"/>
      <c r="AT1179" s="215"/>
      <c r="AU1179" s="215"/>
      <c r="AV1179" s="215"/>
      <c r="AW1179" s="215"/>
      <c r="AX1179" s="215"/>
      <c r="AY1179" s="215"/>
      <c r="AZ1179" s="215"/>
      <c r="BA1179" s="215"/>
      <c r="BB1179" s="215"/>
      <c r="BC1179" s="215"/>
      <c r="BD1179" s="215"/>
      <c r="BE1179" s="215"/>
      <c r="BF1179" s="215"/>
      <c r="BG1179" s="215"/>
      <c r="BH1179" s="215"/>
      <c r="BI1179" s="215"/>
      <c r="BJ1179" s="215"/>
      <c r="BK1179" s="215"/>
      <c r="BL1179" s="215"/>
      <c r="BM1179" s="215"/>
      <c r="BN1179" s="215"/>
      <c r="BO1179" s="215"/>
      <c r="BP1179" s="215"/>
      <c r="BQ1179" s="215"/>
      <c r="BR1179" s="215"/>
      <c r="BS1179" s="215"/>
      <c r="BT1179" s="215"/>
      <c r="BU1179" s="215"/>
      <c r="BV1179" s="215"/>
      <c r="BW1179" s="215"/>
      <c r="BX1179" s="215"/>
      <c r="BY1179" s="215"/>
      <c r="BZ1179" s="215"/>
    </row>
    <row r="1180" spans="1:78" outlineLevel="1" x14ac:dyDescent="0.2">
      <c r="A1180" s="2" t="str">
        <f>'Language Index'!A656</f>
        <v>Assets on Operating Lease - Gross</v>
      </c>
      <c r="B1180" s="17"/>
      <c r="C1180" s="17"/>
      <c r="D1180" s="18">
        <f>_xll.ciqfunctions.udf.CIQ($C$2,"IQ_ASSETS_OPER_LEASE_GROSS",D$6,$F$2,,,Ccy,Conv)</f>
        <v>0</v>
      </c>
      <c r="E1180" s="18">
        <f>_xll.ciqfunctions.udf.CIQ($C$2,"IQ_ASSETS_OPER_LEASE_GROSS",E$6,$F$2,,,Ccy,Conv)</f>
        <v>0</v>
      </c>
      <c r="F1180" s="18">
        <f>_xll.ciqfunctions.udf.CIQ($C$2,"IQ_ASSETS_OPER_LEASE_GROSS",F$6,$F$2,,,Ccy,Conv)</f>
        <v>0</v>
      </c>
      <c r="G1180" s="18">
        <f>_xll.ciqfunctions.udf.CIQ($C$2,"IQ_ASSETS_OPER_LEASE_GROSS",G$6,$F$2,,,Ccy,Conv)</f>
        <v>0</v>
      </c>
      <c r="H1180" s="18">
        <f>_xll.ciqfunctions.udf.CIQ($C$2,"IQ_ASSETS_OPER_LEASE_GROSS",H$6,$F$2,,,Ccy,Conv)</f>
        <v>0</v>
      </c>
      <c r="I1180" s="18">
        <f>_xll.ciqfunctions.udf.CIQ($C$2,"IQ_ASSETS_OPER_LEASE_GROSS",I$6,$F$2,,,Ccy,Conv)</f>
        <v>0</v>
      </c>
      <c r="J1180" s="18">
        <f>_xll.ciqfunctions.udf.CIQ($C$2,"IQ_ASSETS_OPER_LEASE_GROSS",J$6,$F$2,,,Ccy,Conv)</f>
        <v>0</v>
      </c>
      <c r="K1180" s="18">
        <f>_xll.ciqfunctions.udf.CIQ($C$2,"IQ_ASSETS_OPER_LEASE_GROSS",K$6,$F$2,,,Ccy,Conv)</f>
        <v>0</v>
      </c>
      <c r="L1180" s="18">
        <f>_xll.ciqfunctions.udf.CIQ($C$2,"IQ_ASSETS_OPER_LEASE_GROSS",L$6,$F$2,,,Ccy,Conv)</f>
        <v>0</v>
      </c>
      <c r="M1180" s="18">
        <f>_xll.ciqfunctions.udf.CIQ($C$2,"IQ_ASSETS_OPER_LEASE_GROSS",M$6,$F$2,,,Ccy,Conv)</f>
        <v>0</v>
      </c>
      <c r="N1180" s="18">
        <f>_xll.ciqfunctions.udf.CIQ($C$2,"IQ_ASSETS_OPER_LEASE_GROSS",N$6,$F$2,,,Ccy,Conv)</f>
        <v>0</v>
      </c>
      <c r="O1180" s="30"/>
      <c r="P1180" s="18">
        <f>_xll.ciqfunctions.udf.CIQ($C$2,"IQ_ASSETS_OPER_LEASE_GROSS",P$6,$F$2,,,Ccy,Conv)</f>
        <v>0</v>
      </c>
      <c r="Q1180" s="215"/>
      <c r="R1180" s="215"/>
      <c r="S1180" s="215"/>
      <c r="T1180" s="215"/>
      <c r="U1180" s="215"/>
      <c r="V1180" s="222"/>
      <c r="W1180" s="215"/>
      <c r="X1180" s="215"/>
      <c r="Y1180" s="215"/>
      <c r="Z1180" s="215"/>
      <c r="AA1180" s="215"/>
      <c r="AB1180" s="215"/>
      <c r="AC1180" s="215"/>
      <c r="AD1180" s="215"/>
      <c r="AE1180" s="215"/>
      <c r="AF1180" s="215"/>
      <c r="AG1180" s="215"/>
      <c r="AH1180" s="215"/>
      <c r="AI1180" s="215"/>
      <c r="AJ1180" s="215"/>
      <c r="AK1180" s="215"/>
      <c r="AL1180" s="215"/>
      <c r="AM1180" s="215"/>
      <c r="AN1180" s="215"/>
      <c r="AO1180" s="215"/>
      <c r="AP1180" s="215"/>
      <c r="AQ1180" s="215"/>
      <c r="AR1180" s="215"/>
      <c r="AS1180" s="215"/>
      <c r="AT1180" s="215"/>
      <c r="AU1180" s="215"/>
      <c r="AV1180" s="215"/>
      <c r="AW1180" s="215"/>
      <c r="AX1180" s="215"/>
      <c r="AY1180" s="215"/>
      <c r="AZ1180" s="215"/>
      <c r="BA1180" s="215"/>
      <c r="BB1180" s="215"/>
      <c r="BC1180" s="215"/>
      <c r="BD1180" s="215"/>
      <c r="BE1180" s="215"/>
      <c r="BF1180" s="215"/>
      <c r="BG1180" s="215"/>
      <c r="BH1180" s="215"/>
      <c r="BI1180" s="215"/>
      <c r="BJ1180" s="215"/>
      <c r="BK1180" s="215"/>
      <c r="BL1180" s="215"/>
      <c r="BM1180" s="215"/>
      <c r="BN1180" s="215"/>
      <c r="BO1180" s="215"/>
      <c r="BP1180" s="215"/>
      <c r="BQ1180" s="215"/>
      <c r="BR1180" s="215"/>
      <c r="BS1180" s="215"/>
      <c r="BT1180" s="215"/>
      <c r="BU1180" s="215"/>
      <c r="BV1180" s="215"/>
      <c r="BW1180" s="215"/>
      <c r="BX1180" s="215"/>
      <c r="BY1180" s="215"/>
      <c r="BZ1180" s="215"/>
    </row>
    <row r="1181" spans="1:78" outlineLevel="1" x14ac:dyDescent="0.2">
      <c r="A1181" s="17"/>
      <c r="B1181" s="2"/>
      <c r="C1181" s="2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2"/>
      <c r="P1181" s="18"/>
      <c r="Q1181" s="215"/>
      <c r="R1181" s="215"/>
      <c r="S1181" s="215"/>
      <c r="T1181" s="215"/>
      <c r="U1181" s="215"/>
      <c r="V1181" s="222"/>
      <c r="W1181" s="215"/>
      <c r="X1181" s="215"/>
      <c r="Y1181" s="215"/>
      <c r="Z1181" s="215"/>
      <c r="AA1181" s="215"/>
      <c r="AB1181" s="215"/>
      <c r="AC1181" s="215"/>
      <c r="AD1181" s="215"/>
      <c r="AE1181" s="215"/>
      <c r="AF1181" s="215"/>
      <c r="AG1181" s="215"/>
      <c r="AH1181" s="215"/>
      <c r="AI1181" s="215"/>
      <c r="AJ1181" s="215"/>
      <c r="AK1181" s="215"/>
      <c r="AL1181" s="215"/>
      <c r="AM1181" s="215"/>
      <c r="AN1181" s="215"/>
      <c r="AO1181" s="215"/>
      <c r="AP1181" s="215"/>
      <c r="AQ1181" s="215"/>
      <c r="AR1181" s="215"/>
      <c r="AS1181" s="215"/>
      <c r="AT1181" s="215"/>
      <c r="AU1181" s="215"/>
      <c r="AV1181" s="215"/>
      <c r="AW1181" s="215"/>
      <c r="AX1181" s="215"/>
      <c r="AY1181" s="215"/>
      <c r="AZ1181" s="215"/>
      <c r="BA1181" s="215"/>
      <c r="BB1181" s="215"/>
      <c r="BC1181" s="215"/>
      <c r="BD1181" s="215"/>
      <c r="BE1181" s="215"/>
      <c r="BF1181" s="215"/>
      <c r="BG1181" s="215"/>
      <c r="BH1181" s="215"/>
      <c r="BI1181" s="215"/>
      <c r="BJ1181" s="215"/>
      <c r="BK1181" s="215"/>
      <c r="BL1181" s="215"/>
      <c r="BM1181" s="215"/>
      <c r="BN1181" s="215"/>
      <c r="BO1181" s="215"/>
      <c r="BP1181" s="215"/>
      <c r="BQ1181" s="215"/>
      <c r="BR1181" s="215"/>
      <c r="BS1181" s="215"/>
      <c r="BT1181" s="215"/>
      <c r="BU1181" s="215"/>
      <c r="BV1181" s="215"/>
      <c r="BW1181" s="215"/>
      <c r="BX1181" s="215"/>
      <c r="BY1181" s="215"/>
      <c r="BZ1181" s="215"/>
    </row>
    <row r="1182" spans="1:78" outlineLevel="1" x14ac:dyDescent="0.2">
      <c r="A1182" s="9" t="str">
        <f>'Language Index'!A657</f>
        <v>Capitalized Interest Data</v>
      </c>
      <c r="B1182" s="17"/>
      <c r="C1182" s="17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30"/>
      <c r="P1182" s="18"/>
      <c r="Q1182" s="215"/>
      <c r="R1182" s="215"/>
      <c r="S1182" s="215"/>
      <c r="T1182" s="215"/>
      <c r="U1182" s="215"/>
      <c r="V1182" s="222"/>
      <c r="W1182" s="215"/>
      <c r="X1182" s="215"/>
      <c r="Y1182" s="215"/>
      <c r="Z1182" s="215"/>
      <c r="AA1182" s="215"/>
      <c r="AB1182" s="215"/>
      <c r="AC1182" s="215"/>
      <c r="AD1182" s="215"/>
      <c r="AE1182" s="215"/>
      <c r="AF1182" s="215"/>
      <c r="AG1182" s="215"/>
      <c r="AH1182" s="215"/>
      <c r="AI1182" s="215"/>
      <c r="AJ1182" s="215"/>
      <c r="AK1182" s="215"/>
      <c r="AL1182" s="215"/>
      <c r="AM1182" s="215"/>
      <c r="AN1182" s="215"/>
      <c r="AO1182" s="215"/>
      <c r="AP1182" s="215"/>
      <c r="AQ1182" s="215"/>
      <c r="AR1182" s="215"/>
      <c r="AS1182" s="215"/>
      <c r="AT1182" s="215"/>
      <c r="AU1182" s="215"/>
      <c r="AV1182" s="215"/>
      <c r="AW1182" s="215"/>
      <c r="AX1182" s="215"/>
      <c r="AY1182" s="215"/>
      <c r="AZ1182" s="215"/>
      <c r="BA1182" s="215"/>
      <c r="BB1182" s="215"/>
      <c r="BC1182" s="215"/>
      <c r="BD1182" s="215"/>
      <c r="BE1182" s="215"/>
      <c r="BF1182" s="215"/>
      <c r="BG1182" s="215"/>
      <c r="BH1182" s="215"/>
      <c r="BI1182" s="215"/>
      <c r="BJ1182" s="215"/>
      <c r="BK1182" s="215"/>
      <c r="BL1182" s="215"/>
      <c r="BM1182" s="215"/>
      <c r="BN1182" s="215"/>
      <c r="BO1182" s="215"/>
      <c r="BP1182" s="215"/>
      <c r="BQ1182" s="215"/>
      <c r="BR1182" s="215"/>
      <c r="BS1182" s="215"/>
      <c r="BT1182" s="215"/>
      <c r="BU1182" s="215"/>
      <c r="BV1182" s="215"/>
      <c r="BW1182" s="215"/>
      <c r="BX1182" s="215"/>
      <c r="BY1182" s="215"/>
      <c r="BZ1182" s="215"/>
    </row>
    <row r="1183" spans="1:78" outlineLevel="1" x14ac:dyDescent="0.2">
      <c r="A1183" s="53" t="str">
        <f>'Language Index'!A658</f>
        <v>Interest Capitalized, Beg. Of Period</v>
      </c>
      <c r="B1183" s="17"/>
      <c r="C1183" s="17"/>
      <c r="D1183" s="18">
        <f>_xll.ciqfunctions.udf.CIQ($C$2,"IQ_CAPITALIZED_INTEREST_BOP",D$6,$F$2,,,Ccy,Conv)</f>
        <v>0</v>
      </c>
      <c r="E1183" s="18">
        <f>_xll.ciqfunctions.udf.CIQ($C$2,"IQ_CAPITALIZED_INTEREST_BOP",E$6,$F$2,,,Ccy,Conv)</f>
        <v>0</v>
      </c>
      <c r="F1183" s="18">
        <f>_xll.ciqfunctions.udf.CIQ($C$2,"IQ_CAPITALIZED_INTEREST_BOP",F$6,$F$2,,,Ccy,Conv)</f>
        <v>0</v>
      </c>
      <c r="G1183" s="18">
        <f>_xll.ciqfunctions.udf.CIQ($C$2,"IQ_CAPITALIZED_INTEREST_BOP",G$6,$F$2,,,Ccy,Conv)</f>
        <v>0</v>
      </c>
      <c r="H1183" s="18">
        <f>_xll.ciqfunctions.udf.CIQ($C$2,"IQ_CAPITALIZED_INTEREST_BOP",H$6,$F$2,,,Ccy,Conv)</f>
        <v>0</v>
      </c>
      <c r="I1183" s="18">
        <f>_xll.ciqfunctions.udf.CIQ($C$2,"IQ_CAPITALIZED_INTEREST_BOP",I$6,$F$2,,,Ccy,Conv)</f>
        <v>0</v>
      </c>
      <c r="J1183" s="18">
        <f>_xll.ciqfunctions.udf.CIQ($C$2,"IQ_CAPITALIZED_INTEREST_BOP",J$6,$F$2,,,Ccy,Conv)</f>
        <v>0</v>
      </c>
      <c r="K1183" s="18">
        <f>_xll.ciqfunctions.udf.CIQ($C$2,"IQ_CAPITALIZED_INTEREST_BOP",K$6,$F$2,,,Ccy,Conv)</f>
        <v>0</v>
      </c>
      <c r="L1183" s="18">
        <f>_xll.ciqfunctions.udf.CIQ($C$2,"IQ_CAPITALIZED_INTEREST_BOP",L$6,$F$2,,,Ccy,Conv)</f>
        <v>0</v>
      </c>
      <c r="M1183" s="18">
        <f>_xll.ciqfunctions.udf.CIQ($C$2,"IQ_CAPITALIZED_INTEREST_BOP",M$6,$F$2,,,Ccy,Conv)</f>
        <v>0</v>
      </c>
      <c r="N1183" s="18">
        <f>_xll.ciqfunctions.udf.CIQ($C$2,"IQ_CAPITALIZED_INTEREST_BOP",N$6,$F$2,,,Ccy,Conv)</f>
        <v>0</v>
      </c>
      <c r="O1183" s="30"/>
      <c r="P1183" s="18">
        <f>_xll.ciqfunctions.udf.CIQ($C$2,"IQ_CAPITALIZED_INTEREST_BOP",P$6,$F$2,,,Ccy,Conv)</f>
        <v>0</v>
      </c>
      <c r="Q1183" s="215"/>
      <c r="R1183" s="215"/>
      <c r="S1183" s="215"/>
      <c r="T1183" s="215"/>
      <c r="U1183" s="215"/>
      <c r="V1183" s="222"/>
      <c r="W1183" s="215"/>
      <c r="X1183" s="215"/>
      <c r="Y1183" s="215"/>
      <c r="Z1183" s="215"/>
      <c r="AA1183" s="215"/>
      <c r="AB1183" s="215"/>
      <c r="AC1183" s="215"/>
      <c r="AD1183" s="215"/>
      <c r="AE1183" s="215"/>
      <c r="AF1183" s="215"/>
      <c r="AG1183" s="215"/>
      <c r="AH1183" s="215"/>
      <c r="AI1183" s="215"/>
      <c r="AJ1183" s="215"/>
      <c r="AK1183" s="215"/>
      <c r="AL1183" s="215"/>
      <c r="AM1183" s="215"/>
      <c r="AN1183" s="215"/>
      <c r="AO1183" s="215"/>
      <c r="AP1183" s="215"/>
      <c r="AQ1183" s="215"/>
      <c r="AR1183" s="215"/>
      <c r="AS1183" s="215"/>
      <c r="AT1183" s="215"/>
      <c r="AU1183" s="215"/>
      <c r="AV1183" s="215"/>
      <c r="AW1183" s="215"/>
      <c r="AX1183" s="215"/>
      <c r="AY1183" s="215"/>
      <c r="AZ1183" s="215"/>
      <c r="BA1183" s="215"/>
      <c r="BB1183" s="215"/>
      <c r="BC1183" s="215"/>
      <c r="BD1183" s="215"/>
      <c r="BE1183" s="215"/>
      <c r="BF1183" s="215"/>
      <c r="BG1183" s="215"/>
      <c r="BH1183" s="215"/>
      <c r="BI1183" s="215"/>
      <c r="BJ1183" s="215"/>
      <c r="BK1183" s="215"/>
      <c r="BL1183" s="215"/>
      <c r="BM1183" s="215"/>
      <c r="BN1183" s="215"/>
      <c r="BO1183" s="215"/>
      <c r="BP1183" s="215"/>
      <c r="BQ1183" s="215"/>
      <c r="BR1183" s="215"/>
      <c r="BS1183" s="215"/>
      <c r="BT1183" s="215"/>
      <c r="BU1183" s="215"/>
      <c r="BV1183" s="215"/>
      <c r="BW1183" s="215"/>
      <c r="BX1183" s="215"/>
      <c r="BY1183" s="215"/>
      <c r="BZ1183" s="215"/>
    </row>
    <row r="1184" spans="1:78" outlineLevel="1" x14ac:dyDescent="0.2">
      <c r="A1184" s="53" t="str">
        <f>'Language Index'!A659</f>
        <v>Interest Capitalized, Expensed</v>
      </c>
      <c r="B1184" s="17"/>
      <c r="C1184" s="17"/>
      <c r="D1184" s="18">
        <f>_xll.ciqfunctions.udf.CIQ($C$2,"IQ_CAPITALIZED_INTEREST_EXP",D$6,$F$2,,,Ccy,Conv)</f>
        <v>0</v>
      </c>
      <c r="E1184" s="18">
        <f>_xll.ciqfunctions.udf.CIQ($C$2,"IQ_CAPITALIZED_INTEREST_EXP",E$6,$F$2,,,Ccy,Conv)</f>
        <v>0</v>
      </c>
      <c r="F1184" s="18">
        <f>_xll.ciqfunctions.udf.CIQ($C$2,"IQ_CAPITALIZED_INTEREST_EXP",F$6,$F$2,,,Ccy,Conv)</f>
        <v>0</v>
      </c>
      <c r="G1184" s="18">
        <f>_xll.ciqfunctions.udf.CIQ($C$2,"IQ_CAPITALIZED_INTEREST_EXP",G$6,$F$2,,,Ccy,Conv)</f>
        <v>0</v>
      </c>
      <c r="H1184" s="18">
        <f>_xll.ciqfunctions.udf.CIQ($C$2,"IQ_CAPITALIZED_INTEREST_EXP",H$6,$F$2,,,Ccy,Conv)</f>
        <v>0</v>
      </c>
      <c r="I1184" s="18">
        <f>_xll.ciqfunctions.udf.CIQ($C$2,"IQ_CAPITALIZED_INTEREST_EXP",I$6,$F$2,,,Ccy,Conv)</f>
        <v>0</v>
      </c>
      <c r="J1184" s="18">
        <f>_xll.ciqfunctions.udf.CIQ($C$2,"IQ_CAPITALIZED_INTEREST_EXP",J$6,$F$2,,,Ccy,Conv)</f>
        <v>0</v>
      </c>
      <c r="K1184" s="18">
        <f>_xll.ciqfunctions.udf.CIQ($C$2,"IQ_CAPITALIZED_INTEREST_EXP",K$6,$F$2,,,Ccy,Conv)</f>
        <v>0</v>
      </c>
      <c r="L1184" s="18">
        <f>_xll.ciqfunctions.udf.CIQ($C$2,"IQ_CAPITALIZED_INTEREST_EXP",L$6,$F$2,,,Ccy,Conv)</f>
        <v>0</v>
      </c>
      <c r="M1184" s="18">
        <f>_xll.ciqfunctions.udf.CIQ($C$2,"IQ_CAPITALIZED_INTEREST_EXP",M$6,$F$2,,,Ccy,Conv)</f>
        <v>0</v>
      </c>
      <c r="N1184" s="18">
        <f>_xll.ciqfunctions.udf.CIQ($C$2,"IQ_CAPITALIZED_INTEREST_EXP",N$6,$F$2,,,Ccy,Conv)</f>
        <v>0</v>
      </c>
      <c r="O1184" s="30"/>
      <c r="P1184" s="18">
        <f>_xll.ciqfunctions.udf.CIQ($C$2,"IQ_CAPITALIZED_INTEREST_EXP",P$6,$F$2,,,Ccy,Conv)</f>
        <v>0</v>
      </c>
      <c r="Q1184" s="215"/>
      <c r="R1184" s="215"/>
      <c r="S1184" s="215"/>
      <c r="T1184" s="215"/>
      <c r="U1184" s="215"/>
      <c r="V1184" s="222"/>
      <c r="W1184" s="215"/>
      <c r="X1184" s="215"/>
      <c r="Y1184" s="215"/>
      <c r="Z1184" s="215"/>
      <c r="AA1184" s="215"/>
      <c r="AB1184" s="215"/>
      <c r="AC1184" s="215"/>
      <c r="AD1184" s="215"/>
      <c r="AE1184" s="215"/>
      <c r="AF1184" s="215"/>
      <c r="AG1184" s="215"/>
      <c r="AH1184" s="215"/>
      <c r="AI1184" s="215"/>
      <c r="AJ1184" s="215"/>
      <c r="AK1184" s="215"/>
      <c r="AL1184" s="215"/>
      <c r="AM1184" s="215"/>
      <c r="AN1184" s="215"/>
      <c r="AO1184" s="215"/>
      <c r="AP1184" s="215"/>
      <c r="AQ1184" s="215"/>
      <c r="AR1184" s="215"/>
      <c r="AS1184" s="215"/>
      <c r="AT1184" s="215"/>
      <c r="AU1184" s="215"/>
      <c r="AV1184" s="215"/>
      <c r="AW1184" s="215"/>
      <c r="AX1184" s="215"/>
      <c r="AY1184" s="215"/>
      <c r="AZ1184" s="215"/>
      <c r="BA1184" s="215"/>
      <c r="BB1184" s="215"/>
      <c r="BC1184" s="215"/>
      <c r="BD1184" s="215"/>
      <c r="BE1184" s="215"/>
      <c r="BF1184" s="215"/>
      <c r="BG1184" s="215"/>
      <c r="BH1184" s="215"/>
      <c r="BI1184" s="215"/>
      <c r="BJ1184" s="215"/>
      <c r="BK1184" s="215"/>
      <c r="BL1184" s="215"/>
      <c r="BM1184" s="215"/>
      <c r="BN1184" s="215"/>
      <c r="BO1184" s="215"/>
      <c r="BP1184" s="215"/>
      <c r="BQ1184" s="215"/>
      <c r="BR1184" s="215"/>
      <c r="BS1184" s="215"/>
      <c r="BT1184" s="215"/>
      <c r="BU1184" s="215"/>
      <c r="BV1184" s="215"/>
      <c r="BW1184" s="215"/>
      <c r="BX1184" s="215"/>
      <c r="BY1184" s="215"/>
      <c r="BZ1184" s="215"/>
    </row>
    <row r="1185" spans="1:78" outlineLevel="1" x14ac:dyDescent="0.2">
      <c r="A1185" s="53" t="str">
        <f>'Language Index'!A660</f>
        <v>Interest Capitalized, Written-off</v>
      </c>
      <c r="B1185" s="17"/>
      <c r="C1185" s="17"/>
      <c r="D1185" s="18">
        <f>_xll.ciqfunctions.udf.CIQ($C$2,"IQ_CAPITALIZED_INTEREST_WRITE_OFF",D$6,$F$2,,,Ccy,Conv)</f>
        <v>0</v>
      </c>
      <c r="E1185" s="18">
        <f>_xll.ciqfunctions.udf.CIQ($C$2,"IQ_CAPITALIZED_INTEREST_WRITE_OFF",E$6,$F$2,,,Ccy,Conv)</f>
        <v>0</v>
      </c>
      <c r="F1185" s="18">
        <f>_xll.ciqfunctions.udf.CIQ($C$2,"IQ_CAPITALIZED_INTEREST_WRITE_OFF",F$6,$F$2,,,Ccy,Conv)</f>
        <v>0</v>
      </c>
      <c r="G1185" s="18">
        <f>_xll.ciqfunctions.udf.CIQ($C$2,"IQ_CAPITALIZED_INTEREST_WRITE_OFF",G$6,$F$2,,,Ccy,Conv)</f>
        <v>0</v>
      </c>
      <c r="H1185" s="18">
        <f>_xll.ciqfunctions.udf.CIQ($C$2,"IQ_CAPITALIZED_INTEREST_WRITE_OFF",H$6,$F$2,,,Ccy,Conv)</f>
        <v>0</v>
      </c>
      <c r="I1185" s="18">
        <f>_xll.ciqfunctions.udf.CIQ($C$2,"IQ_CAPITALIZED_INTEREST_WRITE_OFF",I$6,$F$2,,,Ccy,Conv)</f>
        <v>0</v>
      </c>
      <c r="J1185" s="18">
        <f>_xll.ciqfunctions.udf.CIQ($C$2,"IQ_CAPITALIZED_INTEREST_WRITE_OFF",J$6,$F$2,,,Ccy,Conv)</f>
        <v>0</v>
      </c>
      <c r="K1185" s="18">
        <f>_xll.ciqfunctions.udf.CIQ($C$2,"IQ_CAPITALIZED_INTEREST_WRITE_OFF",K$6,$F$2,,,Ccy,Conv)</f>
        <v>0</v>
      </c>
      <c r="L1185" s="18">
        <f>_xll.ciqfunctions.udf.CIQ($C$2,"IQ_CAPITALIZED_INTEREST_WRITE_OFF",L$6,$F$2,,,Ccy,Conv)</f>
        <v>0</v>
      </c>
      <c r="M1185" s="18">
        <f>_xll.ciqfunctions.udf.CIQ($C$2,"IQ_CAPITALIZED_INTEREST_WRITE_OFF",M$6,$F$2,,,Ccy,Conv)</f>
        <v>0</v>
      </c>
      <c r="N1185" s="18">
        <f>_xll.ciqfunctions.udf.CIQ($C$2,"IQ_CAPITALIZED_INTEREST_WRITE_OFF",N$6,$F$2,,,Ccy,Conv)</f>
        <v>0</v>
      </c>
      <c r="O1185" s="30"/>
      <c r="P1185" s="18">
        <f>_xll.ciqfunctions.udf.CIQ($C$2,"IQ_CAPITALIZED_INTEREST_WRITE_OFF",P$6,$F$2,,,Ccy,Conv)</f>
        <v>0</v>
      </c>
      <c r="Q1185" s="215"/>
      <c r="R1185" s="215"/>
      <c r="S1185" s="215"/>
      <c r="T1185" s="215"/>
      <c r="U1185" s="215"/>
      <c r="V1185" s="222"/>
      <c r="W1185" s="215"/>
      <c r="X1185" s="215"/>
      <c r="Y1185" s="215"/>
      <c r="Z1185" s="215"/>
      <c r="AA1185" s="215"/>
      <c r="AB1185" s="215"/>
      <c r="AC1185" s="215"/>
      <c r="AD1185" s="215"/>
      <c r="AE1185" s="215"/>
      <c r="AF1185" s="215"/>
      <c r="AG1185" s="215"/>
      <c r="AH1185" s="215"/>
      <c r="AI1185" s="215"/>
      <c r="AJ1185" s="215"/>
      <c r="AK1185" s="215"/>
      <c r="AL1185" s="215"/>
      <c r="AM1185" s="215"/>
      <c r="AN1185" s="215"/>
      <c r="AO1185" s="215"/>
      <c r="AP1185" s="215"/>
      <c r="AQ1185" s="215"/>
      <c r="AR1185" s="215"/>
      <c r="AS1185" s="215"/>
      <c r="AT1185" s="215"/>
      <c r="AU1185" s="215"/>
      <c r="AV1185" s="215"/>
      <c r="AW1185" s="215"/>
      <c r="AX1185" s="215"/>
      <c r="AY1185" s="215"/>
      <c r="AZ1185" s="215"/>
      <c r="BA1185" s="215"/>
      <c r="BB1185" s="215"/>
      <c r="BC1185" s="215"/>
      <c r="BD1185" s="215"/>
      <c r="BE1185" s="215"/>
      <c r="BF1185" s="215"/>
      <c r="BG1185" s="215"/>
      <c r="BH1185" s="215"/>
      <c r="BI1185" s="215"/>
      <c r="BJ1185" s="215"/>
      <c r="BK1185" s="215"/>
      <c r="BL1185" s="215"/>
      <c r="BM1185" s="215"/>
      <c r="BN1185" s="215"/>
      <c r="BO1185" s="215"/>
      <c r="BP1185" s="215"/>
      <c r="BQ1185" s="215"/>
      <c r="BR1185" s="215"/>
      <c r="BS1185" s="215"/>
      <c r="BT1185" s="215"/>
      <c r="BU1185" s="215"/>
      <c r="BV1185" s="215"/>
      <c r="BW1185" s="215"/>
      <c r="BX1185" s="215"/>
      <c r="BY1185" s="215"/>
      <c r="BZ1185" s="215"/>
    </row>
    <row r="1186" spans="1:78" outlineLevel="1" x14ac:dyDescent="0.2">
      <c r="A1186" s="53" t="str">
        <f>'Language Index'!A661</f>
        <v>Interest Capitalized, Other Adj.</v>
      </c>
      <c r="B1186" s="17"/>
      <c r="C1186" s="17"/>
      <c r="D1186" s="18">
        <f>_xll.ciqfunctions.udf.CIQ($C$2,"IQ_CAPITALIZED_INTEREST_OTHER_ADJ",D$6,$F$2,,,Ccy,Conv)</f>
        <v>0</v>
      </c>
      <c r="E1186" s="18">
        <f>_xll.ciqfunctions.udf.CIQ($C$2,"IQ_CAPITALIZED_INTEREST_OTHER_ADJ",E$6,$F$2,,,Ccy,Conv)</f>
        <v>0</v>
      </c>
      <c r="F1186" s="18">
        <f>_xll.ciqfunctions.udf.CIQ($C$2,"IQ_CAPITALIZED_INTEREST_OTHER_ADJ",F$6,$F$2,,,Ccy,Conv)</f>
        <v>0</v>
      </c>
      <c r="G1186" s="18">
        <f>_xll.ciqfunctions.udf.CIQ($C$2,"IQ_CAPITALIZED_INTEREST_OTHER_ADJ",G$6,$F$2,,,Ccy,Conv)</f>
        <v>0</v>
      </c>
      <c r="H1186" s="18">
        <f>_xll.ciqfunctions.udf.CIQ($C$2,"IQ_CAPITALIZED_INTEREST_OTHER_ADJ",H$6,$F$2,,,Ccy,Conv)</f>
        <v>0</v>
      </c>
      <c r="I1186" s="18">
        <f>_xll.ciqfunctions.udf.CIQ($C$2,"IQ_CAPITALIZED_INTEREST_OTHER_ADJ",I$6,$F$2,,,Ccy,Conv)</f>
        <v>0</v>
      </c>
      <c r="J1186" s="18">
        <f>_xll.ciqfunctions.udf.CIQ($C$2,"IQ_CAPITALIZED_INTEREST_OTHER_ADJ",J$6,$F$2,,,Ccy,Conv)</f>
        <v>0</v>
      </c>
      <c r="K1186" s="18">
        <f>_xll.ciqfunctions.udf.CIQ($C$2,"IQ_CAPITALIZED_INTEREST_OTHER_ADJ",K$6,$F$2,,,Ccy,Conv)</f>
        <v>0</v>
      </c>
      <c r="L1186" s="18">
        <f>_xll.ciqfunctions.udf.CIQ($C$2,"IQ_CAPITALIZED_INTEREST_OTHER_ADJ",L$6,$F$2,,,Ccy,Conv)</f>
        <v>0</v>
      </c>
      <c r="M1186" s="18">
        <f>_xll.ciqfunctions.udf.CIQ($C$2,"IQ_CAPITALIZED_INTEREST_OTHER_ADJ",M$6,$F$2,,,Ccy,Conv)</f>
        <v>0</v>
      </c>
      <c r="N1186" s="18">
        <f>_xll.ciqfunctions.udf.CIQ($C$2,"IQ_CAPITALIZED_INTEREST_OTHER_ADJ",N$6,$F$2,,,Ccy,Conv)</f>
        <v>0</v>
      </c>
      <c r="O1186" s="30"/>
      <c r="P1186" s="18">
        <f>_xll.ciqfunctions.udf.CIQ($C$2,"IQ_CAPITALIZED_INTEREST_OTHER_ADJ",P$6,$F$2,,,Ccy,Conv)</f>
        <v>0</v>
      </c>
      <c r="Q1186" s="215"/>
      <c r="R1186" s="215"/>
      <c r="S1186" s="215"/>
      <c r="T1186" s="215"/>
      <c r="U1186" s="215"/>
      <c r="V1186" s="222"/>
      <c r="W1186" s="215"/>
      <c r="X1186" s="215"/>
      <c r="Y1186" s="215"/>
      <c r="Z1186" s="215"/>
      <c r="AA1186" s="215"/>
      <c r="AB1186" s="215"/>
      <c r="AC1186" s="215"/>
      <c r="AD1186" s="215"/>
      <c r="AE1186" s="215"/>
      <c r="AF1186" s="215"/>
      <c r="AG1186" s="215"/>
      <c r="AH1186" s="215"/>
      <c r="AI1186" s="215"/>
      <c r="AJ1186" s="215"/>
      <c r="AK1186" s="215"/>
      <c r="AL1186" s="215"/>
      <c r="AM1186" s="215"/>
      <c r="AN1186" s="215"/>
      <c r="AO1186" s="215"/>
      <c r="AP1186" s="215"/>
      <c r="AQ1186" s="215"/>
      <c r="AR1186" s="215"/>
      <c r="AS1186" s="215"/>
      <c r="AT1186" s="215"/>
      <c r="AU1186" s="215"/>
      <c r="AV1186" s="215"/>
      <c r="AW1186" s="215"/>
      <c r="AX1186" s="215"/>
      <c r="AY1186" s="215"/>
      <c r="AZ1186" s="215"/>
      <c r="BA1186" s="215"/>
      <c r="BB1186" s="215"/>
      <c r="BC1186" s="215"/>
      <c r="BD1186" s="215"/>
      <c r="BE1186" s="215"/>
      <c r="BF1186" s="215"/>
      <c r="BG1186" s="215"/>
      <c r="BH1186" s="215"/>
      <c r="BI1186" s="215"/>
      <c r="BJ1186" s="215"/>
      <c r="BK1186" s="215"/>
      <c r="BL1186" s="215"/>
      <c r="BM1186" s="215"/>
      <c r="BN1186" s="215"/>
      <c r="BO1186" s="215"/>
      <c r="BP1186" s="215"/>
      <c r="BQ1186" s="215"/>
      <c r="BR1186" s="215"/>
      <c r="BS1186" s="215"/>
      <c r="BT1186" s="215"/>
      <c r="BU1186" s="215"/>
      <c r="BV1186" s="215"/>
      <c r="BW1186" s="215"/>
      <c r="BX1186" s="215"/>
      <c r="BY1186" s="215"/>
      <c r="BZ1186" s="215"/>
    </row>
    <row r="1187" spans="1:78" outlineLevel="1" x14ac:dyDescent="0.2">
      <c r="A1187" s="53" t="str">
        <f>'Language Index'!A662</f>
        <v>Interest Capitalized, End Of Period</v>
      </c>
      <c r="B1187" s="17"/>
      <c r="C1187" s="17"/>
      <c r="D1187" s="18">
        <f>_xll.ciqfunctions.udf.CIQ($C$2,"IQ_CAPITALIZED_INTEREST_EOP",D$6,$F$2,,,Ccy,Conv)</f>
        <v>0</v>
      </c>
      <c r="E1187" s="18">
        <f>_xll.ciqfunctions.udf.CIQ($C$2,"IQ_CAPITALIZED_INTEREST_EOP",E$6,$F$2,,,Ccy,Conv)</f>
        <v>0</v>
      </c>
      <c r="F1187" s="18">
        <f>_xll.ciqfunctions.udf.CIQ($C$2,"IQ_CAPITALIZED_INTEREST_EOP",F$6,$F$2,,,Ccy,Conv)</f>
        <v>0</v>
      </c>
      <c r="G1187" s="18">
        <f>_xll.ciqfunctions.udf.CIQ($C$2,"IQ_CAPITALIZED_INTEREST_EOP",G$6,$F$2,,,Ccy,Conv)</f>
        <v>0</v>
      </c>
      <c r="H1187" s="18">
        <f>_xll.ciqfunctions.udf.CIQ($C$2,"IQ_CAPITALIZED_INTEREST_EOP",H$6,$F$2,,,Ccy,Conv)</f>
        <v>0</v>
      </c>
      <c r="I1187" s="18">
        <f>_xll.ciqfunctions.udf.CIQ($C$2,"IQ_CAPITALIZED_INTEREST_EOP",I$6,$F$2,,,Ccy,Conv)</f>
        <v>0</v>
      </c>
      <c r="J1187" s="18">
        <f>_xll.ciqfunctions.udf.CIQ($C$2,"IQ_CAPITALIZED_INTEREST_EOP",J$6,$F$2,,,Ccy,Conv)</f>
        <v>0</v>
      </c>
      <c r="K1187" s="18">
        <f>_xll.ciqfunctions.udf.CIQ($C$2,"IQ_CAPITALIZED_INTEREST_EOP",K$6,$F$2,,,Ccy,Conv)</f>
        <v>0</v>
      </c>
      <c r="L1187" s="18">
        <f>_xll.ciqfunctions.udf.CIQ($C$2,"IQ_CAPITALIZED_INTEREST_EOP",L$6,$F$2,,,Ccy,Conv)</f>
        <v>0</v>
      </c>
      <c r="M1187" s="18">
        <f>_xll.ciqfunctions.udf.CIQ($C$2,"IQ_CAPITALIZED_INTEREST_EOP",M$6,$F$2,,,Ccy,Conv)</f>
        <v>0</v>
      </c>
      <c r="N1187" s="18">
        <f>_xll.ciqfunctions.udf.CIQ($C$2,"IQ_CAPITALIZED_INTEREST_EOP",N$6,$F$2,,,Ccy,Conv)</f>
        <v>0</v>
      </c>
      <c r="O1187" s="30"/>
      <c r="P1187" s="18">
        <f>_xll.ciqfunctions.udf.CIQ($C$2,"IQ_CAPITALIZED_INTEREST_EOP",P$6,$F$2,,,Ccy,Conv)</f>
        <v>0</v>
      </c>
      <c r="Q1187" s="215"/>
      <c r="R1187" s="215"/>
      <c r="S1187" s="215"/>
      <c r="T1187" s="215"/>
      <c r="U1187" s="215"/>
      <c r="V1187" s="222"/>
      <c r="W1187" s="215"/>
      <c r="X1187" s="215"/>
      <c r="Y1187" s="215"/>
      <c r="Z1187" s="215"/>
      <c r="AA1187" s="215"/>
      <c r="AB1187" s="215"/>
      <c r="AC1187" s="215"/>
      <c r="AD1187" s="215"/>
      <c r="AE1187" s="215"/>
      <c r="AF1187" s="215"/>
      <c r="AG1187" s="215"/>
      <c r="AH1187" s="215"/>
      <c r="AI1187" s="215"/>
      <c r="AJ1187" s="215"/>
      <c r="AK1187" s="215"/>
      <c r="AL1187" s="215"/>
      <c r="AM1187" s="215"/>
      <c r="AN1187" s="215"/>
      <c r="AO1187" s="215"/>
      <c r="AP1187" s="215"/>
      <c r="AQ1187" s="215"/>
      <c r="AR1187" s="215"/>
      <c r="AS1187" s="215"/>
      <c r="AT1187" s="215"/>
      <c r="AU1187" s="215"/>
      <c r="AV1187" s="215"/>
      <c r="AW1187" s="215"/>
      <c r="AX1187" s="215"/>
      <c r="AY1187" s="215"/>
      <c r="AZ1187" s="215"/>
      <c r="BA1187" s="215"/>
      <c r="BB1187" s="215"/>
      <c r="BC1187" s="215"/>
      <c r="BD1187" s="215"/>
      <c r="BE1187" s="215"/>
      <c r="BF1187" s="215"/>
      <c r="BG1187" s="215"/>
      <c r="BH1187" s="215"/>
      <c r="BI1187" s="215"/>
      <c r="BJ1187" s="215"/>
      <c r="BK1187" s="215"/>
      <c r="BL1187" s="215"/>
      <c r="BM1187" s="215"/>
      <c r="BN1187" s="215"/>
      <c r="BO1187" s="215"/>
      <c r="BP1187" s="215"/>
      <c r="BQ1187" s="215"/>
      <c r="BR1187" s="215"/>
      <c r="BS1187" s="215"/>
      <c r="BT1187" s="215"/>
      <c r="BU1187" s="215"/>
      <c r="BV1187" s="215"/>
      <c r="BW1187" s="215"/>
      <c r="BX1187" s="215"/>
      <c r="BY1187" s="215"/>
      <c r="BZ1187" s="215"/>
    </row>
    <row r="1188" spans="1:78" outlineLevel="1" x14ac:dyDescent="0.2">
      <c r="A1188" s="53"/>
      <c r="B1188" s="17"/>
      <c r="C1188" s="17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  <c r="N1188" s="18"/>
      <c r="O1188" s="30"/>
      <c r="P1188" s="18"/>
      <c r="Q1188" s="215"/>
      <c r="R1188" s="215"/>
      <c r="S1188" s="215"/>
      <c r="T1188" s="215"/>
      <c r="U1188" s="215"/>
      <c r="V1188" s="222"/>
      <c r="W1188" s="215"/>
      <c r="X1188" s="215"/>
      <c r="Y1188" s="215"/>
      <c r="Z1188" s="215"/>
      <c r="AA1188" s="215"/>
      <c r="AB1188" s="215"/>
      <c r="AC1188" s="215"/>
      <c r="AD1188" s="215"/>
      <c r="AE1188" s="215"/>
      <c r="AF1188" s="215"/>
      <c r="AG1188" s="215"/>
      <c r="AH1188" s="215"/>
      <c r="AI1188" s="215"/>
      <c r="AJ1188" s="215"/>
      <c r="AK1188" s="215"/>
      <c r="AL1188" s="215"/>
      <c r="AM1188" s="215"/>
      <c r="AN1188" s="215"/>
      <c r="AO1188" s="215"/>
      <c r="AP1188" s="215"/>
      <c r="AQ1188" s="215"/>
      <c r="AR1188" s="215"/>
      <c r="AS1188" s="215"/>
      <c r="AT1188" s="215"/>
      <c r="AU1188" s="215"/>
      <c r="AV1188" s="215"/>
      <c r="AW1188" s="215"/>
      <c r="AX1188" s="215"/>
      <c r="AY1188" s="215"/>
      <c r="AZ1188" s="215"/>
      <c r="BA1188" s="215"/>
      <c r="BB1188" s="215"/>
      <c r="BC1188" s="215"/>
      <c r="BD1188" s="215"/>
      <c r="BE1188" s="215"/>
      <c r="BF1188" s="215"/>
      <c r="BG1188" s="215"/>
      <c r="BH1188" s="215"/>
      <c r="BI1188" s="215"/>
      <c r="BJ1188" s="215"/>
      <c r="BK1188" s="215"/>
      <c r="BL1188" s="215"/>
      <c r="BM1188" s="215"/>
      <c r="BN1188" s="215"/>
      <c r="BO1188" s="215"/>
      <c r="BP1188" s="215"/>
      <c r="BQ1188" s="215"/>
      <c r="BR1188" s="215"/>
      <c r="BS1188" s="215"/>
      <c r="BT1188" s="215"/>
      <c r="BU1188" s="215"/>
      <c r="BV1188" s="215"/>
      <c r="BW1188" s="215"/>
      <c r="BX1188" s="215"/>
      <c r="BY1188" s="215"/>
      <c r="BZ1188" s="215"/>
    </row>
    <row r="1189" spans="1:78" outlineLevel="1" x14ac:dyDescent="0.2">
      <c r="A1189" s="9" t="str">
        <f>'Language Index'!A663</f>
        <v>Loss Carry Forward Related Items</v>
      </c>
      <c r="B1189" s="17"/>
      <c r="C1189" s="17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30"/>
      <c r="P1189" s="18"/>
      <c r="Q1189" s="215"/>
      <c r="R1189" s="215"/>
      <c r="S1189" s="215"/>
      <c r="T1189" s="215"/>
      <c r="U1189" s="215"/>
      <c r="V1189" s="222"/>
      <c r="W1189" s="215"/>
      <c r="X1189" s="215"/>
      <c r="Y1189" s="215"/>
      <c r="Z1189" s="215"/>
      <c r="AA1189" s="215"/>
      <c r="AB1189" s="215"/>
      <c r="AC1189" s="215"/>
      <c r="AD1189" s="215"/>
      <c r="AE1189" s="215"/>
      <c r="AF1189" s="215"/>
      <c r="AG1189" s="215"/>
      <c r="AH1189" s="215"/>
      <c r="AI1189" s="215"/>
      <c r="AJ1189" s="215"/>
      <c r="AK1189" s="215"/>
      <c r="AL1189" s="215"/>
      <c r="AM1189" s="215"/>
      <c r="AN1189" s="215"/>
      <c r="AO1189" s="215"/>
      <c r="AP1189" s="215"/>
      <c r="AQ1189" s="215"/>
      <c r="AR1189" s="215"/>
      <c r="AS1189" s="215"/>
      <c r="AT1189" s="215"/>
      <c r="AU1189" s="215"/>
      <c r="AV1189" s="215"/>
      <c r="AW1189" s="215"/>
      <c r="AX1189" s="215"/>
      <c r="AY1189" s="215"/>
      <c r="AZ1189" s="215"/>
      <c r="BA1189" s="215"/>
      <c r="BB1189" s="215"/>
      <c r="BC1189" s="215"/>
      <c r="BD1189" s="215"/>
      <c r="BE1189" s="215"/>
      <c r="BF1189" s="215"/>
      <c r="BG1189" s="215"/>
      <c r="BH1189" s="215"/>
      <c r="BI1189" s="215"/>
      <c r="BJ1189" s="215"/>
      <c r="BK1189" s="215"/>
      <c r="BL1189" s="215"/>
      <c r="BM1189" s="215"/>
      <c r="BN1189" s="215"/>
      <c r="BO1189" s="215"/>
      <c r="BP1189" s="215"/>
      <c r="BQ1189" s="215"/>
      <c r="BR1189" s="215"/>
      <c r="BS1189" s="215"/>
      <c r="BT1189" s="215"/>
      <c r="BU1189" s="215"/>
      <c r="BV1189" s="215"/>
      <c r="BW1189" s="215"/>
      <c r="BX1189" s="215"/>
      <c r="BY1189" s="215"/>
      <c r="BZ1189" s="215"/>
    </row>
    <row r="1190" spans="1:78" outlineLevel="1" x14ac:dyDescent="0.2">
      <c r="A1190" s="53" t="str">
        <f>'Language Index'!A664</f>
        <v>NOL C/F, Current Year</v>
      </c>
      <c r="B1190" s="17"/>
      <c r="C1190" s="17"/>
      <c r="D1190" s="18">
        <f>_xll.ciqfunctions.udf.CIQ($C$2,"IQ_NOL_CF_1YR",D$6,$F$2,,,Ccy,Conv)</f>
        <v>0</v>
      </c>
      <c r="E1190" s="18">
        <f>_xll.ciqfunctions.udf.CIQ($C$2,"IQ_NOL_CF_1YR",E$6,$F$2,,,Ccy,Conv)</f>
        <v>0</v>
      </c>
      <c r="F1190" s="18">
        <f>_xll.ciqfunctions.udf.CIQ($C$2,"IQ_NOL_CF_1YR",F$6,$F$2,,,Ccy,Conv)</f>
        <v>0</v>
      </c>
      <c r="G1190" s="18">
        <f>_xll.ciqfunctions.udf.CIQ($C$2,"IQ_NOL_CF_1YR",G$6,$F$2,,,Ccy,Conv)</f>
        <v>0</v>
      </c>
      <c r="H1190" s="18">
        <f>_xll.ciqfunctions.udf.CIQ($C$2,"IQ_NOL_CF_1YR",H$6,$F$2,,,Ccy,Conv)</f>
        <v>0</v>
      </c>
      <c r="I1190" s="18">
        <f>_xll.ciqfunctions.udf.CIQ($C$2,"IQ_NOL_CF_1YR",I$6,$F$2,,,Ccy,Conv)</f>
        <v>0</v>
      </c>
      <c r="J1190" s="18">
        <f>_xll.ciqfunctions.udf.CIQ($C$2,"IQ_NOL_CF_1YR",J$6,$F$2,,,Ccy,Conv)</f>
        <v>0</v>
      </c>
      <c r="K1190" s="18">
        <f>_xll.ciqfunctions.udf.CIQ($C$2,"IQ_NOL_CF_1YR",K$6,$F$2,,,Ccy,Conv)</f>
        <v>0</v>
      </c>
      <c r="L1190" s="18">
        <f>_xll.ciqfunctions.udf.CIQ($C$2,"IQ_NOL_CF_1YR",L$6,$F$2,,,Ccy,Conv)</f>
        <v>0</v>
      </c>
      <c r="M1190" s="18">
        <f>_xll.ciqfunctions.udf.CIQ($C$2,"IQ_NOL_CF_1YR",M$6,$F$2,,,Ccy,Conv)</f>
        <v>0</v>
      </c>
      <c r="N1190" s="18">
        <f>_xll.ciqfunctions.udf.CIQ($C$2,"IQ_NOL_CF_1YR",N$6,$F$2,,,Ccy,Conv)</f>
        <v>0</v>
      </c>
      <c r="O1190" s="30"/>
      <c r="P1190" s="18">
        <f>_xll.ciqfunctions.udf.CIQ($C$2,"IQ_NOL_CF_1YR",P$6,$F$2,,,Ccy,Conv)</f>
        <v>0</v>
      </c>
      <c r="Q1190" s="215"/>
      <c r="R1190" s="215"/>
      <c r="S1190" s="215"/>
      <c r="T1190" s="215"/>
      <c r="U1190" s="215"/>
      <c r="V1190" s="222"/>
      <c r="W1190" s="215"/>
      <c r="X1190" s="215"/>
      <c r="Y1190" s="215"/>
      <c r="Z1190" s="215"/>
      <c r="AA1190" s="215"/>
      <c r="AB1190" s="215"/>
      <c r="AC1190" s="215"/>
      <c r="AD1190" s="215"/>
      <c r="AE1190" s="215"/>
      <c r="AF1190" s="215"/>
      <c r="AG1190" s="215"/>
      <c r="AH1190" s="215"/>
      <c r="AI1190" s="215"/>
      <c r="AJ1190" s="215"/>
      <c r="AK1190" s="215"/>
      <c r="AL1190" s="215"/>
      <c r="AM1190" s="215"/>
      <c r="AN1190" s="215"/>
      <c r="AO1190" s="215"/>
      <c r="AP1190" s="215"/>
      <c r="AQ1190" s="215"/>
      <c r="AR1190" s="215"/>
      <c r="AS1190" s="215"/>
      <c r="AT1190" s="215"/>
      <c r="AU1190" s="215"/>
      <c r="AV1190" s="215"/>
      <c r="AW1190" s="215"/>
      <c r="AX1190" s="215"/>
      <c r="AY1190" s="215"/>
      <c r="AZ1190" s="215"/>
      <c r="BA1190" s="215"/>
      <c r="BB1190" s="215"/>
      <c r="BC1190" s="215"/>
      <c r="BD1190" s="215"/>
      <c r="BE1190" s="215"/>
      <c r="BF1190" s="215"/>
      <c r="BG1190" s="215"/>
      <c r="BH1190" s="215"/>
      <c r="BI1190" s="215"/>
      <c r="BJ1190" s="215"/>
      <c r="BK1190" s="215"/>
      <c r="BL1190" s="215"/>
      <c r="BM1190" s="215"/>
      <c r="BN1190" s="215"/>
      <c r="BO1190" s="215"/>
      <c r="BP1190" s="215"/>
      <c r="BQ1190" s="215"/>
      <c r="BR1190" s="215"/>
      <c r="BS1190" s="215"/>
      <c r="BT1190" s="215"/>
      <c r="BU1190" s="215"/>
      <c r="BV1190" s="215"/>
      <c r="BW1190" s="215"/>
      <c r="BX1190" s="215"/>
      <c r="BY1190" s="215"/>
      <c r="BZ1190" s="215"/>
    </row>
    <row r="1191" spans="1:78" outlineLevel="1" x14ac:dyDescent="0.2">
      <c r="A1191" s="53" t="str">
        <f>'Language Index'!A665</f>
        <v>NOL C/F, Current Year + 1</v>
      </c>
      <c r="B1191" s="17"/>
      <c r="C1191" s="17"/>
      <c r="D1191" s="18">
        <f>_xll.ciqfunctions.udf.CIQ($C$2,"IQ_NOL_CF_2YR",D$6,$F$2,,,Ccy,Conv)</f>
        <v>0</v>
      </c>
      <c r="E1191" s="18">
        <f>_xll.ciqfunctions.udf.CIQ($C$2,"IQ_NOL_CF_2YR",E$6,$F$2,,,Ccy,Conv)</f>
        <v>0</v>
      </c>
      <c r="F1191" s="18">
        <f>_xll.ciqfunctions.udf.CIQ($C$2,"IQ_NOL_CF_2YR",F$6,$F$2,,,Ccy,Conv)</f>
        <v>0</v>
      </c>
      <c r="G1191" s="18">
        <f>_xll.ciqfunctions.udf.CIQ($C$2,"IQ_NOL_CF_2YR",G$6,$F$2,,,Ccy,Conv)</f>
        <v>0</v>
      </c>
      <c r="H1191" s="18">
        <f>_xll.ciqfunctions.udf.CIQ($C$2,"IQ_NOL_CF_2YR",H$6,$F$2,,,Ccy,Conv)</f>
        <v>0</v>
      </c>
      <c r="I1191" s="18">
        <f>_xll.ciqfunctions.udf.CIQ($C$2,"IQ_NOL_CF_2YR",I$6,$F$2,,,Ccy,Conv)</f>
        <v>0</v>
      </c>
      <c r="J1191" s="18">
        <f>_xll.ciqfunctions.udf.CIQ($C$2,"IQ_NOL_CF_2YR",J$6,$F$2,,,Ccy,Conv)</f>
        <v>0</v>
      </c>
      <c r="K1191" s="18">
        <f>_xll.ciqfunctions.udf.CIQ($C$2,"IQ_NOL_CF_2YR",K$6,$F$2,,,Ccy,Conv)</f>
        <v>0</v>
      </c>
      <c r="L1191" s="18">
        <f>_xll.ciqfunctions.udf.CIQ($C$2,"IQ_NOL_CF_2YR",L$6,$F$2,,,Ccy,Conv)</f>
        <v>0</v>
      </c>
      <c r="M1191" s="18">
        <f>_xll.ciqfunctions.udf.CIQ($C$2,"IQ_NOL_CF_2YR",M$6,$F$2,,,Ccy,Conv)</f>
        <v>0</v>
      </c>
      <c r="N1191" s="18">
        <f>_xll.ciqfunctions.udf.CIQ($C$2,"IQ_NOL_CF_2YR",N$6,$F$2,,,Ccy,Conv)</f>
        <v>0</v>
      </c>
      <c r="O1191" s="30"/>
      <c r="P1191" s="18">
        <f>_xll.ciqfunctions.udf.CIQ($C$2,"IQ_NOL_CF_2YR",P$6,$F$2,,,Ccy,Conv)</f>
        <v>0</v>
      </c>
      <c r="Q1191" s="215"/>
      <c r="R1191" s="215"/>
      <c r="S1191" s="215"/>
      <c r="T1191" s="215"/>
      <c r="U1191" s="215"/>
      <c r="V1191" s="222"/>
      <c r="W1191" s="215"/>
      <c r="X1191" s="215"/>
      <c r="Y1191" s="215"/>
      <c r="Z1191" s="215"/>
      <c r="AA1191" s="215"/>
      <c r="AB1191" s="215"/>
      <c r="AC1191" s="215"/>
      <c r="AD1191" s="215"/>
      <c r="AE1191" s="215"/>
      <c r="AF1191" s="215"/>
      <c r="AG1191" s="215"/>
      <c r="AH1191" s="215"/>
      <c r="AI1191" s="215"/>
      <c r="AJ1191" s="215"/>
      <c r="AK1191" s="215"/>
      <c r="AL1191" s="215"/>
      <c r="AM1191" s="215"/>
      <c r="AN1191" s="215"/>
      <c r="AO1191" s="215"/>
      <c r="AP1191" s="215"/>
      <c r="AQ1191" s="215"/>
      <c r="AR1191" s="215"/>
      <c r="AS1191" s="215"/>
      <c r="AT1191" s="215"/>
      <c r="AU1191" s="215"/>
      <c r="AV1191" s="215"/>
      <c r="AW1191" s="215"/>
      <c r="AX1191" s="215"/>
      <c r="AY1191" s="215"/>
      <c r="AZ1191" s="215"/>
      <c r="BA1191" s="215"/>
      <c r="BB1191" s="215"/>
      <c r="BC1191" s="215"/>
      <c r="BD1191" s="215"/>
      <c r="BE1191" s="215"/>
      <c r="BF1191" s="215"/>
      <c r="BG1191" s="215"/>
      <c r="BH1191" s="215"/>
      <c r="BI1191" s="215"/>
      <c r="BJ1191" s="215"/>
      <c r="BK1191" s="215"/>
      <c r="BL1191" s="215"/>
      <c r="BM1191" s="215"/>
      <c r="BN1191" s="215"/>
      <c r="BO1191" s="215"/>
      <c r="BP1191" s="215"/>
      <c r="BQ1191" s="215"/>
      <c r="BR1191" s="215"/>
      <c r="BS1191" s="215"/>
      <c r="BT1191" s="215"/>
      <c r="BU1191" s="215"/>
      <c r="BV1191" s="215"/>
      <c r="BW1191" s="215"/>
      <c r="BX1191" s="215"/>
      <c r="BY1191" s="215"/>
      <c r="BZ1191" s="215"/>
    </row>
    <row r="1192" spans="1:78" outlineLevel="1" x14ac:dyDescent="0.2">
      <c r="A1192" s="53" t="str">
        <f>'Language Index'!A666</f>
        <v>NOL C/F, Current Year + 2</v>
      </c>
      <c r="B1192" s="17"/>
      <c r="C1192" s="17"/>
      <c r="D1192" s="18">
        <f>_xll.ciqfunctions.udf.CIQ($C$2,"IQ_NOL_CF_3YR",D$6,$F$2,,,Ccy,Conv)</f>
        <v>0</v>
      </c>
      <c r="E1192" s="18">
        <f>_xll.ciqfunctions.udf.CIQ($C$2,"IQ_NOL_CF_3YR",E$6,$F$2,,,Ccy,Conv)</f>
        <v>0</v>
      </c>
      <c r="F1192" s="18">
        <f>_xll.ciqfunctions.udf.CIQ($C$2,"IQ_NOL_CF_3YR",F$6,$F$2,,,Ccy,Conv)</f>
        <v>0</v>
      </c>
      <c r="G1192" s="18">
        <f>_xll.ciqfunctions.udf.CIQ($C$2,"IQ_NOL_CF_3YR",G$6,$F$2,,,Ccy,Conv)</f>
        <v>0</v>
      </c>
      <c r="H1192" s="18">
        <f>_xll.ciqfunctions.udf.CIQ($C$2,"IQ_NOL_CF_3YR",H$6,$F$2,,,Ccy,Conv)</f>
        <v>0</v>
      </c>
      <c r="I1192" s="18">
        <f>_xll.ciqfunctions.udf.CIQ($C$2,"IQ_NOL_CF_3YR",I$6,$F$2,,,Ccy,Conv)</f>
        <v>0</v>
      </c>
      <c r="J1192" s="18">
        <f>_xll.ciqfunctions.udf.CIQ($C$2,"IQ_NOL_CF_3YR",J$6,$F$2,,,Ccy,Conv)</f>
        <v>0</v>
      </c>
      <c r="K1192" s="18">
        <f>_xll.ciqfunctions.udf.CIQ($C$2,"IQ_NOL_CF_3YR",K$6,$F$2,,,Ccy,Conv)</f>
        <v>0</v>
      </c>
      <c r="L1192" s="18">
        <f>_xll.ciqfunctions.udf.CIQ($C$2,"IQ_NOL_CF_3YR",L$6,$F$2,,,Ccy,Conv)</f>
        <v>0</v>
      </c>
      <c r="M1192" s="18">
        <f>_xll.ciqfunctions.udf.CIQ($C$2,"IQ_NOL_CF_3YR",M$6,$F$2,,,Ccy,Conv)</f>
        <v>0</v>
      </c>
      <c r="N1192" s="18">
        <f>_xll.ciqfunctions.udf.CIQ($C$2,"IQ_NOL_CF_3YR",N$6,$F$2,,,Ccy,Conv)</f>
        <v>0</v>
      </c>
      <c r="O1192" s="30"/>
      <c r="P1192" s="18">
        <f>_xll.ciqfunctions.udf.CIQ($C$2,"IQ_NOL_CF_3YR",P$6,$F$2,,,Ccy,Conv)</f>
        <v>0</v>
      </c>
      <c r="Q1192" s="215"/>
      <c r="R1192" s="215"/>
      <c r="S1192" s="215"/>
      <c r="T1192" s="215"/>
      <c r="U1192" s="215"/>
      <c r="V1192" s="222"/>
      <c r="W1192" s="215"/>
      <c r="X1192" s="215"/>
      <c r="Y1192" s="215"/>
      <c r="Z1192" s="215"/>
      <c r="AA1192" s="215"/>
      <c r="AB1192" s="215"/>
      <c r="AC1192" s="215"/>
      <c r="AD1192" s="215"/>
      <c r="AE1192" s="215"/>
      <c r="AF1192" s="215"/>
      <c r="AG1192" s="215"/>
      <c r="AH1192" s="215"/>
      <c r="AI1192" s="215"/>
      <c r="AJ1192" s="215"/>
      <c r="AK1192" s="215"/>
      <c r="AL1192" s="215"/>
      <c r="AM1192" s="215"/>
      <c r="AN1192" s="215"/>
      <c r="AO1192" s="215"/>
      <c r="AP1192" s="215"/>
      <c r="AQ1192" s="215"/>
      <c r="AR1192" s="215"/>
      <c r="AS1192" s="215"/>
      <c r="AT1192" s="215"/>
      <c r="AU1192" s="215"/>
      <c r="AV1192" s="215"/>
      <c r="AW1192" s="215"/>
      <c r="AX1192" s="215"/>
      <c r="AY1192" s="215"/>
      <c r="AZ1192" s="215"/>
      <c r="BA1192" s="215"/>
      <c r="BB1192" s="215"/>
      <c r="BC1192" s="215"/>
      <c r="BD1192" s="215"/>
      <c r="BE1192" s="215"/>
      <c r="BF1192" s="215"/>
      <c r="BG1192" s="215"/>
      <c r="BH1192" s="215"/>
      <c r="BI1192" s="215"/>
      <c r="BJ1192" s="215"/>
      <c r="BK1192" s="215"/>
      <c r="BL1192" s="215"/>
      <c r="BM1192" s="215"/>
      <c r="BN1192" s="215"/>
      <c r="BO1192" s="215"/>
      <c r="BP1192" s="215"/>
      <c r="BQ1192" s="215"/>
      <c r="BR1192" s="215"/>
      <c r="BS1192" s="215"/>
      <c r="BT1192" s="215"/>
      <c r="BU1192" s="215"/>
      <c r="BV1192" s="215"/>
      <c r="BW1192" s="215"/>
      <c r="BX1192" s="215"/>
      <c r="BY1192" s="215"/>
      <c r="BZ1192" s="215"/>
    </row>
    <row r="1193" spans="1:78" outlineLevel="1" x14ac:dyDescent="0.2">
      <c r="A1193" s="53" t="str">
        <f>'Language Index'!A667</f>
        <v>NOL C/F, Current Year + 3</v>
      </c>
      <c r="B1193" s="17"/>
      <c r="C1193" s="17"/>
      <c r="D1193" s="18">
        <f>_xll.ciqfunctions.udf.CIQ($C$2,"IQ_NOL_CF_4YR",D$6,$F$2,,,Ccy,Conv)</f>
        <v>0</v>
      </c>
      <c r="E1193" s="18">
        <f>_xll.ciqfunctions.udf.CIQ($C$2,"IQ_NOL_CF_4YR",E$6,$F$2,,,Ccy,Conv)</f>
        <v>0</v>
      </c>
      <c r="F1193" s="18">
        <f>_xll.ciqfunctions.udf.CIQ($C$2,"IQ_NOL_CF_4YR",F$6,$F$2,,,Ccy,Conv)</f>
        <v>0</v>
      </c>
      <c r="G1193" s="18">
        <f>_xll.ciqfunctions.udf.CIQ($C$2,"IQ_NOL_CF_4YR",G$6,$F$2,,,Ccy,Conv)</f>
        <v>0</v>
      </c>
      <c r="H1193" s="18">
        <f>_xll.ciqfunctions.udf.CIQ($C$2,"IQ_NOL_CF_4YR",H$6,$F$2,,,Ccy,Conv)</f>
        <v>0</v>
      </c>
      <c r="I1193" s="18">
        <f>_xll.ciqfunctions.udf.CIQ($C$2,"IQ_NOL_CF_4YR",I$6,$F$2,,,Ccy,Conv)</f>
        <v>0</v>
      </c>
      <c r="J1193" s="18">
        <f>_xll.ciqfunctions.udf.CIQ($C$2,"IQ_NOL_CF_4YR",J$6,$F$2,,,Ccy,Conv)</f>
        <v>0</v>
      </c>
      <c r="K1193" s="18">
        <f>_xll.ciqfunctions.udf.CIQ($C$2,"IQ_NOL_CF_4YR",K$6,$F$2,,,Ccy,Conv)</f>
        <v>0</v>
      </c>
      <c r="L1193" s="18">
        <f>_xll.ciqfunctions.udf.CIQ($C$2,"IQ_NOL_CF_4YR",L$6,$F$2,,,Ccy,Conv)</f>
        <v>0</v>
      </c>
      <c r="M1193" s="18">
        <f>_xll.ciqfunctions.udf.CIQ($C$2,"IQ_NOL_CF_4YR",M$6,$F$2,,,Ccy,Conv)</f>
        <v>0</v>
      </c>
      <c r="N1193" s="18">
        <f>_xll.ciqfunctions.udf.CIQ($C$2,"IQ_NOL_CF_4YR",N$6,$F$2,,,Ccy,Conv)</f>
        <v>0</v>
      </c>
      <c r="O1193" s="30"/>
      <c r="P1193" s="18">
        <f>_xll.ciqfunctions.udf.CIQ($C$2,"IQ_NOL_CF_4YR",P$6,$F$2,,,Ccy,Conv)</f>
        <v>0</v>
      </c>
      <c r="Q1193" s="215"/>
      <c r="R1193" s="215"/>
      <c r="S1193" s="215"/>
      <c r="T1193" s="215"/>
      <c r="U1193" s="215"/>
      <c r="V1193" s="222"/>
      <c r="W1193" s="215"/>
      <c r="X1193" s="215"/>
      <c r="Y1193" s="215"/>
      <c r="Z1193" s="215"/>
      <c r="AA1193" s="215"/>
      <c r="AB1193" s="215"/>
      <c r="AC1193" s="215"/>
      <c r="AD1193" s="215"/>
      <c r="AE1193" s="215"/>
      <c r="AF1193" s="215"/>
      <c r="AG1193" s="215"/>
      <c r="AH1193" s="215"/>
      <c r="AI1193" s="215"/>
      <c r="AJ1193" s="215"/>
      <c r="AK1193" s="215"/>
      <c r="AL1193" s="215"/>
      <c r="AM1193" s="215"/>
      <c r="AN1193" s="215"/>
      <c r="AO1193" s="215"/>
      <c r="AP1193" s="215"/>
      <c r="AQ1193" s="215"/>
      <c r="AR1193" s="215"/>
      <c r="AS1193" s="215"/>
      <c r="AT1193" s="215"/>
      <c r="AU1193" s="215"/>
      <c r="AV1193" s="215"/>
      <c r="AW1193" s="215"/>
      <c r="AX1193" s="215"/>
      <c r="AY1193" s="215"/>
      <c r="AZ1193" s="215"/>
      <c r="BA1193" s="215"/>
      <c r="BB1193" s="215"/>
      <c r="BC1193" s="215"/>
      <c r="BD1193" s="215"/>
      <c r="BE1193" s="215"/>
      <c r="BF1193" s="215"/>
      <c r="BG1193" s="215"/>
      <c r="BH1193" s="215"/>
      <c r="BI1193" s="215"/>
      <c r="BJ1193" s="215"/>
      <c r="BK1193" s="215"/>
      <c r="BL1193" s="215"/>
      <c r="BM1193" s="215"/>
      <c r="BN1193" s="215"/>
      <c r="BO1193" s="215"/>
      <c r="BP1193" s="215"/>
      <c r="BQ1193" s="215"/>
      <c r="BR1193" s="215"/>
      <c r="BS1193" s="215"/>
      <c r="BT1193" s="215"/>
      <c r="BU1193" s="215"/>
      <c r="BV1193" s="215"/>
      <c r="BW1193" s="215"/>
      <c r="BX1193" s="215"/>
      <c r="BY1193" s="215"/>
      <c r="BZ1193" s="215"/>
    </row>
    <row r="1194" spans="1:78" outlineLevel="1" x14ac:dyDescent="0.2">
      <c r="A1194" s="53" t="str">
        <f>'Language Index'!A668</f>
        <v>NOL C/F, Current Year + 4</v>
      </c>
      <c r="B1194" s="17"/>
      <c r="C1194" s="17"/>
      <c r="D1194" s="18">
        <f>_xll.ciqfunctions.udf.CIQ($C$2,"IQ_NOL_CF_5YR",D$6,$F$2,,,Ccy,Conv)</f>
        <v>0</v>
      </c>
      <c r="E1194" s="18">
        <f>_xll.ciqfunctions.udf.CIQ($C$2,"IQ_NOL_CF_5YR",E$6,$F$2,,,Ccy,Conv)</f>
        <v>0</v>
      </c>
      <c r="F1194" s="18">
        <f>_xll.ciqfunctions.udf.CIQ($C$2,"IQ_NOL_CF_5YR",F$6,$F$2,,,Ccy,Conv)</f>
        <v>0</v>
      </c>
      <c r="G1194" s="18">
        <f>_xll.ciqfunctions.udf.CIQ($C$2,"IQ_NOL_CF_5YR",G$6,$F$2,,,Ccy,Conv)</f>
        <v>0</v>
      </c>
      <c r="H1194" s="18">
        <f>_xll.ciqfunctions.udf.CIQ($C$2,"IQ_NOL_CF_5YR",H$6,$F$2,,,Ccy,Conv)</f>
        <v>0</v>
      </c>
      <c r="I1194" s="18">
        <f>_xll.ciqfunctions.udf.CIQ($C$2,"IQ_NOL_CF_5YR",I$6,$F$2,,,Ccy,Conv)</f>
        <v>0</v>
      </c>
      <c r="J1194" s="18">
        <f>_xll.ciqfunctions.udf.CIQ($C$2,"IQ_NOL_CF_5YR",J$6,$F$2,,,Ccy,Conv)</f>
        <v>0</v>
      </c>
      <c r="K1194" s="18">
        <f>_xll.ciqfunctions.udf.CIQ($C$2,"IQ_NOL_CF_5YR",K$6,$F$2,,,Ccy,Conv)</f>
        <v>0</v>
      </c>
      <c r="L1194" s="18">
        <f>_xll.ciqfunctions.udf.CIQ($C$2,"IQ_NOL_CF_5YR",L$6,$F$2,,,Ccy,Conv)</f>
        <v>0</v>
      </c>
      <c r="M1194" s="18">
        <f>_xll.ciqfunctions.udf.CIQ($C$2,"IQ_NOL_CF_5YR",M$6,$F$2,,,Ccy,Conv)</f>
        <v>0</v>
      </c>
      <c r="N1194" s="18">
        <f>_xll.ciqfunctions.udf.CIQ($C$2,"IQ_NOL_CF_5YR",N$6,$F$2,,,Ccy,Conv)</f>
        <v>0</v>
      </c>
      <c r="O1194" s="30"/>
      <c r="P1194" s="18">
        <f>_xll.ciqfunctions.udf.CIQ($C$2,"IQ_NOL_CF_5YR",P$6,$F$2,,,Ccy,Conv)</f>
        <v>0</v>
      </c>
      <c r="Q1194" s="215"/>
      <c r="R1194" s="215"/>
      <c r="S1194" s="215"/>
      <c r="T1194" s="215"/>
      <c r="U1194" s="215"/>
      <c r="V1194" s="222"/>
      <c r="W1194" s="215"/>
      <c r="X1194" s="215"/>
      <c r="Y1194" s="215"/>
      <c r="Z1194" s="215"/>
      <c r="AA1194" s="215"/>
      <c r="AB1194" s="215"/>
      <c r="AC1194" s="215"/>
      <c r="AD1194" s="215"/>
      <c r="AE1194" s="215"/>
      <c r="AF1194" s="215"/>
      <c r="AG1194" s="215"/>
      <c r="AH1194" s="215"/>
      <c r="AI1194" s="215"/>
      <c r="AJ1194" s="215"/>
      <c r="AK1194" s="215"/>
      <c r="AL1194" s="215"/>
      <c r="AM1194" s="215"/>
      <c r="AN1194" s="215"/>
      <c r="AO1194" s="215"/>
      <c r="AP1194" s="215"/>
      <c r="AQ1194" s="215"/>
      <c r="AR1194" s="215"/>
      <c r="AS1194" s="215"/>
      <c r="AT1194" s="215"/>
      <c r="AU1194" s="215"/>
      <c r="AV1194" s="215"/>
      <c r="AW1194" s="215"/>
      <c r="AX1194" s="215"/>
      <c r="AY1194" s="215"/>
      <c r="AZ1194" s="215"/>
      <c r="BA1194" s="215"/>
      <c r="BB1194" s="215"/>
      <c r="BC1194" s="215"/>
      <c r="BD1194" s="215"/>
      <c r="BE1194" s="215"/>
      <c r="BF1194" s="215"/>
      <c r="BG1194" s="215"/>
      <c r="BH1194" s="215"/>
      <c r="BI1194" s="215"/>
      <c r="BJ1194" s="215"/>
      <c r="BK1194" s="215"/>
      <c r="BL1194" s="215"/>
      <c r="BM1194" s="215"/>
      <c r="BN1194" s="215"/>
      <c r="BO1194" s="215"/>
      <c r="BP1194" s="215"/>
      <c r="BQ1194" s="215"/>
      <c r="BR1194" s="215"/>
      <c r="BS1194" s="215"/>
      <c r="BT1194" s="215"/>
      <c r="BU1194" s="215"/>
      <c r="BV1194" s="215"/>
      <c r="BW1194" s="215"/>
      <c r="BX1194" s="215"/>
      <c r="BY1194" s="215"/>
      <c r="BZ1194" s="215"/>
    </row>
    <row r="1195" spans="1:78" outlineLevel="1" x14ac:dyDescent="0.2">
      <c r="A1195" s="53" t="str">
        <f>'Language Index'!A669</f>
        <v>NOL C/F, After Five Years</v>
      </c>
      <c r="B1195" s="17"/>
      <c r="C1195" s="17"/>
      <c r="D1195" s="18">
        <f>_xll.ciqfunctions.udf.CIQ($C$2,"IQ_NOL_CF_AFTER_FIVE",D$6,$F$2,,,Ccy,Conv)</f>
        <v>0</v>
      </c>
      <c r="E1195" s="18">
        <f>_xll.ciqfunctions.udf.CIQ($C$2,"IQ_NOL_CF_AFTER_FIVE",E$6,$F$2,,,Ccy,Conv)</f>
        <v>0</v>
      </c>
      <c r="F1195" s="18">
        <f>_xll.ciqfunctions.udf.CIQ($C$2,"IQ_NOL_CF_AFTER_FIVE",F$6,$F$2,,,Ccy,Conv)</f>
        <v>0</v>
      </c>
      <c r="G1195" s="18">
        <f>_xll.ciqfunctions.udf.CIQ($C$2,"IQ_NOL_CF_AFTER_FIVE",G$6,$F$2,,,Ccy,Conv)</f>
        <v>0</v>
      </c>
      <c r="H1195" s="18">
        <f>_xll.ciqfunctions.udf.CIQ($C$2,"IQ_NOL_CF_AFTER_FIVE",H$6,$F$2,,,Ccy,Conv)</f>
        <v>0</v>
      </c>
      <c r="I1195" s="18">
        <f>_xll.ciqfunctions.udf.CIQ($C$2,"IQ_NOL_CF_AFTER_FIVE",I$6,$F$2,,,Ccy,Conv)</f>
        <v>0</v>
      </c>
      <c r="J1195" s="18">
        <f>_xll.ciqfunctions.udf.CIQ($C$2,"IQ_NOL_CF_AFTER_FIVE",J$6,$F$2,,,Ccy,Conv)</f>
        <v>0</v>
      </c>
      <c r="K1195" s="18">
        <f>_xll.ciqfunctions.udf.CIQ($C$2,"IQ_NOL_CF_AFTER_FIVE",K$6,$F$2,,,Ccy,Conv)</f>
        <v>0</v>
      </c>
      <c r="L1195" s="18">
        <f>_xll.ciqfunctions.udf.CIQ($C$2,"IQ_NOL_CF_AFTER_FIVE",L$6,$F$2,,,Ccy,Conv)</f>
        <v>0</v>
      </c>
      <c r="M1195" s="18">
        <f>_xll.ciqfunctions.udf.CIQ($C$2,"IQ_NOL_CF_AFTER_FIVE",M$6,$F$2,,,Ccy,Conv)</f>
        <v>0</v>
      </c>
      <c r="N1195" s="18">
        <f>_xll.ciqfunctions.udf.CIQ($C$2,"IQ_NOL_CF_AFTER_FIVE",N$6,$F$2,,,Ccy,Conv)</f>
        <v>0</v>
      </c>
      <c r="O1195" s="30"/>
      <c r="P1195" s="18">
        <f>_xll.ciqfunctions.udf.CIQ($C$2,"IQ_NOL_CF_AFTER_FIVE",P$6,$F$2,,,Ccy,Conv)</f>
        <v>0</v>
      </c>
      <c r="Q1195" s="215"/>
      <c r="R1195" s="215"/>
      <c r="S1195" s="215"/>
      <c r="T1195" s="215"/>
      <c r="U1195" s="215"/>
      <c r="V1195" s="222"/>
      <c r="W1195" s="215"/>
      <c r="X1195" s="215"/>
      <c r="Y1195" s="215"/>
      <c r="Z1195" s="215"/>
      <c r="AA1195" s="215"/>
      <c r="AB1195" s="215"/>
      <c r="AC1195" s="215"/>
      <c r="AD1195" s="215"/>
      <c r="AE1195" s="215"/>
      <c r="AF1195" s="215"/>
      <c r="AG1195" s="215"/>
      <c r="AH1195" s="215"/>
      <c r="AI1195" s="215"/>
      <c r="AJ1195" s="215"/>
      <c r="AK1195" s="215"/>
      <c r="AL1195" s="215"/>
      <c r="AM1195" s="215"/>
      <c r="AN1195" s="215"/>
      <c r="AO1195" s="215"/>
      <c r="AP1195" s="215"/>
      <c r="AQ1195" s="215"/>
      <c r="AR1195" s="215"/>
      <c r="AS1195" s="215"/>
      <c r="AT1195" s="215"/>
      <c r="AU1195" s="215"/>
      <c r="AV1195" s="215"/>
      <c r="AW1195" s="215"/>
      <c r="AX1195" s="215"/>
      <c r="AY1195" s="215"/>
      <c r="AZ1195" s="215"/>
      <c r="BA1195" s="215"/>
      <c r="BB1195" s="215"/>
      <c r="BC1195" s="215"/>
      <c r="BD1195" s="215"/>
      <c r="BE1195" s="215"/>
      <c r="BF1195" s="215"/>
      <c r="BG1195" s="215"/>
      <c r="BH1195" s="215"/>
      <c r="BI1195" s="215"/>
      <c r="BJ1195" s="215"/>
      <c r="BK1195" s="215"/>
      <c r="BL1195" s="215"/>
      <c r="BM1195" s="215"/>
      <c r="BN1195" s="215"/>
      <c r="BO1195" s="215"/>
      <c r="BP1195" s="215"/>
      <c r="BQ1195" s="215"/>
      <c r="BR1195" s="215"/>
      <c r="BS1195" s="215"/>
      <c r="BT1195" s="215"/>
      <c r="BU1195" s="215"/>
      <c r="BV1195" s="215"/>
      <c r="BW1195" s="215"/>
      <c r="BX1195" s="215"/>
      <c r="BY1195" s="215"/>
      <c r="BZ1195" s="215"/>
    </row>
    <row r="1196" spans="1:78" outlineLevel="1" x14ac:dyDescent="0.2">
      <c r="A1196" s="53" t="str">
        <f>'Language Index'!A670</f>
        <v>NOL C/F, No Expiration</v>
      </c>
      <c r="B1196" s="17"/>
      <c r="C1196" s="17"/>
      <c r="D1196" s="18">
        <f>_xll.ciqfunctions.udf.CIQ($C$2,"IQ_NOL_CF_NO_EXP",D$6,$F$2,,,Ccy,Conv)</f>
        <v>0</v>
      </c>
      <c r="E1196" s="18">
        <f>_xll.ciqfunctions.udf.CIQ($C$2,"IQ_NOL_CF_NO_EXP",E$6,$F$2,,,Ccy,Conv)</f>
        <v>0</v>
      </c>
      <c r="F1196" s="18">
        <f>_xll.ciqfunctions.udf.CIQ($C$2,"IQ_NOL_CF_NO_EXP",F$6,$F$2,,,Ccy,Conv)</f>
        <v>0</v>
      </c>
      <c r="G1196" s="18">
        <f>_xll.ciqfunctions.udf.CIQ($C$2,"IQ_NOL_CF_NO_EXP",G$6,$F$2,,,Ccy,Conv)</f>
        <v>0</v>
      </c>
      <c r="H1196" s="18">
        <f>_xll.ciqfunctions.udf.CIQ($C$2,"IQ_NOL_CF_NO_EXP",H$6,$F$2,,,Ccy,Conv)</f>
        <v>0</v>
      </c>
      <c r="I1196" s="18">
        <f>_xll.ciqfunctions.udf.CIQ($C$2,"IQ_NOL_CF_NO_EXP",I$6,$F$2,,,Ccy,Conv)</f>
        <v>0</v>
      </c>
      <c r="J1196" s="18">
        <f>_xll.ciqfunctions.udf.CIQ($C$2,"IQ_NOL_CF_NO_EXP",J$6,$F$2,,,Ccy,Conv)</f>
        <v>0</v>
      </c>
      <c r="K1196" s="18">
        <f>_xll.ciqfunctions.udf.CIQ($C$2,"IQ_NOL_CF_NO_EXP",K$6,$F$2,,,Ccy,Conv)</f>
        <v>0</v>
      </c>
      <c r="L1196" s="18">
        <f>_xll.ciqfunctions.udf.CIQ($C$2,"IQ_NOL_CF_NO_EXP",L$6,$F$2,,,Ccy,Conv)</f>
        <v>0</v>
      </c>
      <c r="M1196" s="18">
        <f>_xll.ciqfunctions.udf.CIQ($C$2,"IQ_NOL_CF_NO_EXP",M$6,$F$2,,,Ccy,Conv)</f>
        <v>0</v>
      </c>
      <c r="N1196" s="18">
        <f>_xll.ciqfunctions.udf.CIQ($C$2,"IQ_NOL_CF_NO_EXP",N$6,$F$2,,,Ccy,Conv)</f>
        <v>0</v>
      </c>
      <c r="O1196" s="30"/>
      <c r="P1196" s="18">
        <f>_xll.ciqfunctions.udf.CIQ($C$2,"IQ_NOL_CF_NO_EXP",P$6,$F$2,,,Ccy,Conv)</f>
        <v>0</v>
      </c>
      <c r="Q1196" s="215"/>
      <c r="R1196" s="215"/>
      <c r="S1196" s="215"/>
      <c r="T1196" s="215"/>
      <c r="U1196" s="215"/>
      <c r="V1196" s="222"/>
      <c r="W1196" s="215"/>
      <c r="X1196" s="215"/>
      <c r="Y1196" s="215"/>
      <c r="Z1196" s="215"/>
      <c r="AA1196" s="215"/>
      <c r="AB1196" s="215"/>
      <c r="AC1196" s="215"/>
      <c r="AD1196" s="215"/>
      <c r="AE1196" s="215"/>
      <c r="AF1196" s="215"/>
      <c r="AG1196" s="215"/>
      <c r="AH1196" s="215"/>
      <c r="AI1196" s="215"/>
      <c r="AJ1196" s="215"/>
      <c r="AK1196" s="215"/>
      <c r="AL1196" s="215"/>
      <c r="AM1196" s="215"/>
      <c r="AN1196" s="215"/>
      <c r="AO1196" s="215"/>
      <c r="AP1196" s="215"/>
      <c r="AQ1196" s="215"/>
      <c r="AR1196" s="215"/>
      <c r="AS1196" s="215"/>
      <c r="AT1196" s="215"/>
      <c r="AU1196" s="215"/>
      <c r="AV1196" s="215"/>
      <c r="AW1196" s="215"/>
      <c r="AX1196" s="215"/>
      <c r="AY1196" s="215"/>
      <c r="AZ1196" s="215"/>
      <c r="BA1196" s="215"/>
      <c r="BB1196" s="215"/>
      <c r="BC1196" s="215"/>
      <c r="BD1196" s="215"/>
      <c r="BE1196" s="215"/>
      <c r="BF1196" s="215"/>
      <c r="BG1196" s="215"/>
      <c r="BH1196" s="215"/>
      <c r="BI1196" s="215"/>
      <c r="BJ1196" s="215"/>
      <c r="BK1196" s="215"/>
      <c r="BL1196" s="215"/>
      <c r="BM1196" s="215"/>
      <c r="BN1196" s="215"/>
      <c r="BO1196" s="215"/>
      <c r="BP1196" s="215"/>
      <c r="BQ1196" s="215"/>
      <c r="BR1196" s="215"/>
      <c r="BS1196" s="215"/>
      <c r="BT1196" s="215"/>
      <c r="BU1196" s="215"/>
      <c r="BV1196" s="215"/>
      <c r="BW1196" s="215"/>
      <c r="BX1196" s="215"/>
      <c r="BY1196" s="215"/>
      <c r="BZ1196" s="215"/>
    </row>
    <row r="1197" spans="1:78" outlineLevel="1" x14ac:dyDescent="0.2">
      <c r="A1197" s="53" t="str">
        <f>'Language Index'!A671</f>
        <v>Total NOL C/F</v>
      </c>
      <c r="B1197" s="17"/>
      <c r="C1197" s="17"/>
      <c r="D1197" s="18">
        <f>_xll.ciqfunctions.udf.CIQ($C$2,"IQ_NOL_CF_TOTAL",D$6,$F$2,,,Ccy,Conv)</f>
        <v>0</v>
      </c>
      <c r="E1197" s="18">
        <f>_xll.ciqfunctions.udf.CIQ($C$2,"IQ_NOL_CF_TOTAL",E$6,$F$2,,,Ccy,Conv)</f>
        <v>0</v>
      </c>
      <c r="F1197" s="18">
        <f>_xll.ciqfunctions.udf.CIQ($C$2,"IQ_NOL_CF_TOTAL",F$6,$F$2,,,Ccy,Conv)</f>
        <v>0</v>
      </c>
      <c r="G1197" s="18">
        <f>_xll.ciqfunctions.udf.CIQ($C$2,"IQ_NOL_CF_TOTAL",G$6,$F$2,,,Ccy,Conv)</f>
        <v>0</v>
      </c>
      <c r="H1197" s="18">
        <f>_xll.ciqfunctions.udf.CIQ($C$2,"IQ_NOL_CF_TOTAL",H$6,$F$2,,,Ccy,Conv)</f>
        <v>0</v>
      </c>
      <c r="I1197" s="18">
        <f>_xll.ciqfunctions.udf.CIQ($C$2,"IQ_NOL_CF_TOTAL",I$6,$F$2,,,Ccy,Conv)</f>
        <v>0</v>
      </c>
      <c r="J1197" s="18">
        <f>_xll.ciqfunctions.udf.CIQ($C$2,"IQ_NOL_CF_TOTAL",J$6,$F$2,,,Ccy,Conv)</f>
        <v>0</v>
      </c>
      <c r="K1197" s="18">
        <f>_xll.ciqfunctions.udf.CIQ($C$2,"IQ_NOL_CF_TOTAL",K$6,$F$2,,,Ccy,Conv)</f>
        <v>0</v>
      </c>
      <c r="L1197" s="18">
        <f>_xll.ciqfunctions.udf.CIQ($C$2,"IQ_NOL_CF_TOTAL",L$6,$F$2,,,Ccy,Conv)</f>
        <v>0</v>
      </c>
      <c r="M1197" s="18">
        <f>_xll.ciqfunctions.udf.CIQ($C$2,"IQ_NOL_CF_TOTAL",M$6,$F$2,,,Ccy,Conv)</f>
        <v>0</v>
      </c>
      <c r="N1197" s="18">
        <f>_xll.ciqfunctions.udf.CIQ($C$2,"IQ_NOL_CF_TOTAL",N$6,$F$2,,,Ccy,Conv)</f>
        <v>0</v>
      </c>
      <c r="O1197" s="30"/>
      <c r="P1197" s="18">
        <f>_xll.ciqfunctions.udf.CIQ($C$2,"IQ_NOL_CF_TOTAL",P$6,$F$2,,,Ccy,Conv)</f>
        <v>0</v>
      </c>
      <c r="Q1197" s="215"/>
      <c r="R1197" s="215"/>
      <c r="S1197" s="215"/>
      <c r="T1197" s="215"/>
      <c r="U1197" s="215"/>
      <c r="V1197" s="222"/>
      <c r="W1197" s="215"/>
      <c r="X1197" s="215"/>
      <c r="Y1197" s="215"/>
      <c r="Z1197" s="215"/>
      <c r="AA1197" s="215"/>
      <c r="AB1197" s="215"/>
      <c r="AC1197" s="215"/>
      <c r="AD1197" s="215"/>
      <c r="AE1197" s="215"/>
      <c r="AF1197" s="215"/>
      <c r="AG1197" s="215"/>
      <c r="AH1197" s="215"/>
      <c r="AI1197" s="215"/>
      <c r="AJ1197" s="215"/>
      <c r="AK1197" s="215"/>
      <c r="AL1197" s="215"/>
      <c r="AM1197" s="215"/>
      <c r="AN1197" s="215"/>
      <c r="AO1197" s="215"/>
      <c r="AP1197" s="215"/>
      <c r="AQ1197" s="215"/>
      <c r="AR1197" s="215"/>
      <c r="AS1197" s="215"/>
      <c r="AT1197" s="215"/>
      <c r="AU1197" s="215"/>
      <c r="AV1197" s="215"/>
      <c r="AW1197" s="215"/>
      <c r="AX1197" s="215"/>
      <c r="AY1197" s="215"/>
      <c r="AZ1197" s="215"/>
      <c r="BA1197" s="215"/>
      <c r="BB1197" s="215"/>
      <c r="BC1197" s="215"/>
      <c r="BD1197" s="215"/>
      <c r="BE1197" s="215"/>
      <c r="BF1197" s="215"/>
      <c r="BG1197" s="215"/>
      <c r="BH1197" s="215"/>
      <c r="BI1197" s="215"/>
      <c r="BJ1197" s="215"/>
      <c r="BK1197" s="215"/>
      <c r="BL1197" s="215"/>
      <c r="BM1197" s="215"/>
      <c r="BN1197" s="215"/>
      <c r="BO1197" s="215"/>
      <c r="BP1197" s="215"/>
      <c r="BQ1197" s="215"/>
      <c r="BR1197" s="215"/>
      <c r="BS1197" s="215"/>
      <c r="BT1197" s="215"/>
      <c r="BU1197" s="215"/>
      <c r="BV1197" s="215"/>
      <c r="BW1197" s="215"/>
      <c r="BX1197" s="215"/>
      <c r="BY1197" s="215"/>
      <c r="BZ1197" s="215"/>
    </row>
    <row r="1198" spans="1:78" outlineLevel="1" x14ac:dyDescent="0.2">
      <c r="A1198" s="53" t="str">
        <f>'Language Index'!A672</f>
        <v>Max. Year for NOL C/F</v>
      </c>
      <c r="B1198" s="17"/>
      <c r="C1198" s="17"/>
      <c r="D1198" s="18">
        <f>_xll.ciqfunctions.udf.CIQ($C$2,"IQ_NOL_CF_MAX_YEAR",D$6,$F$2)</f>
        <v>0</v>
      </c>
      <c r="E1198" s="18">
        <f>_xll.ciqfunctions.udf.CIQ($C$2,"IQ_NOL_CF_MAX_YEAR",E$6,$F$2)</f>
        <v>0</v>
      </c>
      <c r="F1198" s="18">
        <f>_xll.ciqfunctions.udf.CIQ($C$2,"IQ_NOL_CF_MAX_YEAR",F$6,$F$2)</f>
        <v>0</v>
      </c>
      <c r="G1198" s="18">
        <f>_xll.ciqfunctions.udf.CIQ($C$2,"IQ_NOL_CF_MAX_YEAR",G$6,$F$2)</f>
        <v>0</v>
      </c>
      <c r="H1198" s="18">
        <f>_xll.ciqfunctions.udf.CIQ($C$2,"IQ_NOL_CF_MAX_YEAR",H$6,$F$2)</f>
        <v>0</v>
      </c>
      <c r="I1198" s="18">
        <f>_xll.ciqfunctions.udf.CIQ($C$2,"IQ_NOL_CF_MAX_YEAR",I$6,$F$2)</f>
        <v>0</v>
      </c>
      <c r="J1198" s="18">
        <f>_xll.ciqfunctions.udf.CIQ($C$2,"IQ_NOL_CF_MAX_YEAR",J$6,$F$2)</f>
        <v>0</v>
      </c>
      <c r="K1198" s="18">
        <f>_xll.ciqfunctions.udf.CIQ($C$2,"IQ_NOL_CF_MAX_YEAR",K$6,$F$2)</f>
        <v>0</v>
      </c>
      <c r="L1198" s="18">
        <f>_xll.ciqfunctions.udf.CIQ($C$2,"IQ_NOL_CF_MAX_YEAR",L$6,$F$2)</f>
        <v>0</v>
      </c>
      <c r="M1198" s="18">
        <f>_xll.ciqfunctions.udf.CIQ($C$2,"IQ_NOL_CF_MAX_YEAR",M$6,$F$2)</f>
        <v>0</v>
      </c>
      <c r="N1198" s="18">
        <f>_xll.ciqfunctions.udf.CIQ($C$2,"IQ_NOL_CF_MAX_YEAR",N$6,$F$2)</f>
        <v>0</v>
      </c>
      <c r="O1198" s="30"/>
      <c r="P1198" s="18">
        <f>_xll.ciqfunctions.udf.CIQ($C$2,"IQ_NOL_CF_MAX_YEAR",P$6,$F$2)</f>
        <v>0</v>
      </c>
      <c r="Q1198" s="215"/>
      <c r="R1198" s="215"/>
      <c r="S1198" s="215"/>
      <c r="T1198" s="215"/>
      <c r="U1198" s="215"/>
      <c r="V1198" s="222"/>
      <c r="W1198" s="215"/>
      <c r="X1198" s="215"/>
      <c r="Y1198" s="215"/>
      <c r="Z1198" s="215"/>
      <c r="AA1198" s="215"/>
      <c r="AB1198" s="215"/>
      <c r="AC1198" s="215"/>
      <c r="AD1198" s="215"/>
      <c r="AE1198" s="215"/>
      <c r="AF1198" s="215"/>
      <c r="AG1198" s="215"/>
      <c r="AH1198" s="215"/>
      <c r="AI1198" s="215"/>
      <c r="AJ1198" s="215"/>
      <c r="AK1198" s="215"/>
      <c r="AL1198" s="215"/>
      <c r="AM1198" s="215"/>
      <c r="AN1198" s="215"/>
      <c r="AO1198" s="215"/>
      <c r="AP1198" s="215"/>
      <c r="AQ1198" s="215"/>
      <c r="AR1198" s="215"/>
      <c r="AS1198" s="215"/>
      <c r="AT1198" s="215"/>
      <c r="AU1198" s="215"/>
      <c r="AV1198" s="215"/>
      <c r="AW1198" s="215"/>
      <c r="AX1198" s="215"/>
      <c r="AY1198" s="215"/>
      <c r="AZ1198" s="215"/>
      <c r="BA1198" s="215"/>
      <c r="BB1198" s="215"/>
      <c r="BC1198" s="215"/>
      <c r="BD1198" s="215"/>
      <c r="BE1198" s="215"/>
      <c r="BF1198" s="215"/>
      <c r="BG1198" s="215"/>
      <c r="BH1198" s="215"/>
      <c r="BI1198" s="215"/>
      <c r="BJ1198" s="215"/>
      <c r="BK1198" s="215"/>
      <c r="BL1198" s="215"/>
      <c r="BM1198" s="215"/>
      <c r="BN1198" s="215"/>
      <c r="BO1198" s="215"/>
      <c r="BP1198" s="215"/>
      <c r="BQ1198" s="215"/>
      <c r="BR1198" s="215"/>
      <c r="BS1198" s="215"/>
      <c r="BT1198" s="215"/>
      <c r="BU1198" s="215"/>
      <c r="BV1198" s="215"/>
      <c r="BW1198" s="215"/>
      <c r="BX1198" s="215"/>
      <c r="BY1198" s="215"/>
      <c r="BZ1198" s="215"/>
    </row>
    <row r="1199" spans="1:78" outlineLevel="1" x14ac:dyDescent="0.2">
      <c r="A1199" s="53" t="str">
        <f>'Language Index'!A673</f>
        <v>Capital Loss C/F, Current Year</v>
      </c>
      <c r="B1199" s="17"/>
      <c r="C1199" s="17"/>
      <c r="D1199" s="18">
        <f>_xll.ciqfunctions.udf.CIQ($C$2,"IQ_CAP_LOSS_CF_1YR",D$6,$F$2,,,Ccy,Conv)</f>
        <v>0</v>
      </c>
      <c r="E1199" s="18">
        <f>_xll.ciqfunctions.udf.CIQ($C$2,"IQ_CAP_LOSS_CF_1YR",E$6,$F$2,,,Ccy,Conv)</f>
        <v>0</v>
      </c>
      <c r="F1199" s="18">
        <f>_xll.ciqfunctions.udf.CIQ($C$2,"IQ_CAP_LOSS_CF_1YR",F$6,$F$2,,,Ccy,Conv)</f>
        <v>0</v>
      </c>
      <c r="G1199" s="18">
        <f>_xll.ciqfunctions.udf.CIQ($C$2,"IQ_CAP_LOSS_CF_1YR",G$6,$F$2,,,Ccy,Conv)</f>
        <v>0</v>
      </c>
      <c r="H1199" s="18">
        <f>_xll.ciqfunctions.udf.CIQ($C$2,"IQ_CAP_LOSS_CF_1YR",H$6,$F$2,,,Ccy,Conv)</f>
        <v>0</v>
      </c>
      <c r="I1199" s="18">
        <f>_xll.ciqfunctions.udf.CIQ($C$2,"IQ_CAP_LOSS_CF_1YR",I$6,$F$2,,,Ccy,Conv)</f>
        <v>0</v>
      </c>
      <c r="J1199" s="18">
        <f>_xll.ciqfunctions.udf.CIQ($C$2,"IQ_CAP_LOSS_CF_1YR",J$6,$F$2,,,Ccy,Conv)</f>
        <v>0</v>
      </c>
      <c r="K1199" s="18">
        <f>_xll.ciqfunctions.udf.CIQ($C$2,"IQ_CAP_LOSS_CF_1YR",K$6,$F$2,,,Ccy,Conv)</f>
        <v>0</v>
      </c>
      <c r="L1199" s="18">
        <f>_xll.ciqfunctions.udf.CIQ($C$2,"IQ_CAP_LOSS_CF_1YR",L$6,$F$2,,,Ccy,Conv)</f>
        <v>0</v>
      </c>
      <c r="M1199" s="18">
        <f>_xll.ciqfunctions.udf.CIQ($C$2,"IQ_CAP_LOSS_CF_1YR",M$6,$F$2,,,Ccy,Conv)</f>
        <v>0</v>
      </c>
      <c r="N1199" s="18">
        <f>_xll.ciqfunctions.udf.CIQ($C$2,"IQ_CAP_LOSS_CF_1YR",N$6,$F$2,,,Ccy,Conv)</f>
        <v>0</v>
      </c>
      <c r="O1199" s="30"/>
      <c r="P1199" s="18">
        <f>_xll.ciqfunctions.udf.CIQ($C$2,"IQ_CAP_LOSS_CF_1YR",P$6,$F$2,,,Ccy,Conv)</f>
        <v>0</v>
      </c>
      <c r="Q1199" s="215"/>
      <c r="R1199" s="215"/>
      <c r="S1199" s="215"/>
      <c r="T1199" s="215"/>
      <c r="U1199" s="215"/>
      <c r="V1199" s="222"/>
      <c r="W1199" s="215"/>
      <c r="X1199" s="215"/>
      <c r="Y1199" s="215"/>
      <c r="Z1199" s="215"/>
      <c r="AA1199" s="215"/>
      <c r="AB1199" s="215"/>
      <c r="AC1199" s="215"/>
      <c r="AD1199" s="215"/>
      <c r="AE1199" s="215"/>
      <c r="AF1199" s="215"/>
      <c r="AG1199" s="215"/>
      <c r="AH1199" s="215"/>
      <c r="AI1199" s="215"/>
      <c r="AJ1199" s="215"/>
      <c r="AK1199" s="215"/>
      <c r="AL1199" s="215"/>
      <c r="AM1199" s="215"/>
      <c r="AN1199" s="215"/>
      <c r="AO1199" s="215"/>
      <c r="AP1199" s="215"/>
      <c r="AQ1199" s="215"/>
      <c r="AR1199" s="215"/>
      <c r="AS1199" s="215"/>
      <c r="AT1199" s="215"/>
      <c r="AU1199" s="215"/>
      <c r="AV1199" s="215"/>
      <c r="AW1199" s="215"/>
      <c r="AX1199" s="215"/>
      <c r="AY1199" s="215"/>
      <c r="AZ1199" s="215"/>
      <c r="BA1199" s="215"/>
      <c r="BB1199" s="215"/>
      <c r="BC1199" s="215"/>
      <c r="BD1199" s="215"/>
      <c r="BE1199" s="215"/>
      <c r="BF1199" s="215"/>
      <c r="BG1199" s="215"/>
      <c r="BH1199" s="215"/>
      <c r="BI1199" s="215"/>
      <c r="BJ1199" s="215"/>
      <c r="BK1199" s="215"/>
      <c r="BL1199" s="215"/>
      <c r="BM1199" s="215"/>
      <c r="BN1199" s="215"/>
      <c r="BO1199" s="215"/>
      <c r="BP1199" s="215"/>
      <c r="BQ1199" s="215"/>
      <c r="BR1199" s="215"/>
      <c r="BS1199" s="215"/>
      <c r="BT1199" s="215"/>
      <c r="BU1199" s="215"/>
      <c r="BV1199" s="215"/>
      <c r="BW1199" s="215"/>
      <c r="BX1199" s="215"/>
      <c r="BY1199" s="215"/>
      <c r="BZ1199" s="215"/>
    </row>
    <row r="1200" spans="1:78" outlineLevel="1" x14ac:dyDescent="0.2">
      <c r="A1200" s="53" t="str">
        <f>'Language Index'!A674</f>
        <v>Capital Loss C/F, Current Year + 1</v>
      </c>
      <c r="B1200" s="17"/>
      <c r="C1200" s="17"/>
      <c r="D1200" s="18">
        <f>_xll.ciqfunctions.udf.CIQ($C$2,"IQ_CAP_LOSS_CF_2YR",D$6,$F$2,,,Ccy,Conv)</f>
        <v>0</v>
      </c>
      <c r="E1200" s="18">
        <f>_xll.ciqfunctions.udf.CIQ($C$2,"IQ_CAP_LOSS_CF_2YR",E$6,$F$2,,,Ccy,Conv)</f>
        <v>0</v>
      </c>
      <c r="F1200" s="18">
        <f>_xll.ciqfunctions.udf.CIQ($C$2,"IQ_CAP_LOSS_CF_2YR",F$6,$F$2,,,Ccy,Conv)</f>
        <v>0</v>
      </c>
      <c r="G1200" s="18">
        <f>_xll.ciqfunctions.udf.CIQ($C$2,"IQ_CAP_LOSS_CF_2YR",G$6,$F$2,,,Ccy,Conv)</f>
        <v>0</v>
      </c>
      <c r="H1200" s="18">
        <f>_xll.ciqfunctions.udf.CIQ($C$2,"IQ_CAP_LOSS_CF_2YR",H$6,$F$2,,,Ccy,Conv)</f>
        <v>0</v>
      </c>
      <c r="I1200" s="18">
        <f>_xll.ciqfunctions.udf.CIQ($C$2,"IQ_CAP_LOSS_CF_2YR",I$6,$F$2,,,Ccy,Conv)</f>
        <v>0</v>
      </c>
      <c r="J1200" s="18">
        <f>_xll.ciqfunctions.udf.CIQ($C$2,"IQ_CAP_LOSS_CF_2YR",J$6,$F$2,,,Ccy,Conv)</f>
        <v>0</v>
      </c>
      <c r="K1200" s="18">
        <f>_xll.ciqfunctions.udf.CIQ($C$2,"IQ_CAP_LOSS_CF_2YR",K$6,$F$2,,,Ccy,Conv)</f>
        <v>0</v>
      </c>
      <c r="L1200" s="18">
        <f>_xll.ciqfunctions.udf.CIQ($C$2,"IQ_CAP_LOSS_CF_2YR",L$6,$F$2,,,Ccy,Conv)</f>
        <v>0</v>
      </c>
      <c r="M1200" s="18">
        <f>_xll.ciqfunctions.udf.CIQ($C$2,"IQ_CAP_LOSS_CF_2YR",M$6,$F$2,,,Ccy,Conv)</f>
        <v>0</v>
      </c>
      <c r="N1200" s="18">
        <f>_xll.ciqfunctions.udf.CIQ($C$2,"IQ_CAP_LOSS_CF_2YR",N$6,$F$2,,,Ccy,Conv)</f>
        <v>0</v>
      </c>
      <c r="O1200" s="30"/>
      <c r="P1200" s="18">
        <f>_xll.ciqfunctions.udf.CIQ($C$2,"IQ_CAP_LOSS_CF_2YR",P$6,$F$2,,,Ccy,Conv)</f>
        <v>0</v>
      </c>
      <c r="Q1200" s="215"/>
      <c r="R1200" s="215"/>
      <c r="S1200" s="215"/>
      <c r="T1200" s="215"/>
      <c r="U1200" s="215"/>
      <c r="V1200" s="222"/>
      <c r="W1200" s="215"/>
      <c r="X1200" s="215"/>
      <c r="Y1200" s="215"/>
      <c r="Z1200" s="215"/>
      <c r="AA1200" s="215"/>
      <c r="AB1200" s="215"/>
      <c r="AC1200" s="215"/>
      <c r="AD1200" s="215"/>
      <c r="AE1200" s="215"/>
      <c r="AF1200" s="215"/>
      <c r="AG1200" s="215"/>
      <c r="AH1200" s="215"/>
      <c r="AI1200" s="215"/>
      <c r="AJ1200" s="215"/>
      <c r="AK1200" s="215"/>
      <c r="AL1200" s="215"/>
      <c r="AM1200" s="215"/>
      <c r="AN1200" s="215"/>
      <c r="AO1200" s="215"/>
      <c r="AP1200" s="215"/>
      <c r="AQ1200" s="215"/>
      <c r="AR1200" s="215"/>
      <c r="AS1200" s="215"/>
      <c r="AT1200" s="215"/>
      <c r="AU1200" s="215"/>
      <c r="AV1200" s="215"/>
      <c r="AW1200" s="215"/>
      <c r="AX1200" s="215"/>
      <c r="AY1200" s="215"/>
      <c r="AZ1200" s="215"/>
      <c r="BA1200" s="215"/>
      <c r="BB1200" s="215"/>
      <c r="BC1200" s="215"/>
      <c r="BD1200" s="215"/>
      <c r="BE1200" s="215"/>
      <c r="BF1200" s="215"/>
      <c r="BG1200" s="215"/>
      <c r="BH1200" s="215"/>
      <c r="BI1200" s="215"/>
      <c r="BJ1200" s="215"/>
      <c r="BK1200" s="215"/>
      <c r="BL1200" s="215"/>
      <c r="BM1200" s="215"/>
      <c r="BN1200" s="215"/>
      <c r="BO1200" s="215"/>
      <c r="BP1200" s="215"/>
      <c r="BQ1200" s="215"/>
      <c r="BR1200" s="215"/>
      <c r="BS1200" s="215"/>
      <c r="BT1200" s="215"/>
      <c r="BU1200" s="215"/>
      <c r="BV1200" s="215"/>
      <c r="BW1200" s="215"/>
      <c r="BX1200" s="215"/>
      <c r="BY1200" s="215"/>
      <c r="BZ1200" s="215"/>
    </row>
    <row r="1201" spans="1:78" outlineLevel="1" x14ac:dyDescent="0.2">
      <c r="A1201" s="53" t="str">
        <f>'Language Index'!A675</f>
        <v>Capital Loss C/F, Current Year + 2</v>
      </c>
      <c r="B1201" s="17"/>
      <c r="C1201" s="17"/>
      <c r="D1201" s="18">
        <f>_xll.ciqfunctions.udf.CIQ($C$2,"IQ_CAP_LOSS_CF_3YR",D$6,$F$2,,,Ccy,Conv)</f>
        <v>0</v>
      </c>
      <c r="E1201" s="18">
        <f>_xll.ciqfunctions.udf.CIQ($C$2,"IQ_CAP_LOSS_CF_3YR",E$6,$F$2,,,Ccy,Conv)</f>
        <v>0</v>
      </c>
      <c r="F1201" s="18">
        <f>_xll.ciqfunctions.udf.CIQ($C$2,"IQ_CAP_LOSS_CF_3YR",F$6,$F$2,,,Ccy,Conv)</f>
        <v>0</v>
      </c>
      <c r="G1201" s="18">
        <f>_xll.ciqfunctions.udf.CIQ($C$2,"IQ_CAP_LOSS_CF_3YR",G$6,$F$2,,,Ccy,Conv)</f>
        <v>0</v>
      </c>
      <c r="H1201" s="18">
        <f>_xll.ciqfunctions.udf.CIQ($C$2,"IQ_CAP_LOSS_CF_3YR",H$6,$F$2,,,Ccy,Conv)</f>
        <v>0</v>
      </c>
      <c r="I1201" s="18">
        <f>_xll.ciqfunctions.udf.CIQ($C$2,"IQ_CAP_LOSS_CF_3YR",I$6,$F$2,,,Ccy,Conv)</f>
        <v>0</v>
      </c>
      <c r="J1201" s="18">
        <f>_xll.ciqfunctions.udf.CIQ($C$2,"IQ_CAP_LOSS_CF_3YR",J$6,$F$2,,,Ccy,Conv)</f>
        <v>0</v>
      </c>
      <c r="K1201" s="18">
        <f>_xll.ciqfunctions.udf.CIQ($C$2,"IQ_CAP_LOSS_CF_3YR",K$6,$F$2,,,Ccy,Conv)</f>
        <v>0</v>
      </c>
      <c r="L1201" s="18">
        <f>_xll.ciqfunctions.udf.CIQ($C$2,"IQ_CAP_LOSS_CF_3YR",L$6,$F$2,,,Ccy,Conv)</f>
        <v>0</v>
      </c>
      <c r="M1201" s="18">
        <f>_xll.ciqfunctions.udf.CIQ($C$2,"IQ_CAP_LOSS_CF_3YR",M$6,$F$2,,,Ccy,Conv)</f>
        <v>0</v>
      </c>
      <c r="N1201" s="18">
        <f>_xll.ciqfunctions.udf.CIQ($C$2,"IQ_CAP_LOSS_CF_3YR",N$6,$F$2,,,Ccy,Conv)</f>
        <v>0</v>
      </c>
      <c r="O1201" s="30"/>
      <c r="P1201" s="18">
        <f>_xll.ciqfunctions.udf.CIQ($C$2,"IQ_CAP_LOSS_CF_3YR",P$6,$F$2,,,Ccy,Conv)</f>
        <v>0</v>
      </c>
      <c r="Q1201" s="215"/>
      <c r="R1201" s="215"/>
      <c r="S1201" s="215"/>
      <c r="T1201" s="215"/>
      <c r="U1201" s="215"/>
      <c r="V1201" s="222"/>
      <c r="W1201" s="215"/>
      <c r="X1201" s="215"/>
      <c r="Y1201" s="215"/>
      <c r="Z1201" s="215"/>
      <c r="AA1201" s="215"/>
      <c r="AB1201" s="215"/>
      <c r="AC1201" s="215"/>
      <c r="AD1201" s="215"/>
      <c r="AE1201" s="215"/>
      <c r="AF1201" s="215"/>
      <c r="AG1201" s="215"/>
      <c r="AH1201" s="215"/>
      <c r="AI1201" s="215"/>
      <c r="AJ1201" s="215"/>
      <c r="AK1201" s="215"/>
      <c r="AL1201" s="215"/>
      <c r="AM1201" s="215"/>
      <c r="AN1201" s="215"/>
      <c r="AO1201" s="215"/>
      <c r="AP1201" s="215"/>
      <c r="AQ1201" s="215"/>
      <c r="AR1201" s="215"/>
      <c r="AS1201" s="215"/>
      <c r="AT1201" s="215"/>
      <c r="AU1201" s="215"/>
      <c r="AV1201" s="215"/>
      <c r="AW1201" s="215"/>
      <c r="AX1201" s="215"/>
      <c r="AY1201" s="215"/>
      <c r="AZ1201" s="215"/>
      <c r="BA1201" s="215"/>
      <c r="BB1201" s="215"/>
      <c r="BC1201" s="215"/>
      <c r="BD1201" s="215"/>
      <c r="BE1201" s="215"/>
      <c r="BF1201" s="215"/>
      <c r="BG1201" s="215"/>
      <c r="BH1201" s="215"/>
      <c r="BI1201" s="215"/>
      <c r="BJ1201" s="215"/>
      <c r="BK1201" s="215"/>
      <c r="BL1201" s="215"/>
      <c r="BM1201" s="215"/>
      <c r="BN1201" s="215"/>
      <c r="BO1201" s="215"/>
      <c r="BP1201" s="215"/>
      <c r="BQ1201" s="215"/>
      <c r="BR1201" s="215"/>
      <c r="BS1201" s="215"/>
      <c r="BT1201" s="215"/>
      <c r="BU1201" s="215"/>
      <c r="BV1201" s="215"/>
      <c r="BW1201" s="215"/>
      <c r="BX1201" s="215"/>
      <c r="BY1201" s="215"/>
      <c r="BZ1201" s="215"/>
    </row>
    <row r="1202" spans="1:78" outlineLevel="1" x14ac:dyDescent="0.2">
      <c r="A1202" s="53" t="str">
        <f>'Language Index'!A676</f>
        <v>Capital Loss C/F, Current Year + 3</v>
      </c>
      <c r="B1202" s="17"/>
      <c r="C1202" s="17"/>
      <c r="D1202" s="18">
        <f>_xll.ciqfunctions.udf.CIQ($C$2,"IQ_CAP_LOSS_CF_4YR",D$6,$F$2,,,Ccy,Conv)</f>
        <v>0</v>
      </c>
      <c r="E1202" s="18">
        <f>_xll.ciqfunctions.udf.CIQ($C$2,"IQ_CAP_LOSS_CF_4YR",E$6,$F$2,,,Ccy,Conv)</f>
        <v>0</v>
      </c>
      <c r="F1202" s="18">
        <f>_xll.ciqfunctions.udf.CIQ($C$2,"IQ_CAP_LOSS_CF_4YR",F$6,$F$2,,,Ccy,Conv)</f>
        <v>0</v>
      </c>
      <c r="G1202" s="18">
        <f>_xll.ciqfunctions.udf.CIQ($C$2,"IQ_CAP_LOSS_CF_4YR",G$6,$F$2,,,Ccy,Conv)</f>
        <v>0</v>
      </c>
      <c r="H1202" s="18">
        <f>_xll.ciqfunctions.udf.CIQ($C$2,"IQ_CAP_LOSS_CF_4YR",H$6,$F$2,,,Ccy,Conv)</f>
        <v>0</v>
      </c>
      <c r="I1202" s="18">
        <f>_xll.ciqfunctions.udf.CIQ($C$2,"IQ_CAP_LOSS_CF_4YR",I$6,$F$2,,,Ccy,Conv)</f>
        <v>0</v>
      </c>
      <c r="J1202" s="18">
        <f>_xll.ciqfunctions.udf.CIQ($C$2,"IQ_CAP_LOSS_CF_4YR",J$6,$F$2,,,Ccy,Conv)</f>
        <v>0</v>
      </c>
      <c r="K1202" s="18">
        <f>_xll.ciqfunctions.udf.CIQ($C$2,"IQ_CAP_LOSS_CF_4YR",K$6,$F$2,,,Ccy,Conv)</f>
        <v>0</v>
      </c>
      <c r="L1202" s="18">
        <f>_xll.ciqfunctions.udf.CIQ($C$2,"IQ_CAP_LOSS_CF_4YR",L$6,$F$2,,,Ccy,Conv)</f>
        <v>0</v>
      </c>
      <c r="M1202" s="18">
        <f>_xll.ciqfunctions.udf.CIQ($C$2,"IQ_CAP_LOSS_CF_4YR",M$6,$F$2,,,Ccy,Conv)</f>
        <v>0</v>
      </c>
      <c r="N1202" s="18">
        <f>_xll.ciqfunctions.udf.CIQ($C$2,"IQ_CAP_LOSS_CF_4YR",N$6,$F$2,,,Ccy,Conv)</f>
        <v>0</v>
      </c>
      <c r="O1202" s="30"/>
      <c r="P1202" s="18">
        <f>_xll.ciqfunctions.udf.CIQ($C$2,"IQ_CAP_LOSS_CF_4YR",P$6,$F$2,,,Ccy,Conv)</f>
        <v>0</v>
      </c>
      <c r="Q1202" s="215"/>
      <c r="R1202" s="215"/>
      <c r="S1202" s="215"/>
      <c r="T1202" s="215"/>
      <c r="U1202" s="215"/>
      <c r="V1202" s="222"/>
      <c r="W1202" s="215"/>
      <c r="X1202" s="215"/>
      <c r="Y1202" s="215"/>
      <c r="Z1202" s="215"/>
      <c r="AA1202" s="215"/>
      <c r="AB1202" s="215"/>
      <c r="AC1202" s="215"/>
      <c r="AD1202" s="215"/>
      <c r="AE1202" s="215"/>
      <c r="AF1202" s="215"/>
      <c r="AG1202" s="215"/>
      <c r="AH1202" s="215"/>
      <c r="AI1202" s="215"/>
      <c r="AJ1202" s="215"/>
      <c r="AK1202" s="215"/>
      <c r="AL1202" s="215"/>
      <c r="AM1202" s="215"/>
      <c r="AN1202" s="215"/>
      <c r="AO1202" s="215"/>
      <c r="AP1202" s="215"/>
      <c r="AQ1202" s="215"/>
      <c r="AR1202" s="215"/>
      <c r="AS1202" s="215"/>
      <c r="AT1202" s="215"/>
      <c r="AU1202" s="215"/>
      <c r="AV1202" s="215"/>
      <c r="AW1202" s="215"/>
      <c r="AX1202" s="215"/>
      <c r="AY1202" s="215"/>
      <c r="AZ1202" s="215"/>
      <c r="BA1202" s="215"/>
      <c r="BB1202" s="215"/>
      <c r="BC1202" s="215"/>
      <c r="BD1202" s="215"/>
      <c r="BE1202" s="215"/>
      <c r="BF1202" s="215"/>
      <c r="BG1202" s="215"/>
      <c r="BH1202" s="215"/>
      <c r="BI1202" s="215"/>
      <c r="BJ1202" s="215"/>
      <c r="BK1202" s="215"/>
      <c r="BL1202" s="215"/>
      <c r="BM1202" s="215"/>
      <c r="BN1202" s="215"/>
      <c r="BO1202" s="215"/>
      <c r="BP1202" s="215"/>
      <c r="BQ1202" s="215"/>
      <c r="BR1202" s="215"/>
      <c r="BS1202" s="215"/>
      <c r="BT1202" s="215"/>
      <c r="BU1202" s="215"/>
      <c r="BV1202" s="215"/>
      <c r="BW1202" s="215"/>
      <c r="BX1202" s="215"/>
      <c r="BY1202" s="215"/>
      <c r="BZ1202" s="215"/>
    </row>
    <row r="1203" spans="1:78" outlineLevel="1" x14ac:dyDescent="0.2">
      <c r="A1203" s="53" t="str">
        <f>'Language Index'!A677</f>
        <v>Capital Loss C/F, Current Year + 4</v>
      </c>
      <c r="B1203" s="17"/>
      <c r="C1203" s="17"/>
      <c r="D1203" s="18">
        <f>_xll.ciqfunctions.udf.CIQ($C$2,"IQ_CAP_LOSS_CF_5YR",D$6,$F$2,,,Ccy,Conv)</f>
        <v>0</v>
      </c>
      <c r="E1203" s="18">
        <f>_xll.ciqfunctions.udf.CIQ($C$2,"IQ_CAP_LOSS_CF_5YR",E$6,$F$2,,,Ccy,Conv)</f>
        <v>0</v>
      </c>
      <c r="F1203" s="18">
        <f>_xll.ciqfunctions.udf.CIQ($C$2,"IQ_CAP_LOSS_CF_5YR",F$6,$F$2,,,Ccy,Conv)</f>
        <v>0</v>
      </c>
      <c r="G1203" s="18">
        <f>_xll.ciqfunctions.udf.CIQ($C$2,"IQ_CAP_LOSS_CF_5YR",G$6,$F$2,,,Ccy,Conv)</f>
        <v>0</v>
      </c>
      <c r="H1203" s="18">
        <f>_xll.ciqfunctions.udf.CIQ($C$2,"IQ_CAP_LOSS_CF_5YR",H$6,$F$2,,,Ccy,Conv)</f>
        <v>0</v>
      </c>
      <c r="I1203" s="18">
        <f>_xll.ciqfunctions.udf.CIQ($C$2,"IQ_CAP_LOSS_CF_5YR",I$6,$F$2,,,Ccy,Conv)</f>
        <v>0</v>
      </c>
      <c r="J1203" s="18">
        <f>_xll.ciqfunctions.udf.CIQ($C$2,"IQ_CAP_LOSS_CF_5YR",J$6,$F$2,,,Ccy,Conv)</f>
        <v>0</v>
      </c>
      <c r="K1203" s="18">
        <f>_xll.ciqfunctions.udf.CIQ($C$2,"IQ_CAP_LOSS_CF_5YR",K$6,$F$2,,,Ccy,Conv)</f>
        <v>0</v>
      </c>
      <c r="L1203" s="18">
        <f>_xll.ciqfunctions.udf.CIQ($C$2,"IQ_CAP_LOSS_CF_5YR",L$6,$F$2,,,Ccy,Conv)</f>
        <v>0</v>
      </c>
      <c r="M1203" s="18">
        <f>_xll.ciqfunctions.udf.CIQ($C$2,"IQ_CAP_LOSS_CF_5YR",M$6,$F$2,,,Ccy,Conv)</f>
        <v>0</v>
      </c>
      <c r="N1203" s="18">
        <f>_xll.ciqfunctions.udf.CIQ($C$2,"IQ_CAP_LOSS_CF_5YR",N$6,$F$2,,,Ccy,Conv)</f>
        <v>0</v>
      </c>
      <c r="O1203" s="30"/>
      <c r="P1203" s="18">
        <f>_xll.ciqfunctions.udf.CIQ($C$2,"IQ_CAP_LOSS_CF_5YR",P$6,$F$2,,,Ccy,Conv)</f>
        <v>0</v>
      </c>
      <c r="Q1203" s="215"/>
      <c r="R1203" s="215"/>
      <c r="S1203" s="215"/>
      <c r="T1203" s="215"/>
      <c r="U1203" s="215"/>
      <c r="V1203" s="222"/>
      <c r="W1203" s="215"/>
      <c r="X1203" s="215"/>
      <c r="Y1203" s="215"/>
      <c r="Z1203" s="215"/>
      <c r="AA1203" s="215"/>
      <c r="AB1203" s="215"/>
      <c r="AC1203" s="215"/>
      <c r="AD1203" s="215"/>
      <c r="AE1203" s="215"/>
      <c r="AF1203" s="215"/>
      <c r="AG1203" s="215"/>
      <c r="AH1203" s="215"/>
      <c r="AI1203" s="215"/>
      <c r="AJ1203" s="215"/>
      <c r="AK1203" s="215"/>
      <c r="AL1203" s="215"/>
      <c r="AM1203" s="215"/>
      <c r="AN1203" s="215"/>
      <c r="AO1203" s="215"/>
      <c r="AP1203" s="215"/>
      <c r="AQ1203" s="215"/>
      <c r="AR1203" s="215"/>
      <c r="AS1203" s="215"/>
      <c r="AT1203" s="215"/>
      <c r="AU1203" s="215"/>
      <c r="AV1203" s="215"/>
      <c r="AW1203" s="215"/>
      <c r="AX1203" s="215"/>
      <c r="AY1203" s="215"/>
      <c r="AZ1203" s="215"/>
      <c r="BA1203" s="215"/>
      <c r="BB1203" s="215"/>
      <c r="BC1203" s="215"/>
      <c r="BD1203" s="215"/>
      <c r="BE1203" s="215"/>
      <c r="BF1203" s="215"/>
      <c r="BG1203" s="215"/>
      <c r="BH1203" s="215"/>
      <c r="BI1203" s="215"/>
      <c r="BJ1203" s="215"/>
      <c r="BK1203" s="215"/>
      <c r="BL1203" s="215"/>
      <c r="BM1203" s="215"/>
      <c r="BN1203" s="215"/>
      <c r="BO1203" s="215"/>
      <c r="BP1203" s="215"/>
      <c r="BQ1203" s="215"/>
      <c r="BR1203" s="215"/>
      <c r="BS1203" s="215"/>
      <c r="BT1203" s="215"/>
      <c r="BU1203" s="215"/>
      <c r="BV1203" s="215"/>
      <c r="BW1203" s="215"/>
      <c r="BX1203" s="215"/>
      <c r="BY1203" s="215"/>
      <c r="BZ1203" s="215"/>
    </row>
    <row r="1204" spans="1:78" outlineLevel="1" x14ac:dyDescent="0.2">
      <c r="A1204" s="53" t="str">
        <f>'Language Index'!A678</f>
        <v>Capital Loss C/F, After Five Years</v>
      </c>
      <c r="B1204" s="17"/>
      <c r="C1204" s="17"/>
      <c r="D1204" s="18">
        <f>_xll.ciqfunctions.udf.CIQ($C$2,"IQ_CAP_LOSS_CF_AFTER_FIVE",D$6,$F$2,,,Ccy,Conv)</f>
        <v>0</v>
      </c>
      <c r="E1204" s="18">
        <f>_xll.ciqfunctions.udf.CIQ($C$2,"IQ_CAP_LOSS_CF_AFTER_FIVE",E$6,$F$2,,,Ccy,Conv)</f>
        <v>0</v>
      </c>
      <c r="F1204" s="18">
        <f>_xll.ciqfunctions.udf.CIQ($C$2,"IQ_CAP_LOSS_CF_AFTER_FIVE",F$6,$F$2,,,Ccy,Conv)</f>
        <v>0</v>
      </c>
      <c r="G1204" s="18">
        <f>_xll.ciqfunctions.udf.CIQ($C$2,"IQ_CAP_LOSS_CF_AFTER_FIVE",G$6,$F$2,,,Ccy,Conv)</f>
        <v>0</v>
      </c>
      <c r="H1204" s="18">
        <f>_xll.ciqfunctions.udf.CIQ($C$2,"IQ_CAP_LOSS_CF_AFTER_FIVE",H$6,$F$2,,,Ccy,Conv)</f>
        <v>0</v>
      </c>
      <c r="I1204" s="18">
        <f>_xll.ciqfunctions.udf.CIQ($C$2,"IQ_CAP_LOSS_CF_AFTER_FIVE",I$6,$F$2,,,Ccy,Conv)</f>
        <v>0</v>
      </c>
      <c r="J1204" s="18">
        <f>_xll.ciqfunctions.udf.CIQ($C$2,"IQ_CAP_LOSS_CF_AFTER_FIVE",J$6,$F$2,,,Ccy,Conv)</f>
        <v>0</v>
      </c>
      <c r="K1204" s="18">
        <f>_xll.ciqfunctions.udf.CIQ($C$2,"IQ_CAP_LOSS_CF_AFTER_FIVE",K$6,$F$2,,,Ccy,Conv)</f>
        <v>0</v>
      </c>
      <c r="L1204" s="18">
        <f>_xll.ciqfunctions.udf.CIQ($C$2,"IQ_CAP_LOSS_CF_AFTER_FIVE",L$6,$F$2,,,Ccy,Conv)</f>
        <v>0</v>
      </c>
      <c r="M1204" s="18">
        <f>_xll.ciqfunctions.udf.CIQ($C$2,"IQ_CAP_LOSS_CF_AFTER_FIVE",M$6,$F$2,,,Ccy,Conv)</f>
        <v>0</v>
      </c>
      <c r="N1204" s="18">
        <f>_xll.ciqfunctions.udf.CIQ($C$2,"IQ_CAP_LOSS_CF_AFTER_FIVE",N$6,$F$2,,,Ccy,Conv)</f>
        <v>0</v>
      </c>
      <c r="O1204" s="30"/>
      <c r="P1204" s="18">
        <f>_xll.ciqfunctions.udf.CIQ($C$2,"IQ_CAP_LOSS_CF_AFTER_FIVE",P$6,$F$2,,,Ccy,Conv)</f>
        <v>0</v>
      </c>
      <c r="Q1204" s="215"/>
      <c r="R1204" s="215"/>
      <c r="S1204" s="215"/>
      <c r="T1204" s="215"/>
      <c r="U1204" s="215"/>
      <c r="V1204" s="222"/>
      <c r="W1204" s="215"/>
      <c r="X1204" s="215"/>
      <c r="Y1204" s="215"/>
      <c r="Z1204" s="215"/>
      <c r="AA1204" s="215"/>
      <c r="AB1204" s="215"/>
      <c r="AC1204" s="215"/>
      <c r="AD1204" s="215"/>
      <c r="AE1204" s="215"/>
      <c r="AF1204" s="215"/>
      <c r="AG1204" s="215"/>
      <c r="AH1204" s="215"/>
      <c r="AI1204" s="215"/>
      <c r="AJ1204" s="215"/>
      <c r="AK1204" s="215"/>
      <c r="AL1204" s="215"/>
      <c r="AM1204" s="215"/>
      <c r="AN1204" s="215"/>
      <c r="AO1204" s="215"/>
      <c r="AP1204" s="215"/>
      <c r="AQ1204" s="215"/>
      <c r="AR1204" s="215"/>
      <c r="AS1204" s="215"/>
      <c r="AT1204" s="215"/>
      <c r="AU1204" s="215"/>
      <c r="AV1204" s="215"/>
      <c r="AW1204" s="215"/>
      <c r="AX1204" s="215"/>
      <c r="AY1204" s="215"/>
      <c r="AZ1204" s="215"/>
      <c r="BA1204" s="215"/>
      <c r="BB1204" s="215"/>
      <c r="BC1204" s="215"/>
      <c r="BD1204" s="215"/>
      <c r="BE1204" s="215"/>
      <c r="BF1204" s="215"/>
      <c r="BG1204" s="215"/>
      <c r="BH1204" s="215"/>
      <c r="BI1204" s="215"/>
      <c r="BJ1204" s="215"/>
      <c r="BK1204" s="215"/>
      <c r="BL1204" s="215"/>
      <c r="BM1204" s="215"/>
      <c r="BN1204" s="215"/>
      <c r="BO1204" s="215"/>
      <c r="BP1204" s="215"/>
      <c r="BQ1204" s="215"/>
      <c r="BR1204" s="215"/>
      <c r="BS1204" s="215"/>
      <c r="BT1204" s="215"/>
      <c r="BU1204" s="215"/>
      <c r="BV1204" s="215"/>
      <c r="BW1204" s="215"/>
      <c r="BX1204" s="215"/>
      <c r="BY1204" s="215"/>
      <c r="BZ1204" s="215"/>
    </row>
    <row r="1205" spans="1:78" outlineLevel="1" x14ac:dyDescent="0.2">
      <c r="A1205" s="53" t="str">
        <f>'Language Index'!A679</f>
        <v>Capital Loss C/F, No Expiration</v>
      </c>
      <c r="B1205" s="17"/>
      <c r="C1205" s="17"/>
      <c r="D1205" s="18">
        <f>_xll.ciqfunctions.udf.CIQ($C$2,"IQ_CAP_LOSS_CF_NO_EXP",D$6,$F$2,,,Ccy,Conv)</f>
        <v>0</v>
      </c>
      <c r="E1205" s="18">
        <f>_xll.ciqfunctions.udf.CIQ($C$2,"IQ_CAP_LOSS_CF_NO_EXP",E$6,$F$2,,,Ccy,Conv)</f>
        <v>0</v>
      </c>
      <c r="F1205" s="18">
        <f>_xll.ciqfunctions.udf.CIQ($C$2,"IQ_CAP_LOSS_CF_NO_EXP",F$6,$F$2,,,Ccy,Conv)</f>
        <v>0</v>
      </c>
      <c r="G1205" s="18">
        <f>_xll.ciqfunctions.udf.CIQ($C$2,"IQ_CAP_LOSS_CF_NO_EXP",G$6,$F$2,,,Ccy,Conv)</f>
        <v>0</v>
      </c>
      <c r="H1205" s="18">
        <f>_xll.ciqfunctions.udf.CIQ($C$2,"IQ_CAP_LOSS_CF_NO_EXP",H$6,$F$2,,,Ccy,Conv)</f>
        <v>0</v>
      </c>
      <c r="I1205" s="18">
        <f>_xll.ciqfunctions.udf.CIQ($C$2,"IQ_CAP_LOSS_CF_NO_EXP",I$6,$F$2,,,Ccy,Conv)</f>
        <v>0</v>
      </c>
      <c r="J1205" s="18">
        <f>_xll.ciqfunctions.udf.CIQ($C$2,"IQ_CAP_LOSS_CF_NO_EXP",J$6,$F$2,,,Ccy,Conv)</f>
        <v>0</v>
      </c>
      <c r="K1205" s="18">
        <f>_xll.ciqfunctions.udf.CIQ($C$2,"IQ_CAP_LOSS_CF_NO_EXP",K$6,$F$2,,,Ccy,Conv)</f>
        <v>0</v>
      </c>
      <c r="L1205" s="18">
        <f>_xll.ciqfunctions.udf.CIQ($C$2,"IQ_CAP_LOSS_CF_NO_EXP",L$6,$F$2,,,Ccy,Conv)</f>
        <v>0</v>
      </c>
      <c r="M1205" s="18">
        <f>_xll.ciqfunctions.udf.CIQ($C$2,"IQ_CAP_LOSS_CF_NO_EXP",M$6,$F$2,,,Ccy,Conv)</f>
        <v>0</v>
      </c>
      <c r="N1205" s="18">
        <f>_xll.ciqfunctions.udf.CIQ($C$2,"IQ_CAP_LOSS_CF_NO_EXP",N$6,$F$2,,,Ccy,Conv)</f>
        <v>0</v>
      </c>
      <c r="O1205" s="30"/>
      <c r="P1205" s="18">
        <f>_xll.ciqfunctions.udf.CIQ($C$2,"IQ_CAP_LOSS_CF_NO_EXP",P$6,$F$2,,,Ccy,Conv)</f>
        <v>0</v>
      </c>
      <c r="Q1205" s="215"/>
      <c r="R1205" s="215"/>
      <c r="S1205" s="215"/>
      <c r="T1205" s="215"/>
      <c r="U1205" s="215"/>
      <c r="V1205" s="222"/>
      <c r="W1205" s="215"/>
      <c r="X1205" s="215"/>
      <c r="Y1205" s="215"/>
      <c r="Z1205" s="215"/>
      <c r="AA1205" s="215"/>
      <c r="AB1205" s="215"/>
      <c r="AC1205" s="215"/>
      <c r="AD1205" s="215"/>
      <c r="AE1205" s="215"/>
      <c r="AF1205" s="215"/>
      <c r="AG1205" s="215"/>
      <c r="AH1205" s="215"/>
      <c r="AI1205" s="215"/>
      <c r="AJ1205" s="215"/>
      <c r="AK1205" s="215"/>
      <c r="AL1205" s="215"/>
      <c r="AM1205" s="215"/>
      <c r="AN1205" s="215"/>
      <c r="AO1205" s="215"/>
      <c r="AP1205" s="215"/>
      <c r="AQ1205" s="215"/>
      <c r="AR1205" s="215"/>
      <c r="AS1205" s="215"/>
      <c r="AT1205" s="215"/>
      <c r="AU1205" s="215"/>
      <c r="AV1205" s="215"/>
      <c r="AW1205" s="215"/>
      <c r="AX1205" s="215"/>
      <c r="AY1205" s="215"/>
      <c r="AZ1205" s="215"/>
      <c r="BA1205" s="215"/>
      <c r="BB1205" s="215"/>
      <c r="BC1205" s="215"/>
      <c r="BD1205" s="215"/>
      <c r="BE1205" s="215"/>
      <c r="BF1205" s="215"/>
      <c r="BG1205" s="215"/>
      <c r="BH1205" s="215"/>
      <c r="BI1205" s="215"/>
      <c r="BJ1205" s="215"/>
      <c r="BK1205" s="215"/>
      <c r="BL1205" s="215"/>
      <c r="BM1205" s="215"/>
      <c r="BN1205" s="215"/>
      <c r="BO1205" s="215"/>
      <c r="BP1205" s="215"/>
      <c r="BQ1205" s="215"/>
      <c r="BR1205" s="215"/>
      <c r="BS1205" s="215"/>
      <c r="BT1205" s="215"/>
      <c r="BU1205" s="215"/>
      <c r="BV1205" s="215"/>
      <c r="BW1205" s="215"/>
      <c r="BX1205" s="215"/>
      <c r="BY1205" s="215"/>
      <c r="BZ1205" s="215"/>
    </row>
    <row r="1206" spans="1:78" outlineLevel="1" x14ac:dyDescent="0.2">
      <c r="A1206" s="53" t="str">
        <f>'Language Index'!A680</f>
        <v>Total Capital Loss C/F</v>
      </c>
      <c r="B1206" s="17"/>
      <c r="C1206" s="17"/>
      <c r="D1206" s="18">
        <f>_xll.ciqfunctions.udf.CIQ($C$2,"IQ_CAP_LOSS_CF_TOTAL",D$6,$F$2,,,Ccy,Conv)</f>
        <v>0</v>
      </c>
      <c r="E1206" s="18">
        <f>_xll.ciqfunctions.udf.CIQ($C$2,"IQ_CAP_LOSS_CF_TOTAL",E$6,$F$2,,,Ccy,Conv)</f>
        <v>0</v>
      </c>
      <c r="F1206" s="18">
        <f>_xll.ciqfunctions.udf.CIQ($C$2,"IQ_CAP_LOSS_CF_TOTAL",F$6,$F$2,,,Ccy,Conv)</f>
        <v>0</v>
      </c>
      <c r="G1206" s="18">
        <f>_xll.ciqfunctions.udf.CIQ($C$2,"IQ_CAP_LOSS_CF_TOTAL",G$6,$F$2,,,Ccy,Conv)</f>
        <v>0</v>
      </c>
      <c r="H1206" s="18">
        <f>_xll.ciqfunctions.udf.CIQ($C$2,"IQ_CAP_LOSS_CF_TOTAL",H$6,$F$2,,,Ccy,Conv)</f>
        <v>0</v>
      </c>
      <c r="I1206" s="18">
        <f>_xll.ciqfunctions.udf.CIQ($C$2,"IQ_CAP_LOSS_CF_TOTAL",I$6,$F$2,,,Ccy,Conv)</f>
        <v>0</v>
      </c>
      <c r="J1206" s="18">
        <f>_xll.ciqfunctions.udf.CIQ($C$2,"IQ_CAP_LOSS_CF_TOTAL",J$6,$F$2,,,Ccy,Conv)</f>
        <v>0</v>
      </c>
      <c r="K1206" s="18">
        <f>_xll.ciqfunctions.udf.CIQ($C$2,"IQ_CAP_LOSS_CF_TOTAL",K$6,$F$2,,,Ccy,Conv)</f>
        <v>0</v>
      </c>
      <c r="L1206" s="18">
        <f>_xll.ciqfunctions.udf.CIQ($C$2,"IQ_CAP_LOSS_CF_TOTAL",L$6,$F$2,,,Ccy,Conv)</f>
        <v>0</v>
      </c>
      <c r="M1206" s="18">
        <f>_xll.ciqfunctions.udf.CIQ($C$2,"IQ_CAP_LOSS_CF_TOTAL",M$6,$F$2,,,Ccy,Conv)</f>
        <v>0</v>
      </c>
      <c r="N1206" s="18">
        <f>_xll.ciqfunctions.udf.CIQ($C$2,"IQ_CAP_LOSS_CF_TOTAL",N$6,$F$2,,,Ccy,Conv)</f>
        <v>0</v>
      </c>
      <c r="O1206" s="30"/>
      <c r="P1206" s="18">
        <f>_xll.ciqfunctions.udf.CIQ($C$2,"IQ_CAP_LOSS_CF_TOTAL",P$6,$F$2,,,Ccy,Conv)</f>
        <v>0</v>
      </c>
      <c r="Q1206" s="215"/>
      <c r="R1206" s="215"/>
      <c r="S1206" s="215"/>
      <c r="T1206" s="215"/>
      <c r="U1206" s="215"/>
      <c r="V1206" s="222"/>
      <c r="W1206" s="215"/>
      <c r="X1206" s="215"/>
      <c r="Y1206" s="215"/>
      <c r="Z1206" s="215"/>
      <c r="AA1206" s="215"/>
      <c r="AB1206" s="215"/>
      <c r="AC1206" s="215"/>
      <c r="AD1206" s="215"/>
      <c r="AE1206" s="215"/>
      <c r="AF1206" s="215"/>
      <c r="AG1206" s="215"/>
      <c r="AH1206" s="215"/>
      <c r="AI1206" s="215"/>
      <c r="AJ1206" s="215"/>
      <c r="AK1206" s="215"/>
      <c r="AL1206" s="215"/>
      <c r="AM1206" s="215"/>
      <c r="AN1206" s="215"/>
      <c r="AO1206" s="215"/>
      <c r="AP1206" s="215"/>
      <c r="AQ1206" s="215"/>
      <c r="AR1206" s="215"/>
      <c r="AS1206" s="215"/>
      <c r="AT1206" s="215"/>
      <c r="AU1206" s="215"/>
      <c r="AV1206" s="215"/>
      <c r="AW1206" s="215"/>
      <c r="AX1206" s="215"/>
      <c r="AY1206" s="215"/>
      <c r="AZ1206" s="215"/>
      <c r="BA1206" s="215"/>
      <c r="BB1206" s="215"/>
      <c r="BC1206" s="215"/>
      <c r="BD1206" s="215"/>
      <c r="BE1206" s="215"/>
      <c r="BF1206" s="215"/>
      <c r="BG1206" s="215"/>
      <c r="BH1206" s="215"/>
      <c r="BI1206" s="215"/>
      <c r="BJ1206" s="215"/>
      <c r="BK1206" s="215"/>
      <c r="BL1206" s="215"/>
      <c r="BM1206" s="215"/>
      <c r="BN1206" s="215"/>
      <c r="BO1206" s="215"/>
      <c r="BP1206" s="215"/>
      <c r="BQ1206" s="215"/>
      <c r="BR1206" s="215"/>
      <c r="BS1206" s="215"/>
      <c r="BT1206" s="215"/>
      <c r="BU1206" s="215"/>
      <c r="BV1206" s="215"/>
      <c r="BW1206" s="215"/>
      <c r="BX1206" s="215"/>
      <c r="BY1206" s="215"/>
      <c r="BZ1206" s="215"/>
    </row>
    <row r="1207" spans="1:78" outlineLevel="1" x14ac:dyDescent="0.2">
      <c r="A1207" s="53" t="str">
        <f>'Language Index'!A681</f>
        <v>Max. Year for Capital Loss C/F</v>
      </c>
      <c r="B1207" s="17"/>
      <c r="C1207" s="17"/>
      <c r="D1207" s="18">
        <f>_xll.ciqfunctions.udf.CIQ($C$2,"IQ_CAP_LOSS_CF_MAX_YEAR",D$6,$F$2)</f>
        <v>0</v>
      </c>
      <c r="E1207" s="18">
        <f>_xll.ciqfunctions.udf.CIQ($C$2,"IQ_CAP_LOSS_CF_MAX_YEAR",E$6,$F$2)</f>
        <v>0</v>
      </c>
      <c r="F1207" s="18">
        <f>_xll.ciqfunctions.udf.CIQ($C$2,"IQ_CAP_LOSS_CF_MAX_YEAR",F$6,$F$2)</f>
        <v>0</v>
      </c>
      <c r="G1207" s="18">
        <f>_xll.ciqfunctions.udf.CIQ($C$2,"IQ_CAP_LOSS_CF_MAX_YEAR",G$6,$F$2)</f>
        <v>0</v>
      </c>
      <c r="H1207" s="18">
        <f>_xll.ciqfunctions.udf.CIQ($C$2,"IQ_CAP_LOSS_CF_MAX_YEAR",H$6,$F$2)</f>
        <v>0</v>
      </c>
      <c r="I1207" s="18">
        <f>_xll.ciqfunctions.udf.CIQ($C$2,"IQ_CAP_LOSS_CF_MAX_YEAR",I$6,$F$2)</f>
        <v>0</v>
      </c>
      <c r="J1207" s="18">
        <f>_xll.ciqfunctions.udf.CIQ($C$2,"IQ_CAP_LOSS_CF_MAX_YEAR",J$6,$F$2)</f>
        <v>0</v>
      </c>
      <c r="K1207" s="18">
        <f>_xll.ciqfunctions.udf.CIQ($C$2,"IQ_CAP_LOSS_CF_MAX_YEAR",K$6,$F$2)</f>
        <v>0</v>
      </c>
      <c r="L1207" s="18">
        <f>_xll.ciqfunctions.udf.CIQ($C$2,"IQ_CAP_LOSS_CF_MAX_YEAR",L$6,$F$2)</f>
        <v>0</v>
      </c>
      <c r="M1207" s="18">
        <f>_xll.ciqfunctions.udf.CIQ($C$2,"IQ_CAP_LOSS_CF_MAX_YEAR",M$6,$F$2)</f>
        <v>0</v>
      </c>
      <c r="N1207" s="18">
        <f>_xll.ciqfunctions.udf.CIQ($C$2,"IQ_CAP_LOSS_CF_MAX_YEAR",N$6,$F$2)</f>
        <v>0</v>
      </c>
      <c r="O1207" s="30"/>
      <c r="P1207" s="18">
        <f>_xll.ciqfunctions.udf.CIQ($C$2,"IQ_CAP_LOSS_CF_MAX_YEAR",P$6,$F$2)</f>
        <v>0</v>
      </c>
      <c r="Q1207" s="215"/>
      <c r="R1207" s="215"/>
      <c r="S1207" s="215"/>
      <c r="T1207" s="215"/>
      <c r="U1207" s="215"/>
      <c r="V1207" s="222"/>
      <c r="W1207" s="215"/>
      <c r="X1207" s="215"/>
      <c r="Y1207" s="215"/>
      <c r="Z1207" s="215"/>
      <c r="AA1207" s="215"/>
      <c r="AB1207" s="215"/>
      <c r="AC1207" s="215"/>
      <c r="AD1207" s="215"/>
      <c r="AE1207" s="215"/>
      <c r="AF1207" s="215"/>
      <c r="AG1207" s="215"/>
      <c r="AH1207" s="215"/>
      <c r="AI1207" s="215"/>
      <c r="AJ1207" s="215"/>
      <c r="AK1207" s="215"/>
      <c r="AL1207" s="215"/>
      <c r="AM1207" s="215"/>
      <c r="AN1207" s="215"/>
      <c r="AO1207" s="215"/>
      <c r="AP1207" s="215"/>
      <c r="AQ1207" s="215"/>
      <c r="AR1207" s="215"/>
      <c r="AS1207" s="215"/>
      <c r="AT1207" s="215"/>
      <c r="AU1207" s="215"/>
      <c r="AV1207" s="215"/>
      <c r="AW1207" s="215"/>
      <c r="AX1207" s="215"/>
      <c r="AY1207" s="215"/>
      <c r="AZ1207" s="215"/>
      <c r="BA1207" s="215"/>
      <c r="BB1207" s="215"/>
      <c r="BC1207" s="215"/>
      <c r="BD1207" s="215"/>
      <c r="BE1207" s="215"/>
      <c r="BF1207" s="215"/>
      <c r="BG1207" s="215"/>
      <c r="BH1207" s="215"/>
      <c r="BI1207" s="215"/>
      <c r="BJ1207" s="215"/>
      <c r="BK1207" s="215"/>
      <c r="BL1207" s="215"/>
      <c r="BM1207" s="215"/>
      <c r="BN1207" s="215"/>
      <c r="BO1207" s="215"/>
      <c r="BP1207" s="215"/>
      <c r="BQ1207" s="215"/>
      <c r="BR1207" s="215"/>
      <c r="BS1207" s="215"/>
      <c r="BT1207" s="215"/>
      <c r="BU1207" s="215"/>
      <c r="BV1207" s="215"/>
      <c r="BW1207" s="215"/>
      <c r="BX1207" s="215"/>
      <c r="BY1207" s="215"/>
      <c r="BZ1207" s="215"/>
    </row>
    <row r="1208" spans="1:78" outlineLevel="1" x14ac:dyDescent="0.2">
      <c r="A1208" s="53" t="str">
        <f>'Language Index'!A682</f>
        <v>Tax Benefit C/F, Current Year</v>
      </c>
      <c r="B1208" s="17"/>
      <c r="C1208" s="17"/>
      <c r="D1208" s="18">
        <f>_xll.ciqfunctions.udf.CIQ($C$2,"IQ_TAX_BENEFIT_CF_1YR",D$6,$F$2,,,Ccy,Conv)</f>
        <v>0</v>
      </c>
      <c r="E1208" s="18">
        <f>_xll.ciqfunctions.udf.CIQ($C$2,"IQ_TAX_BENEFIT_CF_1YR",E$6,$F$2,,,Ccy,Conv)</f>
        <v>0</v>
      </c>
      <c r="F1208" s="18">
        <f>_xll.ciqfunctions.udf.CIQ($C$2,"IQ_TAX_BENEFIT_CF_1YR",F$6,$F$2,,,Ccy,Conv)</f>
        <v>0</v>
      </c>
      <c r="G1208" s="18">
        <f>_xll.ciqfunctions.udf.CIQ($C$2,"IQ_TAX_BENEFIT_CF_1YR",G$6,$F$2,,,Ccy,Conv)</f>
        <v>0</v>
      </c>
      <c r="H1208" s="18">
        <f>_xll.ciqfunctions.udf.CIQ($C$2,"IQ_TAX_BENEFIT_CF_1YR",H$6,$F$2,,,Ccy,Conv)</f>
        <v>0</v>
      </c>
      <c r="I1208" s="18">
        <f>_xll.ciqfunctions.udf.CIQ($C$2,"IQ_TAX_BENEFIT_CF_1YR",I$6,$F$2,,,Ccy,Conv)</f>
        <v>0</v>
      </c>
      <c r="J1208" s="18">
        <f>_xll.ciqfunctions.udf.CIQ($C$2,"IQ_TAX_BENEFIT_CF_1YR",J$6,$F$2,,,Ccy,Conv)</f>
        <v>0</v>
      </c>
      <c r="K1208" s="18">
        <f>_xll.ciqfunctions.udf.CIQ($C$2,"IQ_TAX_BENEFIT_CF_1YR",K$6,$F$2,,,Ccy,Conv)</f>
        <v>0</v>
      </c>
      <c r="L1208" s="18">
        <f>_xll.ciqfunctions.udf.CIQ($C$2,"IQ_TAX_BENEFIT_CF_1YR",L$6,$F$2,,,Ccy,Conv)</f>
        <v>0</v>
      </c>
      <c r="M1208" s="18">
        <f>_xll.ciqfunctions.udf.CIQ($C$2,"IQ_TAX_BENEFIT_CF_1YR",M$6,$F$2,,,Ccy,Conv)</f>
        <v>0</v>
      </c>
      <c r="N1208" s="18">
        <f>_xll.ciqfunctions.udf.CIQ($C$2,"IQ_TAX_BENEFIT_CF_1YR",N$6,$F$2,,,Ccy,Conv)</f>
        <v>0</v>
      </c>
      <c r="O1208" s="30"/>
      <c r="P1208" s="18">
        <f>_xll.ciqfunctions.udf.CIQ($C$2,"IQ_TAX_BENEFIT_CF_1YR",P$6,$F$2,,,Ccy,Conv)</f>
        <v>0</v>
      </c>
      <c r="Q1208" s="215"/>
      <c r="R1208" s="215"/>
      <c r="S1208" s="215"/>
      <c r="T1208" s="215"/>
      <c r="U1208" s="215"/>
      <c r="V1208" s="222"/>
      <c r="W1208" s="215"/>
      <c r="X1208" s="215"/>
      <c r="Y1208" s="215"/>
      <c r="Z1208" s="215"/>
      <c r="AA1208" s="215"/>
      <c r="AB1208" s="215"/>
      <c r="AC1208" s="215"/>
      <c r="AD1208" s="215"/>
      <c r="AE1208" s="215"/>
      <c r="AF1208" s="215"/>
      <c r="AG1208" s="215"/>
      <c r="AH1208" s="215"/>
      <c r="AI1208" s="215"/>
      <c r="AJ1208" s="215"/>
      <c r="AK1208" s="215"/>
      <c r="AL1208" s="215"/>
      <c r="AM1208" s="215"/>
      <c r="AN1208" s="215"/>
      <c r="AO1208" s="215"/>
      <c r="AP1208" s="215"/>
      <c r="AQ1208" s="215"/>
      <c r="AR1208" s="215"/>
      <c r="AS1208" s="215"/>
      <c r="AT1208" s="215"/>
      <c r="AU1208" s="215"/>
      <c r="AV1208" s="215"/>
      <c r="AW1208" s="215"/>
      <c r="AX1208" s="215"/>
      <c r="AY1208" s="215"/>
      <c r="AZ1208" s="215"/>
      <c r="BA1208" s="215"/>
      <c r="BB1208" s="215"/>
      <c r="BC1208" s="215"/>
      <c r="BD1208" s="215"/>
      <c r="BE1208" s="215"/>
      <c r="BF1208" s="215"/>
      <c r="BG1208" s="215"/>
      <c r="BH1208" s="215"/>
      <c r="BI1208" s="215"/>
      <c r="BJ1208" s="215"/>
      <c r="BK1208" s="215"/>
      <c r="BL1208" s="215"/>
      <c r="BM1208" s="215"/>
      <c r="BN1208" s="215"/>
      <c r="BO1208" s="215"/>
      <c r="BP1208" s="215"/>
      <c r="BQ1208" s="215"/>
      <c r="BR1208" s="215"/>
      <c r="BS1208" s="215"/>
      <c r="BT1208" s="215"/>
      <c r="BU1208" s="215"/>
      <c r="BV1208" s="215"/>
      <c r="BW1208" s="215"/>
      <c r="BX1208" s="215"/>
      <c r="BY1208" s="215"/>
      <c r="BZ1208" s="215"/>
    </row>
    <row r="1209" spans="1:78" outlineLevel="1" x14ac:dyDescent="0.2">
      <c r="A1209" s="53" t="str">
        <f>'Language Index'!A683</f>
        <v>Tax Benefit C/F, Current Year + 1</v>
      </c>
      <c r="B1209" s="17"/>
      <c r="C1209" s="17"/>
      <c r="D1209" s="18">
        <f>_xll.ciqfunctions.udf.CIQ($C$2,"IQ_TAX_BENEFIT_CF_2YR",D$6,$F$2,,,Ccy,Conv)</f>
        <v>0</v>
      </c>
      <c r="E1209" s="18">
        <f>_xll.ciqfunctions.udf.CIQ($C$2,"IQ_TAX_BENEFIT_CF_2YR",E$6,$F$2,,,Ccy,Conv)</f>
        <v>0</v>
      </c>
      <c r="F1209" s="18">
        <f>_xll.ciqfunctions.udf.CIQ($C$2,"IQ_TAX_BENEFIT_CF_2YR",F$6,$F$2,,,Ccy,Conv)</f>
        <v>0</v>
      </c>
      <c r="G1209" s="18">
        <f>_xll.ciqfunctions.udf.CIQ($C$2,"IQ_TAX_BENEFIT_CF_2YR",G$6,$F$2,,,Ccy,Conv)</f>
        <v>0</v>
      </c>
      <c r="H1209" s="18">
        <f>_xll.ciqfunctions.udf.CIQ($C$2,"IQ_TAX_BENEFIT_CF_2YR",H$6,$F$2,,,Ccy,Conv)</f>
        <v>0</v>
      </c>
      <c r="I1209" s="18">
        <f>_xll.ciqfunctions.udf.CIQ($C$2,"IQ_TAX_BENEFIT_CF_2YR",I$6,$F$2,,,Ccy,Conv)</f>
        <v>0</v>
      </c>
      <c r="J1209" s="18">
        <f>_xll.ciqfunctions.udf.CIQ($C$2,"IQ_TAX_BENEFIT_CF_2YR",J$6,$F$2,,,Ccy,Conv)</f>
        <v>0</v>
      </c>
      <c r="K1209" s="18">
        <f>_xll.ciqfunctions.udf.CIQ($C$2,"IQ_TAX_BENEFIT_CF_2YR",K$6,$F$2,,,Ccy,Conv)</f>
        <v>0</v>
      </c>
      <c r="L1209" s="18">
        <f>_xll.ciqfunctions.udf.CIQ($C$2,"IQ_TAX_BENEFIT_CF_2YR",L$6,$F$2,,,Ccy,Conv)</f>
        <v>0</v>
      </c>
      <c r="M1209" s="18">
        <f>_xll.ciqfunctions.udf.CIQ($C$2,"IQ_TAX_BENEFIT_CF_2YR",M$6,$F$2,,,Ccy,Conv)</f>
        <v>0</v>
      </c>
      <c r="N1209" s="18">
        <f>_xll.ciqfunctions.udf.CIQ($C$2,"IQ_TAX_BENEFIT_CF_2YR",N$6,$F$2,,,Ccy,Conv)</f>
        <v>0</v>
      </c>
      <c r="O1209" s="30"/>
      <c r="P1209" s="18">
        <f>_xll.ciqfunctions.udf.CIQ($C$2,"IQ_TAX_BENEFIT_CF_2YR",P$6,$F$2,,,Ccy,Conv)</f>
        <v>0</v>
      </c>
      <c r="Q1209" s="215"/>
      <c r="R1209" s="215"/>
      <c r="S1209" s="215"/>
      <c r="T1209" s="215"/>
      <c r="U1209" s="215"/>
      <c r="V1209" s="222"/>
      <c r="W1209" s="215"/>
      <c r="X1209" s="215"/>
      <c r="Y1209" s="215"/>
      <c r="Z1209" s="215"/>
      <c r="AA1209" s="215"/>
      <c r="AB1209" s="215"/>
      <c r="AC1209" s="215"/>
      <c r="AD1209" s="215"/>
      <c r="AE1209" s="215"/>
      <c r="AF1209" s="215"/>
      <c r="AG1209" s="215"/>
      <c r="AH1209" s="215"/>
      <c r="AI1209" s="215"/>
      <c r="AJ1209" s="215"/>
      <c r="AK1209" s="215"/>
      <c r="AL1209" s="215"/>
      <c r="AM1209" s="215"/>
      <c r="AN1209" s="215"/>
      <c r="AO1209" s="215"/>
      <c r="AP1209" s="215"/>
      <c r="AQ1209" s="215"/>
      <c r="AR1209" s="215"/>
      <c r="AS1209" s="215"/>
      <c r="AT1209" s="215"/>
      <c r="AU1209" s="215"/>
      <c r="AV1209" s="215"/>
      <c r="AW1209" s="215"/>
      <c r="AX1209" s="215"/>
      <c r="AY1209" s="215"/>
      <c r="AZ1209" s="215"/>
      <c r="BA1209" s="215"/>
      <c r="BB1209" s="215"/>
      <c r="BC1209" s="215"/>
      <c r="BD1209" s="215"/>
      <c r="BE1209" s="215"/>
      <c r="BF1209" s="215"/>
      <c r="BG1209" s="215"/>
      <c r="BH1209" s="215"/>
      <c r="BI1209" s="215"/>
      <c r="BJ1209" s="215"/>
      <c r="BK1209" s="215"/>
      <c r="BL1209" s="215"/>
      <c r="BM1209" s="215"/>
      <c r="BN1209" s="215"/>
      <c r="BO1209" s="215"/>
      <c r="BP1209" s="215"/>
      <c r="BQ1209" s="215"/>
      <c r="BR1209" s="215"/>
      <c r="BS1209" s="215"/>
      <c r="BT1209" s="215"/>
      <c r="BU1209" s="215"/>
      <c r="BV1209" s="215"/>
      <c r="BW1209" s="215"/>
      <c r="BX1209" s="215"/>
      <c r="BY1209" s="215"/>
      <c r="BZ1209" s="215"/>
    </row>
    <row r="1210" spans="1:78" outlineLevel="1" x14ac:dyDescent="0.2">
      <c r="A1210" s="53" t="str">
        <f>'Language Index'!A684</f>
        <v>Tax Benefit C/F, Current Year + 2</v>
      </c>
      <c r="B1210" s="17"/>
      <c r="C1210" s="17"/>
      <c r="D1210" s="18">
        <f>_xll.ciqfunctions.udf.CIQ($C$2,"IQ_TAX_BENEFIT_CF_3YR",D$6,$F$2,,,Ccy,Conv)</f>
        <v>0</v>
      </c>
      <c r="E1210" s="18">
        <f>_xll.ciqfunctions.udf.CIQ($C$2,"IQ_TAX_BENEFIT_CF_3YR",E$6,$F$2,,,Ccy,Conv)</f>
        <v>0</v>
      </c>
      <c r="F1210" s="18">
        <f>_xll.ciqfunctions.udf.CIQ($C$2,"IQ_TAX_BENEFIT_CF_3YR",F$6,$F$2,,,Ccy,Conv)</f>
        <v>0</v>
      </c>
      <c r="G1210" s="18">
        <f>_xll.ciqfunctions.udf.CIQ($C$2,"IQ_TAX_BENEFIT_CF_3YR",G$6,$F$2,,,Ccy,Conv)</f>
        <v>0</v>
      </c>
      <c r="H1210" s="18">
        <f>_xll.ciqfunctions.udf.CIQ($C$2,"IQ_TAX_BENEFIT_CF_3YR",H$6,$F$2,,,Ccy,Conv)</f>
        <v>0</v>
      </c>
      <c r="I1210" s="18">
        <f>_xll.ciqfunctions.udf.CIQ($C$2,"IQ_TAX_BENEFIT_CF_3YR",I$6,$F$2,,,Ccy,Conv)</f>
        <v>0</v>
      </c>
      <c r="J1210" s="18">
        <f>_xll.ciqfunctions.udf.CIQ($C$2,"IQ_TAX_BENEFIT_CF_3YR",J$6,$F$2,,,Ccy,Conv)</f>
        <v>0</v>
      </c>
      <c r="K1210" s="18">
        <f>_xll.ciqfunctions.udf.CIQ($C$2,"IQ_TAX_BENEFIT_CF_3YR",K$6,$F$2,,,Ccy,Conv)</f>
        <v>0</v>
      </c>
      <c r="L1210" s="18">
        <f>_xll.ciqfunctions.udf.CIQ($C$2,"IQ_TAX_BENEFIT_CF_3YR",L$6,$F$2,,,Ccy,Conv)</f>
        <v>0</v>
      </c>
      <c r="M1210" s="18">
        <f>_xll.ciqfunctions.udf.CIQ($C$2,"IQ_TAX_BENEFIT_CF_3YR",M$6,$F$2,,,Ccy,Conv)</f>
        <v>0</v>
      </c>
      <c r="N1210" s="18">
        <f>_xll.ciqfunctions.udf.CIQ($C$2,"IQ_TAX_BENEFIT_CF_3YR",N$6,$F$2,,,Ccy,Conv)</f>
        <v>0</v>
      </c>
      <c r="O1210" s="30"/>
      <c r="P1210" s="18">
        <f>_xll.ciqfunctions.udf.CIQ($C$2,"IQ_TAX_BENEFIT_CF_3YR",P$6,$F$2,,,Ccy,Conv)</f>
        <v>0</v>
      </c>
      <c r="Q1210" s="215"/>
      <c r="R1210" s="215"/>
      <c r="S1210" s="215"/>
      <c r="T1210" s="215"/>
      <c r="U1210" s="215"/>
      <c r="V1210" s="222"/>
      <c r="W1210" s="215"/>
      <c r="X1210" s="215"/>
      <c r="Y1210" s="215"/>
      <c r="Z1210" s="215"/>
      <c r="AA1210" s="215"/>
      <c r="AB1210" s="215"/>
      <c r="AC1210" s="215"/>
      <c r="AD1210" s="215"/>
      <c r="AE1210" s="215"/>
      <c r="AF1210" s="215"/>
      <c r="AG1210" s="215"/>
      <c r="AH1210" s="215"/>
      <c r="AI1210" s="215"/>
      <c r="AJ1210" s="215"/>
      <c r="AK1210" s="215"/>
      <c r="AL1210" s="215"/>
      <c r="AM1210" s="215"/>
      <c r="AN1210" s="215"/>
      <c r="AO1210" s="215"/>
      <c r="AP1210" s="215"/>
      <c r="AQ1210" s="215"/>
      <c r="AR1210" s="215"/>
      <c r="AS1210" s="215"/>
      <c r="AT1210" s="215"/>
      <c r="AU1210" s="215"/>
      <c r="AV1210" s="215"/>
      <c r="AW1210" s="215"/>
      <c r="AX1210" s="215"/>
      <c r="AY1210" s="215"/>
      <c r="AZ1210" s="215"/>
      <c r="BA1210" s="215"/>
      <c r="BB1210" s="215"/>
      <c r="BC1210" s="215"/>
      <c r="BD1210" s="215"/>
      <c r="BE1210" s="215"/>
      <c r="BF1210" s="215"/>
      <c r="BG1210" s="215"/>
      <c r="BH1210" s="215"/>
      <c r="BI1210" s="215"/>
      <c r="BJ1210" s="215"/>
      <c r="BK1210" s="215"/>
      <c r="BL1210" s="215"/>
      <c r="BM1210" s="215"/>
      <c r="BN1210" s="215"/>
      <c r="BO1210" s="215"/>
      <c r="BP1210" s="215"/>
      <c r="BQ1210" s="215"/>
      <c r="BR1210" s="215"/>
      <c r="BS1210" s="215"/>
      <c r="BT1210" s="215"/>
      <c r="BU1210" s="215"/>
      <c r="BV1210" s="215"/>
      <c r="BW1210" s="215"/>
      <c r="BX1210" s="215"/>
      <c r="BY1210" s="215"/>
      <c r="BZ1210" s="215"/>
    </row>
    <row r="1211" spans="1:78" outlineLevel="1" x14ac:dyDescent="0.2">
      <c r="A1211" s="53" t="str">
        <f>'Language Index'!A685</f>
        <v>Tax Benefit C/F, Current Year + 3</v>
      </c>
      <c r="B1211" s="17"/>
      <c r="C1211" s="17"/>
      <c r="D1211" s="18">
        <f>_xll.ciqfunctions.udf.CIQ($C$2,"IQ_TAX_BENEFIT_CF_4YR",D$6,$F$2,,,Ccy,Conv)</f>
        <v>0</v>
      </c>
      <c r="E1211" s="18">
        <f>_xll.ciqfunctions.udf.CIQ($C$2,"IQ_TAX_BENEFIT_CF_4YR",E$6,$F$2,,,Ccy,Conv)</f>
        <v>0</v>
      </c>
      <c r="F1211" s="18">
        <f>_xll.ciqfunctions.udf.CIQ($C$2,"IQ_TAX_BENEFIT_CF_4YR",F$6,$F$2,,,Ccy,Conv)</f>
        <v>0</v>
      </c>
      <c r="G1211" s="18">
        <f>_xll.ciqfunctions.udf.CIQ($C$2,"IQ_TAX_BENEFIT_CF_4YR",G$6,$F$2,,,Ccy,Conv)</f>
        <v>0</v>
      </c>
      <c r="H1211" s="18">
        <f>_xll.ciqfunctions.udf.CIQ($C$2,"IQ_TAX_BENEFIT_CF_4YR",H$6,$F$2,,,Ccy,Conv)</f>
        <v>0</v>
      </c>
      <c r="I1211" s="18">
        <f>_xll.ciqfunctions.udf.CIQ($C$2,"IQ_TAX_BENEFIT_CF_4YR",I$6,$F$2,,,Ccy,Conv)</f>
        <v>0</v>
      </c>
      <c r="J1211" s="18">
        <f>_xll.ciqfunctions.udf.CIQ($C$2,"IQ_TAX_BENEFIT_CF_4YR",J$6,$F$2,,,Ccy,Conv)</f>
        <v>0</v>
      </c>
      <c r="K1211" s="18">
        <f>_xll.ciqfunctions.udf.CIQ($C$2,"IQ_TAX_BENEFIT_CF_4YR",K$6,$F$2,,,Ccy,Conv)</f>
        <v>0</v>
      </c>
      <c r="L1211" s="18">
        <f>_xll.ciqfunctions.udf.CIQ($C$2,"IQ_TAX_BENEFIT_CF_4YR",L$6,$F$2,,,Ccy,Conv)</f>
        <v>0</v>
      </c>
      <c r="M1211" s="18">
        <f>_xll.ciqfunctions.udf.CIQ($C$2,"IQ_TAX_BENEFIT_CF_4YR",M$6,$F$2,,,Ccy,Conv)</f>
        <v>0</v>
      </c>
      <c r="N1211" s="18">
        <f>_xll.ciqfunctions.udf.CIQ($C$2,"IQ_TAX_BENEFIT_CF_4YR",N$6,$F$2,,,Ccy,Conv)</f>
        <v>0</v>
      </c>
      <c r="O1211" s="30"/>
      <c r="P1211" s="18">
        <f>_xll.ciqfunctions.udf.CIQ($C$2,"IQ_TAX_BENEFIT_CF_4YR",P$6,$F$2,,,Ccy,Conv)</f>
        <v>0</v>
      </c>
      <c r="Q1211" s="215"/>
      <c r="R1211" s="215"/>
      <c r="S1211" s="215"/>
      <c r="T1211" s="215"/>
      <c r="U1211" s="215"/>
      <c r="V1211" s="222"/>
      <c r="W1211" s="215"/>
      <c r="X1211" s="215"/>
      <c r="Y1211" s="215"/>
      <c r="Z1211" s="215"/>
      <c r="AA1211" s="215"/>
      <c r="AB1211" s="215"/>
      <c r="AC1211" s="215"/>
      <c r="AD1211" s="215"/>
      <c r="AE1211" s="215"/>
      <c r="AF1211" s="215"/>
      <c r="AG1211" s="215"/>
      <c r="AH1211" s="215"/>
      <c r="AI1211" s="215"/>
      <c r="AJ1211" s="215"/>
      <c r="AK1211" s="215"/>
      <c r="AL1211" s="215"/>
      <c r="AM1211" s="215"/>
      <c r="AN1211" s="215"/>
      <c r="AO1211" s="215"/>
      <c r="AP1211" s="215"/>
      <c r="AQ1211" s="215"/>
      <c r="AR1211" s="215"/>
      <c r="AS1211" s="215"/>
      <c r="AT1211" s="215"/>
      <c r="AU1211" s="215"/>
      <c r="AV1211" s="215"/>
      <c r="AW1211" s="215"/>
      <c r="AX1211" s="215"/>
      <c r="AY1211" s="215"/>
      <c r="AZ1211" s="215"/>
      <c r="BA1211" s="215"/>
      <c r="BB1211" s="215"/>
      <c r="BC1211" s="215"/>
      <c r="BD1211" s="215"/>
      <c r="BE1211" s="215"/>
      <c r="BF1211" s="215"/>
      <c r="BG1211" s="215"/>
      <c r="BH1211" s="215"/>
      <c r="BI1211" s="215"/>
      <c r="BJ1211" s="215"/>
      <c r="BK1211" s="215"/>
      <c r="BL1211" s="215"/>
      <c r="BM1211" s="215"/>
      <c r="BN1211" s="215"/>
      <c r="BO1211" s="215"/>
      <c r="BP1211" s="215"/>
      <c r="BQ1211" s="215"/>
      <c r="BR1211" s="215"/>
      <c r="BS1211" s="215"/>
      <c r="BT1211" s="215"/>
      <c r="BU1211" s="215"/>
      <c r="BV1211" s="215"/>
      <c r="BW1211" s="215"/>
      <c r="BX1211" s="215"/>
      <c r="BY1211" s="215"/>
      <c r="BZ1211" s="215"/>
    </row>
    <row r="1212" spans="1:78" outlineLevel="1" x14ac:dyDescent="0.2">
      <c r="A1212" s="53" t="str">
        <f>'Language Index'!A686</f>
        <v>Tax Benefit C/F, Current Year + 4</v>
      </c>
      <c r="B1212" s="17"/>
      <c r="C1212" s="17"/>
      <c r="D1212" s="18">
        <f>_xll.ciqfunctions.udf.CIQ($C$2,"IQ_TAX_BENEFIT_CF_5YR",D$6,$F$2,,,Ccy,Conv)</f>
        <v>0</v>
      </c>
      <c r="E1212" s="18">
        <f>_xll.ciqfunctions.udf.CIQ($C$2,"IQ_TAX_BENEFIT_CF_5YR",E$6,$F$2,,,Ccy,Conv)</f>
        <v>0</v>
      </c>
      <c r="F1212" s="18">
        <f>_xll.ciqfunctions.udf.CIQ($C$2,"IQ_TAX_BENEFIT_CF_5YR",F$6,$F$2,,,Ccy,Conv)</f>
        <v>0</v>
      </c>
      <c r="G1212" s="18">
        <f>_xll.ciqfunctions.udf.CIQ($C$2,"IQ_TAX_BENEFIT_CF_5YR",G$6,$F$2,,,Ccy,Conv)</f>
        <v>0</v>
      </c>
      <c r="H1212" s="18">
        <f>_xll.ciqfunctions.udf.CIQ($C$2,"IQ_TAX_BENEFIT_CF_5YR",H$6,$F$2,,,Ccy,Conv)</f>
        <v>0</v>
      </c>
      <c r="I1212" s="18">
        <f>_xll.ciqfunctions.udf.CIQ($C$2,"IQ_TAX_BENEFIT_CF_5YR",I$6,$F$2,,,Ccy,Conv)</f>
        <v>0</v>
      </c>
      <c r="J1212" s="18">
        <f>_xll.ciqfunctions.udf.CIQ($C$2,"IQ_TAX_BENEFIT_CF_5YR",J$6,$F$2,,,Ccy,Conv)</f>
        <v>0</v>
      </c>
      <c r="K1212" s="18">
        <f>_xll.ciqfunctions.udf.CIQ($C$2,"IQ_TAX_BENEFIT_CF_5YR",K$6,$F$2,,,Ccy,Conv)</f>
        <v>0</v>
      </c>
      <c r="L1212" s="18">
        <f>_xll.ciqfunctions.udf.CIQ($C$2,"IQ_TAX_BENEFIT_CF_5YR",L$6,$F$2,,,Ccy,Conv)</f>
        <v>0</v>
      </c>
      <c r="M1212" s="18">
        <f>_xll.ciqfunctions.udf.CIQ($C$2,"IQ_TAX_BENEFIT_CF_5YR",M$6,$F$2,,,Ccy,Conv)</f>
        <v>0</v>
      </c>
      <c r="N1212" s="18">
        <f>_xll.ciqfunctions.udf.CIQ($C$2,"IQ_TAX_BENEFIT_CF_5YR",N$6,$F$2,,,Ccy,Conv)</f>
        <v>0</v>
      </c>
      <c r="O1212" s="30"/>
      <c r="P1212" s="18">
        <f>_xll.ciqfunctions.udf.CIQ($C$2,"IQ_TAX_BENEFIT_CF_5YR",P$6,$F$2,,,Ccy,Conv)</f>
        <v>0</v>
      </c>
      <c r="Q1212" s="215"/>
      <c r="R1212" s="215"/>
      <c r="S1212" s="215"/>
      <c r="T1212" s="215"/>
      <c r="U1212" s="215"/>
      <c r="V1212" s="222"/>
      <c r="W1212" s="215"/>
      <c r="X1212" s="215"/>
      <c r="Y1212" s="215"/>
      <c r="Z1212" s="215"/>
      <c r="AA1212" s="215"/>
      <c r="AB1212" s="215"/>
      <c r="AC1212" s="215"/>
      <c r="AD1212" s="215"/>
      <c r="AE1212" s="215"/>
      <c r="AF1212" s="215"/>
      <c r="AG1212" s="215"/>
      <c r="AH1212" s="215"/>
      <c r="AI1212" s="215"/>
      <c r="AJ1212" s="215"/>
      <c r="AK1212" s="215"/>
      <c r="AL1212" s="215"/>
      <c r="AM1212" s="215"/>
      <c r="AN1212" s="215"/>
      <c r="AO1212" s="215"/>
      <c r="AP1212" s="215"/>
      <c r="AQ1212" s="215"/>
      <c r="AR1212" s="215"/>
      <c r="AS1212" s="215"/>
      <c r="AT1212" s="215"/>
      <c r="AU1212" s="215"/>
      <c r="AV1212" s="215"/>
      <c r="AW1212" s="215"/>
      <c r="AX1212" s="215"/>
      <c r="AY1212" s="215"/>
      <c r="AZ1212" s="215"/>
      <c r="BA1212" s="215"/>
      <c r="BB1212" s="215"/>
      <c r="BC1212" s="215"/>
      <c r="BD1212" s="215"/>
      <c r="BE1212" s="215"/>
      <c r="BF1212" s="215"/>
      <c r="BG1212" s="215"/>
      <c r="BH1212" s="215"/>
      <c r="BI1212" s="215"/>
      <c r="BJ1212" s="215"/>
      <c r="BK1212" s="215"/>
      <c r="BL1212" s="215"/>
      <c r="BM1212" s="215"/>
      <c r="BN1212" s="215"/>
      <c r="BO1212" s="215"/>
      <c r="BP1212" s="215"/>
      <c r="BQ1212" s="215"/>
      <c r="BR1212" s="215"/>
      <c r="BS1212" s="215"/>
      <c r="BT1212" s="215"/>
      <c r="BU1212" s="215"/>
      <c r="BV1212" s="215"/>
      <c r="BW1212" s="215"/>
      <c r="BX1212" s="215"/>
      <c r="BY1212" s="215"/>
      <c r="BZ1212" s="215"/>
    </row>
    <row r="1213" spans="1:78" outlineLevel="1" x14ac:dyDescent="0.2">
      <c r="A1213" s="53" t="str">
        <f>'Language Index'!A687</f>
        <v>Tax Benefit C/F, After Five Years</v>
      </c>
      <c r="B1213" s="17"/>
      <c r="C1213" s="17"/>
      <c r="D1213" s="18">
        <f>_xll.ciqfunctions.udf.CIQ($C$2,"IQ_TAX_BENEFIT_CF_AFTER_FIVE",D$6,$F$2,,,Ccy,Conv)</f>
        <v>0</v>
      </c>
      <c r="E1213" s="18">
        <f>_xll.ciqfunctions.udf.CIQ($C$2,"IQ_TAX_BENEFIT_CF_AFTER_FIVE",E$6,$F$2,,,Ccy,Conv)</f>
        <v>0</v>
      </c>
      <c r="F1213" s="18">
        <f>_xll.ciqfunctions.udf.CIQ($C$2,"IQ_TAX_BENEFIT_CF_AFTER_FIVE",F$6,$F$2,,,Ccy,Conv)</f>
        <v>2164</v>
      </c>
      <c r="G1213" s="18">
        <f>_xll.ciqfunctions.udf.CIQ($C$2,"IQ_TAX_BENEFIT_CF_AFTER_FIVE",G$6,$F$2,,,Ccy,Conv)</f>
        <v>0</v>
      </c>
      <c r="H1213" s="18">
        <f>_xll.ciqfunctions.udf.CIQ($C$2,"IQ_TAX_BENEFIT_CF_AFTER_FIVE",H$6,$F$2,,,Ccy,Conv)</f>
        <v>0</v>
      </c>
      <c r="I1213" s="18">
        <f>_xll.ciqfunctions.udf.CIQ($C$2,"IQ_TAX_BENEFIT_CF_AFTER_FIVE",I$6,$F$2,,,Ccy,Conv)</f>
        <v>0</v>
      </c>
      <c r="J1213" s="18">
        <f>_xll.ciqfunctions.udf.CIQ($C$2,"IQ_TAX_BENEFIT_CF_AFTER_FIVE",J$6,$F$2,,,Ccy,Conv)</f>
        <v>1681</v>
      </c>
      <c r="K1213" s="18">
        <f>_xll.ciqfunctions.udf.CIQ($C$2,"IQ_TAX_BENEFIT_CF_AFTER_FIVE",K$6,$F$2,,,Ccy,Conv)</f>
        <v>0</v>
      </c>
      <c r="L1213" s="18">
        <f>_xll.ciqfunctions.udf.CIQ($C$2,"IQ_TAX_BENEFIT_CF_AFTER_FIVE",L$6,$F$2,,,Ccy,Conv)</f>
        <v>0</v>
      </c>
      <c r="M1213" s="18">
        <f>_xll.ciqfunctions.udf.CIQ($C$2,"IQ_TAX_BENEFIT_CF_AFTER_FIVE",M$6,$F$2,,,Ccy,Conv)</f>
        <v>0</v>
      </c>
      <c r="N1213" s="18">
        <f>_xll.ciqfunctions.udf.CIQ($C$2,"IQ_TAX_BENEFIT_CF_AFTER_FIVE",N$6,$F$2,,,Ccy,Conv)</f>
        <v>2071</v>
      </c>
      <c r="O1213" s="30"/>
      <c r="P1213" s="18">
        <f>_xll.ciqfunctions.udf.CIQ($C$2,"IQ_TAX_BENEFIT_CF_AFTER_FIVE",P$6,$F$2,,,Ccy,Conv)</f>
        <v>2071</v>
      </c>
      <c r="Q1213" s="215"/>
      <c r="R1213" s="215"/>
      <c r="S1213" s="215"/>
      <c r="T1213" s="215"/>
      <c r="U1213" s="215"/>
      <c r="V1213" s="222"/>
      <c r="W1213" s="215"/>
      <c r="X1213" s="215"/>
      <c r="Y1213" s="215"/>
      <c r="Z1213" s="215"/>
      <c r="AA1213" s="215"/>
      <c r="AB1213" s="215"/>
      <c r="AC1213" s="215"/>
      <c r="AD1213" s="215"/>
      <c r="AE1213" s="215"/>
      <c r="AF1213" s="215"/>
      <c r="AG1213" s="215"/>
      <c r="AH1213" s="215"/>
      <c r="AI1213" s="215"/>
      <c r="AJ1213" s="215"/>
      <c r="AK1213" s="215"/>
      <c r="AL1213" s="215"/>
      <c r="AM1213" s="215"/>
      <c r="AN1213" s="215"/>
      <c r="AO1213" s="215"/>
      <c r="AP1213" s="215"/>
      <c r="AQ1213" s="215"/>
      <c r="AR1213" s="215"/>
      <c r="AS1213" s="215"/>
      <c r="AT1213" s="215"/>
      <c r="AU1213" s="215"/>
      <c r="AV1213" s="215"/>
      <c r="AW1213" s="215"/>
      <c r="AX1213" s="215"/>
      <c r="AY1213" s="215"/>
      <c r="AZ1213" s="215"/>
      <c r="BA1213" s="215"/>
      <c r="BB1213" s="215"/>
      <c r="BC1213" s="215"/>
      <c r="BD1213" s="215"/>
      <c r="BE1213" s="215"/>
      <c r="BF1213" s="215"/>
      <c r="BG1213" s="215"/>
      <c r="BH1213" s="215"/>
      <c r="BI1213" s="215"/>
      <c r="BJ1213" s="215"/>
      <c r="BK1213" s="215"/>
      <c r="BL1213" s="215"/>
      <c r="BM1213" s="215"/>
      <c r="BN1213" s="215"/>
      <c r="BO1213" s="215"/>
      <c r="BP1213" s="215"/>
      <c r="BQ1213" s="215"/>
      <c r="BR1213" s="215"/>
      <c r="BS1213" s="215"/>
      <c r="BT1213" s="215"/>
      <c r="BU1213" s="215"/>
      <c r="BV1213" s="215"/>
      <c r="BW1213" s="215"/>
      <c r="BX1213" s="215"/>
      <c r="BY1213" s="215"/>
      <c r="BZ1213" s="215"/>
    </row>
    <row r="1214" spans="1:78" outlineLevel="1" x14ac:dyDescent="0.2">
      <c r="A1214" s="53" t="str">
        <f>'Language Index'!A688</f>
        <v>Tax Benefit C/F, No Expiration</v>
      </c>
      <c r="B1214" s="17"/>
      <c r="C1214" s="17"/>
      <c r="D1214" s="18">
        <f>_xll.ciqfunctions.udf.CIQ($C$2,"IQ_TAX_BENEFIT_CF_NO_EXP",D$6,$F$2,,,Ccy,Conv)</f>
        <v>0</v>
      </c>
      <c r="E1214" s="18">
        <f>_xll.ciqfunctions.udf.CIQ($C$2,"IQ_TAX_BENEFIT_CF_NO_EXP",E$6,$F$2,,,Ccy,Conv)</f>
        <v>0</v>
      </c>
      <c r="F1214" s="18">
        <f>_xll.ciqfunctions.udf.CIQ($C$2,"IQ_TAX_BENEFIT_CF_NO_EXP",F$6,$F$2,,,Ccy,Conv)</f>
        <v>0</v>
      </c>
      <c r="G1214" s="18">
        <f>_xll.ciqfunctions.udf.CIQ($C$2,"IQ_TAX_BENEFIT_CF_NO_EXP",G$6,$F$2,,,Ccy,Conv)</f>
        <v>0</v>
      </c>
      <c r="H1214" s="18">
        <f>_xll.ciqfunctions.udf.CIQ($C$2,"IQ_TAX_BENEFIT_CF_NO_EXP",H$6,$F$2,,,Ccy,Conv)</f>
        <v>0</v>
      </c>
      <c r="I1214" s="18">
        <f>_xll.ciqfunctions.udf.CIQ($C$2,"IQ_TAX_BENEFIT_CF_NO_EXP",I$6,$F$2,,,Ccy,Conv)</f>
        <v>0</v>
      </c>
      <c r="J1214" s="18">
        <f>_xll.ciqfunctions.udf.CIQ($C$2,"IQ_TAX_BENEFIT_CF_NO_EXP",J$6,$F$2,,,Ccy,Conv)</f>
        <v>0</v>
      </c>
      <c r="K1214" s="18">
        <f>_xll.ciqfunctions.udf.CIQ($C$2,"IQ_TAX_BENEFIT_CF_NO_EXP",K$6,$F$2,,,Ccy,Conv)</f>
        <v>0</v>
      </c>
      <c r="L1214" s="18">
        <f>_xll.ciqfunctions.udf.CIQ($C$2,"IQ_TAX_BENEFIT_CF_NO_EXP",L$6,$F$2,,,Ccy,Conv)</f>
        <v>0</v>
      </c>
      <c r="M1214" s="18">
        <f>_xll.ciqfunctions.udf.CIQ($C$2,"IQ_TAX_BENEFIT_CF_NO_EXP",M$6,$F$2,,,Ccy,Conv)</f>
        <v>0</v>
      </c>
      <c r="N1214" s="18">
        <f>_xll.ciqfunctions.udf.CIQ($C$2,"IQ_TAX_BENEFIT_CF_NO_EXP",N$6,$F$2,,,Ccy,Conv)</f>
        <v>0</v>
      </c>
      <c r="O1214" s="30"/>
      <c r="P1214" s="18">
        <f>_xll.ciqfunctions.udf.CIQ($C$2,"IQ_TAX_BENEFIT_CF_NO_EXP",P$6,$F$2,,,Ccy,Conv)</f>
        <v>0</v>
      </c>
      <c r="Q1214" s="215"/>
      <c r="R1214" s="215"/>
      <c r="S1214" s="215"/>
      <c r="T1214" s="215"/>
      <c r="U1214" s="215"/>
      <c r="V1214" s="222"/>
      <c r="W1214" s="215"/>
      <c r="X1214" s="215"/>
      <c r="Y1214" s="215"/>
      <c r="Z1214" s="215"/>
      <c r="AA1214" s="215"/>
      <c r="AB1214" s="215"/>
      <c r="AC1214" s="215"/>
      <c r="AD1214" s="215"/>
      <c r="AE1214" s="215"/>
      <c r="AF1214" s="215"/>
      <c r="AG1214" s="215"/>
      <c r="AH1214" s="215"/>
      <c r="AI1214" s="215"/>
      <c r="AJ1214" s="215"/>
      <c r="AK1214" s="215"/>
      <c r="AL1214" s="215"/>
      <c r="AM1214" s="215"/>
      <c r="AN1214" s="215"/>
      <c r="AO1214" s="215"/>
      <c r="AP1214" s="215"/>
      <c r="AQ1214" s="215"/>
      <c r="AR1214" s="215"/>
      <c r="AS1214" s="215"/>
      <c r="AT1214" s="215"/>
      <c r="AU1214" s="215"/>
      <c r="AV1214" s="215"/>
      <c r="AW1214" s="215"/>
      <c r="AX1214" s="215"/>
      <c r="AY1214" s="215"/>
      <c r="AZ1214" s="215"/>
      <c r="BA1214" s="215"/>
      <c r="BB1214" s="215"/>
      <c r="BC1214" s="215"/>
      <c r="BD1214" s="215"/>
      <c r="BE1214" s="215"/>
      <c r="BF1214" s="215"/>
      <c r="BG1214" s="215"/>
      <c r="BH1214" s="215"/>
      <c r="BI1214" s="215"/>
      <c r="BJ1214" s="215"/>
      <c r="BK1214" s="215"/>
      <c r="BL1214" s="215"/>
      <c r="BM1214" s="215"/>
      <c r="BN1214" s="215"/>
      <c r="BO1214" s="215"/>
      <c r="BP1214" s="215"/>
      <c r="BQ1214" s="215"/>
      <c r="BR1214" s="215"/>
      <c r="BS1214" s="215"/>
      <c r="BT1214" s="215"/>
      <c r="BU1214" s="215"/>
      <c r="BV1214" s="215"/>
      <c r="BW1214" s="215"/>
      <c r="BX1214" s="215"/>
      <c r="BY1214" s="215"/>
      <c r="BZ1214" s="215"/>
    </row>
    <row r="1215" spans="1:78" outlineLevel="1" x14ac:dyDescent="0.2">
      <c r="A1215" s="53" t="str">
        <f>'Language Index'!A689</f>
        <v>Total Tax Benefit C/F</v>
      </c>
      <c r="B1215" s="17"/>
      <c r="C1215" s="17"/>
      <c r="D1215" s="18">
        <f>_xll.ciqfunctions.udf.CIQ($C$2,"IQ_TAX_BENEFIT_CF_TOTAL",D$6,$F$2,,,Ccy,Conv)</f>
        <v>0</v>
      </c>
      <c r="E1215" s="18">
        <f>_xll.ciqfunctions.udf.CIQ($C$2,"IQ_TAX_BENEFIT_CF_TOTAL",E$6,$F$2,,,Ccy,Conv)</f>
        <v>0</v>
      </c>
      <c r="F1215" s="18">
        <f>_xll.ciqfunctions.udf.CIQ($C$2,"IQ_TAX_BENEFIT_CF_TOTAL",F$6,$F$2,,,Ccy,Conv)</f>
        <v>2164</v>
      </c>
      <c r="G1215" s="18">
        <f>_xll.ciqfunctions.udf.CIQ($C$2,"IQ_TAX_BENEFIT_CF_TOTAL",G$6,$F$2,,,Ccy,Conv)</f>
        <v>0</v>
      </c>
      <c r="H1215" s="18">
        <f>_xll.ciqfunctions.udf.CIQ($C$2,"IQ_TAX_BENEFIT_CF_TOTAL",H$6,$F$2,,,Ccy,Conv)</f>
        <v>0</v>
      </c>
      <c r="I1215" s="18">
        <f>_xll.ciqfunctions.udf.CIQ($C$2,"IQ_TAX_BENEFIT_CF_TOTAL",I$6,$F$2,,,Ccy,Conv)</f>
        <v>0</v>
      </c>
      <c r="J1215" s="18">
        <f>_xll.ciqfunctions.udf.CIQ($C$2,"IQ_TAX_BENEFIT_CF_TOTAL",J$6,$F$2,,,Ccy,Conv)</f>
        <v>1681</v>
      </c>
      <c r="K1215" s="18">
        <f>_xll.ciqfunctions.udf.CIQ($C$2,"IQ_TAX_BENEFIT_CF_TOTAL",K$6,$F$2,,,Ccy,Conv)</f>
        <v>0</v>
      </c>
      <c r="L1215" s="18">
        <f>_xll.ciqfunctions.udf.CIQ($C$2,"IQ_TAX_BENEFIT_CF_TOTAL",L$6,$F$2,,,Ccy,Conv)</f>
        <v>0</v>
      </c>
      <c r="M1215" s="18">
        <f>_xll.ciqfunctions.udf.CIQ($C$2,"IQ_TAX_BENEFIT_CF_TOTAL",M$6,$F$2,,,Ccy,Conv)</f>
        <v>0</v>
      </c>
      <c r="N1215" s="18">
        <f>_xll.ciqfunctions.udf.CIQ($C$2,"IQ_TAX_BENEFIT_CF_TOTAL",N$6,$F$2,,,Ccy,Conv)</f>
        <v>2071</v>
      </c>
      <c r="O1215" s="30"/>
      <c r="P1215" s="18">
        <f>_xll.ciqfunctions.udf.CIQ($C$2,"IQ_TAX_BENEFIT_CF_TOTAL",P$6,$F$2,,,Ccy,Conv)</f>
        <v>2071</v>
      </c>
      <c r="Q1215" s="215"/>
      <c r="R1215" s="215"/>
      <c r="S1215" s="215"/>
      <c r="T1215" s="215"/>
      <c r="U1215" s="215"/>
      <c r="V1215" s="222"/>
      <c r="W1215" s="215"/>
      <c r="X1215" s="215"/>
      <c r="Y1215" s="215"/>
      <c r="Z1215" s="215"/>
      <c r="AA1215" s="215"/>
      <c r="AB1215" s="215"/>
      <c r="AC1215" s="215"/>
      <c r="AD1215" s="215"/>
      <c r="AE1215" s="215"/>
      <c r="AF1215" s="215"/>
      <c r="AG1215" s="215"/>
      <c r="AH1215" s="215"/>
      <c r="AI1215" s="215"/>
      <c r="AJ1215" s="215"/>
      <c r="AK1215" s="215"/>
      <c r="AL1215" s="215"/>
      <c r="AM1215" s="215"/>
      <c r="AN1215" s="215"/>
      <c r="AO1215" s="215"/>
      <c r="AP1215" s="215"/>
      <c r="AQ1215" s="215"/>
      <c r="AR1215" s="215"/>
      <c r="AS1215" s="215"/>
      <c r="AT1215" s="215"/>
      <c r="AU1215" s="215"/>
      <c r="AV1215" s="215"/>
      <c r="AW1215" s="215"/>
      <c r="AX1215" s="215"/>
      <c r="AY1215" s="215"/>
      <c r="AZ1215" s="215"/>
      <c r="BA1215" s="215"/>
      <c r="BB1215" s="215"/>
      <c r="BC1215" s="215"/>
      <c r="BD1215" s="215"/>
      <c r="BE1215" s="215"/>
      <c r="BF1215" s="215"/>
      <c r="BG1215" s="215"/>
      <c r="BH1215" s="215"/>
      <c r="BI1215" s="215"/>
      <c r="BJ1215" s="215"/>
      <c r="BK1215" s="215"/>
      <c r="BL1215" s="215"/>
      <c r="BM1215" s="215"/>
      <c r="BN1215" s="215"/>
      <c r="BO1215" s="215"/>
      <c r="BP1215" s="215"/>
      <c r="BQ1215" s="215"/>
      <c r="BR1215" s="215"/>
      <c r="BS1215" s="215"/>
      <c r="BT1215" s="215"/>
      <c r="BU1215" s="215"/>
      <c r="BV1215" s="215"/>
      <c r="BW1215" s="215"/>
      <c r="BX1215" s="215"/>
      <c r="BY1215" s="215"/>
      <c r="BZ1215" s="215"/>
    </row>
    <row r="1216" spans="1:78" outlineLevel="1" x14ac:dyDescent="0.2">
      <c r="A1216" s="53" t="str">
        <f>'Language Index'!A690</f>
        <v>Max. Year for Tax Benefit C/F</v>
      </c>
      <c r="B1216" s="17"/>
      <c r="C1216" s="17"/>
      <c r="D1216" s="18">
        <f>_xll.ciqfunctions.udf.CIQ($C$2,"IQ_TAX_BENEFIT_CF_MAX_YEAR",D$6,$F$2)</f>
        <v>0</v>
      </c>
      <c r="E1216" s="18">
        <f>_xll.ciqfunctions.udf.CIQ($C$2,"IQ_TAX_BENEFIT_CF_MAX_YEAR",E$6,$F$2)</f>
        <v>0</v>
      </c>
      <c r="F1216" s="18">
        <f>_xll.ciqfunctions.udf.CIQ($C$2,"IQ_TAX_BENEFIT_CF_MAX_YEAR",F$6,$F$2)</f>
        <v>0</v>
      </c>
      <c r="G1216" s="18">
        <f>_xll.ciqfunctions.udf.CIQ($C$2,"IQ_TAX_BENEFIT_CF_MAX_YEAR",G$6,$F$2)</f>
        <v>0</v>
      </c>
      <c r="H1216" s="18">
        <f>_xll.ciqfunctions.udf.CIQ($C$2,"IQ_TAX_BENEFIT_CF_MAX_YEAR",H$6,$F$2)</f>
        <v>0</v>
      </c>
      <c r="I1216" s="18">
        <f>_xll.ciqfunctions.udf.CIQ($C$2,"IQ_TAX_BENEFIT_CF_MAX_YEAR",I$6,$F$2)</f>
        <v>0</v>
      </c>
      <c r="J1216" s="18">
        <f>_xll.ciqfunctions.udf.CIQ($C$2,"IQ_TAX_BENEFIT_CF_MAX_YEAR",J$6,$F$2)</f>
        <v>0</v>
      </c>
      <c r="K1216" s="18">
        <f>_xll.ciqfunctions.udf.CIQ($C$2,"IQ_TAX_BENEFIT_CF_MAX_YEAR",K$6,$F$2)</f>
        <v>0</v>
      </c>
      <c r="L1216" s="18">
        <f>_xll.ciqfunctions.udf.CIQ($C$2,"IQ_TAX_BENEFIT_CF_MAX_YEAR",L$6,$F$2)</f>
        <v>0</v>
      </c>
      <c r="M1216" s="18">
        <f>_xll.ciqfunctions.udf.CIQ($C$2,"IQ_TAX_BENEFIT_CF_MAX_YEAR",M$6,$F$2)</f>
        <v>0</v>
      </c>
      <c r="N1216" s="18">
        <f>_xll.ciqfunctions.udf.CIQ($C$2,"IQ_TAX_BENEFIT_CF_MAX_YEAR",N$6,$F$2)</f>
        <v>0</v>
      </c>
      <c r="O1216" s="30"/>
      <c r="P1216" s="18">
        <f>_xll.ciqfunctions.udf.CIQ($C$2,"IQ_TAX_BENEFIT_CF_MAX_YEAR",P$6,$F$2)</f>
        <v>0</v>
      </c>
      <c r="Q1216" s="215"/>
      <c r="R1216" s="215"/>
      <c r="S1216" s="215"/>
      <c r="T1216" s="215"/>
      <c r="U1216" s="215"/>
      <c r="V1216" s="222"/>
      <c r="W1216" s="215"/>
      <c r="X1216" s="215"/>
      <c r="Y1216" s="215"/>
      <c r="Z1216" s="215"/>
      <c r="AA1216" s="215"/>
      <c r="AB1216" s="215"/>
      <c r="AC1216" s="215"/>
      <c r="AD1216" s="215"/>
      <c r="AE1216" s="215"/>
      <c r="AF1216" s="215"/>
      <c r="AG1216" s="215"/>
      <c r="AH1216" s="215"/>
      <c r="AI1216" s="215"/>
      <c r="AJ1216" s="215"/>
      <c r="AK1216" s="215"/>
      <c r="AL1216" s="215"/>
      <c r="AM1216" s="215"/>
      <c r="AN1216" s="215"/>
      <c r="AO1216" s="215"/>
      <c r="AP1216" s="215"/>
      <c r="AQ1216" s="215"/>
      <c r="AR1216" s="215"/>
      <c r="AS1216" s="215"/>
      <c r="AT1216" s="215"/>
      <c r="AU1216" s="215"/>
      <c r="AV1216" s="215"/>
      <c r="AW1216" s="215"/>
      <c r="AX1216" s="215"/>
      <c r="AY1216" s="215"/>
      <c r="AZ1216" s="215"/>
      <c r="BA1216" s="215"/>
      <c r="BB1216" s="215"/>
      <c r="BC1216" s="215"/>
      <c r="BD1216" s="215"/>
      <c r="BE1216" s="215"/>
      <c r="BF1216" s="215"/>
      <c r="BG1216" s="215"/>
      <c r="BH1216" s="215"/>
      <c r="BI1216" s="215"/>
      <c r="BJ1216" s="215"/>
      <c r="BK1216" s="215"/>
      <c r="BL1216" s="215"/>
      <c r="BM1216" s="215"/>
      <c r="BN1216" s="215"/>
      <c r="BO1216" s="215"/>
      <c r="BP1216" s="215"/>
      <c r="BQ1216" s="215"/>
      <c r="BR1216" s="215"/>
      <c r="BS1216" s="215"/>
      <c r="BT1216" s="215"/>
      <c r="BU1216" s="215"/>
      <c r="BV1216" s="215"/>
      <c r="BW1216" s="215"/>
      <c r="BX1216" s="215"/>
      <c r="BY1216" s="215"/>
      <c r="BZ1216" s="215"/>
    </row>
    <row r="1217" spans="1:78" outlineLevel="1" x14ac:dyDescent="0.2">
      <c r="A1217" s="53"/>
      <c r="B1217" s="17"/>
      <c r="C1217" s="17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30"/>
      <c r="P1217" s="18"/>
      <c r="Q1217" s="215"/>
      <c r="R1217" s="215"/>
      <c r="S1217" s="215"/>
      <c r="T1217" s="215"/>
      <c r="U1217" s="215"/>
      <c r="V1217" s="222"/>
      <c r="W1217" s="215"/>
      <c r="X1217" s="215"/>
      <c r="Y1217" s="215"/>
      <c r="Z1217" s="215"/>
      <c r="AA1217" s="215"/>
      <c r="AB1217" s="215"/>
      <c r="AC1217" s="215"/>
      <c r="AD1217" s="215"/>
      <c r="AE1217" s="215"/>
      <c r="AF1217" s="215"/>
      <c r="AG1217" s="215"/>
      <c r="AH1217" s="215"/>
      <c r="AI1217" s="215"/>
      <c r="AJ1217" s="215"/>
      <c r="AK1217" s="215"/>
      <c r="AL1217" s="215"/>
      <c r="AM1217" s="215"/>
      <c r="AN1217" s="215"/>
      <c r="AO1217" s="215"/>
      <c r="AP1217" s="215"/>
      <c r="AQ1217" s="215"/>
      <c r="AR1217" s="215"/>
      <c r="AS1217" s="215"/>
      <c r="AT1217" s="215"/>
      <c r="AU1217" s="215"/>
      <c r="AV1217" s="215"/>
      <c r="AW1217" s="215"/>
      <c r="AX1217" s="215"/>
      <c r="AY1217" s="215"/>
      <c r="AZ1217" s="215"/>
      <c r="BA1217" s="215"/>
      <c r="BB1217" s="215"/>
      <c r="BC1217" s="215"/>
      <c r="BD1217" s="215"/>
      <c r="BE1217" s="215"/>
      <c r="BF1217" s="215"/>
      <c r="BG1217" s="215"/>
      <c r="BH1217" s="215"/>
      <c r="BI1217" s="215"/>
      <c r="BJ1217" s="215"/>
      <c r="BK1217" s="215"/>
      <c r="BL1217" s="215"/>
      <c r="BM1217" s="215"/>
      <c r="BN1217" s="215"/>
      <c r="BO1217" s="215"/>
      <c r="BP1217" s="215"/>
      <c r="BQ1217" s="215"/>
      <c r="BR1217" s="215"/>
      <c r="BS1217" s="215"/>
      <c r="BT1217" s="215"/>
      <c r="BU1217" s="215"/>
      <c r="BV1217" s="215"/>
      <c r="BW1217" s="215"/>
      <c r="BX1217" s="215"/>
      <c r="BY1217" s="215"/>
      <c r="BZ1217" s="215"/>
    </row>
    <row r="1218" spans="1:78" outlineLevel="1" x14ac:dyDescent="0.2">
      <c r="A1218" s="9" t="str">
        <f>'Language Index'!A691</f>
        <v>Adoption of FIN 48 Related Items</v>
      </c>
      <c r="B1218" s="1"/>
      <c r="C1218" s="1"/>
      <c r="D1218" s="2"/>
      <c r="E1218" s="52"/>
      <c r="F1218" s="52"/>
      <c r="G1218" s="52"/>
      <c r="H1218" s="52"/>
      <c r="I1218" s="52"/>
      <c r="J1218" s="52"/>
      <c r="K1218" s="52"/>
      <c r="L1218" s="52"/>
      <c r="M1218" s="52"/>
      <c r="N1218" s="52"/>
      <c r="O1218" s="3"/>
      <c r="P1218" s="52"/>
      <c r="Q1218" s="215"/>
      <c r="R1218" s="215"/>
      <c r="S1218" s="215"/>
      <c r="T1218" s="215"/>
      <c r="U1218" s="215"/>
      <c r="V1218" s="222"/>
      <c r="W1218" s="215"/>
      <c r="X1218" s="215"/>
      <c r="Y1218" s="215"/>
      <c r="Z1218" s="215"/>
      <c r="AA1218" s="215"/>
      <c r="AB1218" s="215"/>
      <c r="AC1218" s="215"/>
      <c r="AD1218" s="215"/>
      <c r="AE1218" s="215"/>
      <c r="AF1218" s="215"/>
      <c r="AG1218" s="215"/>
      <c r="AH1218" s="215"/>
      <c r="AI1218" s="215"/>
      <c r="AJ1218" s="215"/>
      <c r="AK1218" s="215"/>
      <c r="AL1218" s="215"/>
      <c r="AM1218" s="215"/>
      <c r="AN1218" s="215"/>
      <c r="AO1218" s="215"/>
      <c r="AP1218" s="215"/>
      <c r="AQ1218" s="215"/>
      <c r="AR1218" s="215"/>
      <c r="AS1218" s="215"/>
      <c r="AT1218" s="215"/>
      <c r="AU1218" s="215"/>
      <c r="AV1218" s="215"/>
      <c r="AW1218" s="215"/>
      <c r="AX1218" s="215"/>
      <c r="AY1218" s="215"/>
      <c r="AZ1218" s="215"/>
      <c r="BA1218" s="215"/>
      <c r="BB1218" s="215"/>
      <c r="BC1218" s="215"/>
      <c r="BD1218" s="215"/>
      <c r="BE1218" s="215"/>
      <c r="BF1218" s="215"/>
      <c r="BG1218" s="215"/>
      <c r="BH1218" s="215"/>
      <c r="BI1218" s="215"/>
      <c r="BJ1218" s="215"/>
      <c r="BK1218" s="215"/>
      <c r="BL1218" s="215"/>
      <c r="BM1218" s="215"/>
      <c r="BN1218" s="215"/>
      <c r="BO1218" s="215"/>
      <c r="BP1218" s="215"/>
      <c r="BQ1218" s="215"/>
      <c r="BR1218" s="215"/>
      <c r="BS1218" s="215"/>
      <c r="BT1218" s="215"/>
      <c r="BU1218" s="215"/>
      <c r="BV1218" s="215"/>
      <c r="BW1218" s="215"/>
      <c r="BX1218" s="215"/>
      <c r="BY1218" s="215"/>
      <c r="BZ1218" s="215"/>
    </row>
    <row r="1219" spans="1:78" outlineLevel="1" x14ac:dyDescent="0.2">
      <c r="A1219" s="53" t="str">
        <f>'Language Index'!A692</f>
        <v>Trans. Impact of FIN 48 on Current Assets</v>
      </c>
      <c r="B1219" s="1"/>
      <c r="C1219" s="1"/>
      <c r="D1219" s="18">
        <f>_xll.ciqfunctions.udf.CIQ($C$2,"IQ_TRANS_IMPACT_FIN_48_CURRENT_ASSETS",D$6,$F$2,,,Ccy,Conv)</f>
        <v>0</v>
      </c>
      <c r="E1219" s="18">
        <f>_xll.ciqfunctions.udf.CIQ($C$2,"IQ_TRANS_IMPACT_FIN_48_CURRENT_ASSETS",E$6,$F$2,,,Ccy,Conv)</f>
        <v>0</v>
      </c>
      <c r="F1219" s="18">
        <f>_xll.ciqfunctions.udf.CIQ($C$2,"IQ_TRANS_IMPACT_FIN_48_CURRENT_ASSETS",F$6,$F$2,,,Ccy,Conv)</f>
        <v>0</v>
      </c>
      <c r="G1219" s="18">
        <f>_xll.ciqfunctions.udf.CIQ($C$2,"IQ_TRANS_IMPACT_FIN_48_CURRENT_ASSETS",G$6,$F$2,,,Ccy,Conv)</f>
        <v>0</v>
      </c>
      <c r="H1219" s="18">
        <f>_xll.ciqfunctions.udf.CIQ($C$2,"IQ_TRANS_IMPACT_FIN_48_CURRENT_ASSETS",H$6,$F$2,,,Ccy,Conv)</f>
        <v>0</v>
      </c>
      <c r="I1219" s="18">
        <f>_xll.ciqfunctions.udf.CIQ($C$2,"IQ_TRANS_IMPACT_FIN_48_CURRENT_ASSETS",I$6,$F$2,,,Ccy,Conv)</f>
        <v>0</v>
      </c>
      <c r="J1219" s="18">
        <f>_xll.ciqfunctions.udf.CIQ($C$2,"IQ_TRANS_IMPACT_FIN_48_CURRENT_ASSETS",J$6,$F$2,,,Ccy,Conv)</f>
        <v>0</v>
      </c>
      <c r="K1219" s="18">
        <f>_xll.ciqfunctions.udf.CIQ($C$2,"IQ_TRANS_IMPACT_FIN_48_CURRENT_ASSETS",K$6,$F$2,,,Ccy,Conv)</f>
        <v>0</v>
      </c>
      <c r="L1219" s="18">
        <f>_xll.ciqfunctions.udf.CIQ($C$2,"IQ_TRANS_IMPACT_FIN_48_CURRENT_ASSETS",L$6,$F$2,,,Ccy,Conv)</f>
        <v>0</v>
      </c>
      <c r="M1219" s="18">
        <f>_xll.ciqfunctions.udf.CIQ($C$2,"IQ_TRANS_IMPACT_FIN_48_CURRENT_ASSETS",M$6,$F$2,,,Ccy,Conv)</f>
        <v>0</v>
      </c>
      <c r="N1219" s="18">
        <f>_xll.ciqfunctions.udf.CIQ($C$2,"IQ_TRANS_IMPACT_FIN_48_CURRENT_ASSETS",N$6,$F$2,,,Ccy,Conv)</f>
        <v>0</v>
      </c>
      <c r="O1219" s="3"/>
      <c r="P1219" s="18">
        <f>_xll.ciqfunctions.udf.CIQ($C$2,"IQ_TRANS_IMPACT_FIN_48_CURRENT_ASSETS",P$6,$F$2,,,Ccy,Conv)</f>
        <v>0</v>
      </c>
      <c r="Q1219" s="215"/>
      <c r="R1219" s="215"/>
      <c r="S1219" s="215"/>
      <c r="T1219" s="215"/>
      <c r="U1219" s="215"/>
      <c r="V1219" s="222"/>
      <c r="W1219" s="215"/>
      <c r="X1219" s="215"/>
      <c r="Y1219" s="215"/>
      <c r="Z1219" s="215"/>
      <c r="AA1219" s="215"/>
      <c r="AB1219" s="215"/>
      <c r="AC1219" s="215"/>
      <c r="AD1219" s="215"/>
      <c r="AE1219" s="215"/>
      <c r="AF1219" s="215"/>
      <c r="AG1219" s="215"/>
      <c r="AH1219" s="215"/>
      <c r="AI1219" s="215"/>
      <c r="AJ1219" s="215"/>
      <c r="AK1219" s="215"/>
      <c r="AL1219" s="215"/>
      <c r="AM1219" s="215"/>
      <c r="AN1219" s="215"/>
      <c r="AO1219" s="215"/>
      <c r="AP1219" s="215"/>
      <c r="AQ1219" s="215"/>
      <c r="AR1219" s="215"/>
      <c r="AS1219" s="215"/>
      <c r="AT1219" s="215"/>
      <c r="AU1219" s="215"/>
      <c r="AV1219" s="215"/>
      <c r="AW1219" s="215"/>
      <c r="AX1219" s="215"/>
      <c r="AY1219" s="215"/>
      <c r="AZ1219" s="215"/>
      <c r="BA1219" s="215"/>
      <c r="BB1219" s="215"/>
      <c r="BC1219" s="215"/>
      <c r="BD1219" s="215"/>
      <c r="BE1219" s="215"/>
      <c r="BF1219" s="215"/>
      <c r="BG1219" s="215"/>
      <c r="BH1219" s="215"/>
      <c r="BI1219" s="215"/>
      <c r="BJ1219" s="215"/>
      <c r="BK1219" s="215"/>
      <c r="BL1219" s="215"/>
      <c r="BM1219" s="215"/>
      <c r="BN1219" s="215"/>
      <c r="BO1219" s="215"/>
      <c r="BP1219" s="215"/>
      <c r="BQ1219" s="215"/>
      <c r="BR1219" s="215"/>
      <c r="BS1219" s="215"/>
      <c r="BT1219" s="215"/>
      <c r="BU1219" s="215"/>
      <c r="BV1219" s="215"/>
      <c r="BW1219" s="215"/>
      <c r="BX1219" s="215"/>
      <c r="BY1219" s="215"/>
      <c r="BZ1219" s="215"/>
    </row>
    <row r="1220" spans="1:78" outlineLevel="1" x14ac:dyDescent="0.2">
      <c r="A1220" s="53" t="str">
        <f>'Language Index'!A693</f>
        <v>Trans. Impact of FIN 48 on Long Term Assets</v>
      </c>
      <c r="B1220" s="1"/>
      <c r="C1220" s="1"/>
      <c r="D1220" s="18">
        <f>_xll.ciqfunctions.udf.CIQ($C$2,"IQ_TRANS_IMPACT_FIN_48_LT_ASSETS",D$6,$F$2,,,Ccy,Conv)</f>
        <v>0</v>
      </c>
      <c r="E1220" s="18">
        <f>_xll.ciqfunctions.udf.CIQ($C$2,"IQ_TRANS_IMPACT_FIN_48_LT_ASSETS",E$6,$F$2,,,Ccy,Conv)</f>
        <v>0</v>
      </c>
      <c r="F1220" s="18">
        <f>_xll.ciqfunctions.udf.CIQ($C$2,"IQ_TRANS_IMPACT_FIN_48_LT_ASSETS",F$6,$F$2,,,Ccy,Conv)</f>
        <v>0</v>
      </c>
      <c r="G1220" s="18">
        <f>_xll.ciqfunctions.udf.CIQ($C$2,"IQ_TRANS_IMPACT_FIN_48_LT_ASSETS",G$6,$F$2,,,Ccy,Conv)</f>
        <v>0</v>
      </c>
      <c r="H1220" s="18">
        <f>_xll.ciqfunctions.udf.CIQ($C$2,"IQ_TRANS_IMPACT_FIN_48_LT_ASSETS",H$6,$F$2,,,Ccy,Conv)</f>
        <v>0</v>
      </c>
      <c r="I1220" s="18">
        <f>_xll.ciqfunctions.udf.CIQ($C$2,"IQ_TRANS_IMPACT_FIN_48_LT_ASSETS",I$6,$F$2,,,Ccy,Conv)</f>
        <v>0</v>
      </c>
      <c r="J1220" s="18">
        <f>_xll.ciqfunctions.udf.CIQ($C$2,"IQ_TRANS_IMPACT_FIN_48_LT_ASSETS",J$6,$F$2,,,Ccy,Conv)</f>
        <v>0</v>
      </c>
      <c r="K1220" s="18">
        <f>_xll.ciqfunctions.udf.CIQ($C$2,"IQ_TRANS_IMPACT_FIN_48_LT_ASSETS",K$6,$F$2,,,Ccy,Conv)</f>
        <v>0</v>
      </c>
      <c r="L1220" s="18">
        <f>_xll.ciqfunctions.udf.CIQ($C$2,"IQ_TRANS_IMPACT_FIN_48_LT_ASSETS",L$6,$F$2,,,Ccy,Conv)</f>
        <v>0</v>
      </c>
      <c r="M1220" s="18">
        <f>_xll.ciqfunctions.udf.CIQ($C$2,"IQ_TRANS_IMPACT_FIN_48_LT_ASSETS",M$6,$F$2,,,Ccy,Conv)</f>
        <v>0</v>
      </c>
      <c r="N1220" s="18">
        <f>_xll.ciqfunctions.udf.CIQ($C$2,"IQ_TRANS_IMPACT_FIN_48_LT_ASSETS",N$6,$F$2,,,Ccy,Conv)</f>
        <v>0</v>
      </c>
      <c r="O1220" s="3"/>
      <c r="P1220" s="18">
        <f>_xll.ciqfunctions.udf.CIQ($C$2,"IQ_TRANS_IMPACT_FIN_48_LT_ASSETS",P$6,$F$2,,,Ccy,Conv)</f>
        <v>0</v>
      </c>
      <c r="Q1220" s="215"/>
      <c r="R1220" s="215"/>
      <c r="S1220" s="215"/>
      <c r="T1220" s="215"/>
      <c r="U1220" s="215"/>
      <c r="V1220" s="222"/>
      <c r="W1220" s="215"/>
      <c r="X1220" s="215"/>
      <c r="Y1220" s="215"/>
      <c r="Z1220" s="215"/>
      <c r="AA1220" s="215"/>
      <c r="AB1220" s="215"/>
      <c r="AC1220" s="215"/>
      <c r="AD1220" s="215"/>
      <c r="AE1220" s="215"/>
      <c r="AF1220" s="215"/>
      <c r="AG1220" s="215"/>
      <c r="AH1220" s="215"/>
      <c r="AI1220" s="215"/>
      <c r="AJ1220" s="215"/>
      <c r="AK1220" s="215"/>
      <c r="AL1220" s="215"/>
      <c r="AM1220" s="215"/>
      <c r="AN1220" s="215"/>
      <c r="AO1220" s="215"/>
      <c r="AP1220" s="215"/>
      <c r="AQ1220" s="215"/>
      <c r="AR1220" s="215"/>
      <c r="AS1220" s="215"/>
      <c r="AT1220" s="215"/>
      <c r="AU1220" s="215"/>
      <c r="AV1220" s="215"/>
      <c r="AW1220" s="215"/>
      <c r="AX1220" s="215"/>
      <c r="AY1220" s="215"/>
      <c r="AZ1220" s="215"/>
      <c r="BA1220" s="215"/>
      <c r="BB1220" s="215"/>
      <c r="BC1220" s="215"/>
      <c r="BD1220" s="215"/>
      <c r="BE1220" s="215"/>
      <c r="BF1220" s="215"/>
      <c r="BG1220" s="215"/>
      <c r="BH1220" s="215"/>
      <c r="BI1220" s="215"/>
      <c r="BJ1220" s="215"/>
      <c r="BK1220" s="215"/>
      <c r="BL1220" s="215"/>
      <c r="BM1220" s="215"/>
      <c r="BN1220" s="215"/>
      <c r="BO1220" s="215"/>
      <c r="BP1220" s="215"/>
      <c r="BQ1220" s="215"/>
      <c r="BR1220" s="215"/>
      <c r="BS1220" s="215"/>
      <c r="BT1220" s="215"/>
      <c r="BU1220" s="215"/>
      <c r="BV1220" s="215"/>
      <c r="BW1220" s="215"/>
      <c r="BX1220" s="215"/>
      <c r="BY1220" s="215"/>
      <c r="BZ1220" s="215"/>
    </row>
    <row r="1221" spans="1:78" outlineLevel="1" x14ac:dyDescent="0.2">
      <c r="A1221" s="53" t="str">
        <f>'Language Index'!A694</f>
        <v>Trans. Impact of FIN 48 on Current Liabilities</v>
      </c>
      <c r="B1221" s="1"/>
      <c r="C1221" s="1"/>
      <c r="D1221" s="18">
        <f>_xll.ciqfunctions.udf.CIQ($C$2,"IQ_TRANS_IMPACT_FIN_48_CURRENT_LIABILITIES",D$6,$F$2,,,Ccy,Conv)</f>
        <v>0</v>
      </c>
      <c r="E1221" s="18">
        <f>_xll.ciqfunctions.udf.CIQ($C$2,"IQ_TRANS_IMPACT_FIN_48_CURRENT_LIABILITIES",E$6,$F$2,,,Ccy,Conv)</f>
        <v>0</v>
      </c>
      <c r="F1221" s="18">
        <f>_xll.ciqfunctions.udf.CIQ($C$2,"IQ_TRANS_IMPACT_FIN_48_CURRENT_LIABILITIES",F$6,$F$2,,,Ccy,Conv)</f>
        <v>0</v>
      </c>
      <c r="G1221" s="18">
        <f>_xll.ciqfunctions.udf.CIQ($C$2,"IQ_TRANS_IMPACT_FIN_48_CURRENT_LIABILITIES",G$6,$F$2,,,Ccy,Conv)</f>
        <v>0</v>
      </c>
      <c r="H1221" s="18">
        <f>_xll.ciqfunctions.udf.CIQ($C$2,"IQ_TRANS_IMPACT_FIN_48_CURRENT_LIABILITIES",H$6,$F$2,,,Ccy,Conv)</f>
        <v>0</v>
      </c>
      <c r="I1221" s="18">
        <f>_xll.ciqfunctions.udf.CIQ($C$2,"IQ_TRANS_IMPACT_FIN_48_CURRENT_LIABILITIES",I$6,$F$2,,,Ccy,Conv)</f>
        <v>0</v>
      </c>
      <c r="J1221" s="18">
        <f>_xll.ciqfunctions.udf.CIQ($C$2,"IQ_TRANS_IMPACT_FIN_48_CURRENT_LIABILITIES",J$6,$F$2,,,Ccy,Conv)</f>
        <v>0</v>
      </c>
      <c r="K1221" s="18">
        <f>_xll.ciqfunctions.udf.CIQ($C$2,"IQ_TRANS_IMPACT_FIN_48_CURRENT_LIABILITIES",K$6,$F$2,,,Ccy,Conv)</f>
        <v>0</v>
      </c>
      <c r="L1221" s="18">
        <f>_xll.ciqfunctions.udf.CIQ($C$2,"IQ_TRANS_IMPACT_FIN_48_CURRENT_LIABILITIES",L$6,$F$2,,,Ccy,Conv)</f>
        <v>0</v>
      </c>
      <c r="M1221" s="18">
        <f>_xll.ciqfunctions.udf.CIQ($C$2,"IQ_TRANS_IMPACT_FIN_48_CURRENT_LIABILITIES",M$6,$F$2,,,Ccy,Conv)</f>
        <v>0</v>
      </c>
      <c r="N1221" s="18">
        <f>_xll.ciqfunctions.udf.CIQ($C$2,"IQ_TRANS_IMPACT_FIN_48_CURRENT_LIABILITIES",N$6,$F$2,,,Ccy,Conv)</f>
        <v>0</v>
      </c>
      <c r="O1221" s="3"/>
      <c r="P1221" s="18">
        <f>_xll.ciqfunctions.udf.CIQ($C$2,"IQ_TRANS_IMPACT_FIN_48_CURRENT_LIABILITIES",P$6,$F$2,,,Ccy,Conv)</f>
        <v>0</v>
      </c>
      <c r="Q1221" s="215"/>
      <c r="R1221" s="215"/>
      <c r="S1221" s="215"/>
      <c r="T1221" s="215"/>
      <c r="U1221" s="215"/>
      <c r="V1221" s="222"/>
      <c r="W1221" s="215"/>
      <c r="X1221" s="215"/>
      <c r="Y1221" s="215"/>
      <c r="Z1221" s="215"/>
      <c r="AA1221" s="215"/>
      <c r="AB1221" s="215"/>
      <c r="AC1221" s="215"/>
      <c r="AD1221" s="215"/>
      <c r="AE1221" s="215"/>
      <c r="AF1221" s="215"/>
      <c r="AG1221" s="215"/>
      <c r="AH1221" s="215"/>
      <c r="AI1221" s="215"/>
      <c r="AJ1221" s="215"/>
      <c r="AK1221" s="215"/>
      <c r="AL1221" s="215"/>
      <c r="AM1221" s="215"/>
      <c r="AN1221" s="215"/>
      <c r="AO1221" s="215"/>
      <c r="AP1221" s="215"/>
      <c r="AQ1221" s="215"/>
      <c r="AR1221" s="215"/>
      <c r="AS1221" s="215"/>
      <c r="AT1221" s="215"/>
      <c r="AU1221" s="215"/>
      <c r="AV1221" s="215"/>
      <c r="AW1221" s="215"/>
      <c r="AX1221" s="215"/>
      <c r="AY1221" s="215"/>
      <c r="AZ1221" s="215"/>
      <c r="BA1221" s="215"/>
      <c r="BB1221" s="215"/>
      <c r="BC1221" s="215"/>
      <c r="BD1221" s="215"/>
      <c r="BE1221" s="215"/>
      <c r="BF1221" s="215"/>
      <c r="BG1221" s="215"/>
      <c r="BH1221" s="215"/>
      <c r="BI1221" s="215"/>
      <c r="BJ1221" s="215"/>
      <c r="BK1221" s="215"/>
      <c r="BL1221" s="215"/>
      <c r="BM1221" s="215"/>
      <c r="BN1221" s="215"/>
      <c r="BO1221" s="215"/>
      <c r="BP1221" s="215"/>
      <c r="BQ1221" s="215"/>
      <c r="BR1221" s="215"/>
      <c r="BS1221" s="215"/>
      <c r="BT1221" s="215"/>
      <c r="BU1221" s="215"/>
      <c r="BV1221" s="215"/>
      <c r="BW1221" s="215"/>
      <c r="BX1221" s="215"/>
      <c r="BY1221" s="215"/>
      <c r="BZ1221" s="215"/>
    </row>
    <row r="1222" spans="1:78" outlineLevel="1" x14ac:dyDescent="0.2">
      <c r="A1222" s="53" t="str">
        <f>'Language Index'!A695</f>
        <v>Trans. Impact of FIN 48 on Non-Current Liabilities</v>
      </c>
      <c r="B1222" s="1"/>
      <c r="C1222" s="1"/>
      <c r="D1222" s="18">
        <f>_xll.ciqfunctions.udf.CIQ($C$2,"IQ_TRANS_IMPACT_FIN_48_NON_CURRENT_LIABILITIES",D$6,$F$2,,,Ccy,Conv)</f>
        <v>0</v>
      </c>
      <c r="E1222" s="18">
        <f>_xll.ciqfunctions.udf.CIQ($C$2,"IQ_TRANS_IMPACT_FIN_48_NON_CURRENT_LIABILITIES",E$6,$F$2,,,Ccy,Conv)</f>
        <v>0</v>
      </c>
      <c r="F1222" s="18">
        <f>_xll.ciqfunctions.udf.CIQ($C$2,"IQ_TRANS_IMPACT_FIN_48_NON_CURRENT_LIABILITIES",F$6,$F$2,,,Ccy,Conv)</f>
        <v>0</v>
      </c>
      <c r="G1222" s="18">
        <f>_xll.ciqfunctions.udf.CIQ($C$2,"IQ_TRANS_IMPACT_FIN_48_NON_CURRENT_LIABILITIES",G$6,$F$2,,,Ccy,Conv)</f>
        <v>0</v>
      </c>
      <c r="H1222" s="18">
        <f>_xll.ciqfunctions.udf.CIQ($C$2,"IQ_TRANS_IMPACT_FIN_48_NON_CURRENT_LIABILITIES",H$6,$F$2,,,Ccy,Conv)</f>
        <v>0</v>
      </c>
      <c r="I1222" s="18">
        <f>_xll.ciqfunctions.udf.CIQ($C$2,"IQ_TRANS_IMPACT_FIN_48_NON_CURRENT_LIABILITIES",I$6,$F$2,,,Ccy,Conv)</f>
        <v>0</v>
      </c>
      <c r="J1222" s="18">
        <f>_xll.ciqfunctions.udf.CIQ($C$2,"IQ_TRANS_IMPACT_FIN_48_NON_CURRENT_LIABILITIES",J$6,$F$2,,,Ccy,Conv)</f>
        <v>0</v>
      </c>
      <c r="K1222" s="18">
        <f>_xll.ciqfunctions.udf.CIQ($C$2,"IQ_TRANS_IMPACT_FIN_48_NON_CURRENT_LIABILITIES",K$6,$F$2,,,Ccy,Conv)</f>
        <v>0</v>
      </c>
      <c r="L1222" s="18">
        <f>_xll.ciqfunctions.udf.CIQ($C$2,"IQ_TRANS_IMPACT_FIN_48_NON_CURRENT_LIABILITIES",L$6,$F$2,,,Ccy,Conv)</f>
        <v>0</v>
      </c>
      <c r="M1222" s="18">
        <f>_xll.ciqfunctions.udf.CIQ($C$2,"IQ_TRANS_IMPACT_FIN_48_NON_CURRENT_LIABILITIES",M$6,$F$2,,,Ccy,Conv)</f>
        <v>0</v>
      </c>
      <c r="N1222" s="18">
        <f>_xll.ciqfunctions.udf.CIQ($C$2,"IQ_TRANS_IMPACT_FIN_48_NON_CURRENT_LIABILITIES",N$6,$F$2,,,Ccy,Conv)</f>
        <v>0</v>
      </c>
      <c r="O1222" s="3"/>
      <c r="P1222" s="18">
        <f>_xll.ciqfunctions.udf.CIQ($C$2,"IQ_TRANS_IMPACT_FIN_48_NON_CURRENT_LIABILITIES",P$6,$F$2,,,Ccy,Conv)</f>
        <v>0</v>
      </c>
      <c r="Q1222" s="215"/>
      <c r="R1222" s="215"/>
      <c r="S1222" s="215"/>
      <c r="T1222" s="215"/>
      <c r="U1222" s="215"/>
      <c r="V1222" s="222"/>
      <c r="W1222" s="215"/>
      <c r="X1222" s="215"/>
      <c r="Y1222" s="215"/>
      <c r="Z1222" s="215"/>
      <c r="AA1222" s="215"/>
      <c r="AB1222" s="215"/>
      <c r="AC1222" s="215"/>
      <c r="AD1222" s="215"/>
      <c r="AE1222" s="215"/>
      <c r="AF1222" s="215"/>
      <c r="AG1222" s="215"/>
      <c r="AH1222" s="215"/>
      <c r="AI1222" s="215"/>
      <c r="AJ1222" s="215"/>
      <c r="AK1222" s="215"/>
      <c r="AL1222" s="215"/>
      <c r="AM1222" s="215"/>
      <c r="AN1222" s="215"/>
      <c r="AO1222" s="215"/>
      <c r="AP1222" s="215"/>
      <c r="AQ1222" s="215"/>
      <c r="AR1222" s="215"/>
      <c r="AS1222" s="215"/>
      <c r="AT1222" s="215"/>
      <c r="AU1222" s="215"/>
      <c r="AV1222" s="215"/>
      <c r="AW1222" s="215"/>
      <c r="AX1222" s="215"/>
      <c r="AY1222" s="215"/>
      <c r="AZ1222" s="215"/>
      <c r="BA1222" s="215"/>
      <c r="BB1222" s="215"/>
      <c r="BC1222" s="215"/>
      <c r="BD1222" s="215"/>
      <c r="BE1222" s="215"/>
      <c r="BF1222" s="215"/>
      <c r="BG1222" s="215"/>
      <c r="BH1222" s="215"/>
      <c r="BI1222" s="215"/>
      <c r="BJ1222" s="215"/>
      <c r="BK1222" s="215"/>
      <c r="BL1222" s="215"/>
      <c r="BM1222" s="215"/>
      <c r="BN1222" s="215"/>
      <c r="BO1222" s="215"/>
      <c r="BP1222" s="215"/>
      <c r="BQ1222" s="215"/>
      <c r="BR1222" s="215"/>
      <c r="BS1222" s="215"/>
      <c r="BT1222" s="215"/>
      <c r="BU1222" s="215"/>
      <c r="BV1222" s="215"/>
      <c r="BW1222" s="215"/>
      <c r="BX1222" s="215"/>
      <c r="BY1222" s="215"/>
      <c r="BZ1222" s="215"/>
    </row>
    <row r="1223" spans="1:78" outlineLevel="1" x14ac:dyDescent="0.2">
      <c r="A1223" s="53" t="str">
        <f>'Language Index'!A696</f>
        <v>Trans. Impact of FIN 48 on Retained Earnings</v>
      </c>
      <c r="B1223" s="1"/>
      <c r="C1223" s="1"/>
      <c r="D1223" s="18">
        <f>_xll.ciqfunctions.udf.CIQ($C$2,"IQ_TRANS_IMPACT_FIN_48_RETAINED_EARNINGS",D$6,$F$2,,,Ccy,Conv)</f>
        <v>0</v>
      </c>
      <c r="E1223" s="18">
        <f>_xll.ciqfunctions.udf.CIQ($C$2,"IQ_TRANS_IMPACT_FIN_48_RETAINED_EARNINGS",E$6,$F$2,,,Ccy,Conv)</f>
        <v>0</v>
      </c>
      <c r="F1223" s="18">
        <f>_xll.ciqfunctions.udf.CIQ($C$2,"IQ_TRANS_IMPACT_FIN_48_RETAINED_EARNINGS",F$6,$F$2,,,Ccy,Conv)</f>
        <v>0</v>
      </c>
      <c r="G1223" s="18">
        <f>_xll.ciqfunctions.udf.CIQ($C$2,"IQ_TRANS_IMPACT_FIN_48_RETAINED_EARNINGS",G$6,$F$2,,,Ccy,Conv)</f>
        <v>0</v>
      </c>
      <c r="H1223" s="18">
        <f>_xll.ciqfunctions.udf.CIQ($C$2,"IQ_TRANS_IMPACT_FIN_48_RETAINED_EARNINGS",H$6,$F$2,,,Ccy,Conv)</f>
        <v>0</v>
      </c>
      <c r="I1223" s="18">
        <f>_xll.ciqfunctions.udf.CIQ($C$2,"IQ_TRANS_IMPACT_FIN_48_RETAINED_EARNINGS",I$6,$F$2,,,Ccy,Conv)</f>
        <v>0</v>
      </c>
      <c r="J1223" s="18">
        <f>_xll.ciqfunctions.udf.CIQ($C$2,"IQ_TRANS_IMPACT_FIN_48_RETAINED_EARNINGS",J$6,$F$2,,,Ccy,Conv)</f>
        <v>0</v>
      </c>
      <c r="K1223" s="18">
        <f>_xll.ciqfunctions.udf.CIQ($C$2,"IQ_TRANS_IMPACT_FIN_48_RETAINED_EARNINGS",K$6,$F$2,,,Ccy,Conv)</f>
        <v>0</v>
      </c>
      <c r="L1223" s="18">
        <f>_xll.ciqfunctions.udf.CIQ($C$2,"IQ_TRANS_IMPACT_FIN_48_RETAINED_EARNINGS",L$6,$F$2,,,Ccy,Conv)</f>
        <v>0</v>
      </c>
      <c r="M1223" s="18">
        <f>_xll.ciqfunctions.udf.CIQ($C$2,"IQ_TRANS_IMPACT_FIN_48_RETAINED_EARNINGS",M$6,$F$2,,,Ccy,Conv)</f>
        <v>0</v>
      </c>
      <c r="N1223" s="18">
        <f>_xll.ciqfunctions.udf.CIQ($C$2,"IQ_TRANS_IMPACT_FIN_48_RETAINED_EARNINGS",N$6,$F$2,,,Ccy,Conv)</f>
        <v>0</v>
      </c>
      <c r="O1223" s="3"/>
      <c r="P1223" s="18">
        <f>_xll.ciqfunctions.udf.CIQ($C$2,"IQ_TRANS_IMPACT_FIN_48_RETAINED_EARNINGS",P$6,$F$2,,,Ccy,Conv)</f>
        <v>0</v>
      </c>
      <c r="Q1223" s="215"/>
      <c r="R1223" s="215"/>
      <c r="S1223" s="215"/>
      <c r="T1223" s="215"/>
      <c r="U1223" s="215"/>
      <c r="V1223" s="222"/>
      <c r="W1223" s="215"/>
      <c r="X1223" s="215"/>
      <c r="Y1223" s="215"/>
      <c r="Z1223" s="215"/>
      <c r="AA1223" s="215"/>
      <c r="AB1223" s="215"/>
      <c r="AC1223" s="215"/>
      <c r="AD1223" s="215"/>
      <c r="AE1223" s="215"/>
      <c r="AF1223" s="215"/>
      <c r="AG1223" s="215"/>
      <c r="AH1223" s="215"/>
      <c r="AI1223" s="215"/>
      <c r="AJ1223" s="215"/>
      <c r="AK1223" s="215"/>
      <c r="AL1223" s="215"/>
      <c r="AM1223" s="215"/>
      <c r="AN1223" s="215"/>
      <c r="AO1223" s="215"/>
      <c r="AP1223" s="215"/>
      <c r="AQ1223" s="215"/>
      <c r="AR1223" s="215"/>
      <c r="AS1223" s="215"/>
      <c r="AT1223" s="215"/>
      <c r="AU1223" s="215"/>
      <c r="AV1223" s="215"/>
      <c r="AW1223" s="215"/>
      <c r="AX1223" s="215"/>
      <c r="AY1223" s="215"/>
      <c r="AZ1223" s="215"/>
      <c r="BA1223" s="215"/>
      <c r="BB1223" s="215"/>
      <c r="BC1223" s="215"/>
      <c r="BD1223" s="215"/>
      <c r="BE1223" s="215"/>
      <c r="BF1223" s="215"/>
      <c r="BG1223" s="215"/>
      <c r="BH1223" s="215"/>
      <c r="BI1223" s="215"/>
      <c r="BJ1223" s="215"/>
      <c r="BK1223" s="215"/>
      <c r="BL1223" s="215"/>
      <c r="BM1223" s="215"/>
      <c r="BN1223" s="215"/>
      <c r="BO1223" s="215"/>
      <c r="BP1223" s="215"/>
      <c r="BQ1223" s="215"/>
      <c r="BR1223" s="215"/>
      <c r="BS1223" s="215"/>
      <c r="BT1223" s="215"/>
      <c r="BU1223" s="215"/>
      <c r="BV1223" s="215"/>
      <c r="BW1223" s="215"/>
      <c r="BX1223" s="215"/>
      <c r="BY1223" s="215"/>
      <c r="BZ1223" s="215"/>
    </row>
    <row r="1224" spans="1:78" outlineLevel="1" x14ac:dyDescent="0.2">
      <c r="A1224" s="53"/>
      <c r="B1224" s="1"/>
      <c r="C1224" s="1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3"/>
      <c r="P1224" s="18"/>
      <c r="Q1224" s="215"/>
      <c r="R1224" s="215"/>
      <c r="S1224" s="215"/>
      <c r="T1224" s="215"/>
      <c r="U1224" s="215"/>
      <c r="V1224" s="222"/>
      <c r="W1224" s="215"/>
      <c r="X1224" s="215"/>
      <c r="Y1224" s="215"/>
      <c r="Z1224" s="215"/>
      <c r="AA1224" s="215"/>
      <c r="AB1224" s="215"/>
      <c r="AC1224" s="215"/>
      <c r="AD1224" s="215"/>
      <c r="AE1224" s="215"/>
      <c r="AF1224" s="215"/>
      <c r="AG1224" s="215"/>
      <c r="AH1224" s="215"/>
      <c r="AI1224" s="215"/>
      <c r="AJ1224" s="215"/>
      <c r="AK1224" s="215"/>
      <c r="AL1224" s="215"/>
      <c r="AM1224" s="215"/>
      <c r="AN1224" s="215"/>
      <c r="AO1224" s="215"/>
      <c r="AP1224" s="215"/>
      <c r="AQ1224" s="215"/>
      <c r="AR1224" s="215"/>
      <c r="AS1224" s="215"/>
      <c r="AT1224" s="215"/>
      <c r="AU1224" s="215"/>
      <c r="AV1224" s="215"/>
      <c r="AW1224" s="215"/>
      <c r="AX1224" s="215"/>
      <c r="AY1224" s="215"/>
      <c r="AZ1224" s="215"/>
      <c r="BA1224" s="215"/>
      <c r="BB1224" s="215"/>
      <c r="BC1224" s="215"/>
      <c r="BD1224" s="215"/>
      <c r="BE1224" s="215"/>
      <c r="BF1224" s="215"/>
      <c r="BG1224" s="215"/>
      <c r="BH1224" s="215"/>
      <c r="BI1224" s="215"/>
      <c r="BJ1224" s="215"/>
      <c r="BK1224" s="215"/>
      <c r="BL1224" s="215"/>
      <c r="BM1224" s="215"/>
      <c r="BN1224" s="215"/>
      <c r="BO1224" s="215"/>
      <c r="BP1224" s="215"/>
      <c r="BQ1224" s="215"/>
      <c r="BR1224" s="215"/>
      <c r="BS1224" s="215"/>
      <c r="BT1224" s="215"/>
      <c r="BU1224" s="215"/>
      <c r="BV1224" s="215"/>
      <c r="BW1224" s="215"/>
      <c r="BX1224" s="215"/>
      <c r="BY1224" s="215"/>
      <c r="BZ1224" s="215"/>
    </row>
    <row r="1225" spans="1:78" outlineLevel="1" x14ac:dyDescent="0.2">
      <c r="A1225" s="53" t="str">
        <f>'Language Index'!A697</f>
        <v>Unrecog. Tax Benefits, Beginning of the Period</v>
      </c>
      <c r="B1225" s="1"/>
      <c r="C1225" s="1"/>
      <c r="D1225" s="18">
        <f>_xll.ciqfunctions.udf.CIQ($C$2,"IQ_UNRECOG_TAX_BENEFIT_BEG_PERIOD",D$6,$F$2,,,Ccy,Conv)</f>
        <v>0</v>
      </c>
      <c r="E1225" s="18">
        <f>_xll.ciqfunctions.udf.CIQ($C$2,"IQ_UNRECOG_TAX_BENEFIT_BEG_PERIOD",E$6,$F$2,,,Ccy,Conv)</f>
        <v>0</v>
      </c>
      <c r="F1225" s="18">
        <f>_xll.ciqfunctions.udf.CIQ($C$2,"IQ_UNRECOG_TAX_BENEFIT_BEG_PERIOD",F$6,$F$2,,,Ccy,Conv)</f>
        <v>8728</v>
      </c>
      <c r="G1225" s="18">
        <f>_xll.ciqfunctions.udf.CIQ($C$2,"IQ_UNRECOG_TAX_BENEFIT_BEG_PERIOD",G$6,$F$2,,,Ccy,Conv)</f>
        <v>0</v>
      </c>
      <c r="H1225" s="18">
        <f>_xll.ciqfunctions.udf.CIQ($C$2,"IQ_UNRECOG_TAX_BENEFIT_BEG_PERIOD",H$6,$F$2,,,Ccy,Conv)</f>
        <v>0</v>
      </c>
      <c r="I1225" s="18">
        <f>_xll.ciqfunctions.udf.CIQ($C$2,"IQ_UNRECOG_TAX_BENEFIT_BEG_PERIOD",I$6,$F$2,,,Ccy,Conv)</f>
        <v>0</v>
      </c>
      <c r="J1225" s="18">
        <f>_xll.ciqfunctions.udf.CIQ($C$2,"IQ_UNRECOG_TAX_BENEFIT_BEG_PERIOD",J$6,$F$2,,,Ccy,Conv)</f>
        <v>8772</v>
      </c>
      <c r="K1225" s="18">
        <f>_xll.ciqfunctions.udf.CIQ($C$2,"IQ_UNRECOG_TAX_BENEFIT_BEG_PERIOD",K$6,$F$2,,,Ccy,Conv)</f>
        <v>0</v>
      </c>
      <c r="L1225" s="18">
        <f>_xll.ciqfunctions.udf.CIQ($C$2,"IQ_UNRECOG_TAX_BENEFIT_BEG_PERIOD",L$6,$F$2,,,Ccy,Conv)</f>
        <v>0</v>
      </c>
      <c r="M1225" s="18">
        <f>_xll.ciqfunctions.udf.CIQ($C$2,"IQ_UNRECOG_TAX_BENEFIT_BEG_PERIOD",M$6,$F$2,,,Ccy,Conv)</f>
        <v>0</v>
      </c>
      <c r="N1225" s="18">
        <f>_xll.ciqfunctions.udf.CIQ($C$2,"IQ_UNRECOG_TAX_BENEFIT_BEG_PERIOD",N$6,$F$2,,,Ccy,Conv)</f>
        <v>8875</v>
      </c>
      <c r="O1225" s="3"/>
      <c r="P1225" s="18">
        <f>_xll.ciqfunctions.udf.CIQ($C$2,"IQ_UNRECOG_TAX_BENEFIT_BEG_PERIOD",P$6,$F$2,,,Ccy,Conv)</f>
        <v>8875</v>
      </c>
      <c r="Q1225" s="215"/>
      <c r="R1225" s="215"/>
      <c r="S1225" s="215"/>
      <c r="T1225" s="215"/>
      <c r="U1225" s="215"/>
      <c r="V1225" s="222"/>
      <c r="W1225" s="215"/>
      <c r="X1225" s="215"/>
      <c r="Y1225" s="215"/>
      <c r="Z1225" s="215"/>
      <c r="AA1225" s="215"/>
      <c r="AB1225" s="215"/>
      <c r="AC1225" s="215"/>
      <c r="AD1225" s="215"/>
      <c r="AE1225" s="215"/>
      <c r="AF1225" s="215"/>
      <c r="AG1225" s="215"/>
      <c r="AH1225" s="215"/>
      <c r="AI1225" s="215"/>
      <c r="AJ1225" s="215"/>
      <c r="AK1225" s="215"/>
      <c r="AL1225" s="215"/>
      <c r="AM1225" s="215"/>
      <c r="AN1225" s="215"/>
      <c r="AO1225" s="215"/>
      <c r="AP1225" s="215"/>
      <c r="AQ1225" s="215"/>
      <c r="AR1225" s="215"/>
      <c r="AS1225" s="215"/>
      <c r="AT1225" s="215"/>
      <c r="AU1225" s="215"/>
      <c r="AV1225" s="215"/>
      <c r="AW1225" s="215"/>
      <c r="AX1225" s="215"/>
      <c r="AY1225" s="215"/>
      <c r="AZ1225" s="215"/>
      <c r="BA1225" s="215"/>
      <c r="BB1225" s="215"/>
      <c r="BC1225" s="215"/>
      <c r="BD1225" s="215"/>
      <c r="BE1225" s="215"/>
      <c r="BF1225" s="215"/>
      <c r="BG1225" s="215"/>
      <c r="BH1225" s="215"/>
      <c r="BI1225" s="215"/>
      <c r="BJ1225" s="215"/>
      <c r="BK1225" s="215"/>
      <c r="BL1225" s="215"/>
      <c r="BM1225" s="215"/>
      <c r="BN1225" s="215"/>
      <c r="BO1225" s="215"/>
      <c r="BP1225" s="215"/>
      <c r="BQ1225" s="215"/>
      <c r="BR1225" s="215"/>
      <c r="BS1225" s="215"/>
      <c r="BT1225" s="215"/>
      <c r="BU1225" s="215"/>
      <c r="BV1225" s="215"/>
      <c r="BW1225" s="215"/>
      <c r="BX1225" s="215"/>
      <c r="BY1225" s="215"/>
      <c r="BZ1225" s="215"/>
    </row>
    <row r="1226" spans="1:78" outlineLevel="1" x14ac:dyDescent="0.2">
      <c r="A1226" s="53" t="str">
        <f>'Language Index'!A698</f>
        <v>Additions Based on Tax Positions - Current Yr.</v>
      </c>
      <c r="B1226" s="1"/>
      <c r="C1226" s="1"/>
      <c r="D1226" s="18">
        <f>_xll.ciqfunctions.udf.CIQ($C$2,"IQ_ADD_TAX_POSITIONS_CURRENT_YR",D$6,$F$2,,,Ccy,Conv)</f>
        <v>0</v>
      </c>
      <c r="E1226" s="18">
        <f>_xll.ciqfunctions.udf.CIQ($C$2,"IQ_ADD_TAX_POSITIONS_CURRENT_YR",E$6,$F$2,,,Ccy,Conv)</f>
        <v>0</v>
      </c>
      <c r="F1226" s="18">
        <f>_xll.ciqfunctions.udf.CIQ($C$2,"IQ_ADD_TAX_POSITIONS_CURRENT_YR",F$6,$F$2,,,Ccy,Conv)</f>
        <v>296</v>
      </c>
      <c r="G1226" s="18">
        <f>_xll.ciqfunctions.udf.CIQ($C$2,"IQ_ADD_TAX_POSITIONS_CURRENT_YR",G$6,$F$2,,,Ccy,Conv)</f>
        <v>0</v>
      </c>
      <c r="H1226" s="18">
        <f>_xll.ciqfunctions.udf.CIQ($C$2,"IQ_ADD_TAX_POSITIONS_CURRENT_YR",H$6,$F$2,,,Ccy,Conv)</f>
        <v>0</v>
      </c>
      <c r="I1226" s="18">
        <f>_xll.ciqfunctions.udf.CIQ($C$2,"IQ_ADD_TAX_POSITIONS_CURRENT_YR",I$6,$F$2,,,Ccy,Conv)</f>
        <v>0</v>
      </c>
      <c r="J1226" s="18">
        <f>_xll.ciqfunctions.udf.CIQ($C$2,"IQ_ADD_TAX_POSITIONS_CURRENT_YR",J$6,$F$2,,,Ccy,Conv)</f>
        <v>667</v>
      </c>
      <c r="K1226" s="18">
        <f>_xll.ciqfunctions.udf.CIQ($C$2,"IQ_ADD_TAX_POSITIONS_CURRENT_YR",K$6,$F$2,,,Ccy,Conv)</f>
        <v>0</v>
      </c>
      <c r="L1226" s="18">
        <f>_xll.ciqfunctions.udf.CIQ($C$2,"IQ_ADD_TAX_POSITIONS_CURRENT_YR",L$6,$F$2,,,Ccy,Conv)</f>
        <v>0</v>
      </c>
      <c r="M1226" s="18">
        <f>_xll.ciqfunctions.udf.CIQ($C$2,"IQ_ADD_TAX_POSITIONS_CURRENT_YR",M$6,$F$2,,,Ccy,Conv)</f>
        <v>0</v>
      </c>
      <c r="N1226" s="18">
        <f>_xll.ciqfunctions.udf.CIQ($C$2,"IQ_ADD_TAX_POSITIONS_CURRENT_YR",N$6,$F$2,,,Ccy,Conv)</f>
        <v>316</v>
      </c>
      <c r="O1226" s="3"/>
      <c r="P1226" s="18">
        <f>_xll.ciqfunctions.udf.CIQ($C$2,"IQ_ADD_TAX_POSITIONS_CURRENT_YR",P$6,$F$2,,,Ccy,Conv)</f>
        <v>316</v>
      </c>
      <c r="Q1226" s="215"/>
      <c r="R1226" s="215"/>
      <c r="S1226" s="215"/>
      <c r="T1226" s="215"/>
      <c r="U1226" s="215"/>
      <c r="V1226" s="222"/>
      <c r="W1226" s="215"/>
      <c r="X1226" s="215"/>
      <c r="Y1226" s="215"/>
      <c r="Z1226" s="215"/>
      <c r="AA1226" s="215"/>
      <c r="AB1226" s="215"/>
      <c r="AC1226" s="215"/>
      <c r="AD1226" s="215"/>
      <c r="AE1226" s="215"/>
      <c r="AF1226" s="215"/>
      <c r="AG1226" s="215"/>
      <c r="AH1226" s="215"/>
      <c r="AI1226" s="215"/>
      <c r="AJ1226" s="215"/>
      <c r="AK1226" s="215"/>
      <c r="AL1226" s="215"/>
      <c r="AM1226" s="215"/>
      <c r="AN1226" s="215"/>
      <c r="AO1226" s="215"/>
      <c r="AP1226" s="215"/>
      <c r="AQ1226" s="215"/>
      <c r="AR1226" s="215"/>
      <c r="AS1226" s="215"/>
      <c r="AT1226" s="215"/>
      <c r="AU1226" s="215"/>
      <c r="AV1226" s="215"/>
      <c r="AW1226" s="215"/>
      <c r="AX1226" s="215"/>
      <c r="AY1226" s="215"/>
      <c r="AZ1226" s="215"/>
      <c r="BA1226" s="215"/>
      <c r="BB1226" s="215"/>
      <c r="BC1226" s="215"/>
      <c r="BD1226" s="215"/>
      <c r="BE1226" s="215"/>
      <c r="BF1226" s="215"/>
      <c r="BG1226" s="215"/>
      <c r="BH1226" s="215"/>
      <c r="BI1226" s="215"/>
      <c r="BJ1226" s="215"/>
      <c r="BK1226" s="215"/>
      <c r="BL1226" s="215"/>
      <c r="BM1226" s="215"/>
      <c r="BN1226" s="215"/>
      <c r="BO1226" s="215"/>
      <c r="BP1226" s="215"/>
      <c r="BQ1226" s="215"/>
      <c r="BR1226" s="215"/>
      <c r="BS1226" s="215"/>
      <c r="BT1226" s="215"/>
      <c r="BU1226" s="215"/>
      <c r="BV1226" s="215"/>
      <c r="BW1226" s="215"/>
      <c r="BX1226" s="215"/>
      <c r="BY1226" s="215"/>
      <c r="BZ1226" s="215"/>
    </row>
    <row r="1227" spans="1:78" outlineLevel="1" x14ac:dyDescent="0.2">
      <c r="A1227" s="53" t="str">
        <f>'Language Index'!A699</f>
        <v>Reductions Based on Tax Positions - Current Yr.</v>
      </c>
      <c r="B1227" s="1"/>
      <c r="C1227" s="1"/>
      <c r="D1227" s="18">
        <f>_xll.ciqfunctions.udf.CIQ($C$2,"IQ_REDUCTION_TAX_POSITION_CURRENT_YR",D$6,$F$2,,,Ccy,Conv)</f>
        <v>0</v>
      </c>
      <c r="E1227" s="18">
        <f>_xll.ciqfunctions.udf.CIQ($C$2,"IQ_REDUCTION_TAX_POSITION_CURRENT_YR",E$6,$F$2,,,Ccy,Conv)</f>
        <v>0</v>
      </c>
      <c r="F1227" s="18">
        <f>_xll.ciqfunctions.udf.CIQ($C$2,"IQ_REDUCTION_TAX_POSITION_CURRENT_YR",F$6,$F$2,,,Ccy,Conv)</f>
        <v>0</v>
      </c>
      <c r="G1227" s="18">
        <f>_xll.ciqfunctions.udf.CIQ($C$2,"IQ_REDUCTION_TAX_POSITION_CURRENT_YR",G$6,$F$2,,,Ccy,Conv)</f>
        <v>0</v>
      </c>
      <c r="H1227" s="18">
        <f>_xll.ciqfunctions.udf.CIQ($C$2,"IQ_REDUCTION_TAX_POSITION_CURRENT_YR",H$6,$F$2,,,Ccy,Conv)</f>
        <v>0</v>
      </c>
      <c r="I1227" s="18">
        <f>_xll.ciqfunctions.udf.CIQ($C$2,"IQ_REDUCTION_TAX_POSITION_CURRENT_YR",I$6,$F$2,,,Ccy,Conv)</f>
        <v>0</v>
      </c>
      <c r="J1227" s="18">
        <f>_xll.ciqfunctions.udf.CIQ($C$2,"IQ_REDUCTION_TAX_POSITION_CURRENT_YR",J$6,$F$2,,,Ccy,Conv)</f>
        <v>0</v>
      </c>
      <c r="K1227" s="18">
        <f>_xll.ciqfunctions.udf.CIQ($C$2,"IQ_REDUCTION_TAX_POSITION_CURRENT_YR",K$6,$F$2,,,Ccy,Conv)</f>
        <v>0</v>
      </c>
      <c r="L1227" s="18">
        <f>_xll.ciqfunctions.udf.CIQ($C$2,"IQ_REDUCTION_TAX_POSITION_CURRENT_YR",L$6,$F$2,,,Ccy,Conv)</f>
        <v>0</v>
      </c>
      <c r="M1227" s="18">
        <f>_xll.ciqfunctions.udf.CIQ($C$2,"IQ_REDUCTION_TAX_POSITION_CURRENT_YR",M$6,$F$2,,,Ccy,Conv)</f>
        <v>0</v>
      </c>
      <c r="N1227" s="18">
        <f>_xll.ciqfunctions.udf.CIQ($C$2,"IQ_REDUCTION_TAX_POSITION_CURRENT_YR",N$6,$F$2,,,Ccy,Conv)</f>
        <v>0</v>
      </c>
      <c r="O1227" s="3"/>
      <c r="P1227" s="18">
        <f>_xll.ciqfunctions.udf.CIQ($C$2,"IQ_REDUCTION_TAX_POSITION_CURRENT_YR",P$6,$F$2,,,Ccy,Conv)</f>
        <v>0</v>
      </c>
      <c r="Q1227" s="215"/>
      <c r="R1227" s="215"/>
      <c r="S1227" s="215"/>
      <c r="T1227" s="215"/>
      <c r="U1227" s="215"/>
      <c r="V1227" s="222"/>
      <c r="W1227" s="222"/>
      <c r="X1227" s="222"/>
      <c r="Y1227" s="215"/>
      <c r="Z1227" s="215"/>
      <c r="AA1227" s="215"/>
      <c r="AB1227" s="215"/>
      <c r="AC1227" s="215"/>
      <c r="AD1227" s="215"/>
      <c r="AE1227" s="215"/>
      <c r="AF1227" s="215"/>
      <c r="AG1227" s="215"/>
      <c r="AH1227" s="215"/>
      <c r="AI1227" s="215"/>
      <c r="AJ1227" s="215"/>
      <c r="AK1227" s="215"/>
      <c r="AL1227" s="215"/>
      <c r="AM1227" s="215"/>
      <c r="AN1227" s="215"/>
      <c r="AO1227" s="215"/>
      <c r="AP1227" s="215"/>
      <c r="AQ1227" s="215"/>
      <c r="AR1227" s="215"/>
      <c r="AS1227" s="215"/>
      <c r="AT1227" s="215"/>
      <c r="AU1227" s="215"/>
      <c r="AV1227" s="215"/>
      <c r="AW1227" s="215"/>
      <c r="AX1227" s="215"/>
      <c r="AY1227" s="215"/>
      <c r="AZ1227" s="215"/>
      <c r="BA1227" s="215"/>
      <c r="BB1227" s="215"/>
      <c r="BC1227" s="215"/>
      <c r="BD1227" s="215"/>
      <c r="BE1227" s="215"/>
      <c r="BF1227" s="215"/>
      <c r="BG1227" s="215"/>
      <c r="BH1227" s="215"/>
      <c r="BI1227" s="215"/>
      <c r="BJ1227" s="215"/>
      <c r="BK1227" s="215"/>
      <c r="BL1227" s="215"/>
      <c r="BM1227" s="215"/>
      <c r="BN1227" s="215"/>
      <c r="BO1227" s="215"/>
      <c r="BP1227" s="215"/>
      <c r="BQ1227" s="215"/>
      <c r="BR1227" s="215"/>
      <c r="BS1227" s="215"/>
      <c r="BT1227" s="215"/>
      <c r="BU1227" s="215"/>
      <c r="BV1227" s="215"/>
      <c r="BW1227" s="215"/>
      <c r="BX1227" s="215"/>
      <c r="BY1227" s="215"/>
      <c r="BZ1227" s="215"/>
    </row>
    <row r="1228" spans="1:78" outlineLevel="1" x14ac:dyDescent="0.2">
      <c r="A1228" s="53" t="str">
        <f>'Language Index'!A700</f>
        <v>Additions for Tax Positions - Prior Yrs</v>
      </c>
      <c r="B1228" s="1"/>
      <c r="C1228" s="1"/>
      <c r="D1228" s="18">
        <f>_xll.ciqfunctions.udf.CIQ($C$2,"IQ_ADD_TAX_POSITIONS_PRIOR_YRS",D$6,$F$2,,,Ccy,Conv)</f>
        <v>0</v>
      </c>
      <c r="E1228" s="18">
        <f>_xll.ciqfunctions.udf.CIQ($C$2,"IQ_ADD_TAX_POSITIONS_PRIOR_YRS",E$6,$F$2,,,Ccy,Conv)</f>
        <v>0</v>
      </c>
      <c r="F1228" s="18">
        <f>_xll.ciqfunctions.udf.CIQ($C$2,"IQ_ADD_TAX_POSITIONS_PRIOR_YRS",F$6,$F$2,,,Ccy,Conv)</f>
        <v>231</v>
      </c>
      <c r="G1228" s="18">
        <f>_xll.ciqfunctions.udf.CIQ($C$2,"IQ_ADD_TAX_POSITIONS_PRIOR_YRS",G$6,$F$2,,,Ccy,Conv)</f>
        <v>0</v>
      </c>
      <c r="H1228" s="18">
        <f>_xll.ciqfunctions.udf.CIQ($C$2,"IQ_ADD_TAX_POSITIONS_PRIOR_YRS",H$6,$F$2,,,Ccy,Conv)</f>
        <v>0</v>
      </c>
      <c r="I1228" s="18">
        <f>_xll.ciqfunctions.udf.CIQ($C$2,"IQ_ADD_TAX_POSITIONS_PRIOR_YRS",I$6,$F$2,,,Ccy,Conv)</f>
        <v>0</v>
      </c>
      <c r="J1228" s="18">
        <f>_xll.ciqfunctions.udf.CIQ($C$2,"IQ_ADD_TAX_POSITIONS_PRIOR_YRS",J$6,$F$2,,,Ccy,Conv)</f>
        <v>452</v>
      </c>
      <c r="K1228" s="18">
        <f>_xll.ciqfunctions.udf.CIQ($C$2,"IQ_ADD_TAX_POSITIONS_PRIOR_YRS",K$6,$F$2,,,Ccy,Conv)</f>
        <v>0</v>
      </c>
      <c r="L1228" s="18">
        <f>_xll.ciqfunctions.udf.CIQ($C$2,"IQ_ADD_TAX_POSITIONS_PRIOR_YRS",L$6,$F$2,,,Ccy,Conv)</f>
        <v>0</v>
      </c>
      <c r="M1228" s="18">
        <f>_xll.ciqfunctions.udf.CIQ($C$2,"IQ_ADD_TAX_POSITIONS_PRIOR_YRS",M$6,$F$2,,,Ccy,Conv)</f>
        <v>0</v>
      </c>
      <c r="N1228" s="18">
        <f>_xll.ciqfunctions.udf.CIQ($C$2,"IQ_ADD_TAX_POSITIONS_PRIOR_YRS",N$6,$F$2,,,Ccy,Conv)</f>
        <v>402</v>
      </c>
      <c r="O1228" s="3"/>
      <c r="P1228" s="18">
        <f>_xll.ciqfunctions.udf.CIQ($C$2,"IQ_ADD_TAX_POSITIONS_PRIOR_YRS",P$6,$F$2,,,Ccy,Conv)</f>
        <v>402</v>
      </c>
      <c r="Q1228" s="215"/>
      <c r="R1228" s="215"/>
      <c r="S1228" s="215"/>
      <c r="T1228" s="215"/>
      <c r="U1228" s="215"/>
      <c r="V1228" s="222"/>
      <c r="W1228" s="222"/>
      <c r="X1228" s="222"/>
      <c r="Y1228" s="215"/>
      <c r="Z1228" s="215"/>
      <c r="AA1228" s="215"/>
      <c r="AB1228" s="215"/>
      <c r="AC1228" s="215"/>
      <c r="AD1228" s="215"/>
      <c r="AE1228" s="215"/>
      <c r="AF1228" s="215"/>
      <c r="AG1228" s="215"/>
      <c r="AH1228" s="215"/>
      <c r="AI1228" s="215"/>
      <c r="AJ1228" s="215"/>
      <c r="AK1228" s="215"/>
      <c r="AL1228" s="215"/>
      <c r="AM1228" s="215"/>
      <c r="AN1228" s="215"/>
      <c r="AO1228" s="215"/>
      <c r="AP1228" s="215"/>
      <c r="AQ1228" s="215"/>
      <c r="AR1228" s="215"/>
      <c r="AS1228" s="215"/>
      <c r="AT1228" s="215"/>
      <c r="AU1228" s="215"/>
      <c r="AV1228" s="215"/>
      <c r="AW1228" s="215"/>
      <c r="AX1228" s="215"/>
      <c r="AY1228" s="215"/>
      <c r="AZ1228" s="215"/>
      <c r="BA1228" s="215"/>
      <c r="BB1228" s="215"/>
      <c r="BC1228" s="215"/>
      <c r="BD1228" s="215"/>
      <c r="BE1228" s="215"/>
      <c r="BF1228" s="215"/>
      <c r="BG1228" s="215"/>
      <c r="BH1228" s="215"/>
      <c r="BI1228" s="215"/>
      <c r="BJ1228" s="215"/>
      <c r="BK1228" s="215"/>
      <c r="BL1228" s="215"/>
      <c r="BM1228" s="215"/>
      <c r="BN1228" s="215"/>
      <c r="BO1228" s="215"/>
      <c r="BP1228" s="215"/>
      <c r="BQ1228" s="215"/>
      <c r="BR1228" s="215"/>
      <c r="BS1228" s="215"/>
      <c r="BT1228" s="215"/>
      <c r="BU1228" s="215"/>
      <c r="BV1228" s="215"/>
      <c r="BW1228" s="215"/>
      <c r="BX1228" s="215"/>
      <c r="BY1228" s="215"/>
      <c r="BZ1228" s="215"/>
    </row>
    <row r="1229" spans="1:78" outlineLevel="1" x14ac:dyDescent="0.2">
      <c r="A1229" s="53" t="str">
        <f>'Language Index'!A701</f>
        <v>Reductions for Tax Positions - Prior Yrs</v>
      </c>
      <c r="B1229" s="1"/>
      <c r="C1229" s="1"/>
      <c r="D1229" s="18">
        <f>_xll.ciqfunctions.udf.CIQ($C$2,"IQ_REDUCTION_TAX_POSITION_PRIOR_YRS",D$6,$F$2,,,Ccy,Conv)</f>
        <v>0</v>
      </c>
      <c r="E1229" s="18">
        <f>_xll.ciqfunctions.udf.CIQ($C$2,"IQ_REDUCTION_TAX_POSITION_PRIOR_YRS",E$6,$F$2,,,Ccy,Conv)</f>
        <v>0</v>
      </c>
      <c r="F1229" s="18">
        <f>_xll.ciqfunctions.udf.CIQ($C$2,"IQ_REDUCTION_TAX_POSITION_PRIOR_YRS",F$6,$F$2,,,Ccy,Conv)</f>
        <v>-457</v>
      </c>
      <c r="G1229" s="18">
        <f>_xll.ciqfunctions.udf.CIQ($C$2,"IQ_REDUCTION_TAX_POSITION_PRIOR_YRS",G$6,$F$2,,,Ccy,Conv)</f>
        <v>0</v>
      </c>
      <c r="H1229" s="18">
        <f>_xll.ciqfunctions.udf.CIQ($C$2,"IQ_REDUCTION_TAX_POSITION_PRIOR_YRS",H$6,$F$2,,,Ccy,Conv)</f>
        <v>0</v>
      </c>
      <c r="I1229" s="18">
        <f>_xll.ciqfunctions.udf.CIQ($C$2,"IQ_REDUCTION_TAX_POSITION_PRIOR_YRS",I$6,$F$2,,,Ccy,Conv)</f>
        <v>0</v>
      </c>
      <c r="J1229" s="18">
        <f>_xll.ciqfunctions.udf.CIQ($C$2,"IQ_REDUCTION_TAX_POSITION_PRIOR_YRS",J$6,$F$2,,,Ccy,Conv)</f>
        <v>-955</v>
      </c>
      <c r="K1229" s="18">
        <f>_xll.ciqfunctions.udf.CIQ($C$2,"IQ_REDUCTION_TAX_POSITION_PRIOR_YRS",K$6,$F$2,,,Ccy,Conv)</f>
        <v>0</v>
      </c>
      <c r="L1229" s="18">
        <f>_xll.ciqfunctions.udf.CIQ($C$2,"IQ_REDUCTION_TAX_POSITION_PRIOR_YRS",L$6,$F$2,,,Ccy,Conv)</f>
        <v>0</v>
      </c>
      <c r="M1229" s="18">
        <f>_xll.ciqfunctions.udf.CIQ($C$2,"IQ_REDUCTION_TAX_POSITION_PRIOR_YRS",M$6,$F$2,,,Ccy,Conv)</f>
        <v>0</v>
      </c>
      <c r="N1229" s="18">
        <f>_xll.ciqfunctions.udf.CIQ($C$2,"IQ_REDUCTION_TAX_POSITION_PRIOR_YRS",N$6,$F$2,,,Ccy,Conv)</f>
        <v>-2843</v>
      </c>
      <c r="O1229" s="3"/>
      <c r="P1229" s="18">
        <f>_xll.ciqfunctions.udf.CIQ($C$2,"IQ_REDUCTION_TAX_POSITION_PRIOR_YRS",P$6,$F$2,,,Ccy,Conv)</f>
        <v>-2843</v>
      </c>
      <c r="Q1229" s="215"/>
      <c r="R1229" s="215"/>
      <c r="S1229" s="215"/>
      <c r="T1229" s="215"/>
      <c r="U1229" s="215"/>
      <c r="V1229" s="222"/>
      <c r="W1229" s="222"/>
      <c r="X1229" s="222"/>
      <c r="Y1229" s="215"/>
      <c r="Z1229" s="215"/>
      <c r="AA1229" s="215"/>
      <c r="AB1229" s="215"/>
      <c r="AC1229" s="215"/>
      <c r="AD1229" s="215"/>
      <c r="AE1229" s="215"/>
      <c r="AF1229" s="215"/>
      <c r="AG1229" s="215"/>
      <c r="AH1229" s="215"/>
      <c r="AI1229" s="215"/>
      <c r="AJ1229" s="215"/>
      <c r="AK1229" s="215"/>
      <c r="AL1229" s="215"/>
      <c r="AM1229" s="215"/>
      <c r="AN1229" s="215"/>
      <c r="AO1229" s="215"/>
      <c r="AP1229" s="215"/>
      <c r="AQ1229" s="215"/>
      <c r="AR1229" s="215"/>
      <c r="AS1229" s="215"/>
      <c r="AT1229" s="215"/>
      <c r="AU1229" s="215"/>
      <c r="AV1229" s="215"/>
      <c r="AW1229" s="215"/>
      <c r="AX1229" s="215"/>
      <c r="AY1229" s="215"/>
      <c r="AZ1229" s="215"/>
      <c r="BA1229" s="215"/>
      <c r="BB1229" s="215"/>
      <c r="BC1229" s="215"/>
      <c r="BD1229" s="215"/>
      <c r="BE1229" s="215"/>
      <c r="BF1229" s="215"/>
      <c r="BG1229" s="215"/>
      <c r="BH1229" s="215"/>
      <c r="BI1229" s="215"/>
      <c r="BJ1229" s="215"/>
      <c r="BK1229" s="215"/>
      <c r="BL1229" s="215"/>
      <c r="BM1229" s="215"/>
      <c r="BN1229" s="215"/>
      <c r="BO1229" s="215"/>
      <c r="BP1229" s="215"/>
      <c r="BQ1229" s="215"/>
      <c r="BR1229" s="215"/>
      <c r="BS1229" s="215"/>
      <c r="BT1229" s="215"/>
      <c r="BU1229" s="215"/>
      <c r="BV1229" s="215"/>
      <c r="BW1229" s="215"/>
      <c r="BX1229" s="215"/>
      <c r="BY1229" s="215"/>
      <c r="BZ1229" s="215"/>
    </row>
    <row r="1230" spans="1:78" outlineLevel="1" x14ac:dyDescent="0.2">
      <c r="A1230" s="53" t="str">
        <f>'Language Index'!A702</f>
        <v>Settlements with Tax Authorities</v>
      </c>
      <c r="B1230" s="1"/>
      <c r="C1230" s="1"/>
      <c r="D1230" s="18">
        <f>_xll.ciqfunctions.udf.CIQ($C$2,"IQ_SETTLEMENTS_TAX_AUTHORITIES",D$6,$F$2,,,Ccy,Conv)</f>
        <v>0</v>
      </c>
      <c r="E1230" s="18">
        <f>_xll.ciqfunctions.udf.CIQ($C$2,"IQ_SETTLEMENTS_TAX_AUTHORITIES",E$6,$F$2,,,Ccy,Conv)</f>
        <v>0</v>
      </c>
      <c r="F1230" s="18">
        <f>_xll.ciqfunctions.udf.CIQ($C$2,"IQ_SETTLEMENTS_TAX_AUTHORITIES",F$6,$F$2,,,Ccy,Conv)</f>
        <v>-26</v>
      </c>
      <c r="G1230" s="18">
        <f>_xll.ciqfunctions.udf.CIQ($C$2,"IQ_SETTLEMENTS_TAX_AUTHORITIES",G$6,$F$2,,,Ccy,Conv)</f>
        <v>0</v>
      </c>
      <c r="H1230" s="18">
        <f>_xll.ciqfunctions.udf.CIQ($C$2,"IQ_SETTLEMENTS_TAX_AUTHORITIES",H$6,$F$2,,,Ccy,Conv)</f>
        <v>0</v>
      </c>
      <c r="I1230" s="18">
        <f>_xll.ciqfunctions.udf.CIQ($C$2,"IQ_SETTLEMENTS_TAX_AUTHORITIES",I$6,$F$2,,,Ccy,Conv)</f>
        <v>0</v>
      </c>
      <c r="J1230" s="18">
        <f>_xll.ciqfunctions.udf.CIQ($C$2,"IQ_SETTLEMENTS_TAX_AUTHORITIES",J$6,$F$2,,,Ccy,Conv)</f>
        <v>-61</v>
      </c>
      <c r="K1230" s="18">
        <f>_xll.ciqfunctions.udf.CIQ($C$2,"IQ_SETTLEMENTS_TAX_AUTHORITIES",K$6,$F$2,,,Ccy,Conv)</f>
        <v>0</v>
      </c>
      <c r="L1230" s="18">
        <f>_xll.ciqfunctions.udf.CIQ($C$2,"IQ_SETTLEMENTS_TAX_AUTHORITIES",L$6,$F$2,,,Ccy,Conv)</f>
        <v>0</v>
      </c>
      <c r="M1230" s="18">
        <f>_xll.ciqfunctions.udf.CIQ($C$2,"IQ_SETTLEMENTS_TAX_AUTHORITIES",M$6,$F$2,,,Ccy,Conv)</f>
        <v>0</v>
      </c>
      <c r="N1230" s="18">
        <f>_xll.ciqfunctions.udf.CIQ($C$2,"IQ_SETTLEMENTS_TAX_AUTHORITIES",N$6,$F$2,,,Ccy,Conv)</f>
        <v>-95</v>
      </c>
      <c r="O1230" s="3"/>
      <c r="P1230" s="18">
        <f>_xll.ciqfunctions.udf.CIQ($C$2,"IQ_SETTLEMENTS_TAX_AUTHORITIES",P$6,$F$2,,,Ccy,Conv)</f>
        <v>-95</v>
      </c>
      <c r="Q1230" s="215"/>
      <c r="R1230" s="215"/>
      <c r="S1230" s="215"/>
      <c r="T1230" s="215"/>
      <c r="U1230" s="215"/>
      <c r="V1230" s="222"/>
      <c r="W1230" s="222"/>
      <c r="X1230" s="222"/>
      <c r="Y1230" s="215"/>
      <c r="Z1230" s="215"/>
      <c r="AA1230" s="215"/>
      <c r="AB1230" s="215"/>
      <c r="AC1230" s="215"/>
      <c r="AD1230" s="215"/>
      <c r="AE1230" s="215"/>
      <c r="AF1230" s="215"/>
      <c r="AG1230" s="215"/>
      <c r="AH1230" s="215"/>
      <c r="AI1230" s="215"/>
      <c r="AJ1230" s="215"/>
      <c r="AK1230" s="215"/>
      <c r="AL1230" s="215"/>
      <c r="AM1230" s="215"/>
      <c r="AN1230" s="215"/>
      <c r="AO1230" s="215"/>
      <c r="AP1230" s="215"/>
      <c r="AQ1230" s="215"/>
      <c r="AR1230" s="215"/>
      <c r="AS1230" s="215"/>
      <c r="AT1230" s="215"/>
      <c r="AU1230" s="215"/>
      <c r="AV1230" s="215"/>
      <c r="AW1230" s="215"/>
      <c r="AX1230" s="215"/>
      <c r="AY1230" s="215"/>
      <c r="AZ1230" s="215"/>
      <c r="BA1230" s="215"/>
      <c r="BB1230" s="215"/>
      <c r="BC1230" s="215"/>
      <c r="BD1230" s="215"/>
      <c r="BE1230" s="215"/>
      <c r="BF1230" s="215"/>
      <c r="BG1230" s="215"/>
      <c r="BH1230" s="215"/>
      <c r="BI1230" s="215"/>
      <c r="BJ1230" s="215"/>
      <c r="BK1230" s="215"/>
      <c r="BL1230" s="215"/>
      <c r="BM1230" s="215"/>
      <c r="BN1230" s="215"/>
      <c r="BO1230" s="215"/>
      <c r="BP1230" s="215"/>
      <c r="BQ1230" s="215"/>
      <c r="BR1230" s="215"/>
      <c r="BS1230" s="215"/>
      <c r="BT1230" s="215"/>
      <c r="BU1230" s="215"/>
      <c r="BV1230" s="215"/>
      <c r="BW1230" s="215"/>
      <c r="BX1230" s="215"/>
      <c r="BY1230" s="215"/>
      <c r="BZ1230" s="215"/>
    </row>
    <row r="1231" spans="1:78" outlineLevel="1" x14ac:dyDescent="0.2">
      <c r="A1231" s="53" t="str">
        <f>'Language Index'!A703</f>
        <v>Lapse of Statute of Limitations</v>
      </c>
      <c r="B1231" s="1"/>
      <c r="C1231" s="1"/>
      <c r="D1231" s="18">
        <f>_xll.ciqfunctions.udf.CIQ($C$2,"IQ_LAPSE_STATUTE_LIMITATIONS",D$6,$F$2,,,Ccy,Conv)</f>
        <v>0</v>
      </c>
      <c r="E1231" s="18">
        <f>_xll.ciqfunctions.udf.CIQ($C$2,"IQ_LAPSE_STATUTE_LIMITATIONS",E$6,$F$2,,,Ccy,Conv)</f>
        <v>0</v>
      </c>
      <c r="F1231" s="18">
        <f>_xll.ciqfunctions.udf.CIQ($C$2,"IQ_LAPSE_STATUTE_LIMITATIONS",F$6,$F$2,,,Ccy,Conv)</f>
        <v>0</v>
      </c>
      <c r="G1231" s="18">
        <f>_xll.ciqfunctions.udf.CIQ($C$2,"IQ_LAPSE_STATUTE_LIMITATIONS",G$6,$F$2,,,Ccy,Conv)</f>
        <v>0</v>
      </c>
      <c r="H1231" s="18">
        <f>_xll.ciqfunctions.udf.CIQ($C$2,"IQ_LAPSE_STATUTE_LIMITATIONS",H$6,$F$2,,,Ccy,Conv)</f>
        <v>0</v>
      </c>
      <c r="I1231" s="18">
        <f>_xll.ciqfunctions.udf.CIQ($C$2,"IQ_LAPSE_STATUTE_LIMITATIONS",I$6,$F$2,,,Ccy,Conv)</f>
        <v>0</v>
      </c>
      <c r="J1231" s="18">
        <f>_xll.ciqfunctions.udf.CIQ($C$2,"IQ_LAPSE_STATUTE_LIMITATIONS",J$6,$F$2,,,Ccy,Conv)</f>
        <v>0</v>
      </c>
      <c r="K1231" s="18">
        <f>_xll.ciqfunctions.udf.CIQ($C$2,"IQ_LAPSE_STATUTE_LIMITATIONS",K$6,$F$2,,,Ccy,Conv)</f>
        <v>0</v>
      </c>
      <c r="L1231" s="18">
        <f>_xll.ciqfunctions.udf.CIQ($C$2,"IQ_LAPSE_STATUTE_LIMITATIONS",L$6,$F$2,,,Ccy,Conv)</f>
        <v>0</v>
      </c>
      <c r="M1231" s="18">
        <f>_xll.ciqfunctions.udf.CIQ($C$2,"IQ_LAPSE_STATUTE_LIMITATIONS",M$6,$F$2,,,Ccy,Conv)</f>
        <v>0</v>
      </c>
      <c r="N1231" s="18">
        <f>_xll.ciqfunctions.udf.CIQ($C$2,"IQ_LAPSE_STATUTE_LIMITATIONS",N$6,$F$2,,,Ccy,Conv)</f>
        <v>0</v>
      </c>
      <c r="O1231" s="3"/>
      <c r="P1231" s="18">
        <f>_xll.ciqfunctions.udf.CIQ($C$2,"IQ_LAPSE_STATUTE_LIMITATIONS",P$6,$F$2,,,Ccy,Conv)</f>
        <v>0</v>
      </c>
      <c r="Q1231" s="215"/>
      <c r="R1231" s="215"/>
      <c r="S1231" s="215"/>
      <c r="T1231" s="215"/>
      <c r="U1231" s="215"/>
      <c r="V1231" s="222"/>
      <c r="W1231" s="222"/>
      <c r="X1231" s="222"/>
      <c r="Y1231" s="215"/>
      <c r="Z1231" s="215"/>
      <c r="AA1231" s="215"/>
      <c r="AB1231" s="215"/>
      <c r="AC1231" s="215"/>
      <c r="AD1231" s="215"/>
      <c r="AE1231" s="215"/>
      <c r="AF1231" s="215"/>
      <c r="AG1231" s="215"/>
      <c r="AH1231" s="215"/>
      <c r="AI1231" s="215"/>
      <c r="AJ1231" s="215"/>
      <c r="AK1231" s="215"/>
      <c r="AL1231" s="215"/>
      <c r="AM1231" s="215"/>
      <c r="AN1231" s="215"/>
      <c r="AO1231" s="215"/>
      <c r="AP1231" s="215"/>
      <c r="AQ1231" s="215"/>
      <c r="AR1231" s="215"/>
      <c r="AS1231" s="215"/>
      <c r="AT1231" s="215"/>
      <c r="AU1231" s="215"/>
      <c r="AV1231" s="215"/>
      <c r="AW1231" s="215"/>
      <c r="AX1231" s="215"/>
      <c r="AY1231" s="215"/>
      <c r="AZ1231" s="215"/>
      <c r="BA1231" s="215"/>
      <c r="BB1231" s="215"/>
      <c r="BC1231" s="215"/>
      <c r="BD1231" s="215"/>
      <c r="BE1231" s="215"/>
      <c r="BF1231" s="215"/>
      <c r="BG1231" s="215"/>
      <c r="BH1231" s="215"/>
      <c r="BI1231" s="215"/>
      <c r="BJ1231" s="215"/>
      <c r="BK1231" s="215"/>
      <c r="BL1231" s="215"/>
      <c r="BM1231" s="215"/>
      <c r="BN1231" s="215"/>
      <c r="BO1231" s="215"/>
      <c r="BP1231" s="215"/>
      <c r="BQ1231" s="215"/>
      <c r="BR1231" s="215"/>
      <c r="BS1231" s="215"/>
      <c r="BT1231" s="215"/>
      <c r="BU1231" s="215"/>
      <c r="BV1231" s="215"/>
      <c r="BW1231" s="215"/>
      <c r="BX1231" s="215"/>
      <c r="BY1231" s="215"/>
      <c r="BZ1231" s="215"/>
    </row>
    <row r="1232" spans="1:78" outlineLevel="1" x14ac:dyDescent="0.2">
      <c r="A1232" s="53" t="str">
        <f>'Language Index'!A704</f>
        <v>Unrecog. Tax Benefits - Other Adj.</v>
      </c>
      <c r="B1232" s="1"/>
      <c r="C1232" s="1"/>
      <c r="D1232" s="18">
        <f>_xll.ciqfunctions.udf.CIQ($C$2,"IQ_UNRECOG_TAX_BENEFIT_OTHER_ADJ",D$6,$F$2,,,Ccy,Conv)</f>
        <v>0</v>
      </c>
      <c r="E1232" s="18">
        <f>_xll.ciqfunctions.udf.CIQ($C$2,"IQ_UNRECOG_TAX_BENEFIT_OTHER_ADJ",E$6,$F$2,,,Ccy,Conv)</f>
        <v>0</v>
      </c>
      <c r="F1232" s="18">
        <f>_xll.ciqfunctions.udf.CIQ($C$2,"IQ_UNRECOG_TAX_BENEFIT_OTHER_ADJ",F$6,$F$2,,,Ccy,Conv)</f>
        <v>0</v>
      </c>
      <c r="G1232" s="18">
        <f>_xll.ciqfunctions.udf.CIQ($C$2,"IQ_UNRECOG_TAX_BENEFIT_OTHER_ADJ",G$6,$F$2,,,Ccy,Conv)</f>
        <v>0</v>
      </c>
      <c r="H1232" s="18">
        <f>_xll.ciqfunctions.udf.CIQ($C$2,"IQ_UNRECOG_TAX_BENEFIT_OTHER_ADJ",H$6,$F$2,,,Ccy,Conv)</f>
        <v>0</v>
      </c>
      <c r="I1232" s="18">
        <f>_xll.ciqfunctions.udf.CIQ($C$2,"IQ_UNRECOG_TAX_BENEFIT_OTHER_ADJ",I$6,$F$2,,,Ccy,Conv)</f>
        <v>0</v>
      </c>
      <c r="J1232" s="18">
        <f>_xll.ciqfunctions.udf.CIQ($C$2,"IQ_UNRECOG_TAX_BENEFIT_OTHER_ADJ",J$6,$F$2,,,Ccy,Conv)</f>
        <v>0</v>
      </c>
      <c r="K1232" s="18">
        <f>_xll.ciqfunctions.udf.CIQ($C$2,"IQ_UNRECOG_TAX_BENEFIT_OTHER_ADJ",K$6,$F$2,,,Ccy,Conv)</f>
        <v>0</v>
      </c>
      <c r="L1232" s="18">
        <f>_xll.ciqfunctions.udf.CIQ($C$2,"IQ_UNRECOG_TAX_BENEFIT_OTHER_ADJ",L$6,$F$2,,,Ccy,Conv)</f>
        <v>0</v>
      </c>
      <c r="M1232" s="18">
        <f>_xll.ciqfunctions.udf.CIQ($C$2,"IQ_UNRECOG_TAX_BENEFIT_OTHER_ADJ",M$6,$F$2,,,Ccy,Conv)</f>
        <v>0</v>
      </c>
      <c r="N1232" s="18">
        <f>_xll.ciqfunctions.udf.CIQ($C$2,"IQ_UNRECOG_TAX_BENEFIT_OTHER_ADJ",N$6,$F$2,,,Ccy,Conv)</f>
        <v>0</v>
      </c>
      <c r="O1232" s="3"/>
      <c r="P1232" s="18">
        <f>_xll.ciqfunctions.udf.CIQ($C$2,"IQ_UNRECOG_TAX_BENEFIT_OTHER_ADJ",P$6,$F$2,,,Ccy,Conv)</f>
        <v>0</v>
      </c>
      <c r="Q1232" s="215"/>
      <c r="R1232" s="215"/>
      <c r="S1232" s="215"/>
      <c r="T1232" s="215"/>
      <c r="U1232" s="215"/>
      <c r="V1232" s="222"/>
      <c r="W1232" s="222"/>
      <c r="X1232" s="222"/>
      <c r="Y1232" s="215"/>
      <c r="Z1232" s="215"/>
      <c r="AA1232" s="215"/>
      <c r="AB1232" s="215"/>
      <c r="AC1232" s="215"/>
      <c r="AD1232" s="215"/>
      <c r="AE1232" s="215"/>
      <c r="AF1232" s="215"/>
      <c r="AG1232" s="215"/>
      <c r="AH1232" s="215"/>
      <c r="AI1232" s="215"/>
      <c r="AJ1232" s="215"/>
      <c r="AK1232" s="215"/>
      <c r="AL1232" s="215"/>
      <c r="AM1232" s="215"/>
      <c r="AN1232" s="215"/>
      <c r="AO1232" s="215"/>
      <c r="AP1232" s="215"/>
      <c r="AQ1232" s="215"/>
      <c r="AR1232" s="215"/>
      <c r="AS1232" s="215"/>
      <c r="AT1232" s="215"/>
      <c r="AU1232" s="215"/>
      <c r="AV1232" s="215"/>
      <c r="AW1232" s="215"/>
      <c r="AX1232" s="215"/>
      <c r="AY1232" s="215"/>
      <c r="AZ1232" s="215"/>
      <c r="BA1232" s="215"/>
      <c r="BB1232" s="215"/>
      <c r="BC1232" s="215"/>
      <c r="BD1232" s="215"/>
      <c r="BE1232" s="215"/>
      <c r="BF1232" s="215"/>
      <c r="BG1232" s="215"/>
      <c r="BH1232" s="215"/>
      <c r="BI1232" s="215"/>
      <c r="BJ1232" s="215"/>
      <c r="BK1232" s="215"/>
      <c r="BL1232" s="215"/>
      <c r="BM1232" s="215"/>
      <c r="BN1232" s="215"/>
      <c r="BO1232" s="215"/>
      <c r="BP1232" s="215"/>
      <c r="BQ1232" s="215"/>
      <c r="BR1232" s="215"/>
      <c r="BS1232" s="215"/>
      <c r="BT1232" s="215"/>
      <c r="BU1232" s="215"/>
      <c r="BV1232" s="215"/>
      <c r="BW1232" s="215"/>
      <c r="BX1232" s="215"/>
      <c r="BY1232" s="215"/>
      <c r="BZ1232" s="215"/>
    </row>
    <row r="1233" spans="1:78" outlineLevel="1" x14ac:dyDescent="0.2">
      <c r="A1233" s="53" t="str">
        <f>'Language Index'!A705</f>
        <v>Unrecog. Tax Benefits, End of the Period</v>
      </c>
      <c r="B1233" s="1"/>
      <c r="C1233" s="1"/>
      <c r="D1233" s="18">
        <f>_xll.ciqfunctions.udf.CIQ($C$2,"IQ_UNRECOG_TAX_BENEFIT_END_PERIOD",D$6,$F$2,,,Ccy,Conv)</f>
        <v>0</v>
      </c>
      <c r="E1233" s="18">
        <f>_xll.ciqfunctions.udf.CIQ($C$2,"IQ_UNRECOG_TAX_BENEFIT_END_PERIOD",E$6,$F$2,,,Ccy,Conv)</f>
        <v>0</v>
      </c>
      <c r="F1233" s="18">
        <f>_xll.ciqfunctions.udf.CIQ($C$2,"IQ_UNRECOG_TAX_BENEFIT_END_PERIOD",F$6,$F$2,,,Ccy,Conv)</f>
        <v>8772</v>
      </c>
      <c r="G1233" s="18">
        <f>_xll.ciqfunctions.udf.CIQ($C$2,"IQ_UNRECOG_TAX_BENEFIT_END_PERIOD",G$6,$F$2,,,Ccy,Conv)</f>
        <v>0</v>
      </c>
      <c r="H1233" s="18">
        <f>_xll.ciqfunctions.udf.CIQ($C$2,"IQ_UNRECOG_TAX_BENEFIT_END_PERIOD",H$6,$F$2,,,Ccy,Conv)</f>
        <v>0</v>
      </c>
      <c r="I1233" s="18">
        <f>_xll.ciqfunctions.udf.CIQ($C$2,"IQ_UNRECOG_TAX_BENEFIT_END_PERIOD",I$6,$F$2,,,Ccy,Conv)</f>
        <v>0</v>
      </c>
      <c r="J1233" s="18">
        <f>_xll.ciqfunctions.udf.CIQ($C$2,"IQ_UNRECOG_TAX_BENEFIT_END_PERIOD",J$6,$F$2,,,Ccy,Conv)</f>
        <v>8875</v>
      </c>
      <c r="K1233" s="18">
        <f>_xll.ciqfunctions.udf.CIQ($C$2,"IQ_UNRECOG_TAX_BENEFIT_END_PERIOD",K$6,$F$2,,,Ccy,Conv)</f>
        <v>0</v>
      </c>
      <c r="L1233" s="18">
        <f>_xll.ciqfunctions.udf.CIQ($C$2,"IQ_UNRECOG_TAX_BENEFIT_END_PERIOD",L$6,$F$2,,,Ccy,Conv)</f>
        <v>0</v>
      </c>
      <c r="M1233" s="18">
        <f>_xll.ciqfunctions.udf.CIQ($C$2,"IQ_UNRECOG_TAX_BENEFIT_END_PERIOD",M$6,$F$2,,,Ccy,Conv)</f>
        <v>0</v>
      </c>
      <c r="N1233" s="18">
        <f>_xll.ciqfunctions.udf.CIQ($C$2,"IQ_UNRECOG_TAX_BENEFIT_END_PERIOD",N$6,$F$2,,,Ccy,Conv)</f>
        <v>6655</v>
      </c>
      <c r="O1233" s="3"/>
      <c r="P1233" s="18">
        <f>_xll.ciqfunctions.udf.CIQ($C$2,"IQ_UNRECOG_TAX_BENEFIT_END_PERIOD",P$6,$F$2,,,Ccy,Conv)</f>
        <v>6655</v>
      </c>
      <c r="Q1233" s="215"/>
      <c r="R1233" s="215"/>
      <c r="S1233" s="215"/>
      <c r="T1233" s="215"/>
      <c r="U1233" s="215"/>
      <c r="V1233" s="222"/>
      <c r="W1233" s="222"/>
      <c r="X1233" s="222"/>
      <c r="Y1233" s="215"/>
      <c r="Z1233" s="215"/>
      <c r="AA1233" s="215"/>
      <c r="AB1233" s="215"/>
      <c r="AC1233" s="215"/>
      <c r="AD1233" s="215"/>
      <c r="AE1233" s="215"/>
      <c r="AF1233" s="215"/>
      <c r="AG1233" s="215"/>
      <c r="AH1233" s="215"/>
      <c r="AI1233" s="215"/>
      <c r="AJ1233" s="215"/>
      <c r="AK1233" s="215"/>
      <c r="AL1233" s="215"/>
      <c r="AM1233" s="215"/>
      <c r="AN1233" s="215"/>
      <c r="AO1233" s="215"/>
      <c r="AP1233" s="215"/>
      <c r="AQ1233" s="215"/>
      <c r="AR1233" s="215"/>
      <c r="AS1233" s="215"/>
      <c r="AT1233" s="215"/>
      <c r="AU1233" s="215"/>
      <c r="AV1233" s="215"/>
      <c r="AW1233" s="215"/>
      <c r="AX1233" s="215"/>
      <c r="AY1233" s="215"/>
      <c r="AZ1233" s="215"/>
      <c r="BA1233" s="215"/>
      <c r="BB1233" s="215"/>
      <c r="BC1233" s="215"/>
      <c r="BD1233" s="215"/>
      <c r="BE1233" s="215"/>
      <c r="BF1233" s="215"/>
      <c r="BG1233" s="215"/>
      <c r="BH1233" s="215"/>
      <c r="BI1233" s="215"/>
      <c r="BJ1233" s="215"/>
      <c r="BK1233" s="215"/>
      <c r="BL1233" s="215"/>
      <c r="BM1233" s="215"/>
      <c r="BN1233" s="215"/>
      <c r="BO1233" s="215"/>
      <c r="BP1233" s="215"/>
      <c r="BQ1233" s="215"/>
      <c r="BR1233" s="215"/>
      <c r="BS1233" s="215"/>
      <c r="BT1233" s="215"/>
      <c r="BU1233" s="215"/>
      <c r="BV1233" s="215"/>
      <c r="BW1233" s="215"/>
      <c r="BX1233" s="215"/>
      <c r="BY1233" s="215"/>
      <c r="BZ1233" s="215"/>
    </row>
    <row r="1234" spans="1:78" outlineLevel="1" x14ac:dyDescent="0.2">
      <c r="A1234" s="17"/>
      <c r="B1234" s="1"/>
      <c r="C1234" s="1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3"/>
      <c r="P1234" s="18"/>
      <c r="Q1234" s="215"/>
      <c r="R1234" s="215"/>
      <c r="S1234" s="215"/>
      <c r="T1234" s="215"/>
      <c r="U1234" s="215"/>
      <c r="V1234" s="222"/>
      <c r="W1234" s="222"/>
      <c r="X1234" s="222"/>
      <c r="Y1234" s="215"/>
      <c r="Z1234" s="215"/>
      <c r="AA1234" s="215"/>
      <c r="AB1234" s="215"/>
      <c r="AC1234" s="215"/>
      <c r="AD1234" s="215"/>
      <c r="AE1234" s="215"/>
      <c r="AF1234" s="215"/>
      <c r="AG1234" s="215"/>
      <c r="AH1234" s="215"/>
      <c r="AI1234" s="215"/>
      <c r="AJ1234" s="215"/>
      <c r="AK1234" s="215"/>
      <c r="AL1234" s="215"/>
      <c r="AM1234" s="215"/>
      <c r="AN1234" s="215"/>
      <c r="AO1234" s="215"/>
      <c r="AP1234" s="215"/>
      <c r="AQ1234" s="215"/>
      <c r="AR1234" s="215"/>
      <c r="AS1234" s="215"/>
      <c r="AT1234" s="215"/>
      <c r="AU1234" s="215"/>
      <c r="AV1234" s="215"/>
      <c r="AW1234" s="215"/>
      <c r="AX1234" s="215"/>
      <c r="AY1234" s="215"/>
      <c r="AZ1234" s="215"/>
      <c r="BA1234" s="215"/>
      <c r="BB1234" s="215"/>
      <c r="BC1234" s="215"/>
      <c r="BD1234" s="215"/>
      <c r="BE1234" s="215"/>
      <c r="BF1234" s="215"/>
      <c r="BG1234" s="215"/>
      <c r="BH1234" s="215"/>
      <c r="BI1234" s="215"/>
      <c r="BJ1234" s="215"/>
      <c r="BK1234" s="215"/>
      <c r="BL1234" s="215"/>
      <c r="BM1234" s="215"/>
      <c r="BN1234" s="215"/>
      <c r="BO1234" s="215"/>
      <c r="BP1234" s="215"/>
      <c r="BQ1234" s="215"/>
      <c r="BR1234" s="215"/>
      <c r="BS1234" s="215"/>
      <c r="BT1234" s="215"/>
      <c r="BU1234" s="215"/>
      <c r="BV1234" s="215"/>
      <c r="BW1234" s="215"/>
      <c r="BX1234" s="215"/>
      <c r="BY1234" s="215"/>
      <c r="BZ1234" s="215"/>
    </row>
    <row r="1235" spans="1:78" outlineLevel="1" x14ac:dyDescent="0.2">
      <c r="A1235" s="53" t="str">
        <f>'Language Index'!A706</f>
        <v>Account Code - Interest and Penalties</v>
      </c>
      <c r="B1235" s="1"/>
      <c r="C1235" s="1"/>
      <c r="D1235" s="18">
        <f>_xll.ciqfunctions.udf.CIQ($C$2,"IQ_ACCOUNT_CODE_INTEREST_PENALTIES",D$6,$F$2,,,Ccy,Conv)</f>
        <v>0</v>
      </c>
      <c r="E1235" s="18">
        <f>_xll.ciqfunctions.udf.CIQ($C$2,"IQ_ACCOUNT_CODE_INTEREST_PENALTIES",E$6,$F$2,,,Ccy,Conv)</f>
        <v>0</v>
      </c>
      <c r="F1235" s="18">
        <f>_xll.ciqfunctions.udf.CIQ($C$2,"IQ_ACCOUNT_CODE_INTEREST_PENALTIES",F$6,$F$2,,,Ccy,Conv)</f>
        <v>1</v>
      </c>
      <c r="G1235" s="18">
        <f>_xll.ciqfunctions.udf.CIQ($C$2,"IQ_ACCOUNT_CODE_INTEREST_PENALTIES",G$6,$F$2,,,Ccy,Conv)</f>
        <v>0</v>
      </c>
      <c r="H1235" s="18">
        <f>_xll.ciqfunctions.udf.CIQ($C$2,"IQ_ACCOUNT_CODE_INTEREST_PENALTIES",H$6,$F$2,,,Ccy,Conv)</f>
        <v>0</v>
      </c>
      <c r="I1235" s="18">
        <f>_xll.ciqfunctions.udf.CIQ($C$2,"IQ_ACCOUNT_CODE_INTEREST_PENALTIES",I$6,$F$2,,,Ccy,Conv)</f>
        <v>0</v>
      </c>
      <c r="J1235" s="18">
        <f>_xll.ciqfunctions.udf.CIQ($C$2,"IQ_ACCOUNT_CODE_INTEREST_PENALTIES",J$6,$F$2,,,Ccy,Conv)</f>
        <v>1</v>
      </c>
      <c r="K1235" s="18">
        <f>_xll.ciqfunctions.udf.CIQ($C$2,"IQ_ACCOUNT_CODE_INTEREST_PENALTIES",K$6,$F$2,,,Ccy,Conv)</f>
        <v>0</v>
      </c>
      <c r="L1235" s="18">
        <f>_xll.ciqfunctions.udf.CIQ($C$2,"IQ_ACCOUNT_CODE_INTEREST_PENALTIES",L$6,$F$2,,,Ccy,Conv)</f>
        <v>0</v>
      </c>
      <c r="M1235" s="18">
        <f>_xll.ciqfunctions.udf.CIQ($C$2,"IQ_ACCOUNT_CODE_INTEREST_PENALTIES",M$6,$F$2,,,Ccy,Conv)</f>
        <v>0</v>
      </c>
      <c r="N1235" s="18">
        <f>_xll.ciqfunctions.udf.CIQ($C$2,"IQ_ACCOUNT_CODE_INTEREST_PENALTIES",N$6,$F$2,,,Ccy,Conv)</f>
        <v>1</v>
      </c>
      <c r="O1235" s="3"/>
      <c r="P1235" s="18">
        <f>_xll.ciqfunctions.udf.CIQ($C$2,"IQ_ACCOUNT_CODE_INTEREST_PENALTIES",P$6,$F$2,,,Ccy,Conv)</f>
        <v>1</v>
      </c>
      <c r="Q1235" s="215"/>
      <c r="R1235" s="215"/>
      <c r="S1235" s="215"/>
      <c r="T1235" s="215"/>
      <c r="U1235" s="215"/>
      <c r="V1235" s="222"/>
      <c r="W1235" s="222"/>
      <c r="X1235" s="222"/>
      <c r="Y1235" s="215"/>
      <c r="Z1235" s="215"/>
      <c r="AA1235" s="215"/>
      <c r="AB1235" s="215"/>
      <c r="AC1235" s="215"/>
      <c r="AD1235" s="215"/>
      <c r="AE1235" s="215"/>
      <c r="AF1235" s="215"/>
      <c r="AG1235" s="215"/>
      <c r="AH1235" s="215"/>
      <c r="AI1235" s="215"/>
      <c r="AJ1235" s="215"/>
      <c r="AK1235" s="215"/>
      <c r="AL1235" s="215"/>
      <c r="AM1235" s="215"/>
      <c r="AN1235" s="215"/>
      <c r="AO1235" s="215"/>
      <c r="AP1235" s="215"/>
      <c r="AQ1235" s="215"/>
      <c r="AR1235" s="215"/>
      <c r="AS1235" s="215"/>
      <c r="AT1235" s="215"/>
      <c r="AU1235" s="215"/>
      <c r="AV1235" s="215"/>
      <c r="AW1235" s="215"/>
      <c r="AX1235" s="215"/>
      <c r="AY1235" s="215"/>
      <c r="AZ1235" s="215"/>
      <c r="BA1235" s="215"/>
      <c r="BB1235" s="215"/>
      <c r="BC1235" s="215"/>
      <c r="BD1235" s="215"/>
      <c r="BE1235" s="215"/>
      <c r="BF1235" s="215"/>
      <c r="BG1235" s="215"/>
      <c r="BH1235" s="215"/>
      <c r="BI1235" s="215"/>
      <c r="BJ1235" s="215"/>
      <c r="BK1235" s="215"/>
      <c r="BL1235" s="215"/>
      <c r="BM1235" s="215"/>
      <c r="BN1235" s="215"/>
      <c r="BO1235" s="215"/>
      <c r="BP1235" s="215"/>
      <c r="BQ1235" s="215"/>
      <c r="BR1235" s="215"/>
      <c r="BS1235" s="215"/>
      <c r="BT1235" s="215"/>
      <c r="BU1235" s="215"/>
      <c r="BV1235" s="215"/>
      <c r="BW1235" s="215"/>
      <c r="BX1235" s="215"/>
      <c r="BY1235" s="215"/>
      <c r="BZ1235" s="215"/>
    </row>
    <row r="1236" spans="1:78" outlineLevel="1" x14ac:dyDescent="0.2">
      <c r="A1236" s="53" t="str">
        <f>'Language Index'!A707</f>
        <v>Interest and Penalties Recog. on IS - Before Tax</v>
      </c>
      <c r="B1236" s="1"/>
      <c r="C1236" s="1"/>
      <c r="D1236" s="18">
        <f>_xll.ciqfunctions.udf.CIQ($C$2,"IQ_INTEREST_PENALTIES_RECOG_IS_PRE_TAX",D$6,$F$2,,,Ccy,Conv)</f>
        <v>0</v>
      </c>
      <c r="E1236" s="18">
        <f>_xll.ciqfunctions.udf.CIQ($C$2,"IQ_INTEREST_PENALTIES_RECOG_IS_PRE_TAX",E$6,$F$2,,,Ccy,Conv)</f>
        <v>0</v>
      </c>
      <c r="F1236" s="18">
        <f>_xll.ciqfunctions.udf.CIQ($C$2,"IQ_INTEREST_PENALTIES_RECOG_IS_PRE_TAX",F$6,$F$2,,,Ccy,Conv)</f>
        <v>379</v>
      </c>
      <c r="G1236" s="18">
        <f>_xll.ciqfunctions.udf.CIQ($C$2,"IQ_INTEREST_PENALTIES_RECOG_IS_PRE_TAX",G$6,$F$2,,,Ccy,Conv)</f>
        <v>0</v>
      </c>
      <c r="H1236" s="18">
        <f>_xll.ciqfunctions.udf.CIQ($C$2,"IQ_INTEREST_PENALTIES_RECOG_IS_PRE_TAX",H$6,$F$2,,,Ccy,Conv)</f>
        <v>0</v>
      </c>
      <c r="I1236" s="18">
        <f>_xll.ciqfunctions.udf.CIQ($C$2,"IQ_INTEREST_PENALTIES_RECOG_IS_PRE_TAX",I$6,$F$2,,,Ccy,Conv)</f>
        <v>0</v>
      </c>
      <c r="J1236" s="18">
        <f>_xll.ciqfunctions.udf.CIQ($C$2,"IQ_INTEREST_PENALTIES_RECOG_IS_PRE_TAX",J$6,$F$2,,,Ccy,Conv)</f>
        <v>282</v>
      </c>
      <c r="K1236" s="18">
        <f>_xll.ciqfunctions.udf.CIQ($C$2,"IQ_INTEREST_PENALTIES_RECOG_IS_PRE_TAX",K$6,$F$2,,,Ccy,Conv)</f>
        <v>0</v>
      </c>
      <c r="L1236" s="18">
        <f>_xll.ciqfunctions.udf.CIQ($C$2,"IQ_INTEREST_PENALTIES_RECOG_IS_PRE_TAX",L$6,$F$2,,,Ccy,Conv)</f>
        <v>0</v>
      </c>
      <c r="M1236" s="18">
        <f>_xll.ciqfunctions.udf.CIQ($C$2,"IQ_INTEREST_PENALTIES_RECOG_IS_PRE_TAX",M$6,$F$2,,,Ccy,Conv)</f>
        <v>0</v>
      </c>
      <c r="N1236" s="18">
        <f>_xll.ciqfunctions.udf.CIQ($C$2,"IQ_INTEREST_PENALTIES_RECOG_IS_PRE_TAX",N$6,$F$2,,,Ccy,Conv)</f>
        <v>-135</v>
      </c>
      <c r="O1236" s="3"/>
      <c r="P1236" s="18">
        <f>_xll.ciqfunctions.udf.CIQ($C$2,"IQ_INTEREST_PENALTIES_RECOG_IS_PRE_TAX",P$6,$F$2,,,Ccy,Conv)</f>
        <v>-135</v>
      </c>
      <c r="Q1236" s="215"/>
      <c r="R1236" s="215"/>
      <c r="S1236" s="215"/>
      <c r="T1236" s="215"/>
      <c r="U1236" s="215"/>
      <c r="V1236" s="222"/>
      <c r="W1236" s="222"/>
      <c r="X1236" s="222"/>
      <c r="Y1236" s="215"/>
      <c r="Z1236" s="215"/>
      <c r="AA1236" s="215"/>
      <c r="AB1236" s="215"/>
      <c r="AC1236" s="215"/>
      <c r="AD1236" s="215"/>
      <c r="AE1236" s="215"/>
      <c r="AF1236" s="215"/>
      <c r="AG1236" s="215"/>
      <c r="AH1236" s="215"/>
      <c r="AI1236" s="215"/>
      <c r="AJ1236" s="215"/>
      <c r="AK1236" s="215"/>
      <c r="AL1236" s="215"/>
      <c r="AM1236" s="215"/>
      <c r="AN1236" s="215"/>
      <c r="AO1236" s="215"/>
      <c r="AP1236" s="215"/>
      <c r="AQ1236" s="215"/>
      <c r="AR1236" s="215"/>
      <c r="AS1236" s="215"/>
      <c r="AT1236" s="215"/>
      <c r="AU1236" s="215"/>
      <c r="AV1236" s="215"/>
      <c r="AW1236" s="215"/>
      <c r="AX1236" s="215"/>
      <c r="AY1236" s="215"/>
      <c r="AZ1236" s="215"/>
      <c r="BA1236" s="215"/>
      <c r="BB1236" s="215"/>
      <c r="BC1236" s="215"/>
      <c r="BD1236" s="215"/>
      <c r="BE1236" s="215"/>
      <c r="BF1236" s="215"/>
      <c r="BG1236" s="215"/>
      <c r="BH1236" s="215"/>
      <c r="BI1236" s="215"/>
      <c r="BJ1236" s="215"/>
      <c r="BK1236" s="215"/>
      <c r="BL1236" s="215"/>
      <c r="BM1236" s="215"/>
      <c r="BN1236" s="215"/>
      <c r="BO1236" s="215"/>
      <c r="BP1236" s="215"/>
      <c r="BQ1236" s="215"/>
      <c r="BR1236" s="215"/>
      <c r="BS1236" s="215"/>
      <c r="BT1236" s="215"/>
      <c r="BU1236" s="215"/>
      <c r="BV1236" s="215"/>
      <c r="BW1236" s="215"/>
      <c r="BX1236" s="215"/>
      <c r="BY1236" s="215"/>
      <c r="BZ1236" s="215"/>
    </row>
    <row r="1237" spans="1:78" outlineLevel="1" x14ac:dyDescent="0.2">
      <c r="A1237" s="53" t="str">
        <f>'Language Index'!A708</f>
        <v>Interest and Penalties Recog. on IS - After Tax</v>
      </c>
      <c r="B1237" s="1"/>
      <c r="C1237" s="1"/>
      <c r="D1237" s="18">
        <f>_xll.ciqfunctions.udf.CIQ($C$2,"IQ_INTEREST_PENALTIES_RECOG_IS_AFTER_TAX",D$6,$F$2,,,Ccy,Conv)</f>
        <v>0</v>
      </c>
      <c r="E1237" s="18">
        <f>_xll.ciqfunctions.udf.CIQ($C$2,"IQ_INTEREST_PENALTIES_RECOG_IS_AFTER_TAX",E$6,$F$2,,,Ccy,Conv)</f>
        <v>0</v>
      </c>
      <c r="F1237" s="18">
        <f>_xll.ciqfunctions.udf.CIQ($C$2,"IQ_INTEREST_PENALTIES_RECOG_IS_AFTER_TAX",F$6,$F$2,,,Ccy,Conv)</f>
        <v>0</v>
      </c>
      <c r="G1237" s="18">
        <f>_xll.ciqfunctions.udf.CIQ($C$2,"IQ_INTEREST_PENALTIES_RECOG_IS_AFTER_TAX",G$6,$F$2,,,Ccy,Conv)</f>
        <v>0</v>
      </c>
      <c r="H1237" s="18">
        <f>_xll.ciqfunctions.udf.CIQ($C$2,"IQ_INTEREST_PENALTIES_RECOG_IS_AFTER_TAX",H$6,$F$2,,,Ccy,Conv)</f>
        <v>0</v>
      </c>
      <c r="I1237" s="18">
        <f>_xll.ciqfunctions.udf.CIQ($C$2,"IQ_INTEREST_PENALTIES_RECOG_IS_AFTER_TAX",I$6,$F$2,,,Ccy,Conv)</f>
        <v>0</v>
      </c>
      <c r="J1237" s="18">
        <f>_xll.ciqfunctions.udf.CIQ($C$2,"IQ_INTEREST_PENALTIES_RECOG_IS_AFTER_TAX",J$6,$F$2,,,Ccy,Conv)</f>
        <v>0</v>
      </c>
      <c r="K1237" s="18">
        <f>_xll.ciqfunctions.udf.CIQ($C$2,"IQ_INTEREST_PENALTIES_RECOG_IS_AFTER_TAX",K$6,$F$2,,,Ccy,Conv)</f>
        <v>0</v>
      </c>
      <c r="L1237" s="18">
        <f>_xll.ciqfunctions.udf.CIQ($C$2,"IQ_INTEREST_PENALTIES_RECOG_IS_AFTER_TAX",L$6,$F$2,,,Ccy,Conv)</f>
        <v>0</v>
      </c>
      <c r="M1237" s="18">
        <f>_xll.ciqfunctions.udf.CIQ($C$2,"IQ_INTEREST_PENALTIES_RECOG_IS_AFTER_TAX",M$6,$F$2,,,Ccy,Conv)</f>
        <v>0</v>
      </c>
      <c r="N1237" s="18">
        <f>_xll.ciqfunctions.udf.CIQ($C$2,"IQ_INTEREST_PENALTIES_RECOG_IS_AFTER_TAX",N$6,$F$2,,,Ccy,Conv)</f>
        <v>0</v>
      </c>
      <c r="O1237" s="3"/>
      <c r="P1237" s="18">
        <f>_xll.ciqfunctions.udf.CIQ($C$2,"IQ_INTEREST_PENALTIES_RECOG_IS_AFTER_TAX",P$6,$F$2,,,Ccy,Conv)</f>
        <v>0</v>
      </c>
      <c r="Q1237" s="215"/>
      <c r="R1237" s="215"/>
      <c r="S1237" s="215"/>
      <c r="T1237" s="215"/>
      <c r="U1237" s="215"/>
      <c r="V1237" s="222"/>
      <c r="W1237" s="222"/>
      <c r="X1237" s="222"/>
      <c r="Y1237" s="215"/>
      <c r="Z1237" s="215"/>
      <c r="AA1237" s="215"/>
      <c r="AB1237" s="215"/>
      <c r="AC1237" s="215"/>
      <c r="AD1237" s="215"/>
      <c r="AE1237" s="215"/>
      <c r="AF1237" s="215"/>
      <c r="AG1237" s="215"/>
      <c r="AH1237" s="215"/>
      <c r="AI1237" s="215"/>
      <c r="AJ1237" s="215"/>
      <c r="AK1237" s="215"/>
      <c r="AL1237" s="215"/>
      <c r="AM1237" s="215"/>
      <c r="AN1237" s="215"/>
      <c r="AO1237" s="215"/>
      <c r="AP1237" s="215"/>
      <c r="AQ1237" s="215"/>
      <c r="AR1237" s="215"/>
      <c r="AS1237" s="215"/>
      <c r="AT1237" s="215"/>
      <c r="AU1237" s="215"/>
      <c r="AV1237" s="215"/>
      <c r="AW1237" s="215"/>
      <c r="AX1237" s="215"/>
      <c r="AY1237" s="215"/>
      <c r="AZ1237" s="215"/>
      <c r="BA1237" s="215"/>
      <c r="BB1237" s="215"/>
      <c r="BC1237" s="215"/>
      <c r="BD1237" s="215"/>
      <c r="BE1237" s="215"/>
      <c r="BF1237" s="215"/>
      <c r="BG1237" s="215"/>
      <c r="BH1237" s="215"/>
      <c r="BI1237" s="215"/>
      <c r="BJ1237" s="215"/>
      <c r="BK1237" s="215"/>
      <c r="BL1237" s="215"/>
      <c r="BM1237" s="215"/>
      <c r="BN1237" s="215"/>
      <c r="BO1237" s="215"/>
      <c r="BP1237" s="215"/>
      <c r="BQ1237" s="215"/>
      <c r="BR1237" s="215"/>
      <c r="BS1237" s="215"/>
      <c r="BT1237" s="215"/>
      <c r="BU1237" s="215"/>
      <c r="BV1237" s="215"/>
      <c r="BW1237" s="215"/>
      <c r="BX1237" s="215"/>
      <c r="BY1237" s="215"/>
      <c r="BZ1237" s="215"/>
    </row>
    <row r="1238" spans="1:78" outlineLevel="1" x14ac:dyDescent="0.2">
      <c r="A1238" s="53" t="str">
        <f>'Language Index'!A709</f>
        <v>Interest and Penalties Recog. on BS - Before Tax</v>
      </c>
      <c r="B1238" s="1"/>
      <c r="C1238" s="1"/>
      <c r="D1238" s="18">
        <f>_xll.ciqfunctions.udf.CIQ($C$2,"IQ_INTEREST_PENALTIES_RECOG_BS_PRE_TAX",D$6,$F$2,,,Ccy,Conv)</f>
        <v>0</v>
      </c>
      <c r="E1238" s="18">
        <f>_xll.ciqfunctions.udf.CIQ($C$2,"IQ_INTEREST_PENALTIES_RECOG_BS_PRE_TAX",E$6,$F$2,,,Ccy,Conv)</f>
        <v>0</v>
      </c>
      <c r="F1238" s="18">
        <f>_xll.ciqfunctions.udf.CIQ($C$2,"IQ_INTEREST_PENALTIES_RECOG_BS_PRE_TAX",F$6,$F$2,,,Ccy,Conv)</f>
        <v>0</v>
      </c>
      <c r="G1238" s="18">
        <f>_xll.ciqfunctions.udf.CIQ($C$2,"IQ_INTEREST_PENALTIES_RECOG_BS_PRE_TAX",G$6,$F$2,,,Ccy,Conv)</f>
        <v>0</v>
      </c>
      <c r="H1238" s="18">
        <f>_xll.ciqfunctions.udf.CIQ($C$2,"IQ_INTEREST_PENALTIES_RECOG_BS_PRE_TAX",H$6,$F$2,,,Ccy,Conv)</f>
        <v>0</v>
      </c>
      <c r="I1238" s="18">
        <f>_xll.ciqfunctions.udf.CIQ($C$2,"IQ_INTEREST_PENALTIES_RECOG_BS_PRE_TAX",I$6,$F$2,,,Ccy,Conv)</f>
        <v>0</v>
      </c>
      <c r="J1238" s="18">
        <f>_xll.ciqfunctions.udf.CIQ($C$2,"IQ_INTEREST_PENALTIES_RECOG_BS_PRE_TAX",J$6,$F$2,,,Ccy,Conv)</f>
        <v>1560</v>
      </c>
      <c r="K1238" s="18">
        <f>_xll.ciqfunctions.udf.CIQ($C$2,"IQ_INTEREST_PENALTIES_RECOG_BS_PRE_TAX",K$6,$F$2,,,Ccy,Conv)</f>
        <v>0</v>
      </c>
      <c r="L1238" s="18">
        <f>_xll.ciqfunctions.udf.CIQ($C$2,"IQ_INTEREST_PENALTIES_RECOG_BS_PRE_TAX",L$6,$F$2,,,Ccy,Conv)</f>
        <v>0</v>
      </c>
      <c r="M1238" s="18">
        <f>_xll.ciqfunctions.udf.CIQ($C$2,"IQ_INTEREST_PENALTIES_RECOG_BS_PRE_TAX",M$6,$F$2,,,Ccy,Conv)</f>
        <v>0</v>
      </c>
      <c r="N1238" s="18">
        <f>_xll.ciqfunctions.udf.CIQ($C$2,"IQ_INTEREST_PENALTIES_RECOG_BS_PRE_TAX",N$6,$F$2,,,Ccy,Conv)</f>
        <v>1230</v>
      </c>
      <c r="O1238" s="3"/>
      <c r="P1238" s="18">
        <f>_xll.ciqfunctions.udf.CIQ($C$2,"IQ_INTEREST_PENALTIES_RECOG_BS_PRE_TAX",P$6,$F$2,,,Ccy,Conv)</f>
        <v>1230</v>
      </c>
      <c r="Q1238" s="215"/>
      <c r="R1238" s="215"/>
      <c r="S1238" s="215"/>
      <c r="T1238" s="215"/>
      <c r="U1238" s="215"/>
      <c r="V1238" s="222"/>
      <c r="W1238" s="222"/>
      <c r="X1238" s="222"/>
      <c r="Y1238" s="215"/>
      <c r="Z1238" s="215"/>
      <c r="AA1238" s="215"/>
      <c r="AB1238" s="215"/>
      <c r="AC1238" s="215"/>
      <c r="AD1238" s="215"/>
      <c r="AE1238" s="215"/>
      <c r="AF1238" s="215"/>
      <c r="AG1238" s="215"/>
      <c r="AH1238" s="215"/>
      <c r="AI1238" s="215"/>
      <c r="AJ1238" s="215"/>
      <c r="AK1238" s="215"/>
      <c r="AL1238" s="215"/>
      <c r="AM1238" s="215"/>
      <c r="AN1238" s="215"/>
      <c r="AO1238" s="215"/>
      <c r="AP1238" s="215"/>
      <c r="AQ1238" s="215"/>
      <c r="AR1238" s="215"/>
      <c r="AS1238" s="215"/>
      <c r="AT1238" s="215"/>
      <c r="AU1238" s="215"/>
      <c r="AV1238" s="215"/>
      <c r="AW1238" s="215"/>
      <c r="AX1238" s="215"/>
      <c r="AY1238" s="215"/>
      <c r="AZ1238" s="215"/>
      <c r="BA1238" s="215"/>
      <c r="BB1238" s="215"/>
      <c r="BC1238" s="215"/>
      <c r="BD1238" s="215"/>
      <c r="BE1238" s="215"/>
      <c r="BF1238" s="215"/>
      <c r="BG1238" s="215"/>
      <c r="BH1238" s="215"/>
      <c r="BI1238" s="215"/>
      <c r="BJ1238" s="215"/>
      <c r="BK1238" s="215"/>
      <c r="BL1238" s="215"/>
      <c r="BM1238" s="215"/>
      <c r="BN1238" s="215"/>
      <c r="BO1238" s="215"/>
      <c r="BP1238" s="215"/>
      <c r="BQ1238" s="215"/>
      <c r="BR1238" s="215"/>
      <c r="BS1238" s="215"/>
      <c r="BT1238" s="215"/>
      <c r="BU1238" s="215"/>
      <c r="BV1238" s="215"/>
      <c r="BW1238" s="215"/>
      <c r="BX1238" s="215"/>
      <c r="BY1238" s="215"/>
      <c r="BZ1238" s="215"/>
    </row>
    <row r="1239" spans="1:78" outlineLevel="1" x14ac:dyDescent="0.2">
      <c r="A1239" s="53" t="str">
        <f>'Language Index'!A710</f>
        <v>Interest and Penalties Recog. on BS - After Tax</v>
      </c>
      <c r="B1239" s="1"/>
      <c r="C1239" s="1"/>
      <c r="D1239" s="18">
        <f>_xll.ciqfunctions.udf.CIQ($C$2,"IQ_INTEREST_PENALTIES_RECOG_BS_AFTER_TAX",D$6,$F$2,,,Ccy,Conv)</f>
        <v>0</v>
      </c>
      <c r="E1239" s="18">
        <f>_xll.ciqfunctions.udf.CIQ($C$2,"IQ_INTEREST_PENALTIES_RECOG_BS_AFTER_TAX",E$6,$F$2,,,Ccy,Conv)</f>
        <v>0</v>
      </c>
      <c r="F1239" s="18">
        <f>_xll.ciqfunctions.udf.CIQ($C$2,"IQ_INTEREST_PENALTIES_RECOG_BS_AFTER_TAX",F$6,$F$2,,,Ccy,Conv)</f>
        <v>0</v>
      </c>
      <c r="G1239" s="18">
        <f>_xll.ciqfunctions.udf.CIQ($C$2,"IQ_INTEREST_PENALTIES_RECOG_BS_AFTER_TAX",G$6,$F$2,,,Ccy,Conv)</f>
        <v>0</v>
      </c>
      <c r="H1239" s="18">
        <f>_xll.ciqfunctions.udf.CIQ($C$2,"IQ_INTEREST_PENALTIES_RECOG_BS_AFTER_TAX",H$6,$F$2,,,Ccy,Conv)</f>
        <v>0</v>
      </c>
      <c r="I1239" s="18">
        <f>_xll.ciqfunctions.udf.CIQ($C$2,"IQ_INTEREST_PENALTIES_RECOG_BS_AFTER_TAX",I$6,$F$2,,,Ccy,Conv)</f>
        <v>0</v>
      </c>
      <c r="J1239" s="18">
        <f>_xll.ciqfunctions.udf.CIQ($C$2,"IQ_INTEREST_PENALTIES_RECOG_BS_AFTER_TAX",J$6,$F$2,,,Ccy,Conv)</f>
        <v>0</v>
      </c>
      <c r="K1239" s="18">
        <f>_xll.ciqfunctions.udf.CIQ($C$2,"IQ_INTEREST_PENALTIES_RECOG_BS_AFTER_TAX",K$6,$F$2,,,Ccy,Conv)</f>
        <v>0</v>
      </c>
      <c r="L1239" s="18">
        <f>_xll.ciqfunctions.udf.CIQ($C$2,"IQ_INTEREST_PENALTIES_RECOG_BS_AFTER_TAX",L$6,$F$2,,,Ccy,Conv)</f>
        <v>0</v>
      </c>
      <c r="M1239" s="18">
        <f>_xll.ciqfunctions.udf.CIQ($C$2,"IQ_INTEREST_PENALTIES_RECOG_BS_AFTER_TAX",M$6,$F$2,,,Ccy,Conv)</f>
        <v>0</v>
      </c>
      <c r="N1239" s="18">
        <f>_xll.ciqfunctions.udf.CIQ($C$2,"IQ_INTEREST_PENALTIES_RECOG_BS_AFTER_TAX",N$6,$F$2,,,Ccy,Conv)</f>
        <v>0</v>
      </c>
      <c r="O1239" s="3"/>
      <c r="P1239" s="18">
        <f>_xll.ciqfunctions.udf.CIQ($C$2,"IQ_INTEREST_PENALTIES_RECOG_BS_AFTER_TAX",P$6,$F$2,,,Ccy,Conv)</f>
        <v>0</v>
      </c>
      <c r="Q1239" s="215"/>
      <c r="R1239" s="215"/>
      <c r="S1239" s="215"/>
      <c r="T1239" s="215"/>
      <c r="U1239" s="215"/>
      <c r="V1239" s="222"/>
      <c r="W1239" s="222"/>
      <c r="X1239" s="222"/>
      <c r="Y1239" s="215"/>
      <c r="Z1239" s="215"/>
      <c r="AA1239" s="215"/>
      <c r="AB1239" s="215"/>
      <c r="AC1239" s="215"/>
      <c r="AD1239" s="215"/>
      <c r="AE1239" s="215"/>
      <c r="AF1239" s="215"/>
      <c r="AG1239" s="215"/>
      <c r="AH1239" s="215"/>
      <c r="AI1239" s="215"/>
      <c r="AJ1239" s="215"/>
      <c r="AK1239" s="215"/>
      <c r="AL1239" s="215"/>
      <c r="AM1239" s="215"/>
      <c r="AN1239" s="215"/>
      <c r="AO1239" s="215"/>
      <c r="AP1239" s="215"/>
      <c r="AQ1239" s="215"/>
      <c r="AR1239" s="215"/>
      <c r="AS1239" s="215"/>
      <c r="AT1239" s="215"/>
      <c r="AU1239" s="215"/>
      <c r="AV1239" s="215"/>
      <c r="AW1239" s="215"/>
      <c r="AX1239" s="215"/>
      <c r="AY1239" s="215"/>
      <c r="AZ1239" s="215"/>
      <c r="BA1239" s="215"/>
      <c r="BB1239" s="215"/>
      <c r="BC1239" s="215"/>
      <c r="BD1239" s="215"/>
      <c r="BE1239" s="215"/>
      <c r="BF1239" s="215"/>
      <c r="BG1239" s="215"/>
      <c r="BH1239" s="215"/>
      <c r="BI1239" s="215"/>
      <c r="BJ1239" s="215"/>
      <c r="BK1239" s="215"/>
      <c r="BL1239" s="215"/>
      <c r="BM1239" s="215"/>
      <c r="BN1239" s="215"/>
      <c r="BO1239" s="215"/>
      <c r="BP1239" s="215"/>
      <c r="BQ1239" s="215"/>
      <c r="BR1239" s="215"/>
      <c r="BS1239" s="215"/>
      <c r="BT1239" s="215"/>
      <c r="BU1239" s="215"/>
      <c r="BV1239" s="215"/>
      <c r="BW1239" s="215"/>
      <c r="BX1239" s="215"/>
      <c r="BY1239" s="215"/>
      <c r="BZ1239" s="215"/>
    </row>
    <row r="1240" spans="1:78" outlineLevel="1" x14ac:dyDescent="0.2">
      <c r="A1240" s="53"/>
      <c r="B1240" s="1"/>
      <c r="C1240" s="1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3"/>
      <c r="P1240" s="18"/>
      <c r="Q1240" s="215"/>
      <c r="R1240" s="215"/>
      <c r="S1240" s="215"/>
      <c r="T1240" s="215"/>
      <c r="U1240" s="215"/>
      <c r="V1240" s="222"/>
      <c r="W1240" s="222"/>
      <c r="X1240" s="222"/>
      <c r="Y1240" s="215"/>
      <c r="Z1240" s="215"/>
      <c r="AA1240" s="215"/>
      <c r="AB1240" s="215"/>
      <c r="AC1240" s="215"/>
      <c r="AD1240" s="215"/>
      <c r="AE1240" s="215"/>
      <c r="AF1240" s="215"/>
      <c r="AG1240" s="215"/>
      <c r="AH1240" s="215"/>
      <c r="AI1240" s="215"/>
      <c r="AJ1240" s="215"/>
      <c r="AK1240" s="215"/>
      <c r="AL1240" s="215"/>
      <c r="AM1240" s="215"/>
      <c r="AN1240" s="215"/>
      <c r="AO1240" s="215"/>
      <c r="AP1240" s="215"/>
      <c r="AQ1240" s="215"/>
      <c r="AR1240" s="215"/>
      <c r="AS1240" s="215"/>
      <c r="AT1240" s="215"/>
      <c r="AU1240" s="215"/>
      <c r="AV1240" s="215"/>
      <c r="AW1240" s="215"/>
      <c r="AX1240" s="215"/>
      <c r="AY1240" s="215"/>
      <c r="AZ1240" s="215"/>
      <c r="BA1240" s="215"/>
      <c r="BB1240" s="215"/>
      <c r="BC1240" s="215"/>
      <c r="BD1240" s="215"/>
      <c r="BE1240" s="215"/>
      <c r="BF1240" s="215"/>
      <c r="BG1240" s="215"/>
      <c r="BH1240" s="215"/>
      <c r="BI1240" s="215"/>
      <c r="BJ1240" s="215"/>
      <c r="BK1240" s="215"/>
      <c r="BL1240" s="215"/>
      <c r="BM1240" s="215"/>
      <c r="BN1240" s="215"/>
      <c r="BO1240" s="215"/>
      <c r="BP1240" s="215"/>
      <c r="BQ1240" s="215"/>
      <c r="BR1240" s="215"/>
      <c r="BS1240" s="215"/>
      <c r="BT1240" s="215"/>
      <c r="BU1240" s="215"/>
      <c r="BV1240" s="215"/>
      <c r="BW1240" s="215"/>
      <c r="BX1240" s="215"/>
      <c r="BY1240" s="215"/>
      <c r="BZ1240" s="215"/>
    </row>
    <row r="1241" spans="1:78" outlineLevel="1" x14ac:dyDescent="0.2">
      <c r="A1241" s="53" t="str">
        <f>'Language Index'!A711</f>
        <v>Changes in Unrecog. Tax Benefit within a Year of the Rep. Date - Min</v>
      </c>
      <c r="B1241" s="1"/>
      <c r="C1241" s="1"/>
      <c r="D1241" s="18">
        <f>_xll.ciqfunctions.udf.CIQ($C$2,"IQ_CHANGE_UNRECOG_TAX_BENEFIT_1_YR_MIN",D$6,$F$2,,,Ccy,Conv)</f>
        <v>0</v>
      </c>
      <c r="E1241" s="18">
        <f>_xll.ciqfunctions.udf.CIQ($C$2,"IQ_CHANGE_UNRECOG_TAX_BENEFIT_1_YR_MIN",E$6,$F$2,,,Ccy,Conv)</f>
        <v>0</v>
      </c>
      <c r="F1241" s="18">
        <f>_xll.ciqfunctions.udf.CIQ($C$2,"IQ_CHANGE_UNRECOG_TAX_BENEFIT_1_YR_MIN",F$6,$F$2,,,Ccy,Conv)</f>
        <v>0</v>
      </c>
      <c r="G1241" s="18">
        <f>_xll.ciqfunctions.udf.CIQ($C$2,"IQ_CHANGE_UNRECOG_TAX_BENEFIT_1_YR_MIN",G$6,$F$2,,,Ccy,Conv)</f>
        <v>0</v>
      </c>
      <c r="H1241" s="18">
        <f>_xll.ciqfunctions.udf.CIQ($C$2,"IQ_CHANGE_UNRECOG_TAX_BENEFIT_1_YR_MIN",H$6,$F$2,,,Ccy,Conv)</f>
        <v>0</v>
      </c>
      <c r="I1241" s="18">
        <f>_xll.ciqfunctions.udf.CIQ($C$2,"IQ_CHANGE_UNRECOG_TAX_BENEFIT_1_YR_MIN",I$6,$F$2,,,Ccy,Conv)</f>
        <v>0</v>
      </c>
      <c r="J1241" s="18">
        <f>_xll.ciqfunctions.udf.CIQ($C$2,"IQ_CHANGE_UNRECOG_TAX_BENEFIT_1_YR_MIN",J$6,$F$2,,,Ccy,Conv)</f>
        <v>0</v>
      </c>
      <c r="K1241" s="18">
        <f>_xll.ciqfunctions.udf.CIQ($C$2,"IQ_CHANGE_UNRECOG_TAX_BENEFIT_1_YR_MIN",K$6,$F$2,,,Ccy,Conv)</f>
        <v>0</v>
      </c>
      <c r="L1241" s="18">
        <f>_xll.ciqfunctions.udf.CIQ($C$2,"IQ_CHANGE_UNRECOG_TAX_BENEFIT_1_YR_MIN",L$6,$F$2,,,Ccy,Conv)</f>
        <v>0</v>
      </c>
      <c r="M1241" s="18">
        <f>_xll.ciqfunctions.udf.CIQ($C$2,"IQ_CHANGE_UNRECOG_TAX_BENEFIT_1_YR_MIN",M$6,$F$2,,,Ccy,Conv)</f>
        <v>0</v>
      </c>
      <c r="N1241" s="18">
        <f>_xll.ciqfunctions.udf.CIQ($C$2,"IQ_CHANGE_UNRECOG_TAX_BENEFIT_1_YR_MIN",N$6,$F$2,,,Ccy,Conv)</f>
        <v>0</v>
      </c>
      <c r="O1241" s="3"/>
      <c r="P1241" s="18">
        <f>_xll.ciqfunctions.udf.CIQ($C$2,"IQ_CHANGE_UNRECOG_TAX_BENEFIT_1_YR_MIN",P$6,$F$2,,,Ccy,Conv)</f>
        <v>0</v>
      </c>
      <c r="Q1241" s="215"/>
      <c r="R1241" s="215"/>
      <c r="S1241" s="215"/>
      <c r="T1241" s="215"/>
      <c r="U1241" s="215"/>
      <c r="V1241" s="222"/>
      <c r="W1241" s="222"/>
      <c r="X1241" s="222"/>
      <c r="Y1241" s="215"/>
      <c r="Z1241" s="215"/>
      <c r="AA1241" s="215"/>
      <c r="AB1241" s="215"/>
      <c r="AC1241" s="215"/>
      <c r="AD1241" s="215"/>
      <c r="AE1241" s="215"/>
      <c r="AF1241" s="215"/>
      <c r="AG1241" s="215"/>
      <c r="AH1241" s="215"/>
      <c r="AI1241" s="215"/>
      <c r="AJ1241" s="215"/>
      <c r="AK1241" s="215"/>
      <c r="AL1241" s="215"/>
      <c r="AM1241" s="215"/>
      <c r="AN1241" s="215"/>
      <c r="AO1241" s="215"/>
      <c r="AP1241" s="215"/>
      <c r="AQ1241" s="215"/>
      <c r="AR1241" s="215"/>
      <c r="AS1241" s="215"/>
      <c r="AT1241" s="215"/>
      <c r="AU1241" s="215"/>
      <c r="AV1241" s="215"/>
      <c r="AW1241" s="215"/>
      <c r="AX1241" s="215"/>
      <c r="AY1241" s="215"/>
      <c r="AZ1241" s="215"/>
      <c r="BA1241" s="215"/>
      <c r="BB1241" s="215"/>
      <c r="BC1241" s="215"/>
      <c r="BD1241" s="215"/>
      <c r="BE1241" s="215"/>
      <c r="BF1241" s="215"/>
      <c r="BG1241" s="215"/>
      <c r="BH1241" s="215"/>
      <c r="BI1241" s="215"/>
      <c r="BJ1241" s="215"/>
      <c r="BK1241" s="215"/>
      <c r="BL1241" s="215"/>
      <c r="BM1241" s="215"/>
      <c r="BN1241" s="215"/>
      <c r="BO1241" s="215"/>
      <c r="BP1241" s="215"/>
      <c r="BQ1241" s="215"/>
      <c r="BR1241" s="215"/>
      <c r="BS1241" s="215"/>
      <c r="BT1241" s="215"/>
      <c r="BU1241" s="215"/>
      <c r="BV1241" s="215"/>
      <c r="BW1241" s="215"/>
      <c r="BX1241" s="215"/>
      <c r="BY1241" s="215"/>
      <c r="BZ1241" s="215"/>
    </row>
    <row r="1242" spans="1:78" outlineLevel="1" x14ac:dyDescent="0.2">
      <c r="A1242" s="53" t="str">
        <f>'Language Index'!A712</f>
        <v>Changes in Unrecog. Tax Benefit within a Year of the Rep. Date - Max</v>
      </c>
      <c r="B1242" s="1"/>
      <c r="C1242" s="1"/>
      <c r="D1242" s="18">
        <f>_xll.ciqfunctions.udf.CIQ($C$2,"IQ_CHANGE_UNRECOG_TAX_BENEFIT_1_YR_MAX",D$6,$F$2,,,Ccy,Conv)</f>
        <v>0</v>
      </c>
      <c r="E1242" s="18">
        <f>_xll.ciqfunctions.udf.CIQ($C$2,"IQ_CHANGE_UNRECOG_TAX_BENEFIT_1_YR_MAX",E$6,$F$2,,,Ccy,Conv)</f>
        <v>0</v>
      </c>
      <c r="F1242" s="18">
        <f>_xll.ciqfunctions.udf.CIQ($C$2,"IQ_CHANGE_UNRECOG_TAX_BENEFIT_1_YR_MAX",F$6,$F$2,,,Ccy,Conv)</f>
        <v>0</v>
      </c>
      <c r="G1242" s="18">
        <f>_xll.ciqfunctions.udf.CIQ($C$2,"IQ_CHANGE_UNRECOG_TAX_BENEFIT_1_YR_MAX",G$6,$F$2,,,Ccy,Conv)</f>
        <v>0</v>
      </c>
      <c r="H1242" s="18">
        <f>_xll.ciqfunctions.udf.CIQ($C$2,"IQ_CHANGE_UNRECOG_TAX_BENEFIT_1_YR_MAX",H$6,$F$2,,,Ccy,Conv)</f>
        <v>0</v>
      </c>
      <c r="I1242" s="18">
        <f>_xll.ciqfunctions.udf.CIQ($C$2,"IQ_CHANGE_UNRECOG_TAX_BENEFIT_1_YR_MAX",I$6,$F$2,,,Ccy,Conv)</f>
        <v>0</v>
      </c>
      <c r="J1242" s="18">
        <f>_xll.ciqfunctions.udf.CIQ($C$2,"IQ_CHANGE_UNRECOG_TAX_BENEFIT_1_YR_MAX",J$6,$F$2,,,Ccy,Conv)</f>
        <v>0</v>
      </c>
      <c r="K1242" s="18">
        <f>_xll.ciqfunctions.udf.CIQ($C$2,"IQ_CHANGE_UNRECOG_TAX_BENEFIT_1_YR_MAX",K$6,$F$2,,,Ccy,Conv)</f>
        <v>0</v>
      </c>
      <c r="L1242" s="18">
        <f>_xll.ciqfunctions.udf.CIQ($C$2,"IQ_CHANGE_UNRECOG_TAX_BENEFIT_1_YR_MAX",L$6,$F$2,,,Ccy,Conv)</f>
        <v>0</v>
      </c>
      <c r="M1242" s="18">
        <f>_xll.ciqfunctions.udf.CIQ($C$2,"IQ_CHANGE_UNRECOG_TAX_BENEFIT_1_YR_MAX",M$6,$F$2,,,Ccy,Conv)</f>
        <v>0</v>
      </c>
      <c r="N1242" s="18">
        <f>_xll.ciqfunctions.udf.CIQ($C$2,"IQ_CHANGE_UNRECOG_TAX_BENEFIT_1_YR_MAX",N$6,$F$2,,,Ccy,Conv)</f>
        <v>0</v>
      </c>
      <c r="O1242" s="3"/>
      <c r="P1242" s="18">
        <f>_xll.ciqfunctions.udf.CIQ($C$2,"IQ_CHANGE_UNRECOG_TAX_BENEFIT_1_YR_MAX",P$6,$F$2,,,Ccy,Conv)</f>
        <v>0</v>
      </c>
      <c r="Q1242" s="215"/>
      <c r="R1242" s="215"/>
      <c r="S1242" s="215"/>
      <c r="T1242" s="215"/>
      <c r="U1242" s="215"/>
      <c r="V1242" s="222"/>
      <c r="W1242" s="222"/>
      <c r="X1242" s="222"/>
      <c r="Y1242" s="215"/>
      <c r="Z1242" s="215"/>
      <c r="AA1242" s="215"/>
      <c r="AB1242" s="215"/>
      <c r="AC1242" s="215"/>
      <c r="AD1242" s="215"/>
      <c r="AE1242" s="215"/>
      <c r="AF1242" s="215"/>
      <c r="AG1242" s="215"/>
      <c r="AH1242" s="215"/>
      <c r="AI1242" s="215"/>
      <c r="AJ1242" s="215"/>
      <c r="AK1242" s="215"/>
      <c r="AL1242" s="215"/>
      <c r="AM1242" s="215"/>
      <c r="AN1242" s="215"/>
      <c r="AO1242" s="215"/>
      <c r="AP1242" s="215"/>
      <c r="AQ1242" s="215"/>
      <c r="AR1242" s="215"/>
      <c r="AS1242" s="215"/>
      <c r="AT1242" s="215"/>
      <c r="AU1242" s="215"/>
      <c r="AV1242" s="215"/>
      <c r="AW1242" s="215"/>
      <c r="AX1242" s="215"/>
      <c r="AY1242" s="215"/>
      <c r="AZ1242" s="215"/>
      <c r="BA1242" s="215"/>
      <c r="BB1242" s="215"/>
      <c r="BC1242" s="215"/>
      <c r="BD1242" s="215"/>
      <c r="BE1242" s="215"/>
      <c r="BF1242" s="215"/>
      <c r="BG1242" s="215"/>
      <c r="BH1242" s="215"/>
      <c r="BI1242" s="215"/>
      <c r="BJ1242" s="215"/>
      <c r="BK1242" s="215"/>
      <c r="BL1242" s="215"/>
      <c r="BM1242" s="215"/>
      <c r="BN1242" s="215"/>
      <c r="BO1242" s="215"/>
      <c r="BP1242" s="215"/>
      <c r="BQ1242" s="215"/>
      <c r="BR1242" s="215"/>
      <c r="BS1242" s="215"/>
      <c r="BT1242" s="215"/>
      <c r="BU1242" s="215"/>
      <c r="BV1242" s="215"/>
      <c r="BW1242" s="215"/>
      <c r="BX1242" s="215"/>
      <c r="BY1242" s="215"/>
      <c r="BZ1242" s="215"/>
    </row>
    <row r="1243" spans="1:78" outlineLevel="1" x14ac:dyDescent="0.2">
      <c r="A1243" s="53" t="str">
        <f>'Language Index'!A713</f>
        <v>Impact of Unrecog. Tax Benefit on the Effective Tax Rate</v>
      </c>
      <c r="B1243" s="1"/>
      <c r="C1243" s="1"/>
      <c r="D1243" s="18">
        <f>_xll.ciqfunctions.udf.CIQ($C$2,"IQ_IMPACT_UNRECOG_TAX_BENEFIT_EFFECTIVE_TAX",D$6,$F$2,,,Ccy,Conv)</f>
        <v>0</v>
      </c>
      <c r="E1243" s="18">
        <f>_xll.ciqfunctions.udf.CIQ($C$2,"IQ_IMPACT_UNRECOG_TAX_BENEFIT_EFFECTIVE_TAX",E$6,$F$2,,,Ccy,Conv)</f>
        <v>0</v>
      </c>
      <c r="F1243" s="18">
        <f>_xll.ciqfunctions.udf.CIQ($C$2,"IQ_IMPACT_UNRECOG_TAX_BENEFIT_EFFECTIVE_TAX",F$6,$F$2,,,Ccy,Conv)</f>
        <v>0</v>
      </c>
      <c r="G1243" s="18">
        <f>_xll.ciqfunctions.udf.CIQ($C$2,"IQ_IMPACT_UNRECOG_TAX_BENEFIT_EFFECTIVE_TAX",G$6,$F$2,,,Ccy,Conv)</f>
        <v>0</v>
      </c>
      <c r="H1243" s="18">
        <f>_xll.ciqfunctions.udf.CIQ($C$2,"IQ_IMPACT_UNRECOG_TAX_BENEFIT_EFFECTIVE_TAX",H$6,$F$2,,,Ccy,Conv)</f>
        <v>0</v>
      </c>
      <c r="I1243" s="18">
        <f>_xll.ciqfunctions.udf.CIQ($C$2,"IQ_IMPACT_UNRECOG_TAX_BENEFIT_EFFECTIVE_TAX",I$6,$F$2,,,Ccy,Conv)</f>
        <v>0</v>
      </c>
      <c r="J1243" s="18">
        <f>_xll.ciqfunctions.udf.CIQ($C$2,"IQ_IMPACT_UNRECOG_TAX_BENEFIT_EFFECTIVE_TAX",J$6,$F$2,,,Ccy,Conv)</f>
        <v>0</v>
      </c>
      <c r="K1243" s="18">
        <f>_xll.ciqfunctions.udf.CIQ($C$2,"IQ_IMPACT_UNRECOG_TAX_BENEFIT_EFFECTIVE_TAX",K$6,$F$2,,,Ccy,Conv)</f>
        <v>0</v>
      </c>
      <c r="L1243" s="18">
        <f>_xll.ciqfunctions.udf.CIQ($C$2,"IQ_IMPACT_UNRECOG_TAX_BENEFIT_EFFECTIVE_TAX",L$6,$F$2,,,Ccy,Conv)</f>
        <v>0</v>
      </c>
      <c r="M1243" s="18">
        <f>_xll.ciqfunctions.udf.CIQ($C$2,"IQ_IMPACT_UNRECOG_TAX_BENEFIT_EFFECTIVE_TAX",M$6,$F$2,,,Ccy,Conv)</f>
        <v>0</v>
      </c>
      <c r="N1243" s="18">
        <f>_xll.ciqfunctions.udf.CIQ($C$2,"IQ_IMPACT_UNRECOG_TAX_BENEFIT_EFFECTIVE_TAX",N$6,$F$2,,,Ccy,Conv)</f>
        <v>5946</v>
      </c>
      <c r="O1243" s="3"/>
      <c r="P1243" s="18">
        <f>_xll.ciqfunctions.udf.CIQ($C$2,"IQ_IMPACT_UNRECOG_TAX_BENEFIT_EFFECTIVE_TAX",P$6,$F$2,,,Ccy,Conv)</f>
        <v>5946</v>
      </c>
      <c r="Q1243" s="215"/>
      <c r="R1243" s="215"/>
      <c r="S1243" s="215"/>
      <c r="T1243" s="215"/>
      <c r="U1243" s="215"/>
      <c r="V1243" s="222"/>
      <c r="W1243" s="222"/>
      <c r="X1243" s="222"/>
      <c r="Y1243" s="215"/>
      <c r="Z1243" s="215"/>
      <c r="AA1243" s="215"/>
      <c r="AB1243" s="215"/>
      <c r="AC1243" s="215"/>
      <c r="AD1243" s="215"/>
      <c r="AE1243" s="215"/>
      <c r="AF1243" s="215"/>
      <c r="AG1243" s="215"/>
      <c r="AH1243" s="215"/>
      <c r="AI1243" s="215"/>
      <c r="AJ1243" s="215"/>
      <c r="AK1243" s="215"/>
      <c r="AL1243" s="215"/>
      <c r="AM1243" s="215"/>
      <c r="AN1243" s="215"/>
      <c r="AO1243" s="215"/>
      <c r="AP1243" s="215"/>
      <c r="AQ1243" s="215"/>
      <c r="AR1243" s="215"/>
      <c r="AS1243" s="215"/>
      <c r="AT1243" s="215"/>
      <c r="AU1243" s="215"/>
      <c r="AV1243" s="215"/>
      <c r="AW1243" s="215"/>
      <c r="AX1243" s="215"/>
      <c r="AY1243" s="215"/>
      <c r="AZ1243" s="215"/>
      <c r="BA1243" s="215"/>
      <c r="BB1243" s="215"/>
      <c r="BC1243" s="215"/>
      <c r="BD1243" s="215"/>
      <c r="BE1243" s="215"/>
      <c r="BF1243" s="215"/>
      <c r="BG1243" s="215"/>
      <c r="BH1243" s="215"/>
      <c r="BI1243" s="215"/>
      <c r="BJ1243" s="215"/>
      <c r="BK1243" s="215"/>
      <c r="BL1243" s="215"/>
      <c r="BM1243" s="215"/>
      <c r="BN1243" s="215"/>
      <c r="BO1243" s="215"/>
      <c r="BP1243" s="215"/>
      <c r="BQ1243" s="215"/>
      <c r="BR1243" s="215"/>
      <c r="BS1243" s="215"/>
      <c r="BT1243" s="215"/>
      <c r="BU1243" s="215"/>
      <c r="BV1243" s="215"/>
      <c r="BW1243" s="215"/>
      <c r="BX1243" s="215"/>
      <c r="BY1243" s="215"/>
      <c r="BZ1243" s="215"/>
    </row>
    <row r="1244" spans="1:78" x14ac:dyDescent="0.2">
      <c r="A1244" s="32"/>
      <c r="B1244" s="17"/>
      <c r="C1244" s="17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30"/>
      <c r="P1244" s="18"/>
      <c r="Q1244" s="215"/>
      <c r="R1244" s="215"/>
      <c r="S1244" s="215"/>
      <c r="T1244" s="215"/>
      <c r="U1244" s="215"/>
      <c r="V1244" s="222"/>
      <c r="W1244" s="222"/>
      <c r="X1244" s="222"/>
      <c r="Y1244" s="215"/>
      <c r="Z1244" s="215"/>
      <c r="AA1244" s="215"/>
      <c r="AB1244" s="215"/>
      <c r="AC1244" s="215"/>
      <c r="AD1244" s="215"/>
      <c r="AE1244" s="215"/>
      <c r="AF1244" s="215"/>
      <c r="AG1244" s="215"/>
      <c r="AH1244" s="215"/>
      <c r="AI1244" s="215"/>
      <c r="AJ1244" s="215"/>
      <c r="AK1244" s="215"/>
      <c r="AL1244" s="215"/>
      <c r="AM1244" s="215"/>
      <c r="AN1244" s="215"/>
      <c r="AO1244" s="215"/>
      <c r="AP1244" s="215"/>
      <c r="AQ1244" s="215"/>
      <c r="AR1244" s="215"/>
      <c r="AS1244" s="215"/>
      <c r="AT1244" s="215"/>
      <c r="AU1244" s="215"/>
      <c r="AV1244" s="215"/>
      <c r="AW1244" s="215"/>
      <c r="AX1244" s="215"/>
      <c r="AY1244" s="215"/>
      <c r="AZ1244" s="215"/>
      <c r="BA1244" s="215"/>
      <c r="BB1244" s="215"/>
      <c r="BC1244" s="215"/>
      <c r="BD1244" s="215"/>
      <c r="BE1244" s="215"/>
      <c r="BF1244" s="215"/>
      <c r="BG1244" s="215"/>
      <c r="BH1244" s="215"/>
      <c r="BI1244" s="215"/>
      <c r="BJ1244" s="215"/>
      <c r="BK1244" s="215"/>
      <c r="BL1244" s="215"/>
      <c r="BM1244" s="215"/>
      <c r="BN1244" s="215"/>
      <c r="BO1244" s="215"/>
      <c r="BP1244" s="215"/>
      <c r="BQ1244" s="215"/>
      <c r="BR1244" s="215"/>
      <c r="BS1244" s="215"/>
      <c r="BT1244" s="215"/>
      <c r="BU1244" s="215"/>
      <c r="BV1244" s="215"/>
      <c r="BW1244" s="215"/>
      <c r="BX1244" s="215"/>
      <c r="BY1244" s="215"/>
      <c r="BZ1244" s="215"/>
    </row>
    <row r="1245" spans="1:78" x14ac:dyDescent="0.2">
      <c r="A1245" s="1"/>
      <c r="B1245" s="1"/>
      <c r="C1245" s="1"/>
      <c r="D1245" s="52">
        <f>_xll.ciqfunctions.udf.CIQ($C$2, "IQ_PERIODDATE",D$6-1,$F$2)</f>
        <v>45016</v>
      </c>
      <c r="E1245" s="52">
        <f>_xll.ciqfunctions.udf.CIQ($C$2, "IQ_PERIODDATE",E$6-1,$F$2)</f>
        <v>45107</v>
      </c>
      <c r="F1245" s="52">
        <f>_xll.ciqfunctions.udf.CIQ($C$2, "IQ_PERIODDATE",F$6-1,$F$2)</f>
        <v>45199</v>
      </c>
      <c r="G1245" s="52">
        <f>_xll.ciqfunctions.udf.CIQ($C$2, "IQ_PERIODDATE",G$6-1,$F$2)</f>
        <v>45291</v>
      </c>
      <c r="H1245" s="52">
        <f>_xll.ciqfunctions.udf.CIQ($C$2, "IQ_PERIODDATE",H$6-1,$F$2)</f>
        <v>45382</v>
      </c>
      <c r="I1245" s="52">
        <f>_xll.ciqfunctions.udf.CIQ($C$2, "IQ_PERIODDATE",I$6-1,$F$2)</f>
        <v>45473</v>
      </c>
      <c r="J1245" s="52">
        <f>_xll.ciqfunctions.udf.CIQ($C$2, "IQ_PERIODDATE",J$6-1,$F$2)</f>
        <v>45565</v>
      </c>
      <c r="K1245" s="52">
        <f>_xll.ciqfunctions.udf.CIQ($C$2, "IQ_PERIODDATE",K$6-1,$F$2)</f>
        <v>45657</v>
      </c>
      <c r="L1245" s="52">
        <f>_xll.ciqfunctions.udf.CIQ($C$2, "IQ_PERIODDATE",L$6-1,$F$2)</f>
        <v>45747</v>
      </c>
      <c r="M1245" s="52">
        <f>_xll.ciqfunctions.udf.CIQ($C$2, "IQ_PERIODDATE",M$6-1,$F$2)</f>
        <v>45838</v>
      </c>
      <c r="N1245" s="52">
        <f>_xll.ciqfunctions.udf.CIQ($C$2, "IQ_PERIODDATE",N$6-1,$F$2)</f>
        <v>45930</v>
      </c>
      <c r="O1245" s="3"/>
      <c r="P1245" s="52">
        <f>_xll.ciqfunctions.udf.CIQ($C$2, "IQ_PERIODDATE",P$6-4,$F$2)</f>
        <v>45657</v>
      </c>
      <c r="Q1245" s="215"/>
      <c r="R1245" s="215"/>
      <c r="S1245" s="215"/>
      <c r="T1245" s="215"/>
      <c r="U1245" s="215"/>
      <c r="V1245" s="222"/>
      <c r="W1245" s="222"/>
      <c r="X1245" s="222"/>
      <c r="Y1245" s="215"/>
      <c r="Z1245" s="215"/>
      <c r="AA1245" s="215"/>
      <c r="AB1245" s="215"/>
      <c r="AC1245" s="215"/>
      <c r="AD1245" s="215"/>
      <c r="AE1245" s="215"/>
      <c r="AF1245" s="215"/>
      <c r="AG1245" s="215"/>
      <c r="AH1245" s="215"/>
      <c r="AI1245" s="215"/>
      <c r="AJ1245" s="215"/>
      <c r="AK1245" s="215"/>
      <c r="AL1245" s="215"/>
      <c r="AM1245" s="215"/>
      <c r="AN1245" s="215"/>
      <c r="AO1245" s="215"/>
      <c r="AP1245" s="215"/>
      <c r="AQ1245" s="215"/>
      <c r="AR1245" s="215"/>
      <c r="AS1245" s="215"/>
      <c r="AT1245" s="215"/>
      <c r="AU1245" s="215"/>
      <c r="AV1245" s="215"/>
      <c r="AW1245" s="215"/>
      <c r="AX1245" s="215"/>
      <c r="AY1245" s="215"/>
      <c r="AZ1245" s="215"/>
      <c r="BA1245" s="215"/>
      <c r="BB1245" s="215"/>
      <c r="BC1245" s="215"/>
      <c r="BD1245" s="215"/>
      <c r="BE1245" s="215"/>
      <c r="BF1245" s="215"/>
      <c r="BG1245" s="215"/>
      <c r="BH1245" s="215"/>
      <c r="BI1245" s="215"/>
      <c r="BJ1245" s="215"/>
      <c r="BK1245" s="215"/>
      <c r="BL1245" s="215"/>
      <c r="BM1245" s="215"/>
      <c r="BN1245" s="215"/>
      <c r="BO1245" s="215"/>
      <c r="BP1245" s="215"/>
      <c r="BQ1245" s="215"/>
      <c r="BR1245" s="215"/>
      <c r="BS1245" s="215"/>
      <c r="BT1245" s="215"/>
      <c r="BU1245" s="215"/>
      <c r="BV1245" s="215"/>
      <c r="BW1245" s="215"/>
      <c r="BX1245" s="215"/>
      <c r="BY1245" s="215"/>
      <c r="BZ1245" s="215"/>
    </row>
    <row r="1246" spans="1:78" x14ac:dyDescent="0.2">
      <c r="A1246" s="6" t="str">
        <f>'Language Index'!A714</f>
        <v>RATIOS</v>
      </c>
      <c r="B1246" s="1"/>
      <c r="C1246" s="54"/>
      <c r="D1246" s="14" t="str">
        <f>$T$2&amp; " "&amp;'Language Index'!A31&amp;","</f>
        <v>Last Twelve Months Ended,</v>
      </c>
      <c r="E1246" s="14"/>
      <c r="F1246" s="15"/>
      <c r="G1246" s="15"/>
      <c r="H1246" s="15"/>
      <c r="I1246" s="15"/>
      <c r="J1246" s="15"/>
      <c r="K1246" s="15"/>
      <c r="L1246" s="15"/>
      <c r="M1246" s="15"/>
      <c r="N1246" s="15"/>
      <c r="O1246" s="4"/>
      <c r="P1246" s="14" t="str">
        <f>'Language Index'!A14</f>
        <v>LTM</v>
      </c>
      <c r="Q1246" s="238"/>
      <c r="R1246" s="215"/>
      <c r="S1246" s="215"/>
      <c r="T1246" s="215"/>
      <c r="U1246" s="215"/>
      <c r="V1246" s="222"/>
      <c r="W1246" s="222"/>
      <c r="X1246" s="222"/>
      <c r="Y1246" s="215"/>
      <c r="Z1246" s="215"/>
      <c r="AA1246" s="215"/>
      <c r="AB1246" s="215"/>
      <c r="AC1246" s="215"/>
      <c r="AD1246" s="215"/>
      <c r="AE1246" s="215"/>
      <c r="AF1246" s="215"/>
      <c r="AG1246" s="215"/>
      <c r="AH1246" s="215"/>
      <c r="AI1246" s="215"/>
      <c r="AJ1246" s="215"/>
      <c r="AK1246" s="215"/>
      <c r="AL1246" s="215"/>
      <c r="AM1246" s="215"/>
      <c r="AN1246" s="215"/>
      <c r="AO1246" s="215"/>
      <c r="AP1246" s="215"/>
      <c r="AQ1246" s="215"/>
      <c r="AR1246" s="215"/>
      <c r="AS1246" s="215"/>
      <c r="AT1246" s="215"/>
      <c r="AU1246" s="215"/>
      <c r="AV1246" s="215"/>
      <c r="AW1246" s="215"/>
      <c r="AX1246" s="215"/>
      <c r="AY1246" s="215"/>
      <c r="AZ1246" s="215"/>
      <c r="BA1246" s="215"/>
      <c r="BB1246" s="215"/>
      <c r="BC1246" s="215"/>
      <c r="BD1246" s="215"/>
      <c r="BE1246" s="215"/>
      <c r="BF1246" s="215"/>
      <c r="BG1246" s="215"/>
      <c r="BH1246" s="215"/>
      <c r="BI1246" s="215"/>
      <c r="BJ1246" s="215"/>
      <c r="BK1246" s="215"/>
      <c r="BL1246" s="215"/>
      <c r="BM1246" s="215"/>
      <c r="BN1246" s="215"/>
      <c r="BO1246" s="215"/>
      <c r="BP1246" s="215"/>
      <c r="BQ1246" s="215"/>
      <c r="BR1246" s="215"/>
      <c r="BS1246" s="215"/>
      <c r="BT1246" s="215"/>
      <c r="BU1246" s="215"/>
      <c r="BV1246" s="215"/>
      <c r="BW1246" s="215"/>
      <c r="BX1246" s="215"/>
      <c r="BY1246" s="215"/>
      <c r="BZ1246" s="215"/>
    </row>
    <row r="1247" spans="1:78" x14ac:dyDescent="0.2">
      <c r="A1247" s="2"/>
      <c r="B1247" s="2"/>
      <c r="C1247" s="19"/>
      <c r="D1247" s="64">
        <f>_xll.ciqfunctions.udf.CIQ($C$2, "IQ_PERIODDATE", D$6,$F$2)</f>
        <v>45107</v>
      </c>
      <c r="E1247" s="64">
        <f>_xll.ciqfunctions.udf.CIQ($C$2, "IQ_PERIODDATE", E$6,$F$2)</f>
        <v>45199</v>
      </c>
      <c r="F1247" s="64">
        <f>_xll.ciqfunctions.udf.CIQ($C$2, "IQ_PERIODDATE", F$6,$F$2)</f>
        <v>45291</v>
      </c>
      <c r="G1247" s="64">
        <f>_xll.ciqfunctions.udf.CIQ($C$2, "IQ_PERIODDATE", G$6,$F$2)</f>
        <v>45382</v>
      </c>
      <c r="H1247" s="64">
        <f>_xll.ciqfunctions.udf.CIQ($C$2, "IQ_PERIODDATE", H$6,$F$2)</f>
        <v>45473</v>
      </c>
      <c r="I1247" s="64">
        <f>_xll.ciqfunctions.udf.CIQ($C$2, "IQ_PERIODDATE", I$6,$F$2)</f>
        <v>45565</v>
      </c>
      <c r="J1247" s="64">
        <f>_xll.ciqfunctions.udf.CIQ($C$2, "IQ_PERIODDATE", J$6,$F$2)</f>
        <v>45657</v>
      </c>
      <c r="K1247" s="64">
        <f>_xll.ciqfunctions.udf.CIQ($C$2, "IQ_PERIODDATE", K$6,$F$2)</f>
        <v>45747</v>
      </c>
      <c r="L1247" s="64">
        <f>_xll.ciqfunctions.udf.CIQ($C$2, "IQ_PERIODDATE", L$6,$F$2)</f>
        <v>45838</v>
      </c>
      <c r="M1247" s="64">
        <f>_xll.ciqfunctions.udf.CIQ($C$2, "IQ_PERIODDATE", M$6,$F$2)</f>
        <v>45930</v>
      </c>
      <c r="N1247" s="64">
        <f>_xll.ciqfunctions.udf.CIQ($C$2, "IQ_PERIODDATE", N$6,$F$2)</f>
        <v>46022</v>
      </c>
      <c r="O1247" s="65"/>
      <c r="P1247" s="64">
        <f>_xll.ciqfunctions.udf.CIQ($C$2, "IQ_PERIODDATE", P$6,$F$2)</f>
        <v>46022</v>
      </c>
      <c r="Q1247" s="238"/>
      <c r="R1247" s="215"/>
      <c r="S1247" s="215"/>
      <c r="T1247" s="215"/>
      <c r="U1247" s="215"/>
      <c r="V1247" s="222"/>
      <c r="W1247" s="222"/>
      <c r="X1247" s="222"/>
      <c r="Y1247" s="215"/>
      <c r="Z1247" s="215"/>
      <c r="AA1247" s="215"/>
      <c r="AB1247" s="215"/>
      <c r="AC1247" s="215"/>
      <c r="AD1247" s="215"/>
      <c r="AE1247" s="215"/>
      <c r="AF1247" s="215"/>
      <c r="AG1247" s="215"/>
      <c r="AH1247" s="215"/>
      <c r="AI1247" s="215"/>
      <c r="AJ1247" s="215"/>
      <c r="AK1247" s="215"/>
      <c r="AL1247" s="215"/>
      <c r="AM1247" s="215"/>
      <c r="AN1247" s="215"/>
      <c r="AO1247" s="215"/>
      <c r="AP1247" s="215"/>
      <c r="AQ1247" s="215"/>
      <c r="AR1247" s="215"/>
      <c r="AS1247" s="215"/>
      <c r="AT1247" s="215"/>
      <c r="AU1247" s="215"/>
      <c r="AV1247" s="215"/>
      <c r="AW1247" s="215"/>
      <c r="AX1247" s="215"/>
      <c r="AY1247" s="215"/>
      <c r="AZ1247" s="215"/>
      <c r="BA1247" s="215"/>
      <c r="BB1247" s="215"/>
      <c r="BC1247" s="215"/>
      <c r="BD1247" s="215"/>
      <c r="BE1247" s="215"/>
      <c r="BF1247" s="215"/>
      <c r="BG1247" s="215"/>
      <c r="BH1247" s="215"/>
      <c r="BI1247" s="215"/>
      <c r="BJ1247" s="215"/>
      <c r="BK1247" s="215"/>
      <c r="BL1247" s="215"/>
      <c r="BM1247" s="215"/>
      <c r="BN1247" s="215"/>
      <c r="BO1247" s="215"/>
      <c r="BP1247" s="215"/>
      <c r="BQ1247" s="215"/>
      <c r="BR1247" s="215"/>
      <c r="BS1247" s="215"/>
      <c r="BT1247" s="215"/>
      <c r="BU1247" s="215"/>
      <c r="BV1247" s="215"/>
      <c r="BW1247" s="215"/>
      <c r="BX1247" s="215"/>
      <c r="BY1247" s="215"/>
      <c r="BZ1247" s="215"/>
    </row>
    <row r="1248" spans="1:78" x14ac:dyDescent="0.2">
      <c r="A1248" s="6" t="str">
        <f>'Language Index'!A715</f>
        <v>VALUATION</v>
      </c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46"/>
      <c r="M1248" s="46"/>
      <c r="N1248" s="46"/>
      <c r="O1248" s="46"/>
      <c r="P1248" s="46"/>
      <c r="Q1248" s="238"/>
      <c r="R1248" s="215"/>
      <c r="S1248" s="215"/>
      <c r="T1248" s="215"/>
      <c r="U1248" s="215"/>
      <c r="V1248" s="222"/>
      <c r="W1248" s="222"/>
      <c r="X1248" s="222"/>
      <c r="Y1248" s="215"/>
      <c r="Z1248" s="215"/>
      <c r="AA1248" s="215"/>
      <c r="AB1248" s="215"/>
      <c r="AC1248" s="215"/>
      <c r="AD1248" s="215"/>
      <c r="AE1248" s="215"/>
      <c r="AF1248" s="215"/>
      <c r="AG1248" s="215"/>
      <c r="AH1248" s="215"/>
      <c r="AI1248" s="215"/>
      <c r="AJ1248" s="215"/>
      <c r="AK1248" s="215"/>
      <c r="AL1248" s="215"/>
      <c r="AM1248" s="215"/>
      <c r="AN1248" s="215"/>
      <c r="AO1248" s="215"/>
      <c r="AP1248" s="215"/>
      <c r="AQ1248" s="215"/>
      <c r="AR1248" s="215"/>
      <c r="AS1248" s="215"/>
      <c r="AT1248" s="215"/>
      <c r="AU1248" s="215"/>
      <c r="AV1248" s="215"/>
      <c r="AW1248" s="215"/>
      <c r="AX1248" s="215"/>
      <c r="AY1248" s="215"/>
      <c r="AZ1248" s="215"/>
      <c r="BA1248" s="215"/>
      <c r="BB1248" s="215"/>
      <c r="BC1248" s="215"/>
      <c r="BD1248" s="215"/>
      <c r="BE1248" s="215"/>
      <c r="BF1248" s="215"/>
      <c r="BG1248" s="215"/>
      <c r="BH1248" s="215"/>
      <c r="BI1248" s="215"/>
      <c r="BJ1248" s="215"/>
      <c r="BK1248" s="215"/>
      <c r="BL1248" s="215"/>
      <c r="BM1248" s="215"/>
      <c r="BN1248" s="215"/>
      <c r="BO1248" s="215"/>
      <c r="BP1248" s="215"/>
      <c r="BQ1248" s="215"/>
      <c r="BR1248" s="215"/>
      <c r="BS1248" s="215"/>
      <c r="BT1248" s="215"/>
      <c r="BU1248" s="215"/>
      <c r="BV1248" s="215"/>
      <c r="BW1248" s="215"/>
      <c r="BX1248" s="215"/>
      <c r="BY1248" s="215"/>
      <c r="BZ1248" s="215"/>
    </row>
    <row r="1249" spans="1:78" x14ac:dyDescent="0.2">
      <c r="A1249" s="53" t="str">
        <f>'Language Index'!A716</f>
        <v>TEV / Total Revenue</v>
      </c>
      <c r="B1249" s="46"/>
      <c r="C1249" s="46"/>
      <c r="D1249" s="55">
        <f>_xll.ciqfunctions.udf.CIQAVG($C$2, "IQ_TEV_TOTAL_REV",IQ_LTM,D$1245,D$1247)</f>
        <v>2.6699099999999998</v>
      </c>
      <c r="E1249" s="55">
        <f>_xll.ciqfunctions.udf.CIQAVG($C$2, "IQ_TEV_TOTAL_REV",IQ_LTM,E$1245,E$1247)</f>
        <v>2.8665400000000001</v>
      </c>
      <c r="F1249" s="55">
        <f>_xll.ciqfunctions.udf.CIQAVG($C$2, "IQ_TEV_TOTAL_REV",IQ_LTM,F$1245,F$1247)</f>
        <v>3.0249799999999998</v>
      </c>
      <c r="G1249" s="55">
        <f>_xll.ciqfunctions.udf.CIQAVG($C$2, "IQ_TEV_TOTAL_REV",IQ_LTM,G$1245,G$1247)</f>
        <v>3.4649700000000001</v>
      </c>
      <c r="H1249" s="55">
        <f>_xll.ciqfunctions.udf.CIQAVG($C$2, "IQ_TEV_TOTAL_REV",IQ_LTM,H$1245,H$1247)</f>
        <v>3.29094</v>
      </c>
      <c r="I1249" s="55">
        <f>_xll.ciqfunctions.udf.CIQAVG($C$2, "IQ_TEV_TOTAL_REV",IQ_LTM,I$1245,I$1247)</f>
        <v>3.6293899999999999</v>
      </c>
      <c r="J1249" s="55">
        <f>_xll.ciqfunctions.udf.CIQAVG($C$2, "IQ_TEV_TOTAL_REV",IQ_LTM,J$1245,J$1247)</f>
        <v>4.0316400000000003</v>
      </c>
      <c r="K1249" s="55">
        <f>_xll.ciqfunctions.udf.CIQAVG($C$2, "IQ_TEV_TOTAL_REV",IQ_LTM,K$1245,K$1247)</f>
        <v>4.3174900000000003</v>
      </c>
      <c r="L1249" s="55">
        <f>_xll.ciqfunctions.udf.CIQAVG($C$2, "IQ_TEV_TOTAL_REV",IQ_LTM,L$1245,L$1247)</f>
        <v>4.5724099999999996</v>
      </c>
      <c r="M1249" s="55">
        <f>_xll.ciqfunctions.udf.CIQAVG($C$2, "IQ_TEV_TOTAL_REV",IQ_LTM,M$1245,M$1247)</f>
        <v>4.6420199999999996</v>
      </c>
      <c r="N1249" s="55">
        <f>_xll.ciqfunctions.udf.CIQAVG($C$2, "IQ_TEV_TOTAL_REV",IQ_LTM,N$1245,N$1247)</f>
        <v>5.0923100000000003</v>
      </c>
      <c r="O1249" s="56"/>
      <c r="P1249" s="55">
        <f>_xll.ciqfunctions.udf.CIQAVG($C$2, "IQ_TEV_TOTAL_REV",IQ_LTM,P$1245,P$1247)</f>
        <v>4.6602300000000003</v>
      </c>
      <c r="Q1249" s="238"/>
      <c r="R1249" s="215"/>
      <c r="S1249" s="215"/>
      <c r="T1249" s="215"/>
      <c r="U1249" s="215"/>
      <c r="V1249" s="222"/>
      <c r="W1249" s="222"/>
      <c r="X1249" s="222"/>
      <c r="Y1249" s="215"/>
      <c r="Z1249" s="215"/>
      <c r="AA1249" s="215"/>
      <c r="AB1249" s="215"/>
      <c r="AC1249" s="215"/>
      <c r="AD1249" s="215"/>
      <c r="AE1249" s="215"/>
      <c r="AF1249" s="215"/>
      <c r="AG1249" s="215"/>
      <c r="AH1249" s="215"/>
      <c r="AI1249" s="215"/>
      <c r="AJ1249" s="215"/>
      <c r="AK1249" s="215"/>
      <c r="AL1249" s="215"/>
      <c r="AM1249" s="215"/>
      <c r="AN1249" s="215"/>
      <c r="AO1249" s="215"/>
      <c r="AP1249" s="215"/>
      <c r="AQ1249" s="215"/>
      <c r="AR1249" s="215"/>
      <c r="AS1249" s="215"/>
      <c r="AT1249" s="215"/>
      <c r="AU1249" s="215"/>
      <c r="AV1249" s="215"/>
      <c r="AW1249" s="215"/>
      <c r="AX1249" s="215"/>
      <c r="AY1249" s="215"/>
      <c r="AZ1249" s="215"/>
      <c r="BA1249" s="215"/>
      <c r="BB1249" s="215"/>
      <c r="BC1249" s="215"/>
      <c r="BD1249" s="215"/>
      <c r="BE1249" s="215"/>
      <c r="BF1249" s="215"/>
      <c r="BG1249" s="215"/>
      <c r="BH1249" s="215"/>
      <c r="BI1249" s="215"/>
      <c r="BJ1249" s="215"/>
      <c r="BK1249" s="215"/>
      <c r="BL1249" s="215"/>
      <c r="BM1249" s="215"/>
      <c r="BN1249" s="215"/>
      <c r="BO1249" s="215"/>
      <c r="BP1249" s="215"/>
      <c r="BQ1249" s="215"/>
      <c r="BR1249" s="215"/>
      <c r="BS1249" s="215"/>
      <c r="BT1249" s="215"/>
      <c r="BU1249" s="215"/>
      <c r="BV1249" s="215"/>
      <c r="BW1249" s="215"/>
      <c r="BX1249" s="215"/>
      <c r="BY1249" s="215"/>
      <c r="BZ1249" s="215"/>
    </row>
    <row r="1250" spans="1:78" x14ac:dyDescent="0.2">
      <c r="A1250" s="53" t="str">
        <f>'Language Index'!A717</f>
        <v>TEV / EBITDA</v>
      </c>
      <c r="B1250" s="46"/>
      <c r="C1250" s="46"/>
      <c r="D1250" s="55">
        <f>_xll.ciqfunctions.udf.CIQAVG($C$2, "IQ_TEV_EBITDA",IQ_LTM,D$1245,D$1247)</f>
        <v>11.73353</v>
      </c>
      <c r="E1250" s="55">
        <f>_xll.ciqfunctions.udf.CIQAVG($C$2, "IQ_TEV_EBITDA",IQ_LTM,E$1245,E$1247)</f>
        <v>12.34008</v>
      </c>
      <c r="F1250" s="55">
        <f>_xll.ciqfunctions.udf.CIQAVG($C$2, "IQ_TEV_EBITDA",IQ_LTM,F$1245,F$1247)</f>
        <v>12.65752</v>
      </c>
      <c r="G1250" s="55">
        <f>_xll.ciqfunctions.udf.CIQAVG($C$2, "IQ_TEV_EBITDA",IQ_LTM,G$1245,G$1247)</f>
        <v>14.325839999999999</v>
      </c>
      <c r="H1250" s="55">
        <f>_xll.ciqfunctions.udf.CIQAVG($C$2, "IQ_TEV_EBITDA",IQ_LTM,H$1245,H$1247)</f>
        <v>13.616720000000001</v>
      </c>
      <c r="I1250" s="55">
        <f>_xll.ciqfunctions.udf.CIQAVG($C$2, "IQ_TEV_EBITDA",IQ_LTM,I$1245,I$1247)</f>
        <v>14.86307</v>
      </c>
      <c r="J1250" s="55">
        <f>_xll.ciqfunctions.udf.CIQAVG($C$2, "IQ_TEV_EBITDA",IQ_LTM,J$1245,J$1247)</f>
        <v>16.528449999999999</v>
      </c>
      <c r="K1250" s="55">
        <f>_xll.ciqfunctions.udf.CIQAVG($C$2, "IQ_TEV_EBITDA",IQ_LTM,K$1245,K$1247)</f>
        <v>18.393249999999998</v>
      </c>
      <c r="L1250" s="55">
        <f>_xll.ciqfunctions.udf.CIQAVG($C$2, "IQ_TEV_EBITDA",IQ_LTM,L$1245,L$1247)</f>
        <v>19.809239999999999</v>
      </c>
      <c r="M1250" s="55">
        <f>_xll.ciqfunctions.udf.CIQAVG($C$2, "IQ_TEV_EBITDA",IQ_LTM,M$1245,M$1247)</f>
        <v>19.395330000000001</v>
      </c>
      <c r="N1250" s="55">
        <f>_xll.ciqfunctions.udf.CIQAVG($C$2, "IQ_TEV_EBITDA",IQ_LTM,N$1245,N$1247)</f>
        <v>20.516500000000001</v>
      </c>
      <c r="O1250" s="55"/>
      <c r="P1250" s="55">
        <f>_xll.ciqfunctions.udf.CIQAVG($C$2, "IQ_TEV_EBITDA",IQ_LTM,P$1245,P$1247)</f>
        <v>19.531510000000001</v>
      </c>
      <c r="Q1250" s="248"/>
      <c r="R1250" s="215"/>
      <c r="S1250" s="215"/>
      <c r="T1250" s="215"/>
      <c r="U1250" s="215"/>
      <c r="V1250" s="222"/>
      <c r="W1250" s="222"/>
      <c r="X1250" s="222"/>
      <c r="Y1250" s="215"/>
      <c r="Z1250" s="215"/>
      <c r="AA1250" s="215"/>
      <c r="AB1250" s="215"/>
      <c r="AC1250" s="215"/>
      <c r="AD1250" s="215"/>
      <c r="AE1250" s="215"/>
      <c r="AF1250" s="215"/>
      <c r="AG1250" s="215"/>
      <c r="AH1250" s="215"/>
      <c r="AI1250" s="215"/>
      <c r="AJ1250" s="215"/>
      <c r="AK1250" s="215"/>
      <c r="AL1250" s="215"/>
      <c r="AM1250" s="215"/>
      <c r="AN1250" s="215"/>
      <c r="AO1250" s="215"/>
      <c r="AP1250" s="215"/>
      <c r="AQ1250" s="215"/>
      <c r="AR1250" s="215"/>
      <c r="AS1250" s="215"/>
      <c r="AT1250" s="215"/>
      <c r="AU1250" s="215"/>
      <c r="AV1250" s="215"/>
      <c r="AW1250" s="215"/>
      <c r="AX1250" s="215"/>
      <c r="AY1250" s="215"/>
      <c r="AZ1250" s="215"/>
      <c r="BA1250" s="215"/>
      <c r="BB1250" s="215"/>
      <c r="BC1250" s="215"/>
      <c r="BD1250" s="215"/>
      <c r="BE1250" s="215"/>
      <c r="BF1250" s="215"/>
      <c r="BG1250" s="215"/>
      <c r="BH1250" s="215"/>
      <c r="BI1250" s="215"/>
      <c r="BJ1250" s="215"/>
      <c r="BK1250" s="215"/>
      <c r="BL1250" s="215"/>
      <c r="BM1250" s="215"/>
      <c r="BN1250" s="215"/>
      <c r="BO1250" s="215"/>
      <c r="BP1250" s="215"/>
      <c r="BQ1250" s="215"/>
      <c r="BR1250" s="215"/>
      <c r="BS1250" s="215"/>
      <c r="BT1250" s="215"/>
      <c r="BU1250" s="215"/>
      <c r="BV1250" s="215"/>
      <c r="BW1250" s="215"/>
      <c r="BX1250" s="215"/>
      <c r="BY1250" s="215"/>
      <c r="BZ1250" s="215"/>
    </row>
    <row r="1251" spans="1:78" x14ac:dyDescent="0.2">
      <c r="A1251" s="53" t="str">
        <f>'Language Index'!A718</f>
        <v>TEV / EBIT</v>
      </c>
      <c r="B1251" s="46"/>
      <c r="C1251" s="46"/>
      <c r="D1251" s="55">
        <f>_xll.ciqfunctions.udf.CIQAVG($C$2, "IQ_TEV_EBIT",IQ_LTM,D$1245,D$1247)</f>
        <v>20.429839999999999</v>
      </c>
      <c r="E1251" s="55">
        <f>_xll.ciqfunctions.udf.CIQAVG($C$2, "IQ_TEV_EBIT",IQ_LTM,E$1245,E$1247)</f>
        <v>20.617360000000001</v>
      </c>
      <c r="F1251" s="55">
        <f>_xll.ciqfunctions.udf.CIQAVG($C$2, "IQ_TEV_EBIT",IQ_LTM,F$1245,F$1247)</f>
        <v>20.373080000000002</v>
      </c>
      <c r="G1251" s="55">
        <f>_xll.ciqfunctions.udf.CIQAVG($C$2, "IQ_TEV_EBIT",IQ_LTM,G$1245,G$1247)</f>
        <v>22.360980000000001</v>
      </c>
      <c r="H1251" s="55">
        <f>_xll.ciqfunctions.udf.CIQAVG($C$2, "IQ_TEV_EBIT",IQ_LTM,H$1245,H$1247)</f>
        <v>20.592359999999999</v>
      </c>
      <c r="I1251" s="55">
        <f>_xll.ciqfunctions.udf.CIQAVG($C$2, "IQ_TEV_EBIT",IQ_LTM,I$1245,I$1247)</f>
        <v>22.661799999999999</v>
      </c>
      <c r="J1251" s="55">
        <f>_xll.ciqfunctions.udf.CIQAVG($C$2, "IQ_TEV_EBIT",IQ_LTM,J$1245,J$1247)</f>
        <v>25.323689999999999</v>
      </c>
      <c r="K1251" s="55">
        <f>_xll.ciqfunctions.udf.CIQAVG($C$2, "IQ_TEV_EBIT",IQ_LTM,K$1245,K$1247)</f>
        <v>28.22777</v>
      </c>
      <c r="L1251" s="55">
        <f>_xll.ciqfunctions.udf.CIQAVG($C$2, "IQ_TEV_EBIT",IQ_LTM,L$1245,L$1247)</f>
        <v>28.619890000000002</v>
      </c>
      <c r="M1251" s="55">
        <f>_xll.ciqfunctions.udf.CIQAVG($C$2, "IQ_TEV_EBIT",IQ_LTM,M$1245,M$1247)</f>
        <v>27.740189999999998</v>
      </c>
      <c r="N1251" s="55">
        <f>_xll.ciqfunctions.udf.CIQAVG($C$2, "IQ_TEV_EBIT",IQ_LTM,N$1245,N$1247)</f>
        <v>29.134460000000001</v>
      </c>
      <c r="O1251" s="55"/>
      <c r="P1251" s="55">
        <f>_xll.ciqfunctions.udf.CIQAVG($C$2, "IQ_TEV_EBIT",IQ_LTM,P$1245,P$1247)</f>
        <v>28.4175</v>
      </c>
      <c r="Q1251" s="248"/>
      <c r="R1251" s="215"/>
      <c r="S1251" s="215"/>
      <c r="T1251" s="215"/>
      <c r="U1251" s="215"/>
      <c r="V1251" s="222"/>
      <c r="W1251" s="222"/>
      <c r="X1251" s="222"/>
      <c r="Y1251" s="215"/>
      <c r="Z1251" s="215"/>
      <c r="AA1251" s="215"/>
      <c r="AB1251" s="215"/>
      <c r="AC1251" s="215"/>
      <c r="AD1251" s="215"/>
      <c r="AE1251" s="215"/>
      <c r="AF1251" s="215"/>
      <c r="AG1251" s="215"/>
      <c r="AH1251" s="215"/>
      <c r="AI1251" s="215"/>
      <c r="AJ1251" s="215"/>
      <c r="AK1251" s="215"/>
      <c r="AL1251" s="215"/>
      <c r="AM1251" s="215"/>
      <c r="AN1251" s="215"/>
      <c r="AO1251" s="215"/>
      <c r="AP1251" s="215"/>
      <c r="AQ1251" s="215"/>
      <c r="AR1251" s="215"/>
      <c r="AS1251" s="215"/>
      <c r="AT1251" s="215"/>
      <c r="AU1251" s="215"/>
      <c r="AV1251" s="215"/>
      <c r="AW1251" s="215"/>
      <c r="AX1251" s="215"/>
      <c r="AY1251" s="215"/>
      <c r="AZ1251" s="215"/>
      <c r="BA1251" s="215"/>
      <c r="BB1251" s="215"/>
      <c r="BC1251" s="215"/>
      <c r="BD1251" s="215"/>
      <c r="BE1251" s="215"/>
      <c r="BF1251" s="215"/>
      <c r="BG1251" s="215"/>
      <c r="BH1251" s="215"/>
      <c r="BI1251" s="215"/>
      <c r="BJ1251" s="215"/>
      <c r="BK1251" s="215"/>
      <c r="BL1251" s="215"/>
      <c r="BM1251" s="215"/>
      <c r="BN1251" s="215"/>
      <c r="BO1251" s="215"/>
      <c r="BP1251" s="215"/>
      <c r="BQ1251" s="215"/>
      <c r="BR1251" s="215"/>
      <c r="BS1251" s="215"/>
      <c r="BT1251" s="215"/>
      <c r="BU1251" s="215"/>
      <c r="BV1251" s="215"/>
      <c r="BW1251" s="215"/>
      <c r="BX1251" s="215"/>
      <c r="BY1251" s="215"/>
      <c r="BZ1251" s="215"/>
    </row>
    <row r="1252" spans="1:78" x14ac:dyDescent="0.2">
      <c r="A1252" s="53" t="str">
        <f>'Language Index'!A719</f>
        <v>P/E</v>
      </c>
      <c r="B1252" s="46"/>
      <c r="C1252" s="46"/>
      <c r="D1252" s="55">
        <f>_xll.ciqfunctions.udf.CIQAVG($C$2, "IQ_PE_EXCL",IQ_LTM,D$1245,D$1247)</f>
        <v>59.201560000000001</v>
      </c>
      <c r="E1252" s="55">
        <f>_xll.ciqfunctions.udf.CIQAVG($C$2, "IQ_PE_EXCL",IQ_LTM,E$1245,E$1247)</f>
        <v>60.705849999999998</v>
      </c>
      <c r="F1252" s="55">
        <f>_xll.ciqfunctions.udf.CIQAVG($C$2, "IQ_PE_EXCL",IQ_LTM,F$1245,F$1247)</f>
        <v>30.78837</v>
      </c>
      <c r="G1252" s="55">
        <f>_xll.ciqfunctions.udf.CIQAVG($C$2, "IQ_PE_EXCL",IQ_LTM,G$1245,G$1247)</f>
        <v>22.70288</v>
      </c>
      <c r="H1252" s="55">
        <f>_xll.ciqfunctions.udf.CIQAVG($C$2, "IQ_PE_EXCL",IQ_LTM,H$1245,H$1247)</f>
        <v>20.185690000000001</v>
      </c>
      <c r="I1252" s="55">
        <f>_xll.ciqfunctions.udf.CIQAVG($C$2, "IQ_PE_EXCL",IQ_LTM,I$1245,I$1247)</f>
        <v>21.817029999999999</v>
      </c>
      <c r="J1252" s="55">
        <f>_xll.ciqfunctions.udf.CIQAVG($C$2, "IQ_PE_EXCL",IQ_LTM,J$1245,J$1247)</f>
        <v>30.447600000000001</v>
      </c>
      <c r="K1252" s="55">
        <f>_xll.ciqfunctions.udf.CIQAVG($C$2, "IQ_PE_EXCL",IQ_LTM,K$1245,K$1247)</f>
        <v>37.420140000000004</v>
      </c>
      <c r="L1252" s="55">
        <f>_xll.ciqfunctions.udf.CIQAVG($C$2, "IQ_PE_EXCL",IQ_LTM,L$1245,L$1247)</f>
        <v>43.112279999999998</v>
      </c>
      <c r="M1252" s="55">
        <f>_xll.ciqfunctions.udf.CIQAVG($C$2, "IQ_PE_EXCL",IQ_LTM,M$1245,M$1247)</f>
        <v>42.960470000000001</v>
      </c>
      <c r="N1252" s="55">
        <f>_xll.ciqfunctions.udf.CIQAVG($C$2, "IQ_PE_EXCL",IQ_LTM,N$1245,N$1247)</f>
        <v>38.649299999999997</v>
      </c>
      <c r="O1252" s="55"/>
      <c r="P1252" s="55">
        <f>_xll.ciqfunctions.udf.CIQAVG($C$2, "IQ_PE_EXCL",IQ_LTM,P$1245,P$1247)</f>
        <v>40.51285</v>
      </c>
      <c r="Q1252" s="215"/>
      <c r="R1252" s="215"/>
      <c r="S1252" s="215"/>
      <c r="T1252" s="215"/>
      <c r="U1252" s="215"/>
      <c r="V1252" s="222"/>
      <c r="W1252" s="222"/>
      <c r="X1252" s="222"/>
      <c r="Y1252" s="215"/>
      <c r="Z1252" s="215"/>
      <c r="AA1252" s="215"/>
      <c r="AB1252" s="215"/>
      <c r="AC1252" s="215"/>
      <c r="AD1252" s="215"/>
      <c r="AE1252" s="215"/>
      <c r="AF1252" s="215"/>
      <c r="AG1252" s="215"/>
      <c r="AH1252" s="215"/>
      <c r="AI1252" s="215"/>
      <c r="AJ1252" s="215"/>
      <c r="AK1252" s="215"/>
      <c r="AL1252" s="215"/>
      <c r="AM1252" s="215"/>
      <c r="AN1252" s="215"/>
      <c r="AO1252" s="215"/>
      <c r="AP1252" s="215"/>
      <c r="AQ1252" s="215"/>
      <c r="AR1252" s="215"/>
      <c r="AS1252" s="215"/>
      <c r="AT1252" s="215"/>
      <c r="AU1252" s="215"/>
      <c r="AV1252" s="215"/>
      <c r="AW1252" s="215"/>
      <c r="AX1252" s="215"/>
      <c r="AY1252" s="215"/>
      <c r="AZ1252" s="215"/>
      <c r="BA1252" s="215"/>
      <c r="BB1252" s="215"/>
      <c r="BC1252" s="215"/>
      <c r="BD1252" s="215"/>
      <c r="BE1252" s="215"/>
      <c r="BF1252" s="215"/>
      <c r="BG1252" s="215"/>
      <c r="BH1252" s="215"/>
      <c r="BI1252" s="215"/>
      <c r="BJ1252" s="215"/>
      <c r="BK1252" s="215"/>
      <c r="BL1252" s="215"/>
      <c r="BM1252" s="215"/>
      <c r="BN1252" s="215"/>
      <c r="BO1252" s="215"/>
      <c r="BP1252" s="215"/>
      <c r="BQ1252" s="215"/>
      <c r="BR1252" s="215"/>
      <c r="BS1252" s="215"/>
      <c r="BT1252" s="215"/>
      <c r="BU1252" s="215"/>
      <c r="BV1252" s="215"/>
      <c r="BW1252" s="215"/>
      <c r="BX1252" s="215"/>
      <c r="BY1252" s="215"/>
      <c r="BZ1252" s="215"/>
    </row>
    <row r="1253" spans="1:78" x14ac:dyDescent="0.2">
      <c r="A1253" s="53" t="str">
        <f>'Language Index'!A720</f>
        <v>P/BV</v>
      </c>
      <c r="B1253" s="46"/>
      <c r="C1253" s="46"/>
      <c r="D1253" s="55">
        <f>_xll.ciqfunctions.udf.CIQAVG($C$2, "IQ_PBV",IQ_LTM,D$1245,D$1247)</f>
        <v>5.4072199999999997</v>
      </c>
      <c r="E1253" s="55">
        <f>_xll.ciqfunctions.udf.CIQAVG($C$2, "IQ_PBV",IQ_LTM,E$1245,E$1247)</f>
        <v>5.8576300000000003</v>
      </c>
      <c r="F1253" s="55">
        <f>_xll.ciqfunctions.udf.CIQAVG($C$2, "IQ_PBV",IQ_LTM,F$1245,F$1247)</f>
        <v>6.0336299999999996</v>
      </c>
      <c r="G1253" s="55">
        <f>_xll.ciqfunctions.udf.CIQAVG($C$2, "IQ_PBV",IQ_LTM,G$1245,G$1247)</f>
        <v>7.3647900000000002</v>
      </c>
      <c r="H1253" s="55">
        <f>_xll.ciqfunctions.udf.CIQAVG($C$2, "IQ_PBV",IQ_LTM,H$1245,H$1247)</f>
        <v>6.9170699999999998</v>
      </c>
      <c r="I1253" s="55">
        <f>_xll.ciqfunctions.udf.CIQAVG($C$2, "IQ_PBV",IQ_LTM,I$1245,I$1247)</f>
        <v>7.5690099999999996</v>
      </c>
      <c r="J1253" s="55">
        <f>_xll.ciqfunctions.udf.CIQAVG($C$2, "IQ_PBV",IQ_LTM,J$1245,J$1247)</f>
        <v>8.4524799999999995</v>
      </c>
      <c r="K1253" s="55">
        <f>_xll.ciqfunctions.udf.CIQAVG($C$2, "IQ_PBV",IQ_LTM,K$1245,K$1247)</f>
        <v>8.5386600000000001</v>
      </c>
      <c r="L1253" s="55">
        <f>_xll.ciqfunctions.udf.CIQAVG($C$2, "IQ_PBV",IQ_LTM,L$1245,L$1247)</f>
        <v>8.8633500000000005</v>
      </c>
      <c r="M1253" s="55">
        <f>_xll.ciqfunctions.udf.CIQAVG($C$2, "IQ_PBV",IQ_LTM,M$1245,M$1247)</f>
        <v>8.9311199999999999</v>
      </c>
      <c r="N1253" s="55">
        <f>_xll.ciqfunctions.udf.CIQAVG($C$2, "IQ_PBV",IQ_LTM,N$1245,N$1247)</f>
        <v>10.048439999999999</v>
      </c>
      <c r="O1253" s="55"/>
      <c r="P1253" s="55">
        <f>_xll.ciqfunctions.udf.CIQAVG($C$2, "IQ_PBV",IQ_LTM,P$1245,P$1247)</f>
        <v>9.1025500000000008</v>
      </c>
      <c r="Q1253" s="215"/>
      <c r="R1253" s="215"/>
      <c r="S1253" s="215"/>
      <c r="T1253" s="215"/>
      <c r="U1253" s="215"/>
      <c r="V1253" s="222"/>
      <c r="W1253" s="222"/>
      <c r="X1253" s="222"/>
      <c r="Y1253" s="215"/>
      <c r="Z1253" s="215"/>
      <c r="AA1253" s="215"/>
      <c r="AB1253" s="215"/>
      <c r="AC1253" s="215"/>
      <c r="AD1253" s="215"/>
      <c r="AE1253" s="215"/>
      <c r="AF1253" s="215"/>
      <c r="AG1253" s="215"/>
      <c r="AH1253" s="215"/>
      <c r="AI1253" s="215"/>
      <c r="AJ1253" s="215"/>
      <c r="AK1253" s="215"/>
      <c r="AL1253" s="215"/>
      <c r="AM1253" s="215"/>
      <c r="AN1253" s="215"/>
      <c r="AO1253" s="215"/>
      <c r="AP1253" s="215"/>
      <c r="AQ1253" s="215"/>
      <c r="AR1253" s="215"/>
      <c r="AS1253" s="215"/>
      <c r="AT1253" s="215"/>
      <c r="AU1253" s="215"/>
      <c r="AV1253" s="215"/>
      <c r="AW1253" s="215"/>
      <c r="AX1253" s="215"/>
      <c r="AY1253" s="215"/>
      <c r="AZ1253" s="215"/>
      <c r="BA1253" s="215"/>
      <c r="BB1253" s="215"/>
      <c r="BC1253" s="215"/>
      <c r="BD1253" s="215"/>
      <c r="BE1253" s="215"/>
      <c r="BF1253" s="215"/>
      <c r="BG1253" s="215"/>
      <c r="BH1253" s="215"/>
      <c r="BI1253" s="215"/>
      <c r="BJ1253" s="215"/>
      <c r="BK1253" s="215"/>
      <c r="BL1253" s="215"/>
      <c r="BM1253" s="215"/>
      <c r="BN1253" s="215"/>
      <c r="BO1253" s="215"/>
      <c r="BP1253" s="215"/>
      <c r="BQ1253" s="215"/>
      <c r="BR1253" s="215"/>
      <c r="BS1253" s="215"/>
      <c r="BT1253" s="215"/>
      <c r="BU1253" s="215"/>
      <c r="BV1253" s="215"/>
      <c r="BW1253" s="215"/>
      <c r="BX1253" s="215"/>
      <c r="BY1253" s="215"/>
      <c r="BZ1253" s="215"/>
    </row>
    <row r="1254" spans="1:78" x14ac:dyDescent="0.2">
      <c r="A1254" s="53" t="str">
        <f>'Language Index'!A721</f>
        <v>P/Tangible BV</v>
      </c>
      <c r="B1254" s="46"/>
      <c r="C1254" s="46"/>
      <c r="D1254" s="55" t="str">
        <f>_xll.ciqfunctions.udf.CIQAVG($C$2, "IQ_PTBV",IQ_LTM,D$1245,D$1247)</f>
        <v>NM</v>
      </c>
      <c r="E1254" s="55" t="str">
        <f>_xll.ciqfunctions.udf.CIQAVG($C$2, "IQ_PTBV",IQ_LTM,E$1245,E$1247)</f>
        <v>NM</v>
      </c>
      <c r="F1254" s="55" t="str">
        <f>_xll.ciqfunctions.udf.CIQAVG($C$2, "IQ_PTBV",IQ_LTM,F$1245,F$1247)</f>
        <v>NM</v>
      </c>
      <c r="G1254" s="55" t="str">
        <f>_xll.ciqfunctions.udf.CIQAVG($C$2, "IQ_PTBV",IQ_LTM,G$1245,G$1247)</f>
        <v>NM</v>
      </c>
      <c r="H1254" s="55" t="str">
        <f>_xll.ciqfunctions.udf.CIQAVG($C$2, "IQ_PTBV",IQ_LTM,H$1245,H$1247)</f>
        <v>NM</v>
      </c>
      <c r="I1254" s="55" t="str">
        <f>_xll.ciqfunctions.udf.CIQAVG($C$2, "IQ_PTBV",IQ_LTM,I$1245,I$1247)</f>
        <v>NM</v>
      </c>
      <c r="J1254" s="55" t="str">
        <f>_xll.ciqfunctions.udf.CIQAVG($C$2, "IQ_PTBV",IQ_LTM,J$1245,J$1247)</f>
        <v>NM</v>
      </c>
      <c r="K1254" s="55" t="str">
        <f>_xll.ciqfunctions.udf.CIQAVG($C$2, "IQ_PTBV",IQ_LTM,K$1245,K$1247)</f>
        <v>NM</v>
      </c>
      <c r="L1254" s="55" t="str">
        <f>_xll.ciqfunctions.udf.CIQAVG($C$2, "IQ_PTBV",IQ_LTM,L$1245,L$1247)</f>
        <v>NM</v>
      </c>
      <c r="M1254" s="55" t="str">
        <f>_xll.ciqfunctions.udf.CIQAVG($C$2, "IQ_PTBV",IQ_LTM,M$1245,M$1247)</f>
        <v>NM</v>
      </c>
      <c r="N1254" s="55" t="str">
        <f>_xll.ciqfunctions.udf.CIQAVG($C$2, "IQ_PTBV",IQ_LTM,N$1245,N$1247)</f>
        <v>NM</v>
      </c>
      <c r="O1254" s="55"/>
      <c r="P1254" s="55" t="str">
        <f>_xll.ciqfunctions.udf.CIQAVG($C$2, "IQ_PTBV",IQ_LTM,P$1245,P$1247)</f>
        <v>NM</v>
      </c>
      <c r="Q1254" s="215"/>
      <c r="R1254" s="215"/>
      <c r="S1254" s="215"/>
      <c r="T1254" s="215"/>
      <c r="U1254" s="215"/>
      <c r="V1254" s="222"/>
      <c r="W1254" s="222"/>
      <c r="X1254" s="222"/>
      <c r="Y1254" s="215"/>
      <c r="Z1254" s="215"/>
      <c r="AA1254" s="215"/>
      <c r="AB1254" s="215"/>
      <c r="AC1254" s="215"/>
      <c r="AD1254" s="215"/>
      <c r="AE1254" s="215"/>
      <c r="AF1254" s="215"/>
      <c r="AG1254" s="215"/>
      <c r="AH1254" s="215"/>
      <c r="AI1254" s="215"/>
      <c r="AJ1254" s="215"/>
      <c r="AK1254" s="215"/>
      <c r="AL1254" s="215"/>
      <c r="AM1254" s="215"/>
      <c r="AN1254" s="215"/>
      <c r="AO1254" s="215"/>
      <c r="AP1254" s="215"/>
      <c r="AQ1254" s="215"/>
      <c r="AR1254" s="215"/>
      <c r="AS1254" s="215"/>
      <c r="AT1254" s="215"/>
      <c r="AU1254" s="215"/>
      <c r="AV1254" s="215"/>
      <c r="AW1254" s="215"/>
      <c r="AX1254" s="215"/>
      <c r="AY1254" s="215"/>
      <c r="AZ1254" s="215"/>
      <c r="BA1254" s="215"/>
      <c r="BB1254" s="215"/>
      <c r="BC1254" s="215"/>
      <c r="BD1254" s="215"/>
      <c r="BE1254" s="215"/>
      <c r="BF1254" s="215"/>
      <c r="BG1254" s="215"/>
      <c r="BH1254" s="215"/>
      <c r="BI1254" s="215"/>
      <c r="BJ1254" s="215"/>
      <c r="BK1254" s="215"/>
      <c r="BL1254" s="215"/>
      <c r="BM1254" s="215"/>
      <c r="BN1254" s="215"/>
      <c r="BO1254" s="215"/>
      <c r="BP1254" s="215"/>
      <c r="BQ1254" s="215"/>
      <c r="BR1254" s="215"/>
      <c r="BS1254" s="215"/>
      <c r="BT1254" s="215"/>
      <c r="BU1254" s="215"/>
      <c r="BV1254" s="215"/>
      <c r="BW1254" s="215"/>
      <c r="BX1254" s="215"/>
      <c r="BY1254" s="215"/>
      <c r="BZ1254" s="215"/>
    </row>
    <row r="1255" spans="1:78" x14ac:dyDescent="0.2">
      <c r="A1255" s="46"/>
      <c r="B1255" s="46"/>
      <c r="C1255" s="46"/>
      <c r="D1255" s="56"/>
      <c r="E1255" s="56"/>
      <c r="F1255" s="56"/>
      <c r="G1255" s="56"/>
      <c r="H1255" s="56"/>
      <c r="I1255" s="56"/>
      <c r="J1255" s="56"/>
      <c r="K1255" s="56"/>
      <c r="L1255" s="56"/>
      <c r="M1255" s="56"/>
      <c r="N1255" s="56"/>
      <c r="O1255" s="56"/>
      <c r="P1255" s="56"/>
      <c r="Q1255" s="215"/>
      <c r="R1255" s="215"/>
      <c r="S1255" s="215"/>
      <c r="T1255" s="215"/>
      <c r="U1255" s="215"/>
      <c r="V1255" s="222"/>
      <c r="W1255" s="222"/>
      <c r="X1255" s="222"/>
      <c r="Y1255" s="215"/>
      <c r="Z1255" s="215"/>
      <c r="AA1255" s="215"/>
      <c r="AB1255" s="215"/>
      <c r="AC1255" s="215"/>
      <c r="AD1255" s="215"/>
      <c r="AE1255" s="215"/>
      <c r="AF1255" s="215"/>
      <c r="AG1255" s="215"/>
      <c r="AH1255" s="215"/>
      <c r="AI1255" s="215"/>
      <c r="AJ1255" s="215"/>
      <c r="AK1255" s="215"/>
      <c r="AL1255" s="215"/>
      <c r="AM1255" s="215"/>
      <c r="AN1255" s="215"/>
      <c r="AO1255" s="215"/>
      <c r="AP1255" s="215"/>
      <c r="AQ1255" s="215"/>
      <c r="AR1255" s="215"/>
      <c r="AS1255" s="215"/>
      <c r="AT1255" s="215"/>
      <c r="AU1255" s="215"/>
      <c r="AV1255" s="215"/>
      <c r="AW1255" s="215"/>
      <c r="AX1255" s="215"/>
      <c r="AY1255" s="215"/>
      <c r="AZ1255" s="215"/>
      <c r="BA1255" s="215"/>
      <c r="BB1255" s="215"/>
      <c r="BC1255" s="215"/>
      <c r="BD1255" s="215"/>
      <c r="BE1255" s="215"/>
      <c r="BF1255" s="215"/>
      <c r="BG1255" s="215"/>
      <c r="BH1255" s="215"/>
      <c r="BI1255" s="215"/>
      <c r="BJ1255" s="215"/>
      <c r="BK1255" s="215"/>
      <c r="BL1255" s="215"/>
      <c r="BM1255" s="215"/>
      <c r="BN1255" s="215"/>
      <c r="BO1255" s="215"/>
      <c r="BP1255" s="215"/>
      <c r="BQ1255" s="215"/>
      <c r="BR1255" s="215"/>
      <c r="BS1255" s="215"/>
      <c r="BT1255" s="215"/>
      <c r="BU1255" s="215"/>
      <c r="BV1255" s="215"/>
      <c r="BW1255" s="215"/>
      <c r="BX1255" s="215"/>
      <c r="BY1255" s="215"/>
      <c r="BZ1255" s="215"/>
    </row>
    <row r="1256" spans="1:78" x14ac:dyDescent="0.2">
      <c r="A1256" s="6" t="str">
        <f>'Language Index'!A722</f>
        <v>PROFITABILITY</v>
      </c>
      <c r="B1256" s="44"/>
      <c r="C1256" s="44"/>
      <c r="D1256" s="39"/>
      <c r="E1256" s="39"/>
      <c r="F1256" s="39"/>
      <c r="G1256" s="39"/>
      <c r="H1256" s="39"/>
      <c r="I1256" s="39"/>
      <c r="J1256" s="39"/>
      <c r="K1256" s="39"/>
      <c r="L1256" s="39"/>
      <c r="M1256" s="39"/>
      <c r="N1256" s="39"/>
      <c r="O1256" s="39"/>
      <c r="P1256" s="39"/>
      <c r="Q1256" s="215"/>
      <c r="R1256" s="215"/>
      <c r="S1256" s="215"/>
      <c r="T1256" s="215"/>
      <c r="U1256" s="215"/>
      <c r="V1256" s="222"/>
      <c r="W1256" s="222"/>
      <c r="X1256" s="222"/>
      <c r="Y1256" s="215"/>
      <c r="Z1256" s="215"/>
      <c r="AA1256" s="215"/>
      <c r="AB1256" s="215"/>
      <c r="AC1256" s="215"/>
      <c r="AD1256" s="215"/>
      <c r="AE1256" s="215"/>
      <c r="AF1256" s="215"/>
      <c r="AG1256" s="215"/>
      <c r="AH1256" s="215"/>
      <c r="AI1256" s="215"/>
      <c r="AJ1256" s="215"/>
      <c r="AK1256" s="215"/>
      <c r="AL1256" s="215"/>
      <c r="AM1256" s="215"/>
      <c r="AN1256" s="215"/>
      <c r="AO1256" s="215"/>
      <c r="AP1256" s="215"/>
      <c r="AQ1256" s="215"/>
      <c r="AR1256" s="215"/>
      <c r="AS1256" s="215"/>
      <c r="AT1256" s="215"/>
      <c r="AU1256" s="215"/>
      <c r="AV1256" s="215"/>
      <c r="AW1256" s="215"/>
      <c r="AX1256" s="215"/>
      <c r="AY1256" s="215"/>
      <c r="AZ1256" s="215"/>
      <c r="BA1256" s="215"/>
      <c r="BB1256" s="215"/>
      <c r="BC1256" s="215"/>
      <c r="BD1256" s="215"/>
      <c r="BE1256" s="215"/>
      <c r="BF1256" s="215"/>
      <c r="BG1256" s="215"/>
      <c r="BH1256" s="215"/>
      <c r="BI1256" s="215"/>
      <c r="BJ1256" s="215"/>
      <c r="BK1256" s="215"/>
      <c r="BL1256" s="215"/>
      <c r="BM1256" s="215"/>
      <c r="BN1256" s="215"/>
      <c r="BO1256" s="215"/>
      <c r="BP1256" s="215"/>
      <c r="BQ1256" s="215"/>
      <c r="BR1256" s="215"/>
      <c r="BS1256" s="215"/>
      <c r="BT1256" s="215"/>
      <c r="BU1256" s="215"/>
      <c r="BV1256" s="215"/>
      <c r="BW1256" s="215"/>
      <c r="BX1256" s="215"/>
      <c r="BY1256" s="215"/>
      <c r="BZ1256" s="215"/>
    </row>
    <row r="1257" spans="1:78" x14ac:dyDescent="0.2">
      <c r="A1257" s="53" t="str">
        <f>'Language Index'!A723</f>
        <v>Return on Assets (%)</v>
      </c>
      <c r="B1257" s="17"/>
      <c r="C1257" s="17"/>
      <c r="D1257" s="18">
        <f>_xll.ciqfunctions.udf.CIQ($C$2, "IQ_RETURN_ASSETS", D$6,$F$2)</f>
        <v>4.1097000000000001</v>
      </c>
      <c r="E1257" s="18">
        <f>_xll.ciqfunctions.udf.CIQ($C$2, "IQ_RETURN_ASSETS", E$6,$F$2)</f>
        <v>4.5488999999999997</v>
      </c>
      <c r="F1257" s="18">
        <f>_xll.ciqfunctions.udf.CIQ($C$2, "IQ_RETURN_ASSETS", F$6,$F$2)</f>
        <v>4.4863999999999997</v>
      </c>
      <c r="G1257" s="18">
        <f>_xll.ciqfunctions.udf.CIQ($C$2, "IQ_RETURN_ASSETS", G$6,$F$2)</f>
        <v>4.5862999999999996</v>
      </c>
      <c r="H1257" s="18">
        <f>_xll.ciqfunctions.udf.CIQ($C$2, "IQ_RETURN_ASSETS", H$6,$F$2)</f>
        <v>4.7</v>
      </c>
      <c r="I1257" s="18">
        <f>_xll.ciqfunctions.udf.CIQ($C$2, "IQ_RETURN_ASSETS", I$6,$F$2)</f>
        <v>4.7305000000000001</v>
      </c>
      <c r="J1257" s="18">
        <f>_xll.ciqfunctions.udf.CIQ($C$2, "IQ_RETURN_ASSETS", J$6,$F$2)</f>
        <v>4.4912000000000001</v>
      </c>
      <c r="K1257" s="18">
        <f>_xll.ciqfunctions.udf.CIQ($C$2, "IQ_RETURN_ASSETS", K$6,$F$2)</f>
        <v>4.4694000000000003</v>
      </c>
      <c r="L1257" s="18">
        <f>_xll.ciqfunctions.udf.CIQ($C$2, "IQ_RETURN_ASSETS", L$6,$F$2)</f>
        <v>4.8125999999999998</v>
      </c>
      <c r="M1257" s="18">
        <f>_xll.ciqfunctions.udf.CIQ($C$2, "IQ_RETURN_ASSETS", M$6,$F$2)</f>
        <v>5.1367000000000003</v>
      </c>
      <c r="N1257" s="18">
        <f>_xll.ciqfunctions.udf.CIQ($C$2, "IQ_RETURN_ASSETS", N$6,$F$2)</f>
        <v>5.4348999999999998</v>
      </c>
      <c r="O1257" s="57"/>
      <c r="P1257" s="18">
        <f>_xll.ciqfunctions.udf.CIQ($C$2, "IQ_RETURN_ASSETS", P$6,$F$2)</f>
        <v>5.4348999999999998</v>
      </c>
      <c r="Q1257" s="215"/>
      <c r="R1257" s="215"/>
      <c r="S1257" s="215"/>
      <c r="T1257" s="215"/>
      <c r="U1257" s="215"/>
      <c r="V1257" s="222"/>
      <c r="W1257" s="222"/>
      <c r="X1257" s="222"/>
      <c r="Y1257" s="215"/>
      <c r="Z1257" s="215"/>
      <c r="AA1257" s="215"/>
      <c r="AB1257" s="215"/>
      <c r="AC1257" s="215"/>
      <c r="AD1257" s="215"/>
      <c r="AE1257" s="215"/>
      <c r="AF1257" s="215"/>
      <c r="AG1257" s="215"/>
      <c r="AH1257" s="215"/>
      <c r="AI1257" s="215"/>
      <c r="AJ1257" s="215"/>
      <c r="AK1257" s="215"/>
      <c r="AL1257" s="215"/>
      <c r="AM1257" s="215"/>
      <c r="AN1257" s="215"/>
      <c r="AO1257" s="215"/>
      <c r="AP1257" s="215"/>
      <c r="AQ1257" s="215"/>
      <c r="AR1257" s="215"/>
      <c r="AS1257" s="215"/>
      <c r="AT1257" s="215"/>
      <c r="AU1257" s="215"/>
      <c r="AV1257" s="215"/>
      <c r="AW1257" s="215"/>
      <c r="AX1257" s="215"/>
      <c r="AY1257" s="215"/>
      <c r="AZ1257" s="215"/>
      <c r="BA1257" s="215"/>
      <c r="BB1257" s="215"/>
      <c r="BC1257" s="215"/>
      <c r="BD1257" s="215"/>
      <c r="BE1257" s="215"/>
      <c r="BF1257" s="215"/>
      <c r="BG1257" s="215"/>
      <c r="BH1257" s="215"/>
      <c r="BI1257" s="215"/>
      <c r="BJ1257" s="215"/>
      <c r="BK1257" s="215"/>
      <c r="BL1257" s="215"/>
      <c r="BM1257" s="215"/>
      <c r="BN1257" s="215"/>
      <c r="BO1257" s="215"/>
      <c r="BP1257" s="215"/>
      <c r="BQ1257" s="215"/>
      <c r="BR1257" s="215"/>
      <c r="BS1257" s="215"/>
      <c r="BT1257" s="215"/>
      <c r="BU1257" s="215"/>
      <c r="BV1257" s="215"/>
      <c r="BW1257" s="215"/>
      <c r="BX1257" s="215"/>
      <c r="BY1257" s="215"/>
      <c r="BZ1257" s="215"/>
    </row>
    <row r="1258" spans="1:78" x14ac:dyDescent="0.2">
      <c r="A1258" s="53" t="str">
        <f>'Language Index'!A724</f>
        <v>Return on Capital (%)</v>
      </c>
      <c r="B1258" s="17"/>
      <c r="C1258" s="17"/>
      <c r="D1258" s="18">
        <f>_xll.ciqfunctions.udf.CIQ($C$2, "IQ_RETURN_CAPITAL", D$6,$F$2)</f>
        <v>6.8673999999999999</v>
      </c>
      <c r="E1258" s="18">
        <f>_xll.ciqfunctions.udf.CIQ($C$2, "IQ_RETURN_CAPITAL", E$6,$F$2)</f>
        <v>7.4572000000000003</v>
      </c>
      <c r="F1258" s="18">
        <f>_xll.ciqfunctions.udf.CIQ($C$2, "IQ_RETURN_CAPITAL", F$6,$F$2)</f>
        <v>7.4259000000000004</v>
      </c>
      <c r="G1258" s="18">
        <f>_xll.ciqfunctions.udf.CIQ($C$2, "IQ_RETURN_CAPITAL", G$6,$F$2)</f>
        <v>7.3250999999999999</v>
      </c>
      <c r="H1258" s="18">
        <f>_xll.ciqfunctions.udf.CIQ($C$2, "IQ_RETURN_CAPITAL", H$6,$F$2)</f>
        <v>7.5096999999999996</v>
      </c>
      <c r="I1258" s="18">
        <f>_xll.ciqfunctions.udf.CIQ($C$2, "IQ_RETURN_CAPITAL", I$6,$F$2)</f>
        <v>7.4983000000000004</v>
      </c>
      <c r="J1258" s="18">
        <f>_xll.ciqfunctions.udf.CIQ($C$2, "IQ_RETURN_CAPITAL", J$6,$F$2)</f>
        <v>7.2680999999999996</v>
      </c>
      <c r="K1258" s="18">
        <f>_xll.ciqfunctions.udf.CIQ($C$2, "IQ_RETURN_CAPITAL", K$6,$F$2)</f>
        <v>7.0232000000000001</v>
      </c>
      <c r="L1258" s="18">
        <f>_xll.ciqfunctions.udf.CIQ($C$2, "IQ_RETURN_CAPITAL", L$6,$F$2)</f>
        <v>7.5830000000000002</v>
      </c>
      <c r="M1258" s="18">
        <f>_xll.ciqfunctions.udf.CIQ($C$2, "IQ_RETURN_CAPITAL", M$6,$F$2)</f>
        <v>8.0441000000000003</v>
      </c>
      <c r="N1258" s="18">
        <f>_xll.ciqfunctions.udf.CIQ($C$2, "IQ_RETURN_CAPITAL", N$6,$F$2)</f>
        <v>8.5782000000000007</v>
      </c>
      <c r="O1258" s="18"/>
      <c r="P1258" s="18">
        <f>_xll.ciqfunctions.udf.CIQ($C$2, "IQ_RETURN_CAPITAL", P$6,$F$2)</f>
        <v>8.5782000000000007</v>
      </c>
      <c r="Q1258" s="215"/>
      <c r="R1258" s="215"/>
      <c r="S1258" s="215"/>
      <c r="T1258" s="215"/>
      <c r="U1258" s="215"/>
      <c r="V1258" s="222"/>
      <c r="W1258" s="222"/>
      <c r="X1258" s="222"/>
      <c r="Y1258" s="215"/>
      <c r="Z1258" s="215"/>
      <c r="AA1258" s="215"/>
      <c r="AB1258" s="215"/>
      <c r="AC1258" s="215"/>
      <c r="AD1258" s="215"/>
      <c r="AE1258" s="215"/>
      <c r="AF1258" s="215"/>
      <c r="AG1258" s="215"/>
      <c r="AH1258" s="215"/>
      <c r="AI1258" s="215"/>
      <c r="AJ1258" s="215"/>
      <c r="AK1258" s="215"/>
      <c r="AL1258" s="215"/>
      <c r="AM1258" s="215"/>
      <c r="AN1258" s="215"/>
      <c r="AO1258" s="215"/>
      <c r="AP1258" s="215"/>
      <c r="AQ1258" s="215"/>
      <c r="AR1258" s="215"/>
      <c r="AS1258" s="215"/>
      <c r="AT1258" s="215"/>
      <c r="AU1258" s="215"/>
      <c r="AV1258" s="215"/>
      <c r="AW1258" s="215"/>
      <c r="AX1258" s="215"/>
      <c r="AY1258" s="215"/>
      <c r="AZ1258" s="215"/>
      <c r="BA1258" s="215"/>
      <c r="BB1258" s="215"/>
      <c r="BC1258" s="215"/>
      <c r="BD1258" s="215"/>
      <c r="BE1258" s="215"/>
      <c r="BF1258" s="215"/>
      <c r="BG1258" s="215"/>
      <c r="BH1258" s="215"/>
      <c r="BI1258" s="215"/>
      <c r="BJ1258" s="215"/>
      <c r="BK1258" s="215"/>
      <c r="BL1258" s="215"/>
      <c r="BM1258" s="215"/>
      <c r="BN1258" s="215"/>
      <c r="BO1258" s="215"/>
      <c r="BP1258" s="215"/>
      <c r="BQ1258" s="215"/>
      <c r="BR1258" s="215"/>
      <c r="BS1258" s="215"/>
      <c r="BT1258" s="215"/>
      <c r="BU1258" s="215"/>
      <c r="BV1258" s="215"/>
      <c r="BW1258" s="215"/>
      <c r="BX1258" s="215"/>
      <c r="BY1258" s="215"/>
      <c r="BZ1258" s="215"/>
    </row>
    <row r="1259" spans="1:78" x14ac:dyDescent="0.2">
      <c r="A1259" s="53" t="str">
        <f>'Language Index'!A725</f>
        <v>Return on Equity (%)</v>
      </c>
      <c r="B1259" s="17"/>
      <c r="C1259" s="17"/>
      <c r="D1259" s="18">
        <f>_xll.ciqfunctions.udf.CIQ($C$2,  "IQ_RETURN_EQUITY", D$6,$F$2)</f>
        <v>10.395899999999999</v>
      </c>
      <c r="E1259" s="18">
        <f>_xll.ciqfunctions.udf.CIQ($C$2,  "IQ_RETURN_EQUITY", E$6,$F$2)</f>
        <v>32.782899999999998</v>
      </c>
      <c r="F1259" s="18">
        <f>_xll.ciqfunctions.udf.CIQ($C$2,  "IQ_RETURN_EQUITY", F$6,$F$2)</f>
        <v>33.669400000000003</v>
      </c>
      <c r="G1259" s="18">
        <f>_xll.ciqfunctions.udf.CIQ($C$2,  "IQ_RETURN_EQUITY", G$6,$F$2)</f>
        <v>36.240400000000001</v>
      </c>
      <c r="H1259" s="18">
        <f>_xll.ciqfunctions.udf.CIQ($C$2,  "IQ_RETURN_EQUITY", H$6,$F$2)</f>
        <v>36.244399999999999</v>
      </c>
      <c r="I1259" s="18">
        <f>_xll.ciqfunctions.udf.CIQ($C$2,  "IQ_RETURN_EQUITY", I$6,$F$2)</f>
        <v>26.728999999999999</v>
      </c>
      <c r="J1259" s="18">
        <f>_xll.ciqfunctions.udf.CIQ($C$2,  "IQ_RETURN_EQUITY", J$6,$F$2)</f>
        <v>24.057099999999998</v>
      </c>
      <c r="K1259" s="18">
        <f>_xll.ciqfunctions.udf.CIQ($C$2,  "IQ_RETURN_EQUITY", K$6,$F$2)</f>
        <v>21.851400000000002</v>
      </c>
      <c r="L1259" s="18">
        <f>_xll.ciqfunctions.udf.CIQ($C$2,  "IQ_RETURN_EQUITY", L$6,$F$2)</f>
        <v>22.665400000000002</v>
      </c>
      <c r="M1259" s="18">
        <f>_xll.ciqfunctions.udf.CIQ($C$2,  "IQ_RETURN_EQUITY", M$6,$F$2)</f>
        <v>30.156099999999999</v>
      </c>
      <c r="N1259" s="18">
        <f>_xll.ciqfunctions.udf.CIQ($C$2,  "IQ_RETURN_EQUITY", N$6,$F$2)</f>
        <v>35.158099999999997</v>
      </c>
      <c r="O1259" s="18"/>
      <c r="P1259" s="18">
        <f>_xll.ciqfunctions.udf.CIQ($C$2,  "IQ_RETURN_EQUITY", P$6,$F$2)</f>
        <v>35.158099999999997</v>
      </c>
      <c r="Q1259" s="215"/>
      <c r="R1259" s="215"/>
      <c r="S1259" s="215"/>
      <c r="T1259" s="215"/>
      <c r="U1259" s="215"/>
      <c r="V1259" s="222"/>
      <c r="W1259" s="222"/>
      <c r="X1259" s="222"/>
      <c r="Y1259" s="215"/>
      <c r="Z1259" s="215"/>
      <c r="AA1259" s="215"/>
      <c r="AB1259" s="215"/>
      <c r="AC1259" s="215"/>
      <c r="AD1259" s="215"/>
      <c r="AE1259" s="215"/>
      <c r="AF1259" s="215"/>
      <c r="AG1259" s="215"/>
      <c r="AH1259" s="215"/>
      <c r="AI1259" s="215"/>
      <c r="AJ1259" s="215"/>
      <c r="AK1259" s="215"/>
      <c r="AL1259" s="215"/>
      <c r="AM1259" s="215"/>
      <c r="AN1259" s="215"/>
      <c r="AO1259" s="215"/>
      <c r="AP1259" s="215"/>
      <c r="AQ1259" s="215"/>
      <c r="AR1259" s="215"/>
      <c r="AS1259" s="215"/>
      <c r="AT1259" s="215"/>
      <c r="AU1259" s="215"/>
      <c r="AV1259" s="215"/>
      <c r="AW1259" s="215"/>
      <c r="AX1259" s="215"/>
      <c r="AY1259" s="215"/>
      <c r="AZ1259" s="215"/>
      <c r="BA1259" s="215"/>
      <c r="BB1259" s="215"/>
      <c r="BC1259" s="215"/>
      <c r="BD1259" s="215"/>
      <c r="BE1259" s="215"/>
      <c r="BF1259" s="215"/>
      <c r="BG1259" s="215"/>
      <c r="BH1259" s="215"/>
      <c r="BI1259" s="215"/>
      <c r="BJ1259" s="215"/>
      <c r="BK1259" s="215"/>
      <c r="BL1259" s="215"/>
      <c r="BM1259" s="215"/>
      <c r="BN1259" s="215"/>
      <c r="BO1259" s="215"/>
      <c r="BP1259" s="215"/>
      <c r="BQ1259" s="215"/>
      <c r="BR1259" s="215"/>
      <c r="BS1259" s="215"/>
      <c r="BT1259" s="215"/>
      <c r="BU1259" s="215"/>
      <c r="BV1259" s="215"/>
      <c r="BW1259" s="215"/>
      <c r="BX1259" s="215"/>
      <c r="BY1259" s="215"/>
      <c r="BZ1259" s="215"/>
    </row>
    <row r="1260" spans="1:78" x14ac:dyDescent="0.2">
      <c r="A1260" s="53" t="str">
        <f>'Language Index'!A726</f>
        <v>Return on Common Equity (%)</v>
      </c>
      <c r="B1260" s="17"/>
      <c r="C1260" s="17"/>
      <c r="D1260" s="18">
        <f>_xll.ciqfunctions.udf.CIQ($C$2,  "IQ_RETURN_COMMON_EQUITY", D$6,$F$2)</f>
        <v>10.430099999999999</v>
      </c>
      <c r="E1260" s="18">
        <f>_xll.ciqfunctions.udf.CIQ($C$2,  "IQ_RETURN_COMMON_EQUITY", E$6,$F$2)</f>
        <v>32.893799999999999</v>
      </c>
      <c r="F1260" s="18">
        <f>_xll.ciqfunctions.udf.CIQ($C$2,  "IQ_RETURN_COMMON_EQUITY", F$6,$F$2)</f>
        <v>33.788200000000003</v>
      </c>
      <c r="G1260" s="18">
        <f>_xll.ciqfunctions.udf.CIQ($C$2,  "IQ_RETURN_COMMON_EQUITY", G$6,$F$2)</f>
        <v>36.353499999999997</v>
      </c>
      <c r="H1260" s="18">
        <f>_xll.ciqfunctions.udf.CIQ($C$2,  "IQ_RETURN_COMMON_EQUITY", H$6,$F$2)</f>
        <v>36.359699999999997</v>
      </c>
      <c r="I1260" s="18">
        <f>_xll.ciqfunctions.udf.CIQ($C$2,  "IQ_RETURN_COMMON_EQUITY", I$6,$F$2)</f>
        <v>26.817299999999999</v>
      </c>
      <c r="J1260" s="18">
        <f>_xll.ciqfunctions.udf.CIQ($C$2,  "IQ_RETURN_COMMON_EQUITY", J$6,$F$2)</f>
        <v>24.1372</v>
      </c>
      <c r="K1260" s="18">
        <f>_xll.ciqfunctions.udf.CIQ($C$2,  "IQ_RETURN_COMMON_EQUITY", K$6,$F$2)</f>
        <v>21.914200000000001</v>
      </c>
      <c r="L1260" s="18">
        <f>_xll.ciqfunctions.udf.CIQ($C$2,  "IQ_RETURN_COMMON_EQUITY", L$6,$F$2)</f>
        <v>22.734000000000002</v>
      </c>
      <c r="M1260" s="18">
        <f>_xll.ciqfunctions.udf.CIQ($C$2,  "IQ_RETURN_COMMON_EQUITY", M$6,$F$2)</f>
        <v>30.252300000000002</v>
      </c>
      <c r="N1260" s="18">
        <f>_xll.ciqfunctions.udf.CIQ($C$2,  "IQ_RETURN_COMMON_EQUITY", N$6,$F$2)</f>
        <v>35.263100000000001</v>
      </c>
      <c r="O1260" s="18"/>
      <c r="P1260" s="18">
        <f>_xll.ciqfunctions.udf.CIQ($C$2,  "IQ_RETURN_COMMON_EQUITY", P$6,$F$2)</f>
        <v>35.263100000000001</v>
      </c>
      <c r="Q1260" s="215"/>
      <c r="R1260" s="215"/>
      <c r="S1260" s="215"/>
      <c r="T1260" s="215"/>
      <c r="U1260" s="215"/>
      <c r="V1260" s="222"/>
      <c r="W1260" s="222"/>
      <c r="X1260" s="222"/>
      <c r="Y1260" s="215"/>
      <c r="Z1260" s="215"/>
      <c r="AA1260" s="215"/>
      <c r="AB1260" s="215"/>
      <c r="AC1260" s="215"/>
      <c r="AD1260" s="215"/>
      <c r="AE1260" s="215"/>
      <c r="AF1260" s="215"/>
      <c r="AG1260" s="215"/>
      <c r="AH1260" s="215"/>
      <c r="AI1260" s="215"/>
      <c r="AJ1260" s="215"/>
      <c r="AK1260" s="215"/>
      <c r="AL1260" s="215"/>
      <c r="AM1260" s="215"/>
      <c r="AN1260" s="215"/>
      <c r="AO1260" s="215"/>
      <c r="AP1260" s="215"/>
      <c r="AQ1260" s="215"/>
      <c r="AR1260" s="215"/>
      <c r="AS1260" s="215"/>
      <c r="AT1260" s="215"/>
      <c r="AU1260" s="215"/>
      <c r="AV1260" s="215"/>
      <c r="AW1260" s="215"/>
      <c r="AX1260" s="215"/>
      <c r="AY1260" s="215"/>
      <c r="AZ1260" s="215"/>
      <c r="BA1260" s="215"/>
      <c r="BB1260" s="215"/>
      <c r="BC1260" s="215"/>
      <c r="BD1260" s="215"/>
      <c r="BE1260" s="215"/>
      <c r="BF1260" s="215"/>
      <c r="BG1260" s="215"/>
      <c r="BH1260" s="215"/>
      <c r="BI1260" s="215"/>
      <c r="BJ1260" s="215"/>
      <c r="BK1260" s="215"/>
      <c r="BL1260" s="215"/>
      <c r="BM1260" s="215"/>
      <c r="BN1260" s="215"/>
      <c r="BO1260" s="215"/>
      <c r="BP1260" s="215"/>
      <c r="BQ1260" s="215"/>
      <c r="BR1260" s="215"/>
      <c r="BS1260" s="215"/>
      <c r="BT1260" s="215"/>
      <c r="BU1260" s="215"/>
      <c r="BV1260" s="215"/>
      <c r="BW1260" s="215"/>
      <c r="BX1260" s="215"/>
      <c r="BY1260" s="215"/>
      <c r="BZ1260" s="215"/>
    </row>
    <row r="1261" spans="1:78" x14ac:dyDescent="0.2">
      <c r="A1261" s="16"/>
      <c r="B1261" s="16"/>
      <c r="C1261" s="16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  <c r="N1261" s="18"/>
      <c r="O1261" s="57"/>
      <c r="P1261" s="18"/>
      <c r="Q1261" s="215"/>
      <c r="R1261" s="215"/>
      <c r="S1261" s="215"/>
      <c r="T1261" s="215"/>
      <c r="U1261" s="215"/>
      <c r="V1261" s="222"/>
      <c r="W1261" s="222"/>
      <c r="X1261" s="222"/>
      <c r="Y1261" s="215"/>
      <c r="Z1261" s="215"/>
      <c r="AA1261" s="215"/>
      <c r="AB1261" s="215"/>
      <c r="AC1261" s="215"/>
      <c r="AD1261" s="215"/>
      <c r="AE1261" s="215"/>
      <c r="AF1261" s="215"/>
      <c r="AG1261" s="215"/>
      <c r="AH1261" s="215"/>
      <c r="AI1261" s="215"/>
      <c r="AJ1261" s="215"/>
      <c r="AK1261" s="215"/>
      <c r="AL1261" s="215"/>
      <c r="AM1261" s="215"/>
      <c r="AN1261" s="215"/>
      <c r="AO1261" s="215"/>
      <c r="AP1261" s="215"/>
      <c r="AQ1261" s="215"/>
      <c r="AR1261" s="215"/>
      <c r="AS1261" s="215"/>
      <c r="AT1261" s="215"/>
      <c r="AU1261" s="215"/>
      <c r="AV1261" s="215"/>
      <c r="AW1261" s="215"/>
      <c r="AX1261" s="215"/>
      <c r="AY1261" s="215"/>
      <c r="AZ1261" s="215"/>
      <c r="BA1261" s="215"/>
      <c r="BB1261" s="215"/>
      <c r="BC1261" s="215"/>
      <c r="BD1261" s="215"/>
      <c r="BE1261" s="215"/>
      <c r="BF1261" s="215"/>
      <c r="BG1261" s="215"/>
      <c r="BH1261" s="215"/>
      <c r="BI1261" s="215"/>
      <c r="BJ1261" s="215"/>
      <c r="BK1261" s="215"/>
      <c r="BL1261" s="215"/>
      <c r="BM1261" s="215"/>
      <c r="BN1261" s="215"/>
      <c r="BO1261" s="215"/>
      <c r="BP1261" s="215"/>
      <c r="BQ1261" s="215"/>
      <c r="BR1261" s="215"/>
      <c r="BS1261" s="215"/>
      <c r="BT1261" s="215"/>
      <c r="BU1261" s="215"/>
      <c r="BV1261" s="215"/>
      <c r="BW1261" s="215"/>
      <c r="BX1261" s="215"/>
      <c r="BY1261" s="215"/>
      <c r="BZ1261" s="215"/>
    </row>
    <row r="1262" spans="1:78" x14ac:dyDescent="0.2">
      <c r="A1262" s="6" t="str">
        <f>'Language Index'!A727</f>
        <v>MARGIN ANALYSIS</v>
      </c>
      <c r="B1262" s="17"/>
      <c r="C1262" s="17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57"/>
      <c r="P1262" s="18"/>
      <c r="Q1262" s="215"/>
      <c r="R1262" s="215"/>
      <c r="S1262" s="215"/>
      <c r="T1262" s="215"/>
      <c r="U1262" s="215"/>
      <c r="V1262" s="222"/>
      <c r="W1262" s="222"/>
      <c r="X1262" s="222"/>
      <c r="Y1262" s="215"/>
      <c r="Z1262" s="215"/>
      <c r="AA1262" s="215"/>
      <c r="AB1262" s="215"/>
      <c r="AC1262" s="215"/>
      <c r="AD1262" s="215"/>
      <c r="AE1262" s="215"/>
      <c r="AF1262" s="215"/>
      <c r="AG1262" s="215"/>
      <c r="AH1262" s="215"/>
      <c r="AI1262" s="215"/>
      <c r="AJ1262" s="215"/>
      <c r="AK1262" s="215"/>
      <c r="AL1262" s="215"/>
      <c r="AM1262" s="215"/>
      <c r="AN1262" s="215"/>
      <c r="AO1262" s="215"/>
      <c r="AP1262" s="215"/>
      <c r="AQ1262" s="215"/>
      <c r="AR1262" s="215"/>
      <c r="AS1262" s="215"/>
      <c r="AT1262" s="215"/>
      <c r="AU1262" s="215"/>
      <c r="AV1262" s="215"/>
      <c r="AW1262" s="215"/>
      <c r="AX1262" s="215"/>
      <c r="AY1262" s="215"/>
      <c r="AZ1262" s="215"/>
      <c r="BA1262" s="215"/>
      <c r="BB1262" s="215"/>
      <c r="BC1262" s="215"/>
      <c r="BD1262" s="215"/>
      <c r="BE1262" s="215"/>
      <c r="BF1262" s="215"/>
      <c r="BG1262" s="215"/>
      <c r="BH1262" s="215"/>
      <c r="BI1262" s="215"/>
      <c r="BJ1262" s="215"/>
      <c r="BK1262" s="215"/>
      <c r="BL1262" s="215"/>
      <c r="BM1262" s="215"/>
      <c r="BN1262" s="215"/>
      <c r="BO1262" s="215"/>
      <c r="BP1262" s="215"/>
      <c r="BQ1262" s="215"/>
      <c r="BR1262" s="215"/>
      <c r="BS1262" s="215"/>
      <c r="BT1262" s="215"/>
      <c r="BU1262" s="215"/>
      <c r="BV1262" s="215"/>
      <c r="BW1262" s="215"/>
      <c r="BX1262" s="215"/>
      <c r="BY1262" s="215"/>
      <c r="BZ1262" s="215"/>
    </row>
    <row r="1263" spans="1:78" x14ac:dyDescent="0.2">
      <c r="A1263" s="53" t="str">
        <f>'Language Index'!A728</f>
        <v>Gross Margin (%)</v>
      </c>
      <c r="B1263" s="17"/>
      <c r="C1263" s="17"/>
      <c r="D1263" s="18">
        <f>_xll.ciqfunctions.udf.CIQ($C$2, "IQ_GROSS_MARGIN", D$6,$F$2)</f>
        <v>54.641800000000003</v>
      </c>
      <c r="E1263" s="18">
        <f>_xll.ciqfunctions.udf.CIQ($C$2, "IQ_GROSS_MARGIN", E$6,$F$2)</f>
        <v>55.035800000000002</v>
      </c>
      <c r="F1263" s="18">
        <f>_xll.ciqfunctions.udf.CIQ($C$2, "IQ_GROSS_MARGIN", F$6,$F$2)</f>
        <v>55.447699999999998</v>
      </c>
      <c r="G1263" s="18">
        <f>_xll.ciqfunctions.udf.CIQ($C$2, "IQ_GROSS_MARGIN", G$6,$F$2)</f>
        <v>55.6355</v>
      </c>
      <c r="H1263" s="18">
        <f>_xll.ciqfunctions.udf.CIQ($C$2, "IQ_GROSS_MARGIN", H$6,$F$2)</f>
        <v>56.0914</v>
      </c>
      <c r="I1263" s="18">
        <f>_xll.ciqfunctions.udf.CIQ($C$2, "IQ_GROSS_MARGIN", I$6,$F$2)</f>
        <v>56.533999999999999</v>
      </c>
      <c r="J1263" s="18">
        <f>_xll.ciqfunctions.udf.CIQ($C$2, "IQ_GROSS_MARGIN", J$6,$F$2)</f>
        <v>56.653799999999997</v>
      </c>
      <c r="K1263" s="18">
        <f>_xll.ciqfunctions.udf.CIQ($C$2, "IQ_GROSS_MARGIN", K$6,$F$2)</f>
        <v>57.040900000000001</v>
      </c>
      <c r="L1263" s="18">
        <f>_xll.ciqfunctions.udf.CIQ($C$2, "IQ_GROSS_MARGIN", L$6,$F$2)</f>
        <v>57.5702</v>
      </c>
      <c r="M1263" s="18">
        <f>_xll.ciqfunctions.udf.CIQ($C$2, "IQ_GROSS_MARGIN", M$6,$F$2)</f>
        <v>57.808599999999998</v>
      </c>
      <c r="N1263" s="18">
        <f>_xll.ciqfunctions.udf.CIQ($C$2, "IQ_GROSS_MARGIN", N$6,$F$2)</f>
        <v>58.186100000000003</v>
      </c>
      <c r="O1263" s="18"/>
      <c r="P1263" s="18">
        <f>_xll.ciqfunctions.udf.CIQ($C$2, "IQ_GROSS_MARGIN", P$6,$F$2)</f>
        <v>58.186100000000003</v>
      </c>
      <c r="Q1263" s="215"/>
      <c r="R1263" s="215"/>
      <c r="S1263" s="215"/>
      <c r="T1263" s="215"/>
      <c r="U1263" s="215"/>
      <c r="V1263" s="222"/>
      <c r="W1263" s="222"/>
      <c r="X1263" s="222"/>
      <c r="Y1263" s="215"/>
      <c r="Z1263" s="215"/>
      <c r="AA1263" s="215"/>
      <c r="AB1263" s="215"/>
      <c r="AC1263" s="215"/>
      <c r="AD1263" s="215"/>
      <c r="AE1263" s="215"/>
      <c r="AF1263" s="215"/>
      <c r="AG1263" s="215"/>
      <c r="AH1263" s="215"/>
      <c r="AI1263" s="215"/>
      <c r="AJ1263" s="215"/>
      <c r="AK1263" s="215"/>
      <c r="AL1263" s="215"/>
      <c r="AM1263" s="215"/>
      <c r="AN1263" s="215"/>
      <c r="AO1263" s="215"/>
      <c r="AP1263" s="215"/>
      <c r="AQ1263" s="215"/>
      <c r="AR1263" s="215"/>
      <c r="AS1263" s="215"/>
      <c r="AT1263" s="215"/>
      <c r="AU1263" s="215"/>
      <c r="AV1263" s="215"/>
      <c r="AW1263" s="215"/>
      <c r="AX1263" s="215"/>
      <c r="AY1263" s="215"/>
      <c r="AZ1263" s="215"/>
      <c r="BA1263" s="215"/>
      <c r="BB1263" s="215"/>
      <c r="BC1263" s="215"/>
      <c r="BD1263" s="215"/>
      <c r="BE1263" s="215"/>
      <c r="BF1263" s="215"/>
      <c r="BG1263" s="215"/>
      <c r="BH1263" s="215"/>
      <c r="BI1263" s="215"/>
      <c r="BJ1263" s="215"/>
      <c r="BK1263" s="215"/>
      <c r="BL1263" s="215"/>
      <c r="BM1263" s="215"/>
      <c r="BN1263" s="215"/>
      <c r="BO1263" s="215"/>
      <c r="BP1263" s="215"/>
      <c r="BQ1263" s="215"/>
      <c r="BR1263" s="215"/>
      <c r="BS1263" s="215"/>
      <c r="BT1263" s="215"/>
      <c r="BU1263" s="215"/>
      <c r="BV1263" s="215"/>
      <c r="BW1263" s="215"/>
      <c r="BX1263" s="215"/>
      <c r="BY1263" s="215"/>
      <c r="BZ1263" s="215"/>
    </row>
    <row r="1264" spans="1:78" x14ac:dyDescent="0.2">
      <c r="A1264" s="53" t="str">
        <f>'Language Index'!A729</f>
        <v>EBITDA Margin (%)</v>
      </c>
      <c r="B1264" s="17"/>
      <c r="C1264" s="17"/>
      <c r="D1264" s="18">
        <f>_xll.ciqfunctions.udf.CIQ($C$2,  "IQ_EBITDA_MARGIN", D$6,$F$2)</f>
        <v>19.5654</v>
      </c>
      <c r="E1264" s="18">
        <f>_xll.ciqfunctions.udf.CIQ($C$2,  "IQ_EBITDA_MARGIN", E$6,$F$2)</f>
        <v>19.3506</v>
      </c>
      <c r="F1264" s="18">
        <f>_xll.ciqfunctions.udf.CIQ($C$2,  "IQ_EBITDA_MARGIN", F$6,$F$2)</f>
        <v>19.814</v>
      </c>
      <c r="G1264" s="18">
        <f>_xll.ciqfunctions.udf.CIQ($C$2,  "IQ_EBITDA_MARGIN", G$6,$F$2)</f>
        <v>20.3947</v>
      </c>
      <c r="H1264" s="18">
        <f>_xll.ciqfunctions.udf.CIQ($C$2,  "IQ_EBITDA_MARGIN", H$6,$F$2)</f>
        <v>20.421299999999999</v>
      </c>
      <c r="I1264" s="18">
        <f>_xll.ciqfunctions.udf.CIQ($C$2,  "IQ_EBITDA_MARGIN", I$6,$F$2)</f>
        <v>20.843699999999998</v>
      </c>
      <c r="J1264" s="18">
        <f>_xll.ciqfunctions.udf.CIQ($C$2,  "IQ_EBITDA_MARGIN", J$6,$F$2)</f>
        <v>20.534400000000002</v>
      </c>
      <c r="K1264" s="18">
        <f>_xll.ciqfunctions.udf.CIQ($C$2,  "IQ_EBITDA_MARGIN", K$6,$F$2)</f>
        <v>21.1373</v>
      </c>
      <c r="L1264" s="18">
        <f>_xll.ciqfunctions.udf.CIQ($C$2,  "IQ_EBITDA_MARGIN", L$6,$F$2)</f>
        <v>22.146999999999998</v>
      </c>
      <c r="M1264" s="18">
        <f>_xll.ciqfunctions.udf.CIQ($C$2,  "IQ_EBITDA_MARGIN", M$6,$F$2)</f>
        <v>22.999199999999998</v>
      </c>
      <c r="N1264" s="18">
        <f>_xll.ciqfunctions.udf.CIQ($C$2,  "IQ_EBITDA_MARGIN", N$6,$F$2)</f>
        <v>23.866099999999999</v>
      </c>
      <c r="O1264" s="18"/>
      <c r="P1264" s="18">
        <f>_xll.ciqfunctions.udf.CIQ($C$2,  "IQ_EBITDA_MARGIN", P$6,$F$2)</f>
        <v>23.866099999999999</v>
      </c>
      <c r="Q1264" s="215"/>
      <c r="R1264" s="215"/>
      <c r="S1264" s="215"/>
      <c r="T1264" s="215"/>
      <c r="U1264" s="215"/>
      <c r="V1264" s="222"/>
      <c r="W1264" s="222"/>
      <c r="X1264" s="222"/>
      <c r="Y1264" s="215"/>
      <c r="Z1264" s="215"/>
      <c r="AA1264" s="215"/>
      <c r="AB1264" s="215"/>
      <c r="AC1264" s="215"/>
      <c r="AD1264" s="215"/>
      <c r="AE1264" s="215"/>
      <c r="AF1264" s="215"/>
      <c r="AG1264" s="215"/>
      <c r="AH1264" s="215"/>
      <c r="AI1264" s="215"/>
      <c r="AJ1264" s="215"/>
      <c r="AK1264" s="215"/>
      <c r="AL1264" s="215"/>
      <c r="AM1264" s="215"/>
      <c r="AN1264" s="215"/>
      <c r="AO1264" s="215"/>
      <c r="AP1264" s="215"/>
      <c r="AQ1264" s="215"/>
      <c r="AR1264" s="215"/>
      <c r="AS1264" s="215"/>
      <c r="AT1264" s="215"/>
      <c r="AU1264" s="215"/>
      <c r="AV1264" s="215"/>
      <c r="AW1264" s="215"/>
      <c r="AX1264" s="215"/>
      <c r="AY1264" s="215"/>
      <c r="AZ1264" s="215"/>
      <c r="BA1264" s="215"/>
      <c r="BB1264" s="215"/>
      <c r="BC1264" s="215"/>
      <c r="BD1264" s="215"/>
      <c r="BE1264" s="215"/>
      <c r="BF1264" s="215"/>
      <c r="BG1264" s="215"/>
      <c r="BH1264" s="215"/>
      <c r="BI1264" s="215"/>
      <c r="BJ1264" s="215"/>
      <c r="BK1264" s="215"/>
      <c r="BL1264" s="215"/>
      <c r="BM1264" s="215"/>
      <c r="BN1264" s="215"/>
      <c r="BO1264" s="215"/>
      <c r="BP1264" s="215"/>
      <c r="BQ1264" s="215"/>
      <c r="BR1264" s="215"/>
      <c r="BS1264" s="215"/>
      <c r="BT1264" s="215"/>
      <c r="BU1264" s="215"/>
      <c r="BV1264" s="215"/>
      <c r="BW1264" s="215"/>
      <c r="BX1264" s="215"/>
      <c r="BY1264" s="215"/>
      <c r="BZ1264" s="215"/>
    </row>
    <row r="1265" spans="1:78" x14ac:dyDescent="0.2">
      <c r="A1265" s="53" t="str">
        <f>'Language Index'!A730</f>
        <v>EBIT Margin (%)</v>
      </c>
      <c r="B1265" s="17"/>
      <c r="C1265" s="17"/>
      <c r="D1265" s="18">
        <f>_xll.ciqfunctions.udf.CIQ($C$2, "IQ_EBIT_MARGIN", D$6,$F$2)</f>
        <v>14.1082</v>
      </c>
      <c r="E1265" s="18">
        <f>_xll.ciqfunctions.udf.CIQ($C$2, "IQ_EBIT_MARGIN", E$6,$F$2)</f>
        <v>15.180300000000001</v>
      </c>
      <c r="F1265" s="18">
        <f>_xll.ciqfunctions.udf.CIQ($C$2, "IQ_EBIT_MARGIN", F$6,$F$2)</f>
        <v>15.2295</v>
      </c>
      <c r="G1265" s="18">
        <f>_xll.ciqfunctions.udf.CIQ($C$2, "IQ_EBIT_MARGIN", G$6,$F$2)</f>
        <v>16.0077</v>
      </c>
      <c r="H1265" s="18">
        <f>_xll.ciqfunctions.udf.CIQ($C$2, "IQ_EBIT_MARGIN", H$6,$F$2)</f>
        <v>16.040700000000001</v>
      </c>
      <c r="I1265" s="18">
        <f>_xll.ciqfunctions.udf.CIQ($C$2, "IQ_EBIT_MARGIN", I$6,$F$2)</f>
        <v>15.9443</v>
      </c>
      <c r="J1265" s="18">
        <f>_xll.ciqfunctions.udf.CIQ($C$2, "IQ_EBIT_MARGIN", J$6,$F$2)</f>
        <v>15.5976</v>
      </c>
      <c r="K1265" s="18">
        <f>_xll.ciqfunctions.udf.CIQ($C$2, "IQ_EBIT_MARGIN", K$6,$F$2)</f>
        <v>16.095300000000002</v>
      </c>
      <c r="L1265" s="18">
        <f>_xll.ciqfunctions.udf.CIQ($C$2, "IQ_EBIT_MARGIN", L$6,$F$2)</f>
        <v>16.98</v>
      </c>
      <c r="M1265" s="18">
        <f>_xll.ciqfunctions.udf.CIQ($C$2, "IQ_EBIT_MARGIN", M$6,$F$2)</f>
        <v>17.634</v>
      </c>
      <c r="N1265" s="18">
        <f>_xll.ciqfunctions.udf.CIQ($C$2, "IQ_EBIT_MARGIN", N$6,$F$2)</f>
        <v>18.6096</v>
      </c>
      <c r="O1265" s="18"/>
      <c r="P1265" s="18">
        <f>_xll.ciqfunctions.udf.CIQ($C$2, "IQ_EBIT_MARGIN", P$6,$F$2)</f>
        <v>18.6096</v>
      </c>
      <c r="Q1265" s="215"/>
      <c r="R1265" s="215"/>
      <c r="S1265" s="215"/>
      <c r="T1265" s="215"/>
      <c r="U1265" s="215"/>
      <c r="V1265" s="222"/>
      <c r="W1265" s="222"/>
      <c r="X1265" s="222"/>
      <c r="Y1265" s="215"/>
      <c r="Z1265" s="215"/>
      <c r="AA1265" s="215"/>
      <c r="AB1265" s="215"/>
      <c r="AC1265" s="215"/>
      <c r="AD1265" s="215"/>
      <c r="AE1265" s="215"/>
      <c r="AF1265" s="215"/>
      <c r="AG1265" s="215"/>
      <c r="AH1265" s="215"/>
      <c r="AI1265" s="215"/>
      <c r="AJ1265" s="215"/>
      <c r="AK1265" s="215"/>
      <c r="AL1265" s="215"/>
      <c r="AM1265" s="215"/>
      <c r="AN1265" s="215"/>
      <c r="AO1265" s="215"/>
      <c r="AP1265" s="215"/>
      <c r="AQ1265" s="215"/>
      <c r="AR1265" s="215"/>
      <c r="AS1265" s="215"/>
      <c r="AT1265" s="215"/>
      <c r="AU1265" s="215"/>
      <c r="AV1265" s="215"/>
      <c r="AW1265" s="215"/>
      <c r="AX1265" s="215"/>
      <c r="AY1265" s="215"/>
      <c r="AZ1265" s="215"/>
      <c r="BA1265" s="215"/>
      <c r="BB1265" s="215"/>
      <c r="BC1265" s="215"/>
      <c r="BD1265" s="215"/>
      <c r="BE1265" s="215"/>
      <c r="BF1265" s="215"/>
      <c r="BG1265" s="215"/>
      <c r="BH1265" s="215"/>
      <c r="BI1265" s="215"/>
      <c r="BJ1265" s="215"/>
      <c r="BK1265" s="215"/>
      <c r="BL1265" s="215"/>
      <c r="BM1265" s="215"/>
      <c r="BN1265" s="215"/>
      <c r="BO1265" s="215"/>
      <c r="BP1265" s="215"/>
      <c r="BQ1265" s="215"/>
      <c r="BR1265" s="215"/>
      <c r="BS1265" s="215"/>
      <c r="BT1265" s="215"/>
      <c r="BU1265" s="215"/>
      <c r="BV1265" s="215"/>
      <c r="BW1265" s="215"/>
      <c r="BX1265" s="215"/>
      <c r="BY1265" s="215"/>
      <c r="BZ1265" s="215"/>
    </row>
    <row r="1266" spans="1:78" x14ac:dyDescent="0.2">
      <c r="A1266" s="53" t="str">
        <f>'Language Index'!A731</f>
        <v>Net Income Margin (%)</v>
      </c>
      <c r="B1266" s="17"/>
      <c r="C1266" s="17"/>
      <c r="D1266" s="18">
        <f>_xll.ciqfunctions.udf.CIQ($C$2, "IQ_NI_MARGIN", D$6,$F$2)</f>
        <v>3.3456999999999999</v>
      </c>
      <c r="E1266" s="18">
        <f>_xll.ciqfunctions.udf.CIQ($C$2, "IQ_NI_MARGIN", E$6,$F$2)</f>
        <v>11.319000000000001</v>
      </c>
      <c r="F1266" s="18">
        <f>_xll.ciqfunctions.udf.CIQ($C$2, "IQ_NI_MARGIN", F$6,$F$2)</f>
        <v>12.1273</v>
      </c>
      <c r="G1266" s="18">
        <f>_xll.ciqfunctions.udf.CIQ($C$2, "IQ_NI_MARGIN", G$6,$F$2)</f>
        <v>13.178599999999999</v>
      </c>
      <c r="H1266" s="18">
        <f>_xll.ciqfunctions.udf.CIQ($C$2, "IQ_NI_MARGIN", H$6,$F$2)</f>
        <v>13.5169</v>
      </c>
      <c r="I1266" s="18">
        <f>_xll.ciqfunctions.udf.CIQ($C$2, "IQ_NI_MARGIN", I$6,$F$2)</f>
        <v>10.222099999999999</v>
      </c>
      <c r="J1266" s="18">
        <f>_xll.ciqfunctions.udf.CIQ($C$2, "IQ_NI_MARGIN", J$6,$F$2)</f>
        <v>9.5978999999999992</v>
      </c>
      <c r="K1266" s="18">
        <f>_xll.ciqfunctions.udf.CIQ($C$2, "IQ_NI_MARGIN", K$6,$F$2)</f>
        <v>8.7104999999999997</v>
      </c>
      <c r="L1266" s="18">
        <f>_xll.ciqfunctions.udf.CIQ($C$2, "IQ_NI_MARGIN", L$6,$F$2)</f>
        <v>9.1082999999999998</v>
      </c>
      <c r="M1266" s="18">
        <f>_xll.ciqfunctions.udf.CIQ($C$2, "IQ_NI_MARGIN", M$6,$F$2)</f>
        <v>12.0898</v>
      </c>
      <c r="N1266" s="18">
        <f>_xll.ciqfunctions.udf.CIQ($C$2, "IQ_NI_MARGIN", N$6,$F$2)</f>
        <v>15.6852</v>
      </c>
      <c r="O1266" s="18"/>
      <c r="P1266" s="18">
        <f>_xll.ciqfunctions.udf.CIQ($C$2, "IQ_NI_MARGIN", P$6,$F$2)</f>
        <v>15.6852</v>
      </c>
      <c r="Q1266" s="215"/>
      <c r="R1266" s="215"/>
      <c r="S1266" s="215"/>
      <c r="T1266" s="215"/>
      <c r="U1266" s="215"/>
      <c r="V1266" s="222"/>
      <c r="W1266" s="222"/>
      <c r="X1266" s="222"/>
      <c r="Y1266" s="215"/>
      <c r="Z1266" s="215"/>
      <c r="AA1266" s="215"/>
      <c r="AB1266" s="215"/>
      <c r="AC1266" s="215"/>
      <c r="AD1266" s="215"/>
      <c r="AE1266" s="215"/>
      <c r="AF1266" s="215"/>
      <c r="AG1266" s="215"/>
      <c r="AH1266" s="215"/>
      <c r="AI1266" s="215"/>
      <c r="AJ1266" s="215"/>
      <c r="AK1266" s="215"/>
      <c r="AL1266" s="215"/>
      <c r="AM1266" s="215"/>
      <c r="AN1266" s="215"/>
      <c r="AO1266" s="215"/>
      <c r="AP1266" s="215"/>
      <c r="AQ1266" s="215"/>
      <c r="AR1266" s="215"/>
      <c r="AS1266" s="215"/>
      <c r="AT1266" s="215"/>
      <c r="AU1266" s="215"/>
      <c r="AV1266" s="215"/>
      <c r="AW1266" s="215"/>
      <c r="AX1266" s="215"/>
      <c r="AY1266" s="215"/>
      <c r="AZ1266" s="215"/>
      <c r="BA1266" s="215"/>
      <c r="BB1266" s="215"/>
      <c r="BC1266" s="215"/>
      <c r="BD1266" s="215"/>
      <c r="BE1266" s="215"/>
      <c r="BF1266" s="215"/>
      <c r="BG1266" s="215"/>
      <c r="BH1266" s="215"/>
      <c r="BI1266" s="215"/>
      <c r="BJ1266" s="215"/>
      <c r="BK1266" s="215"/>
      <c r="BL1266" s="215"/>
      <c r="BM1266" s="215"/>
      <c r="BN1266" s="215"/>
      <c r="BO1266" s="215"/>
      <c r="BP1266" s="215"/>
      <c r="BQ1266" s="215"/>
      <c r="BR1266" s="215"/>
      <c r="BS1266" s="215"/>
      <c r="BT1266" s="215"/>
      <c r="BU1266" s="215"/>
      <c r="BV1266" s="215"/>
      <c r="BW1266" s="215"/>
      <c r="BX1266" s="215"/>
      <c r="BY1266" s="215"/>
      <c r="BZ1266" s="215"/>
    </row>
    <row r="1267" spans="1:78" x14ac:dyDescent="0.2">
      <c r="A1267" s="53" t="str">
        <f>'Language Index'!A732</f>
        <v>Capex as % of Revenues</v>
      </c>
      <c r="B1267" s="17"/>
      <c r="C1267" s="17"/>
      <c r="D1267" s="58">
        <f>_xll.ciqfunctions.udf.CIQ($C$2, "IQ_CAPEX_PCT_REV", D$6,$F$2)</f>
        <v>2.2965</v>
      </c>
      <c r="E1267" s="58">
        <f>_xll.ciqfunctions.udf.CIQ($C$2, "IQ_CAPEX_PCT_REV", E$6,$F$2)</f>
        <v>2.2134</v>
      </c>
      <c r="F1267" s="58">
        <f>_xll.ciqfunctions.udf.CIQ($C$2, "IQ_CAPEX_PCT_REV", F$6,$F$2)</f>
        <v>2.0125999999999999</v>
      </c>
      <c r="G1267" s="58">
        <f>_xll.ciqfunctions.udf.CIQ($C$2, "IQ_CAPEX_PCT_REV", G$6,$F$2)</f>
        <v>1.9075</v>
      </c>
      <c r="H1267" s="58">
        <f>_xll.ciqfunctions.udf.CIQ($C$2, "IQ_CAPEX_PCT_REV", H$6,$F$2)</f>
        <v>1.6675</v>
      </c>
      <c r="I1267" s="58">
        <f>_xll.ciqfunctions.udf.CIQ($C$2, "IQ_CAPEX_PCT_REV", I$6,$F$2)</f>
        <v>1.6698</v>
      </c>
      <c r="J1267" s="58">
        <f>_xll.ciqfunctions.udf.CIQ($C$2, "IQ_CAPEX_PCT_REV", J$6,$F$2)</f>
        <v>1.67</v>
      </c>
      <c r="K1267" s="58">
        <f>_xll.ciqfunctions.udf.CIQ($C$2, "IQ_CAPEX_PCT_REV", K$6,$F$2)</f>
        <v>1.6758</v>
      </c>
      <c r="L1267" s="58">
        <f>_xll.ciqfunctions.udf.CIQ($C$2, "IQ_CAPEX_PCT_REV", L$6,$F$2)</f>
        <v>1.6286</v>
      </c>
      <c r="M1267" s="58">
        <f>_xll.ciqfunctions.udf.CIQ($C$2, "IQ_CAPEX_PCT_REV", M$6,$F$2)</f>
        <v>1.5472999999999999</v>
      </c>
      <c r="N1267" s="58">
        <f>_xll.ciqfunctions.udf.CIQ($C$2, "IQ_CAPEX_PCT_REV", N$6,$F$2)</f>
        <v>1.6153999999999999</v>
      </c>
      <c r="O1267" s="18"/>
      <c r="P1267" s="58">
        <f>_xll.ciqfunctions.udf.CIQ($C$2, "IQ_CAPEX_PCT_REV", P$6,$F$2)</f>
        <v>1.6153999999999999</v>
      </c>
      <c r="Q1267" s="215"/>
      <c r="R1267" s="215"/>
      <c r="S1267" s="215"/>
      <c r="T1267" s="215"/>
      <c r="U1267" s="215"/>
      <c r="V1267" s="222"/>
      <c r="W1267" s="222"/>
      <c r="X1267" s="222"/>
      <c r="Y1267" s="215"/>
      <c r="Z1267" s="215"/>
      <c r="AA1267" s="215"/>
      <c r="AB1267" s="215"/>
      <c r="AC1267" s="215"/>
      <c r="AD1267" s="215"/>
      <c r="AE1267" s="215"/>
      <c r="AF1267" s="215"/>
      <c r="AG1267" s="215"/>
      <c r="AH1267" s="215"/>
      <c r="AI1267" s="215"/>
      <c r="AJ1267" s="215"/>
      <c r="AK1267" s="215"/>
      <c r="AL1267" s="215"/>
      <c r="AM1267" s="215"/>
      <c r="AN1267" s="215"/>
      <c r="AO1267" s="215"/>
      <c r="AP1267" s="215"/>
      <c r="AQ1267" s="215"/>
      <c r="AR1267" s="215"/>
      <c r="AS1267" s="215"/>
      <c r="AT1267" s="215"/>
      <c r="AU1267" s="215"/>
      <c r="AV1267" s="215"/>
      <c r="AW1267" s="215"/>
      <c r="AX1267" s="215"/>
      <c r="AY1267" s="215"/>
      <c r="AZ1267" s="215"/>
      <c r="BA1267" s="215"/>
      <c r="BB1267" s="215"/>
      <c r="BC1267" s="215"/>
      <c r="BD1267" s="215"/>
      <c r="BE1267" s="215"/>
      <c r="BF1267" s="215"/>
      <c r="BG1267" s="215"/>
      <c r="BH1267" s="215"/>
      <c r="BI1267" s="215"/>
      <c r="BJ1267" s="215"/>
      <c r="BK1267" s="215"/>
      <c r="BL1267" s="215"/>
      <c r="BM1267" s="215"/>
      <c r="BN1267" s="215"/>
      <c r="BO1267" s="215"/>
      <c r="BP1267" s="215"/>
      <c r="BQ1267" s="215"/>
      <c r="BR1267" s="215"/>
      <c r="BS1267" s="215"/>
      <c r="BT1267" s="215"/>
      <c r="BU1267" s="215"/>
      <c r="BV1267" s="215"/>
      <c r="BW1267" s="215"/>
      <c r="BX1267" s="215"/>
      <c r="BY1267" s="215"/>
      <c r="BZ1267" s="215"/>
    </row>
    <row r="1268" spans="1:78" x14ac:dyDescent="0.2">
      <c r="A1268" s="17"/>
      <c r="B1268" s="17"/>
      <c r="C1268" s="17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18"/>
      <c r="P1268" s="58"/>
      <c r="Q1268" s="215"/>
      <c r="R1268" s="215"/>
      <c r="S1268" s="215"/>
      <c r="T1268" s="215"/>
      <c r="U1268" s="215"/>
      <c r="V1268" s="222"/>
      <c r="W1268" s="222"/>
      <c r="X1268" s="222"/>
      <c r="Y1268" s="215"/>
      <c r="Z1268" s="215"/>
      <c r="AA1268" s="215"/>
      <c r="AB1268" s="215"/>
      <c r="AC1268" s="215"/>
      <c r="AD1268" s="215"/>
      <c r="AE1268" s="215"/>
      <c r="AF1268" s="215"/>
      <c r="AG1268" s="215"/>
      <c r="AH1268" s="215"/>
      <c r="AI1268" s="215"/>
      <c r="AJ1268" s="215"/>
      <c r="AK1268" s="215"/>
      <c r="AL1268" s="215"/>
      <c r="AM1268" s="215"/>
      <c r="AN1268" s="215"/>
      <c r="AO1268" s="215"/>
      <c r="AP1268" s="215"/>
      <c r="AQ1268" s="215"/>
      <c r="AR1268" s="215"/>
      <c r="AS1268" s="215"/>
      <c r="AT1268" s="215"/>
      <c r="AU1268" s="215"/>
      <c r="AV1268" s="215"/>
      <c r="AW1268" s="215"/>
      <c r="AX1268" s="215"/>
      <c r="AY1268" s="215"/>
      <c r="AZ1268" s="215"/>
      <c r="BA1268" s="215"/>
      <c r="BB1268" s="215"/>
      <c r="BC1268" s="215"/>
      <c r="BD1268" s="215"/>
      <c r="BE1268" s="215"/>
      <c r="BF1268" s="215"/>
      <c r="BG1268" s="215"/>
      <c r="BH1268" s="215"/>
      <c r="BI1268" s="215"/>
      <c r="BJ1268" s="215"/>
      <c r="BK1268" s="215"/>
      <c r="BL1268" s="215"/>
      <c r="BM1268" s="215"/>
      <c r="BN1268" s="215"/>
      <c r="BO1268" s="215"/>
      <c r="BP1268" s="215"/>
      <c r="BQ1268" s="215"/>
      <c r="BR1268" s="215"/>
      <c r="BS1268" s="215"/>
      <c r="BT1268" s="215"/>
      <c r="BU1268" s="215"/>
      <c r="BV1268" s="215"/>
      <c r="BW1268" s="215"/>
      <c r="BX1268" s="215"/>
      <c r="BY1268" s="215"/>
      <c r="BZ1268" s="215"/>
    </row>
    <row r="1269" spans="1:78" x14ac:dyDescent="0.2">
      <c r="A1269" s="6" t="str">
        <f>'Language Index'!A733</f>
        <v>ASSET TURNOVER</v>
      </c>
      <c r="B1269" s="17"/>
      <c r="C1269" s="17"/>
      <c r="D1269" s="57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57"/>
      <c r="P1269" s="57"/>
      <c r="Q1269" s="215"/>
      <c r="R1269" s="215"/>
      <c r="S1269" s="215"/>
      <c r="T1269" s="215"/>
      <c r="U1269" s="215"/>
      <c r="V1269" s="222"/>
      <c r="W1269" s="222"/>
      <c r="X1269" s="222"/>
      <c r="Y1269" s="215"/>
      <c r="Z1269" s="215"/>
      <c r="AA1269" s="215"/>
      <c r="AB1269" s="215"/>
      <c r="AC1269" s="215"/>
      <c r="AD1269" s="215"/>
      <c r="AE1269" s="215"/>
      <c r="AF1269" s="215"/>
      <c r="AG1269" s="215"/>
      <c r="AH1269" s="215"/>
      <c r="AI1269" s="215"/>
      <c r="AJ1269" s="215"/>
      <c r="AK1269" s="215"/>
      <c r="AL1269" s="215"/>
      <c r="AM1269" s="215"/>
      <c r="AN1269" s="215"/>
      <c r="AO1269" s="215"/>
      <c r="AP1269" s="215"/>
      <c r="AQ1269" s="215"/>
      <c r="AR1269" s="215"/>
      <c r="AS1269" s="215"/>
      <c r="AT1269" s="215"/>
      <c r="AU1269" s="215"/>
      <c r="AV1269" s="215"/>
      <c r="AW1269" s="215"/>
      <c r="AX1269" s="215"/>
      <c r="AY1269" s="215"/>
      <c r="AZ1269" s="215"/>
      <c r="BA1269" s="215"/>
      <c r="BB1269" s="215"/>
      <c r="BC1269" s="215"/>
      <c r="BD1269" s="215"/>
      <c r="BE1269" s="215"/>
      <c r="BF1269" s="215"/>
      <c r="BG1269" s="215"/>
      <c r="BH1269" s="215"/>
      <c r="BI1269" s="215"/>
      <c r="BJ1269" s="215"/>
      <c r="BK1269" s="215"/>
      <c r="BL1269" s="215"/>
      <c r="BM1269" s="215"/>
      <c r="BN1269" s="215"/>
      <c r="BO1269" s="215"/>
      <c r="BP1269" s="215"/>
      <c r="BQ1269" s="215"/>
      <c r="BR1269" s="215"/>
      <c r="BS1269" s="215"/>
      <c r="BT1269" s="215"/>
      <c r="BU1269" s="215"/>
      <c r="BV1269" s="215"/>
      <c r="BW1269" s="215"/>
      <c r="BX1269" s="215"/>
      <c r="BY1269" s="215"/>
      <c r="BZ1269" s="215"/>
    </row>
    <row r="1270" spans="1:78" x14ac:dyDescent="0.2">
      <c r="A1270" s="53" t="str">
        <f>'Language Index'!A734</f>
        <v>Total Asset Turnover</v>
      </c>
      <c r="B1270" s="17"/>
      <c r="C1270" s="17"/>
      <c r="D1270" s="55">
        <f>_xll.ciqfunctions.udf.CIQ($C$2, "IQ_ASSET_TURNS", D$6,$F$2)</f>
        <v>0.46609</v>
      </c>
      <c r="E1270" s="55">
        <f>_xll.ciqfunctions.udf.CIQ($C$2, "IQ_ASSET_TURNS", E$6,$F$2)</f>
        <v>0.47944999999999999</v>
      </c>
      <c r="F1270" s="55">
        <f>_xll.ciqfunctions.udf.CIQ($C$2, "IQ_ASSET_TURNS", F$6,$F$2)</f>
        <v>0.47133999999999998</v>
      </c>
      <c r="G1270" s="55">
        <f>_xll.ciqfunctions.udf.CIQ($C$2, "IQ_ASSET_TURNS", G$6,$F$2)</f>
        <v>0.45840999999999998</v>
      </c>
      <c r="H1270" s="55">
        <f>_xll.ciqfunctions.udf.CIQ($C$2, "IQ_ASSET_TURNS", H$6,$F$2)</f>
        <v>0.46881</v>
      </c>
      <c r="I1270" s="55">
        <f>_xll.ciqfunctions.udf.CIQ($C$2, "IQ_ASSET_TURNS", I$6,$F$2)</f>
        <v>0.47470000000000001</v>
      </c>
      <c r="J1270" s="55">
        <f>_xll.ciqfunctions.udf.CIQ($C$2, "IQ_ASSET_TURNS", J$6,$F$2)</f>
        <v>0.46071000000000001</v>
      </c>
      <c r="K1270" s="55">
        <f>_xll.ciqfunctions.udf.CIQ($C$2, "IQ_ASSET_TURNS", K$6,$F$2)</f>
        <v>0.44429999999999997</v>
      </c>
      <c r="L1270" s="55">
        <f>_xll.ciqfunctions.udf.CIQ($C$2, "IQ_ASSET_TURNS", L$6,$F$2)</f>
        <v>0.45349</v>
      </c>
      <c r="M1270" s="55">
        <f>_xll.ciqfunctions.udf.CIQ($C$2, "IQ_ASSET_TURNS", M$6,$F$2)</f>
        <v>0.46606999999999998</v>
      </c>
      <c r="N1270" s="55">
        <f>_xll.ciqfunctions.udf.CIQ($C$2, "IQ_ASSET_TURNS", N$6,$F$2)</f>
        <v>0.46727999999999997</v>
      </c>
      <c r="O1270" s="55"/>
      <c r="P1270" s="55">
        <f>_xll.ciqfunctions.udf.CIQ($C$2, "IQ_ASSET_TURNS", P$6,$F$2)</f>
        <v>0.46727999999999997</v>
      </c>
      <c r="Q1270" s="215"/>
      <c r="R1270" s="215"/>
      <c r="S1270" s="215"/>
      <c r="T1270" s="215"/>
      <c r="U1270" s="215"/>
      <c r="V1270" s="222"/>
      <c r="W1270" s="222"/>
      <c r="X1270" s="222"/>
      <c r="Y1270" s="215"/>
      <c r="Z1270" s="215"/>
      <c r="AA1270" s="215"/>
      <c r="AB1270" s="215"/>
      <c r="AC1270" s="215"/>
      <c r="AD1270" s="215"/>
      <c r="AE1270" s="215"/>
      <c r="AF1270" s="215"/>
      <c r="AG1270" s="215"/>
      <c r="AH1270" s="215"/>
      <c r="AI1270" s="215"/>
      <c r="AJ1270" s="215"/>
      <c r="AK1270" s="215"/>
      <c r="AL1270" s="215"/>
      <c r="AM1270" s="215"/>
      <c r="AN1270" s="215"/>
      <c r="AO1270" s="215"/>
      <c r="AP1270" s="215"/>
      <c r="AQ1270" s="215"/>
      <c r="AR1270" s="215"/>
      <c r="AS1270" s="215"/>
      <c r="AT1270" s="215"/>
      <c r="AU1270" s="215"/>
      <c r="AV1270" s="215"/>
      <c r="AW1270" s="215"/>
      <c r="AX1270" s="215"/>
      <c r="AY1270" s="215"/>
      <c r="AZ1270" s="215"/>
      <c r="BA1270" s="215"/>
      <c r="BB1270" s="215"/>
      <c r="BC1270" s="215"/>
      <c r="BD1270" s="215"/>
      <c r="BE1270" s="215"/>
      <c r="BF1270" s="215"/>
      <c r="BG1270" s="215"/>
      <c r="BH1270" s="215"/>
      <c r="BI1270" s="215"/>
      <c r="BJ1270" s="215"/>
      <c r="BK1270" s="215"/>
      <c r="BL1270" s="215"/>
      <c r="BM1270" s="215"/>
      <c r="BN1270" s="215"/>
      <c r="BO1270" s="215"/>
      <c r="BP1270" s="215"/>
      <c r="BQ1270" s="215"/>
      <c r="BR1270" s="215"/>
      <c r="BS1270" s="215"/>
      <c r="BT1270" s="215"/>
      <c r="BU1270" s="215"/>
      <c r="BV1270" s="215"/>
      <c r="BW1270" s="215"/>
      <c r="BX1270" s="215"/>
      <c r="BY1270" s="215"/>
      <c r="BZ1270" s="215"/>
    </row>
    <row r="1271" spans="1:78" x14ac:dyDescent="0.2">
      <c r="A1271" s="53" t="str">
        <f>'Language Index'!A735</f>
        <v>Fixed Asset Turnover</v>
      </c>
      <c r="B1271" s="17"/>
      <c r="C1271" s="17"/>
      <c r="D1271" s="55">
        <f>_xll.ciqfunctions.udf.CIQ($C$2,  "IQ_FIXED_ASSET_TURNS", D$6,$F$2)</f>
        <v>7.46347</v>
      </c>
      <c r="E1271" s="55">
        <f>_xll.ciqfunctions.udf.CIQ($C$2,  "IQ_FIXED_ASSET_TURNS", E$6,$F$2)</f>
        <v>7.47309</v>
      </c>
      <c r="F1271" s="55">
        <f>_xll.ciqfunctions.udf.CIQ($C$2,  "IQ_FIXED_ASSET_TURNS", F$6,$F$2)</f>
        <v>7.3064400000000003</v>
      </c>
      <c r="G1271" s="55">
        <f>_xll.ciqfunctions.udf.CIQ($C$2,  "IQ_FIXED_ASSET_TURNS", G$6,$F$2)</f>
        <v>7.3321100000000001</v>
      </c>
      <c r="H1271" s="55">
        <f>_xll.ciqfunctions.udf.CIQ($C$2,  "IQ_FIXED_ASSET_TURNS", H$6,$F$2)</f>
        <v>7.4130500000000001</v>
      </c>
      <c r="I1271" s="55">
        <f>_xll.ciqfunctions.udf.CIQ($C$2,  "IQ_FIXED_ASSET_TURNS", I$6,$F$2)</f>
        <v>7.1724899999999998</v>
      </c>
      <c r="J1271" s="55">
        <f>_xll.ciqfunctions.udf.CIQ($C$2,  "IQ_FIXED_ASSET_TURNS", J$6,$F$2)</f>
        <v>7.1108200000000004</v>
      </c>
      <c r="K1271" s="55">
        <f>_xll.ciqfunctions.udf.CIQ($C$2,  "IQ_FIXED_ASSET_TURNS", K$6,$F$2)</f>
        <v>7.0348800000000002</v>
      </c>
      <c r="L1271" s="55">
        <f>_xll.ciqfunctions.udf.CIQ($C$2,  "IQ_FIXED_ASSET_TURNS", L$6,$F$2)</f>
        <v>7.1207000000000003</v>
      </c>
      <c r="M1271" s="55">
        <f>_xll.ciqfunctions.udf.CIQ($C$2,  "IQ_FIXED_ASSET_TURNS", M$6,$F$2)</f>
        <v>7.2495700000000003</v>
      </c>
      <c r="N1271" s="55">
        <f>_xll.ciqfunctions.udf.CIQ($C$2,  "IQ_FIXED_ASSET_TURNS", N$6,$F$2)</f>
        <v>7.5218600000000002</v>
      </c>
      <c r="O1271" s="55"/>
      <c r="P1271" s="55">
        <f>_xll.ciqfunctions.udf.CIQ($C$2,  "IQ_FIXED_ASSET_TURNS", P$6,$F$2)</f>
        <v>7.5218600000000002</v>
      </c>
      <c r="Q1271" s="215"/>
      <c r="R1271" s="215"/>
      <c r="S1271" s="215"/>
      <c r="T1271" s="215"/>
      <c r="U1271" s="215"/>
      <c r="V1271" s="222"/>
      <c r="W1271" s="222"/>
      <c r="X1271" s="222"/>
      <c r="Y1271" s="215"/>
      <c r="Z1271" s="215"/>
      <c r="AA1271" s="215"/>
      <c r="AB1271" s="215"/>
      <c r="AC1271" s="215"/>
      <c r="AD1271" s="215"/>
      <c r="AE1271" s="215"/>
      <c r="AF1271" s="215"/>
      <c r="AG1271" s="215"/>
      <c r="AH1271" s="215"/>
      <c r="AI1271" s="215"/>
      <c r="AJ1271" s="215"/>
      <c r="AK1271" s="215"/>
      <c r="AL1271" s="215"/>
      <c r="AM1271" s="215"/>
      <c r="AN1271" s="215"/>
      <c r="AO1271" s="215"/>
      <c r="AP1271" s="215"/>
      <c r="AQ1271" s="215"/>
      <c r="AR1271" s="215"/>
      <c r="AS1271" s="215"/>
      <c r="AT1271" s="215"/>
      <c r="AU1271" s="215"/>
      <c r="AV1271" s="215"/>
      <c r="AW1271" s="215"/>
      <c r="AX1271" s="215"/>
      <c r="AY1271" s="215"/>
      <c r="AZ1271" s="215"/>
      <c r="BA1271" s="215"/>
      <c r="BB1271" s="215"/>
      <c r="BC1271" s="215"/>
      <c r="BD1271" s="215"/>
      <c r="BE1271" s="215"/>
      <c r="BF1271" s="215"/>
      <c r="BG1271" s="215"/>
      <c r="BH1271" s="215"/>
      <c r="BI1271" s="215"/>
      <c r="BJ1271" s="215"/>
      <c r="BK1271" s="215"/>
      <c r="BL1271" s="215"/>
      <c r="BM1271" s="215"/>
      <c r="BN1271" s="215"/>
      <c r="BO1271" s="215"/>
      <c r="BP1271" s="215"/>
      <c r="BQ1271" s="215"/>
      <c r="BR1271" s="215"/>
      <c r="BS1271" s="215"/>
      <c r="BT1271" s="215"/>
      <c r="BU1271" s="215"/>
      <c r="BV1271" s="215"/>
      <c r="BW1271" s="215"/>
      <c r="BX1271" s="215"/>
      <c r="BY1271" s="215"/>
      <c r="BZ1271" s="215"/>
    </row>
    <row r="1272" spans="1:78" x14ac:dyDescent="0.2">
      <c r="A1272" s="53" t="str">
        <f>'Language Index'!A736</f>
        <v>Accounts Receivable Turnover</v>
      </c>
      <c r="B1272" s="17"/>
      <c r="C1272" s="17"/>
      <c r="D1272" s="55">
        <f>_xll.ciqfunctions.udf.CIQ($C$2, "IQ_AR_TURNS", D$6,$F$2)</f>
        <v>9.5537600000000005</v>
      </c>
      <c r="E1272" s="55">
        <f>_xll.ciqfunctions.udf.CIQ($C$2, "IQ_AR_TURNS", E$6,$F$2)</f>
        <v>10.21518</v>
      </c>
      <c r="F1272" s="55">
        <f>_xll.ciqfunctions.udf.CIQ($C$2, "IQ_AR_TURNS", F$6,$F$2)</f>
        <v>8.3025000000000002</v>
      </c>
      <c r="G1272" s="55">
        <f>_xll.ciqfunctions.udf.CIQ($C$2, "IQ_AR_TURNS", G$6,$F$2)</f>
        <v>9.5942399999999992</v>
      </c>
      <c r="H1272" s="55">
        <f>_xll.ciqfunctions.udf.CIQ($C$2, "IQ_AR_TURNS", H$6,$F$2)</f>
        <v>9.9197000000000006</v>
      </c>
      <c r="I1272" s="55">
        <f>_xll.ciqfunctions.udf.CIQ($C$2, "IQ_AR_TURNS", I$6,$F$2)</f>
        <v>10.534140000000001</v>
      </c>
      <c r="J1272" s="55">
        <f>_xll.ciqfunctions.udf.CIQ($C$2, "IQ_AR_TURNS", J$6,$F$2)</f>
        <v>8.2968700000000002</v>
      </c>
      <c r="K1272" s="55">
        <f>_xll.ciqfunctions.udf.CIQ($C$2, "IQ_AR_TURNS", K$6,$F$2)</f>
        <v>9.6392600000000002</v>
      </c>
      <c r="L1272" s="55">
        <f>_xll.ciqfunctions.udf.CIQ($C$2, "IQ_AR_TURNS", L$6,$F$2)</f>
        <v>9.9131300000000007</v>
      </c>
      <c r="M1272" s="55">
        <f>_xll.ciqfunctions.udf.CIQ($C$2, "IQ_AR_TURNS", M$6,$F$2)</f>
        <v>10.755470000000001</v>
      </c>
      <c r="N1272" s="55">
        <f>_xll.ciqfunctions.udf.CIQ($C$2, "IQ_AR_TURNS", N$6,$F$2)</f>
        <v>8.4390099999999997</v>
      </c>
      <c r="O1272" s="55"/>
      <c r="P1272" s="55">
        <f>_xll.ciqfunctions.udf.CIQ($C$2, "IQ_AR_TURNS", P$6,$F$2)</f>
        <v>8.4390099999999997</v>
      </c>
      <c r="Q1272" s="215"/>
      <c r="R1272" s="215"/>
      <c r="S1272" s="215"/>
      <c r="T1272" s="215"/>
      <c r="U1272" s="215"/>
      <c r="V1272" s="222"/>
      <c r="W1272" s="222"/>
      <c r="X1272" s="222"/>
      <c r="Y1272" s="215"/>
      <c r="Z1272" s="215"/>
      <c r="AA1272" s="215"/>
      <c r="AB1272" s="215"/>
      <c r="AC1272" s="215"/>
      <c r="AD1272" s="215"/>
      <c r="AE1272" s="215"/>
      <c r="AF1272" s="215"/>
      <c r="AG1272" s="215"/>
      <c r="AH1272" s="215"/>
      <c r="AI1272" s="215"/>
      <c r="AJ1272" s="215"/>
      <c r="AK1272" s="215"/>
      <c r="AL1272" s="215"/>
      <c r="AM1272" s="215"/>
      <c r="AN1272" s="215"/>
      <c r="AO1272" s="215"/>
      <c r="AP1272" s="215"/>
      <c r="AQ1272" s="215"/>
      <c r="AR1272" s="215"/>
      <c r="AS1272" s="215"/>
      <c r="AT1272" s="215"/>
      <c r="AU1272" s="215"/>
      <c r="AV1272" s="215"/>
      <c r="AW1272" s="215"/>
      <c r="AX1272" s="215"/>
      <c r="AY1272" s="215"/>
      <c r="AZ1272" s="215"/>
      <c r="BA1272" s="215"/>
      <c r="BB1272" s="215"/>
      <c r="BC1272" s="215"/>
      <c r="BD1272" s="215"/>
      <c r="BE1272" s="215"/>
      <c r="BF1272" s="215"/>
      <c r="BG1272" s="215"/>
      <c r="BH1272" s="215"/>
      <c r="BI1272" s="215"/>
      <c r="BJ1272" s="215"/>
      <c r="BK1272" s="215"/>
      <c r="BL1272" s="215"/>
      <c r="BM1272" s="215"/>
      <c r="BN1272" s="215"/>
      <c r="BO1272" s="215"/>
      <c r="BP1272" s="215"/>
      <c r="BQ1272" s="215"/>
      <c r="BR1272" s="215"/>
      <c r="BS1272" s="215"/>
      <c r="BT1272" s="215"/>
      <c r="BU1272" s="215"/>
      <c r="BV1272" s="215"/>
      <c r="BW1272" s="215"/>
      <c r="BX1272" s="215"/>
      <c r="BY1272" s="215"/>
      <c r="BZ1272" s="215"/>
    </row>
    <row r="1273" spans="1:78" x14ac:dyDescent="0.2">
      <c r="A1273" s="53" t="str">
        <f>'Language Index'!A737</f>
        <v>Inventory Turnover</v>
      </c>
      <c r="B1273" s="17"/>
      <c r="C1273" s="17"/>
      <c r="D1273" s="55">
        <f>_xll.ciqfunctions.udf.CIQ($C$2,"IQ_INVENTORY_TURNS", D$6,$F$2)</f>
        <v>16.98367</v>
      </c>
      <c r="E1273" s="55">
        <f>_xll.ciqfunctions.udf.CIQ($C$2,"IQ_INVENTORY_TURNS", E$6,$F$2)</f>
        <v>16.98997</v>
      </c>
      <c r="F1273" s="55">
        <f>_xll.ciqfunctions.udf.CIQ($C$2,"IQ_INVENTORY_TURNS", F$6,$F$2)</f>
        <v>20.03539</v>
      </c>
      <c r="G1273" s="55">
        <f>_xll.ciqfunctions.udf.CIQ($C$2,"IQ_INVENTORY_TURNS", G$6,$F$2)</f>
        <v>19.300889999999999</v>
      </c>
      <c r="H1273" s="55">
        <f>_xll.ciqfunctions.udf.CIQ($C$2,"IQ_INVENTORY_TURNS", H$6,$F$2)</f>
        <v>19.757950000000001</v>
      </c>
      <c r="I1273" s="55">
        <f>_xll.ciqfunctions.udf.CIQ($C$2,"IQ_INVENTORY_TURNS", I$6,$F$2)</f>
        <v>19.403469999999999</v>
      </c>
      <c r="J1273" s="55">
        <f>_xll.ciqfunctions.udf.CIQ($C$2,"IQ_INVENTORY_TURNS", J$6,$F$2)</f>
        <v>21.903670000000002</v>
      </c>
      <c r="K1273" s="55">
        <f>_xll.ciqfunctions.udf.CIQ($C$2,"IQ_INVENTORY_TURNS", K$6,$F$2)</f>
        <v>20.14226</v>
      </c>
      <c r="L1273" s="55">
        <f>_xll.ciqfunctions.udf.CIQ($C$2,"IQ_INVENTORY_TURNS", L$6,$F$2)</f>
        <v>21.565390000000001</v>
      </c>
      <c r="M1273" s="55">
        <f>_xll.ciqfunctions.udf.CIQ($C$2,"IQ_INVENTORY_TURNS", M$6,$F$2)</f>
        <v>19.676670000000001</v>
      </c>
      <c r="N1273" s="55">
        <f>_xll.ciqfunctions.udf.CIQ($C$2,"IQ_INVENTORY_TURNS", N$6,$F$2)</f>
        <v>22.18892</v>
      </c>
      <c r="O1273" s="55"/>
      <c r="P1273" s="55">
        <f>_xll.ciqfunctions.udf.CIQ($C$2,"IQ_INVENTORY_TURNS", P$6,$F$2)</f>
        <v>22.18892</v>
      </c>
      <c r="Q1273" s="215"/>
      <c r="R1273" s="215"/>
      <c r="S1273" s="215"/>
      <c r="T1273" s="215"/>
      <c r="U1273" s="215"/>
      <c r="V1273" s="222"/>
      <c r="W1273" s="222"/>
      <c r="X1273" s="222"/>
      <c r="Y1273" s="215"/>
      <c r="Z1273" s="215"/>
      <c r="AA1273" s="215"/>
      <c r="AB1273" s="215"/>
      <c r="AC1273" s="215"/>
      <c r="AD1273" s="215"/>
      <c r="AE1273" s="215"/>
      <c r="AF1273" s="215"/>
      <c r="AG1273" s="215"/>
      <c r="AH1273" s="215"/>
      <c r="AI1273" s="215"/>
      <c r="AJ1273" s="215"/>
      <c r="AK1273" s="215"/>
      <c r="AL1273" s="215"/>
      <c r="AM1273" s="215"/>
      <c r="AN1273" s="215"/>
      <c r="AO1273" s="215"/>
      <c r="AP1273" s="215"/>
      <c r="AQ1273" s="215"/>
      <c r="AR1273" s="215"/>
      <c r="AS1273" s="215"/>
      <c r="AT1273" s="215"/>
      <c r="AU1273" s="215"/>
      <c r="AV1273" s="215"/>
      <c r="AW1273" s="215"/>
      <c r="AX1273" s="215"/>
      <c r="AY1273" s="215"/>
      <c r="AZ1273" s="215"/>
      <c r="BA1273" s="215"/>
      <c r="BB1273" s="215"/>
      <c r="BC1273" s="215"/>
      <c r="BD1273" s="215"/>
      <c r="BE1273" s="215"/>
      <c r="BF1273" s="215"/>
      <c r="BG1273" s="215"/>
      <c r="BH1273" s="215"/>
      <c r="BI1273" s="215"/>
      <c r="BJ1273" s="215"/>
      <c r="BK1273" s="215"/>
      <c r="BL1273" s="215"/>
      <c r="BM1273" s="215"/>
      <c r="BN1273" s="215"/>
      <c r="BO1273" s="215"/>
      <c r="BP1273" s="215"/>
      <c r="BQ1273" s="215"/>
      <c r="BR1273" s="215"/>
      <c r="BS1273" s="215"/>
      <c r="BT1273" s="215"/>
      <c r="BU1273" s="215"/>
      <c r="BV1273" s="215"/>
      <c r="BW1273" s="215"/>
      <c r="BX1273" s="215"/>
      <c r="BY1273" s="215"/>
      <c r="BZ1273" s="215"/>
    </row>
    <row r="1274" spans="1:78" x14ac:dyDescent="0.2">
      <c r="A1274" s="16"/>
      <c r="B1274" s="16"/>
      <c r="C1274" s="16"/>
      <c r="D1274" s="31"/>
      <c r="E1274" s="31"/>
      <c r="F1274" s="31"/>
      <c r="G1274" s="31"/>
      <c r="H1274" s="31"/>
      <c r="I1274" s="31"/>
      <c r="J1274" s="31"/>
      <c r="K1274" s="31"/>
      <c r="L1274" s="31"/>
      <c r="M1274" s="31"/>
      <c r="N1274" s="31"/>
      <c r="O1274" s="31"/>
      <c r="P1274" s="31"/>
      <c r="Q1274" s="215"/>
      <c r="R1274" s="215"/>
      <c r="S1274" s="215"/>
      <c r="T1274" s="215"/>
      <c r="U1274" s="215"/>
      <c r="V1274" s="222"/>
      <c r="W1274" s="222"/>
      <c r="X1274" s="222"/>
      <c r="Y1274" s="215"/>
      <c r="Z1274" s="215"/>
      <c r="AA1274" s="215"/>
      <c r="AB1274" s="215"/>
      <c r="AC1274" s="215"/>
      <c r="AD1274" s="215"/>
      <c r="AE1274" s="215"/>
      <c r="AF1274" s="215"/>
      <c r="AG1274" s="215"/>
      <c r="AH1274" s="215"/>
      <c r="AI1274" s="215"/>
      <c r="AJ1274" s="215"/>
      <c r="AK1274" s="215"/>
      <c r="AL1274" s="215"/>
      <c r="AM1274" s="215"/>
      <c r="AN1274" s="215"/>
      <c r="AO1274" s="215"/>
      <c r="AP1274" s="215"/>
      <c r="AQ1274" s="215"/>
      <c r="AR1274" s="215"/>
      <c r="AS1274" s="215"/>
      <c r="AT1274" s="215"/>
      <c r="AU1274" s="215"/>
      <c r="AV1274" s="215"/>
      <c r="AW1274" s="215"/>
      <c r="AX1274" s="215"/>
      <c r="AY1274" s="215"/>
      <c r="AZ1274" s="215"/>
      <c r="BA1274" s="215"/>
      <c r="BB1274" s="215"/>
      <c r="BC1274" s="215"/>
      <c r="BD1274" s="215"/>
      <c r="BE1274" s="215"/>
      <c r="BF1274" s="215"/>
      <c r="BG1274" s="215"/>
      <c r="BH1274" s="215"/>
      <c r="BI1274" s="215"/>
      <c r="BJ1274" s="215"/>
      <c r="BK1274" s="215"/>
      <c r="BL1274" s="215"/>
      <c r="BM1274" s="215"/>
      <c r="BN1274" s="215"/>
      <c r="BO1274" s="215"/>
      <c r="BP1274" s="215"/>
      <c r="BQ1274" s="215"/>
      <c r="BR1274" s="215"/>
      <c r="BS1274" s="215"/>
      <c r="BT1274" s="215"/>
      <c r="BU1274" s="215"/>
      <c r="BV1274" s="215"/>
      <c r="BW1274" s="215"/>
      <c r="BX1274" s="215"/>
      <c r="BY1274" s="215"/>
      <c r="BZ1274" s="215"/>
    </row>
    <row r="1275" spans="1:78" x14ac:dyDescent="0.2">
      <c r="A1275" s="6" t="str">
        <f>'Language Index'!A738</f>
        <v>SHORT-TERM LIQUIDITY</v>
      </c>
      <c r="B1275" s="17"/>
      <c r="C1275" s="17"/>
      <c r="D1275" s="57"/>
      <c r="E1275" s="57"/>
      <c r="F1275" s="57"/>
      <c r="G1275" s="57"/>
      <c r="H1275" s="57"/>
      <c r="I1275" s="57"/>
      <c r="J1275" s="57"/>
      <c r="K1275" s="57"/>
      <c r="L1275" s="57"/>
      <c r="M1275" s="57"/>
      <c r="N1275" s="57"/>
      <c r="O1275" s="57"/>
      <c r="P1275" s="57"/>
      <c r="Q1275" s="215"/>
      <c r="R1275" s="215"/>
      <c r="S1275" s="215"/>
      <c r="T1275" s="215"/>
      <c r="U1275" s="215"/>
      <c r="V1275" s="222"/>
      <c r="W1275" s="222"/>
      <c r="X1275" s="222"/>
      <c r="Y1275" s="215"/>
      <c r="Z1275" s="215"/>
      <c r="AA1275" s="215"/>
      <c r="AB1275" s="215"/>
      <c r="AC1275" s="215"/>
      <c r="AD1275" s="215"/>
      <c r="AE1275" s="215"/>
      <c r="AF1275" s="215"/>
      <c r="AG1275" s="215"/>
      <c r="AH1275" s="215"/>
      <c r="AI1275" s="215"/>
      <c r="AJ1275" s="215"/>
      <c r="AK1275" s="215"/>
      <c r="AL1275" s="215"/>
      <c r="AM1275" s="215"/>
      <c r="AN1275" s="215"/>
      <c r="AO1275" s="215"/>
      <c r="AP1275" s="215"/>
      <c r="AQ1275" s="215"/>
      <c r="AR1275" s="215"/>
      <c r="AS1275" s="215"/>
      <c r="AT1275" s="215"/>
      <c r="AU1275" s="215"/>
      <c r="AV1275" s="215"/>
      <c r="AW1275" s="215"/>
      <c r="AX1275" s="215"/>
      <c r="AY1275" s="215"/>
      <c r="AZ1275" s="215"/>
      <c r="BA1275" s="215"/>
      <c r="BB1275" s="215"/>
      <c r="BC1275" s="215"/>
      <c r="BD1275" s="215"/>
      <c r="BE1275" s="215"/>
      <c r="BF1275" s="215"/>
      <c r="BG1275" s="215"/>
      <c r="BH1275" s="215"/>
      <c r="BI1275" s="215"/>
      <c r="BJ1275" s="215"/>
      <c r="BK1275" s="215"/>
      <c r="BL1275" s="215"/>
      <c r="BM1275" s="215"/>
      <c r="BN1275" s="215"/>
      <c r="BO1275" s="215"/>
      <c r="BP1275" s="215"/>
      <c r="BQ1275" s="215"/>
      <c r="BR1275" s="215"/>
      <c r="BS1275" s="215"/>
      <c r="BT1275" s="215"/>
      <c r="BU1275" s="215"/>
      <c r="BV1275" s="215"/>
      <c r="BW1275" s="215"/>
      <c r="BX1275" s="215"/>
      <c r="BY1275" s="215"/>
      <c r="BZ1275" s="215"/>
    </row>
    <row r="1276" spans="1:78" x14ac:dyDescent="0.2">
      <c r="A1276" s="53" t="str">
        <f>'Language Index'!A739</f>
        <v>Current Ratio</v>
      </c>
      <c r="B1276" s="17"/>
      <c r="C1276" s="17"/>
      <c r="D1276" s="55">
        <f>_xll.ciqfunctions.udf.CIQ($C$2, "IQ_CURRENT_RATIO", D$6,$F$2)</f>
        <v>1.05982</v>
      </c>
      <c r="E1276" s="55">
        <f>_xll.ciqfunctions.udf.CIQ($C$2, "IQ_CURRENT_RATIO", E$6,$F$2)</f>
        <v>0.90520999999999996</v>
      </c>
      <c r="F1276" s="55">
        <f>_xll.ciqfunctions.udf.CIQ($C$2, "IQ_CURRENT_RATIO", F$6,$F$2)</f>
        <v>0.96442000000000005</v>
      </c>
      <c r="G1276" s="55">
        <f>_xll.ciqfunctions.udf.CIQ($C$2, "IQ_CURRENT_RATIO", G$6,$F$2)</f>
        <v>1.13168</v>
      </c>
      <c r="H1276" s="55">
        <f>_xll.ciqfunctions.udf.CIQ($C$2, "IQ_CURRENT_RATIO", H$6,$F$2)</f>
        <v>1.12314</v>
      </c>
      <c r="I1276" s="55">
        <f>_xll.ciqfunctions.udf.CIQ($C$2, "IQ_CURRENT_RATIO", I$6,$F$2)</f>
        <v>1.05857</v>
      </c>
      <c r="J1276" s="55">
        <f>_xll.ciqfunctions.udf.CIQ($C$2, "IQ_CURRENT_RATIO", J$6,$F$2)</f>
        <v>1.04043</v>
      </c>
      <c r="K1276" s="55">
        <f>_xll.ciqfunctions.udf.CIQ($C$2, "IQ_CURRENT_RATIO", K$6,$F$2)</f>
        <v>1.0065500000000001</v>
      </c>
      <c r="L1276" s="55">
        <f>_xll.ciqfunctions.udf.CIQ($C$2, "IQ_CURRENT_RATIO", L$6,$F$2)</f>
        <v>0.90793999999999997</v>
      </c>
      <c r="M1276" s="55">
        <f>_xll.ciqfunctions.udf.CIQ($C$2, "IQ_CURRENT_RATIO", M$6,$F$2)</f>
        <v>0.93164999999999998</v>
      </c>
      <c r="N1276" s="55">
        <f>_xll.ciqfunctions.udf.CIQ($C$2, "IQ_CURRENT_RATIO", N$6,$F$2)</f>
        <v>0.95565999999999995</v>
      </c>
      <c r="O1276" s="55"/>
      <c r="P1276" s="55">
        <f>_xll.ciqfunctions.udf.CIQ($C$2, "IQ_CURRENT_RATIO", P$6,$F$2)</f>
        <v>0.95565999999999995</v>
      </c>
      <c r="Q1276" s="215"/>
      <c r="R1276" s="215"/>
      <c r="S1276" s="215"/>
      <c r="T1276" s="215"/>
      <c r="U1276" s="215"/>
      <c r="V1276" s="222"/>
      <c r="W1276" s="222"/>
      <c r="X1276" s="222"/>
      <c r="Y1276" s="215"/>
      <c r="Z1276" s="215"/>
      <c r="AA1276" s="215"/>
      <c r="AB1276" s="215"/>
      <c r="AC1276" s="215"/>
      <c r="AD1276" s="215"/>
      <c r="AE1276" s="215"/>
      <c r="AF1276" s="215"/>
      <c r="AG1276" s="215"/>
      <c r="AH1276" s="215"/>
      <c r="AI1276" s="215"/>
      <c r="AJ1276" s="215"/>
      <c r="AK1276" s="215"/>
      <c r="AL1276" s="215"/>
      <c r="AM1276" s="215"/>
      <c r="AN1276" s="215"/>
      <c r="AO1276" s="215"/>
      <c r="AP1276" s="215"/>
      <c r="AQ1276" s="215"/>
      <c r="AR1276" s="215"/>
      <c r="AS1276" s="215"/>
      <c r="AT1276" s="215"/>
      <c r="AU1276" s="215"/>
      <c r="AV1276" s="215"/>
      <c r="AW1276" s="215"/>
      <c r="AX1276" s="215"/>
      <c r="AY1276" s="215"/>
      <c r="AZ1276" s="215"/>
      <c r="BA1276" s="215"/>
      <c r="BB1276" s="215"/>
      <c r="BC1276" s="215"/>
      <c r="BD1276" s="215"/>
      <c r="BE1276" s="215"/>
      <c r="BF1276" s="215"/>
      <c r="BG1276" s="215"/>
      <c r="BH1276" s="215"/>
      <c r="BI1276" s="215"/>
      <c r="BJ1276" s="215"/>
      <c r="BK1276" s="215"/>
      <c r="BL1276" s="215"/>
      <c r="BM1276" s="215"/>
      <c r="BN1276" s="215"/>
      <c r="BO1276" s="215"/>
      <c r="BP1276" s="215"/>
      <c r="BQ1276" s="215"/>
      <c r="BR1276" s="215"/>
      <c r="BS1276" s="215"/>
      <c r="BT1276" s="215"/>
      <c r="BU1276" s="215"/>
      <c r="BV1276" s="215"/>
      <c r="BW1276" s="215"/>
      <c r="BX1276" s="215"/>
      <c r="BY1276" s="215"/>
      <c r="BZ1276" s="215"/>
    </row>
    <row r="1277" spans="1:78" x14ac:dyDescent="0.2">
      <c r="A1277" s="53" t="str">
        <f>'Language Index'!A740</f>
        <v>Quick Ratio</v>
      </c>
      <c r="B1277" s="20"/>
      <c r="C1277" s="20"/>
      <c r="D1277" s="55">
        <f>_xll.ciqfunctions.udf.CIQ($C$2, "IQ_QUICK_RATIO", D$6,$F$2)</f>
        <v>0.88500000000000001</v>
      </c>
      <c r="E1277" s="55">
        <f>_xll.ciqfunctions.udf.CIQ($C$2, "IQ_QUICK_RATIO", E$6,$F$2)</f>
        <v>0.73592999999999997</v>
      </c>
      <c r="F1277" s="55">
        <f>_xll.ciqfunctions.udf.CIQ($C$2, "IQ_QUICK_RATIO", F$6,$F$2)</f>
        <v>0.81738999999999995</v>
      </c>
      <c r="G1277" s="55">
        <f>_xll.ciqfunctions.udf.CIQ($C$2, "IQ_QUICK_RATIO", G$6,$F$2)</f>
        <v>0.96465999999999996</v>
      </c>
      <c r="H1277" s="55">
        <f>_xll.ciqfunctions.udf.CIQ($C$2, "IQ_QUICK_RATIO", H$6,$F$2)</f>
        <v>0.86939999999999995</v>
      </c>
      <c r="I1277" s="55">
        <f>_xll.ciqfunctions.udf.CIQ($C$2, "IQ_QUICK_RATIO", I$6,$F$2)</f>
        <v>0.89568000000000003</v>
      </c>
      <c r="J1277" s="55">
        <f>_xll.ciqfunctions.udf.CIQ($C$2, "IQ_QUICK_RATIO", J$6,$F$2)</f>
        <v>0.87605</v>
      </c>
      <c r="K1277" s="55">
        <f>_xll.ciqfunctions.udf.CIQ($C$2, "IQ_QUICK_RATIO", K$6,$F$2)</f>
        <v>0.84909000000000001</v>
      </c>
      <c r="L1277" s="55">
        <f>_xll.ciqfunctions.udf.CIQ($C$2, "IQ_QUICK_RATIO", L$6,$F$2)</f>
        <v>0.75978999999999997</v>
      </c>
      <c r="M1277" s="55">
        <f>_xll.ciqfunctions.udf.CIQ($C$2, "IQ_QUICK_RATIO", M$6,$F$2)</f>
        <v>0.77503</v>
      </c>
      <c r="N1277" s="55">
        <f>_xll.ciqfunctions.udf.CIQ($C$2, "IQ_QUICK_RATIO", N$6,$F$2)</f>
        <v>0.81242999999999999</v>
      </c>
      <c r="O1277" s="55"/>
      <c r="P1277" s="55">
        <f>_xll.ciqfunctions.udf.CIQ($C$2, "IQ_QUICK_RATIO", P$6,$F$2)</f>
        <v>0.81242999999999999</v>
      </c>
      <c r="Q1277" s="215"/>
      <c r="R1277" s="215"/>
      <c r="S1277" s="215"/>
      <c r="T1277" s="215"/>
      <c r="U1277" s="215"/>
      <c r="V1277" s="222"/>
      <c r="W1277" s="222"/>
      <c r="X1277" s="222"/>
      <c r="Y1277" s="215"/>
      <c r="Z1277" s="215"/>
      <c r="AA1277" s="215"/>
      <c r="AB1277" s="215"/>
      <c r="AC1277" s="215"/>
      <c r="AD1277" s="215"/>
      <c r="AE1277" s="215"/>
      <c r="AF1277" s="215"/>
      <c r="AG1277" s="215"/>
      <c r="AH1277" s="215"/>
      <c r="AI1277" s="215"/>
      <c r="AJ1277" s="215"/>
      <c r="AK1277" s="215"/>
      <c r="AL1277" s="215"/>
      <c r="AM1277" s="215"/>
      <c r="AN1277" s="215"/>
      <c r="AO1277" s="215"/>
      <c r="AP1277" s="215"/>
      <c r="AQ1277" s="215"/>
      <c r="AR1277" s="215"/>
      <c r="AS1277" s="215"/>
      <c r="AT1277" s="215"/>
      <c r="AU1277" s="215"/>
      <c r="AV1277" s="215"/>
      <c r="AW1277" s="215"/>
      <c r="AX1277" s="215"/>
      <c r="AY1277" s="215"/>
      <c r="AZ1277" s="215"/>
      <c r="BA1277" s="215"/>
      <c r="BB1277" s="215"/>
      <c r="BC1277" s="215"/>
      <c r="BD1277" s="215"/>
      <c r="BE1277" s="215"/>
      <c r="BF1277" s="215"/>
      <c r="BG1277" s="215"/>
      <c r="BH1277" s="215"/>
      <c r="BI1277" s="215"/>
      <c r="BJ1277" s="215"/>
      <c r="BK1277" s="215"/>
      <c r="BL1277" s="215"/>
      <c r="BM1277" s="215"/>
      <c r="BN1277" s="215"/>
      <c r="BO1277" s="215"/>
      <c r="BP1277" s="215"/>
      <c r="BQ1277" s="215"/>
      <c r="BR1277" s="215"/>
      <c r="BS1277" s="215"/>
      <c r="BT1277" s="215"/>
      <c r="BU1277" s="215"/>
      <c r="BV1277" s="215"/>
      <c r="BW1277" s="215"/>
      <c r="BX1277" s="215"/>
      <c r="BY1277" s="215"/>
      <c r="BZ1277" s="215"/>
    </row>
    <row r="1278" spans="1:78" x14ac:dyDescent="0.2">
      <c r="A1278" s="53" t="str">
        <f>'Language Index'!A741</f>
        <v>Cash from Operations to Currrent Liabilities</v>
      </c>
      <c r="B1278" s="16"/>
      <c r="C1278" s="16"/>
      <c r="D1278" s="55">
        <f>_xll.ciqfunctions.udf.CIQ($C$2,"IQ_CFO_CURRENT_LIAB", D$6,$F$2)</f>
        <v>0.37763000000000002</v>
      </c>
      <c r="E1278" s="55">
        <f>_xll.ciqfunctions.udf.CIQ($C$2,"IQ_CFO_CURRENT_LIAB", E$6,$F$2)</f>
        <v>0.43890000000000001</v>
      </c>
      <c r="F1278" s="55">
        <f>_xll.ciqfunctions.udf.CIQ($C$2,"IQ_CFO_CURRENT_LIAB", F$6,$F$2)</f>
        <v>0.40827000000000002</v>
      </c>
      <c r="G1278" s="55">
        <f>_xll.ciqfunctions.udf.CIQ($C$2,"IQ_CFO_CURRENT_LIAB", G$6,$F$2)</f>
        <v>0.44217000000000001</v>
      </c>
      <c r="H1278" s="55">
        <f>_xll.ciqfunctions.udf.CIQ($C$2,"IQ_CFO_CURRENT_LIAB", H$6,$F$2)</f>
        <v>0.46388000000000001</v>
      </c>
      <c r="I1278" s="55">
        <f>_xll.ciqfunctions.udf.CIQ($C$2,"IQ_CFO_CURRENT_LIAB", I$6,$F$2)</f>
        <v>0.47059000000000001</v>
      </c>
      <c r="J1278" s="55">
        <f>_xll.ciqfunctions.udf.CIQ($C$2,"IQ_CFO_CURRENT_LIAB", J$6,$F$2)</f>
        <v>0.40567999999999999</v>
      </c>
      <c r="K1278" s="55">
        <f>_xll.ciqfunctions.udf.CIQ($C$2,"IQ_CFO_CURRENT_LIAB", K$6,$F$2)</f>
        <v>0.38873999999999997</v>
      </c>
      <c r="L1278" s="55">
        <f>_xll.ciqfunctions.udf.CIQ($C$2,"IQ_CFO_CURRENT_LIAB", L$6,$F$2)</f>
        <v>0.35205999999999998</v>
      </c>
      <c r="M1278" s="55">
        <f>_xll.ciqfunctions.udf.CIQ($C$2,"IQ_CFO_CURRENT_LIAB", M$6,$F$2)</f>
        <v>0.38367000000000001</v>
      </c>
      <c r="N1278" s="55">
        <f>_xll.ciqfunctions.udf.CIQ($C$2,"IQ_CFO_CURRENT_LIAB", N$6,$F$2)</f>
        <v>0.34127000000000002</v>
      </c>
      <c r="O1278" s="55"/>
      <c r="P1278" s="55">
        <f>_xll.ciqfunctions.udf.CIQ($C$2,"IQ_CFO_CURRENT_LIAB", P$6,$F$2)</f>
        <v>0.34127000000000002</v>
      </c>
      <c r="Q1278" s="215"/>
      <c r="R1278" s="215"/>
      <c r="S1278" s="215"/>
      <c r="T1278" s="215"/>
      <c r="U1278" s="215"/>
      <c r="V1278" s="222"/>
      <c r="W1278" s="222"/>
      <c r="X1278" s="222"/>
      <c r="Y1278" s="215"/>
      <c r="Z1278" s="215"/>
      <c r="AA1278" s="215"/>
      <c r="AB1278" s="215"/>
      <c r="AC1278" s="215"/>
      <c r="AD1278" s="215"/>
      <c r="AE1278" s="215"/>
      <c r="AF1278" s="215"/>
      <c r="AG1278" s="215"/>
      <c r="AH1278" s="215"/>
      <c r="AI1278" s="215"/>
      <c r="AJ1278" s="215"/>
      <c r="AK1278" s="215"/>
      <c r="AL1278" s="215"/>
      <c r="AM1278" s="215"/>
      <c r="AN1278" s="215"/>
      <c r="AO1278" s="215"/>
      <c r="AP1278" s="215"/>
      <c r="AQ1278" s="215"/>
      <c r="AR1278" s="215"/>
      <c r="AS1278" s="215"/>
      <c r="AT1278" s="215"/>
      <c r="AU1278" s="215"/>
      <c r="AV1278" s="215"/>
      <c r="AW1278" s="215"/>
      <c r="AX1278" s="215"/>
      <c r="AY1278" s="215"/>
      <c r="AZ1278" s="215"/>
      <c r="BA1278" s="215"/>
      <c r="BB1278" s="215"/>
      <c r="BC1278" s="215"/>
      <c r="BD1278" s="215"/>
      <c r="BE1278" s="215"/>
      <c r="BF1278" s="215"/>
      <c r="BG1278" s="215"/>
      <c r="BH1278" s="215"/>
      <c r="BI1278" s="215"/>
      <c r="BJ1278" s="215"/>
      <c r="BK1278" s="215"/>
      <c r="BL1278" s="215"/>
      <c r="BM1278" s="215"/>
      <c r="BN1278" s="215"/>
      <c r="BO1278" s="215"/>
      <c r="BP1278" s="215"/>
      <c r="BQ1278" s="215"/>
      <c r="BR1278" s="215"/>
      <c r="BS1278" s="215"/>
      <c r="BT1278" s="215"/>
      <c r="BU1278" s="215"/>
      <c r="BV1278" s="215"/>
      <c r="BW1278" s="215"/>
      <c r="BX1278" s="215"/>
      <c r="BY1278" s="215"/>
      <c r="BZ1278" s="215"/>
    </row>
    <row r="1279" spans="1:78" x14ac:dyDescent="0.2">
      <c r="A1279" s="53"/>
      <c r="B1279" s="16"/>
      <c r="C1279" s="16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31"/>
      <c r="P1279" s="18"/>
      <c r="Q1279" s="215"/>
      <c r="R1279" s="215"/>
      <c r="S1279" s="215"/>
      <c r="T1279" s="215"/>
      <c r="U1279" s="215"/>
      <c r="V1279" s="222"/>
      <c r="W1279" s="222"/>
      <c r="X1279" s="222"/>
      <c r="Y1279" s="215"/>
      <c r="Z1279" s="215"/>
      <c r="AA1279" s="215"/>
      <c r="AB1279" s="215"/>
      <c r="AC1279" s="215"/>
      <c r="AD1279" s="215"/>
      <c r="AE1279" s="215"/>
      <c r="AF1279" s="215"/>
      <c r="AG1279" s="215"/>
      <c r="AH1279" s="215"/>
      <c r="AI1279" s="215"/>
      <c r="AJ1279" s="215"/>
      <c r="AK1279" s="215"/>
      <c r="AL1279" s="215"/>
      <c r="AM1279" s="215"/>
      <c r="AN1279" s="215"/>
      <c r="AO1279" s="215"/>
      <c r="AP1279" s="215"/>
      <c r="AQ1279" s="215"/>
      <c r="AR1279" s="215"/>
      <c r="AS1279" s="215"/>
      <c r="AT1279" s="215"/>
      <c r="AU1279" s="215"/>
      <c r="AV1279" s="215"/>
      <c r="AW1279" s="215"/>
      <c r="AX1279" s="215"/>
      <c r="AY1279" s="215"/>
      <c r="AZ1279" s="215"/>
      <c r="BA1279" s="215"/>
      <c r="BB1279" s="215"/>
      <c r="BC1279" s="215"/>
      <c r="BD1279" s="215"/>
      <c r="BE1279" s="215"/>
      <c r="BF1279" s="215"/>
      <c r="BG1279" s="215"/>
      <c r="BH1279" s="215"/>
      <c r="BI1279" s="215"/>
      <c r="BJ1279" s="215"/>
      <c r="BK1279" s="215"/>
      <c r="BL1279" s="215"/>
      <c r="BM1279" s="215"/>
      <c r="BN1279" s="215"/>
      <c r="BO1279" s="215"/>
      <c r="BP1279" s="215"/>
      <c r="BQ1279" s="215"/>
      <c r="BR1279" s="215"/>
      <c r="BS1279" s="215"/>
      <c r="BT1279" s="215"/>
      <c r="BU1279" s="215"/>
      <c r="BV1279" s="215"/>
      <c r="BW1279" s="215"/>
      <c r="BX1279" s="215"/>
      <c r="BY1279" s="215"/>
      <c r="BZ1279" s="215"/>
    </row>
    <row r="1280" spans="1:78" x14ac:dyDescent="0.2">
      <c r="A1280" s="53" t="str">
        <f>'Language Index'!A742</f>
        <v>Avg. Days Sales Outstanding</v>
      </c>
      <c r="B1280" s="16"/>
      <c r="C1280" s="16"/>
      <c r="D1280" s="18">
        <f>_xll.ciqfunctions.udf.CIQ($C$2, "IQ_DAYS_SALES_OUT", D$6,$F$2)</f>
        <v>38.204549999999998</v>
      </c>
      <c r="E1280" s="18">
        <f>_xll.ciqfunctions.udf.CIQ($C$2, "IQ_DAYS_SALES_OUT", E$6,$F$2)</f>
        <v>35.73095</v>
      </c>
      <c r="F1280" s="18">
        <f>_xll.ciqfunctions.udf.CIQ($C$2, "IQ_DAYS_SALES_OUT", F$6,$F$2)</f>
        <v>43.962429999999998</v>
      </c>
      <c r="G1280" s="18">
        <f>_xll.ciqfunctions.udf.CIQ($C$2, "IQ_DAYS_SALES_OUT", G$6,$F$2)</f>
        <v>38.14781</v>
      </c>
      <c r="H1280" s="18">
        <f>_xll.ciqfunctions.udf.CIQ($C$2, "IQ_DAYS_SALES_OUT", H$6,$F$2)</f>
        <v>36.896090000000001</v>
      </c>
      <c r="I1280" s="18">
        <f>_xll.ciqfunctions.udf.CIQ($C$2, "IQ_DAYS_SALES_OUT", I$6,$F$2)</f>
        <v>34.744010000000003</v>
      </c>
      <c r="J1280" s="18">
        <f>_xll.ciqfunctions.udf.CIQ($C$2, "IQ_DAYS_SALES_OUT", J$6,$F$2)</f>
        <v>44.112879999999997</v>
      </c>
      <c r="K1280" s="18">
        <f>_xll.ciqfunctions.udf.CIQ($C$2, "IQ_DAYS_SALES_OUT", K$6,$F$2)</f>
        <v>37.865830000000003</v>
      </c>
      <c r="L1280" s="18">
        <f>_xll.ciqfunctions.udf.CIQ($C$2, "IQ_DAYS_SALES_OUT", L$6,$F$2)</f>
        <v>36.819740000000003</v>
      </c>
      <c r="M1280" s="18">
        <f>_xll.ciqfunctions.udf.CIQ($C$2, "IQ_DAYS_SALES_OUT", M$6,$F$2)</f>
        <v>33.935879999999997</v>
      </c>
      <c r="N1280" s="18">
        <f>_xll.ciqfunctions.udf.CIQ($C$2, "IQ_DAYS_SALES_OUT", N$6,$F$2)</f>
        <v>43.25141</v>
      </c>
      <c r="O1280" s="57"/>
      <c r="P1280" s="18">
        <f>_xll.ciqfunctions.udf.CIQ($C$2, "IQ_DAYS_SALES_OUT", P$6,$F$2)</f>
        <v>43.25141</v>
      </c>
      <c r="Q1280" s="249"/>
      <c r="R1280" s="215"/>
      <c r="S1280" s="215"/>
      <c r="T1280" s="215"/>
      <c r="U1280" s="215"/>
      <c r="V1280" s="222"/>
      <c r="W1280" s="222"/>
      <c r="X1280" s="222"/>
      <c r="Y1280" s="215"/>
      <c r="Z1280" s="215"/>
      <c r="AA1280" s="215"/>
      <c r="AB1280" s="215"/>
      <c r="AC1280" s="215"/>
      <c r="AD1280" s="215"/>
      <c r="AE1280" s="215"/>
      <c r="AF1280" s="215"/>
      <c r="AG1280" s="215"/>
      <c r="AH1280" s="215"/>
      <c r="AI1280" s="215"/>
      <c r="AJ1280" s="215"/>
      <c r="AK1280" s="215"/>
      <c r="AL1280" s="215"/>
      <c r="AM1280" s="215"/>
      <c r="AN1280" s="215"/>
      <c r="AO1280" s="215"/>
      <c r="AP1280" s="215"/>
      <c r="AQ1280" s="215"/>
      <c r="AR1280" s="215"/>
      <c r="AS1280" s="215"/>
      <c r="AT1280" s="215"/>
      <c r="AU1280" s="215"/>
      <c r="AV1280" s="215"/>
      <c r="AW1280" s="215"/>
      <c r="AX1280" s="215"/>
      <c r="AY1280" s="215"/>
      <c r="AZ1280" s="215"/>
      <c r="BA1280" s="215"/>
      <c r="BB1280" s="215"/>
      <c r="BC1280" s="215"/>
      <c r="BD1280" s="215"/>
      <c r="BE1280" s="215"/>
      <c r="BF1280" s="215"/>
      <c r="BG1280" s="215"/>
      <c r="BH1280" s="215"/>
      <c r="BI1280" s="215"/>
      <c r="BJ1280" s="215"/>
      <c r="BK1280" s="215"/>
      <c r="BL1280" s="215"/>
      <c r="BM1280" s="215"/>
      <c r="BN1280" s="215"/>
      <c r="BO1280" s="215"/>
      <c r="BP1280" s="215"/>
      <c r="BQ1280" s="215"/>
      <c r="BR1280" s="215"/>
      <c r="BS1280" s="215"/>
      <c r="BT1280" s="215"/>
      <c r="BU1280" s="215"/>
      <c r="BV1280" s="215"/>
      <c r="BW1280" s="215"/>
      <c r="BX1280" s="215"/>
      <c r="BY1280" s="215"/>
      <c r="BZ1280" s="215"/>
    </row>
    <row r="1281" spans="1:78" x14ac:dyDescent="0.2">
      <c r="A1281" s="53" t="str">
        <f>'Language Index'!A743</f>
        <v>Avg. Days Inventory Outstanding</v>
      </c>
      <c r="B1281" s="17"/>
      <c r="C1281" s="17"/>
      <c r="D1281" s="18">
        <f>_xll.ciqfunctions.udf.CIQ($C$2, "IQ_DAYS_INVENTORY_OUT", D$6,$F$2)</f>
        <v>21.491199999999999</v>
      </c>
      <c r="E1281" s="18">
        <f>_xll.ciqfunctions.udf.CIQ($C$2, "IQ_DAYS_INVENTORY_OUT", E$6,$F$2)</f>
        <v>21.483170000000001</v>
      </c>
      <c r="F1281" s="18">
        <f>_xll.ciqfunctions.udf.CIQ($C$2, "IQ_DAYS_INVENTORY_OUT", F$6,$F$2)</f>
        <v>18.21752</v>
      </c>
      <c r="G1281" s="18">
        <f>_xll.ciqfunctions.udf.CIQ($C$2, "IQ_DAYS_INVENTORY_OUT", G$6,$F$2)</f>
        <v>18.96283</v>
      </c>
      <c r="H1281" s="18">
        <f>_xll.ciqfunctions.udf.CIQ($C$2, "IQ_DAYS_INVENTORY_OUT", H$6,$F$2)</f>
        <v>18.523990000000001</v>
      </c>
      <c r="I1281" s="18">
        <f>_xll.ciqfunctions.udf.CIQ($C$2, "IQ_DAYS_INVENTORY_OUT", I$6,$F$2)</f>
        <v>18.862539999999999</v>
      </c>
      <c r="J1281" s="18">
        <f>_xll.ciqfunctions.udf.CIQ($C$2, "IQ_DAYS_INVENTORY_OUT", J$6,$F$2)</f>
        <v>16.70936</v>
      </c>
      <c r="K1281" s="18">
        <f>_xll.ciqfunctions.udf.CIQ($C$2, "IQ_DAYS_INVENTORY_OUT", K$6,$F$2)</f>
        <v>18.12079</v>
      </c>
      <c r="L1281" s="18">
        <f>_xll.ciqfunctions.udf.CIQ($C$2, "IQ_DAYS_INVENTORY_OUT", L$6,$F$2)</f>
        <v>16.925049999999999</v>
      </c>
      <c r="M1281" s="18">
        <f>_xll.ciqfunctions.udf.CIQ($C$2, "IQ_DAYS_INVENTORY_OUT", M$6,$F$2)</f>
        <v>18.549669999999999</v>
      </c>
      <c r="N1281" s="18">
        <f>_xll.ciqfunctions.udf.CIQ($C$2, "IQ_DAYS_INVENTORY_OUT", N$6,$F$2)</f>
        <v>16.449459999999998</v>
      </c>
      <c r="O1281" s="18"/>
      <c r="P1281" s="18">
        <f>_xll.ciqfunctions.udf.CIQ($C$2, "IQ_DAYS_INVENTORY_OUT", P$6,$F$2)</f>
        <v>16.449459999999998</v>
      </c>
      <c r="Q1281" s="249"/>
      <c r="R1281" s="215"/>
      <c r="S1281" s="215"/>
      <c r="T1281" s="215"/>
      <c r="U1281" s="215"/>
      <c r="V1281" s="222"/>
      <c r="W1281" s="222"/>
      <c r="X1281" s="222"/>
      <c r="Y1281" s="215"/>
      <c r="Z1281" s="215"/>
      <c r="AA1281" s="215"/>
      <c r="AB1281" s="215"/>
      <c r="AC1281" s="215"/>
      <c r="AD1281" s="215"/>
      <c r="AE1281" s="215"/>
      <c r="AF1281" s="215"/>
      <c r="AG1281" s="215"/>
      <c r="AH1281" s="215"/>
      <c r="AI1281" s="215"/>
      <c r="AJ1281" s="215"/>
      <c r="AK1281" s="215"/>
      <c r="AL1281" s="215"/>
      <c r="AM1281" s="215"/>
      <c r="AN1281" s="215"/>
      <c r="AO1281" s="215"/>
      <c r="AP1281" s="215"/>
      <c r="AQ1281" s="215"/>
      <c r="AR1281" s="215"/>
      <c r="AS1281" s="215"/>
      <c r="AT1281" s="215"/>
      <c r="AU1281" s="215"/>
      <c r="AV1281" s="215"/>
      <c r="AW1281" s="215"/>
      <c r="AX1281" s="215"/>
      <c r="AY1281" s="215"/>
      <c r="AZ1281" s="215"/>
      <c r="BA1281" s="215"/>
      <c r="BB1281" s="215"/>
      <c r="BC1281" s="215"/>
      <c r="BD1281" s="215"/>
      <c r="BE1281" s="215"/>
      <c r="BF1281" s="215"/>
      <c r="BG1281" s="215"/>
      <c r="BH1281" s="215"/>
      <c r="BI1281" s="215"/>
      <c r="BJ1281" s="215"/>
      <c r="BK1281" s="215"/>
      <c r="BL1281" s="215"/>
      <c r="BM1281" s="215"/>
      <c r="BN1281" s="215"/>
      <c r="BO1281" s="215"/>
      <c r="BP1281" s="215"/>
      <c r="BQ1281" s="215"/>
      <c r="BR1281" s="215"/>
      <c r="BS1281" s="215"/>
      <c r="BT1281" s="215"/>
      <c r="BU1281" s="215"/>
      <c r="BV1281" s="215"/>
      <c r="BW1281" s="215"/>
      <c r="BX1281" s="215"/>
      <c r="BY1281" s="215"/>
      <c r="BZ1281" s="215"/>
    </row>
    <row r="1282" spans="1:78" x14ac:dyDescent="0.2">
      <c r="A1282" s="53" t="str">
        <f>'Language Index'!A744</f>
        <v>Avg. Days Payable Outstanding</v>
      </c>
      <c r="B1282" s="17"/>
      <c r="C1282" s="17"/>
      <c r="D1282" s="18">
        <f>_xll.ciqfunctions.udf.CIQ($C$2,  "IQ_DAYS_PAYABLE_OUT", D$6,$F$2)</f>
        <v>50.551409999999997</v>
      </c>
      <c r="E1282" s="18">
        <f>_xll.ciqfunctions.udf.CIQ($C$2,  "IQ_DAYS_PAYABLE_OUT", E$6,$F$2)</f>
        <v>48.821309999999997</v>
      </c>
      <c r="F1282" s="18">
        <f>_xll.ciqfunctions.udf.CIQ($C$2,  "IQ_DAYS_PAYABLE_OUT", F$6,$F$2)</f>
        <v>55.750830000000001</v>
      </c>
      <c r="G1282" s="18">
        <f>_xll.ciqfunctions.udf.CIQ($C$2,  "IQ_DAYS_PAYABLE_OUT", G$6,$F$2)</f>
        <v>50.002549999999999</v>
      </c>
      <c r="H1282" s="18">
        <f>_xll.ciqfunctions.udf.CIQ($C$2,  "IQ_DAYS_PAYABLE_OUT", H$6,$F$2)</f>
        <v>50.367089999999997</v>
      </c>
      <c r="I1282" s="18">
        <f>_xll.ciqfunctions.udf.CIQ($C$2,  "IQ_DAYS_PAYABLE_OUT", I$6,$F$2)</f>
        <v>45.16769</v>
      </c>
      <c r="J1282" s="18">
        <f>_xll.ciqfunctions.udf.CIQ($C$2,  "IQ_DAYS_PAYABLE_OUT", J$6,$F$2)</f>
        <v>55.415689999999998</v>
      </c>
      <c r="K1282" s="18">
        <f>_xll.ciqfunctions.udf.CIQ($C$2,  "IQ_DAYS_PAYABLE_OUT", K$6,$F$2)</f>
        <v>48.778599999999997</v>
      </c>
      <c r="L1282" s="18">
        <f>_xll.ciqfunctions.udf.CIQ($C$2,  "IQ_DAYS_PAYABLE_OUT", L$6,$F$2)</f>
        <v>51.764299999999999</v>
      </c>
      <c r="M1282" s="18">
        <f>_xll.ciqfunctions.udf.CIQ($C$2,  "IQ_DAYS_PAYABLE_OUT", M$6,$F$2)</f>
        <v>47.856610000000003</v>
      </c>
      <c r="N1282" s="18">
        <f>_xll.ciqfunctions.udf.CIQ($C$2,  "IQ_DAYS_PAYABLE_OUT", N$6,$F$2)</f>
        <v>57.759430000000002</v>
      </c>
      <c r="O1282" s="18"/>
      <c r="P1282" s="18">
        <f>_xll.ciqfunctions.udf.CIQ($C$2,  "IQ_DAYS_PAYABLE_OUT", P$6,$F$2)</f>
        <v>57.759430000000002</v>
      </c>
      <c r="Q1282" s="249"/>
      <c r="R1282" s="215"/>
      <c r="S1282" s="215"/>
      <c r="T1282" s="215"/>
      <c r="U1282" s="215"/>
      <c r="V1282" s="222"/>
      <c r="W1282" s="222"/>
      <c r="X1282" s="222"/>
      <c r="Y1282" s="215"/>
      <c r="Z1282" s="215"/>
      <c r="AA1282" s="215"/>
      <c r="AB1282" s="215"/>
      <c r="AC1282" s="215"/>
      <c r="AD1282" s="215"/>
      <c r="AE1282" s="215"/>
      <c r="AF1282" s="215"/>
      <c r="AG1282" s="215"/>
      <c r="AH1282" s="215"/>
      <c r="AI1282" s="215"/>
      <c r="AJ1282" s="215"/>
      <c r="AK1282" s="215"/>
      <c r="AL1282" s="215"/>
      <c r="AM1282" s="215"/>
      <c r="AN1282" s="215"/>
      <c r="AO1282" s="215"/>
      <c r="AP1282" s="215"/>
      <c r="AQ1282" s="215"/>
      <c r="AR1282" s="215"/>
      <c r="AS1282" s="215"/>
      <c r="AT1282" s="215"/>
      <c r="AU1282" s="215"/>
      <c r="AV1282" s="215"/>
      <c r="AW1282" s="215"/>
      <c r="AX1282" s="215"/>
      <c r="AY1282" s="215"/>
      <c r="AZ1282" s="215"/>
      <c r="BA1282" s="215"/>
      <c r="BB1282" s="215"/>
      <c r="BC1282" s="215"/>
      <c r="BD1282" s="215"/>
      <c r="BE1282" s="215"/>
      <c r="BF1282" s="215"/>
      <c r="BG1282" s="215"/>
      <c r="BH1282" s="215"/>
      <c r="BI1282" s="215"/>
      <c r="BJ1282" s="215"/>
      <c r="BK1282" s="215"/>
      <c r="BL1282" s="215"/>
      <c r="BM1282" s="215"/>
      <c r="BN1282" s="215"/>
      <c r="BO1282" s="215"/>
      <c r="BP1282" s="215"/>
      <c r="BQ1282" s="215"/>
      <c r="BR1282" s="215"/>
      <c r="BS1282" s="215"/>
      <c r="BT1282" s="215"/>
      <c r="BU1282" s="215"/>
      <c r="BV1282" s="215"/>
      <c r="BW1282" s="215"/>
      <c r="BX1282" s="215"/>
      <c r="BY1282" s="215"/>
      <c r="BZ1282" s="215"/>
    </row>
    <row r="1283" spans="1:78" x14ac:dyDescent="0.2">
      <c r="A1283" s="53" t="str">
        <f>'Language Index'!A745</f>
        <v>Avg. Cash Conversion Cycle</v>
      </c>
      <c r="B1283" s="17"/>
      <c r="C1283" s="17"/>
      <c r="D1283" s="18">
        <f>_xll.ciqfunctions.udf.CIQ($C$2, "IQ_CASH_CONVERSION", D$6,$F$2)</f>
        <v>9.1443499999999993</v>
      </c>
      <c r="E1283" s="18">
        <f>_xll.ciqfunctions.udf.CIQ($C$2, "IQ_CASH_CONVERSION", E$6,$F$2)</f>
        <v>8.3928100000000008</v>
      </c>
      <c r="F1283" s="18">
        <f>_xll.ciqfunctions.udf.CIQ($C$2, "IQ_CASH_CONVERSION", F$6,$F$2)</f>
        <v>6.4291099999999997</v>
      </c>
      <c r="G1283" s="18">
        <f>_xll.ciqfunctions.udf.CIQ($C$2, "IQ_CASH_CONVERSION", G$6,$F$2)</f>
        <v>7.1080899999999998</v>
      </c>
      <c r="H1283" s="18">
        <f>_xll.ciqfunctions.udf.CIQ($C$2, "IQ_CASH_CONVERSION", H$6,$F$2)</f>
        <v>5.0529999999999999</v>
      </c>
      <c r="I1283" s="18">
        <f>_xll.ciqfunctions.udf.CIQ($C$2, "IQ_CASH_CONVERSION", I$6,$F$2)</f>
        <v>8.43886</v>
      </c>
      <c r="J1283" s="18">
        <f>_xll.ciqfunctions.udf.CIQ($C$2, "IQ_CASH_CONVERSION", J$6,$F$2)</f>
        <v>5.4065500000000002</v>
      </c>
      <c r="K1283" s="18">
        <f>_xll.ciqfunctions.udf.CIQ($C$2, "IQ_CASH_CONVERSION", K$6,$F$2)</f>
        <v>7.2080200000000003</v>
      </c>
      <c r="L1283" s="18">
        <f>_xll.ciqfunctions.udf.CIQ($C$2, "IQ_CASH_CONVERSION", L$6,$F$2)</f>
        <v>1.9804900000000001</v>
      </c>
      <c r="M1283" s="18">
        <f>_xll.ciqfunctions.udf.CIQ($C$2, "IQ_CASH_CONVERSION", M$6,$F$2)</f>
        <v>4.6289300000000004</v>
      </c>
      <c r="N1283" s="18">
        <f>_xll.ciqfunctions.udf.CIQ($C$2, "IQ_CASH_CONVERSION", N$6,$F$2)</f>
        <v>1.9414400000000001</v>
      </c>
      <c r="O1283" s="18"/>
      <c r="P1283" s="18">
        <f>_xll.ciqfunctions.udf.CIQ($C$2, "IQ_CASH_CONVERSION", P$6,$F$2)</f>
        <v>1.9414400000000001</v>
      </c>
      <c r="Q1283" s="249"/>
      <c r="R1283" s="215"/>
      <c r="S1283" s="215"/>
      <c r="T1283" s="215"/>
      <c r="U1283" s="215"/>
      <c r="V1283" s="222"/>
      <c r="W1283" s="222"/>
      <c r="X1283" s="222"/>
      <c r="Y1283" s="215"/>
      <c r="Z1283" s="215"/>
      <c r="AA1283" s="215"/>
      <c r="AB1283" s="215"/>
      <c r="AC1283" s="215"/>
      <c r="AD1283" s="215"/>
      <c r="AE1283" s="215"/>
      <c r="AF1283" s="215"/>
      <c r="AG1283" s="215"/>
      <c r="AH1283" s="215"/>
      <c r="AI1283" s="215"/>
      <c r="AJ1283" s="215"/>
      <c r="AK1283" s="215"/>
      <c r="AL1283" s="215"/>
      <c r="AM1283" s="215"/>
      <c r="AN1283" s="215"/>
      <c r="AO1283" s="215"/>
      <c r="AP1283" s="215"/>
      <c r="AQ1283" s="215"/>
      <c r="AR1283" s="215"/>
      <c r="AS1283" s="215"/>
      <c r="AT1283" s="215"/>
      <c r="AU1283" s="215"/>
      <c r="AV1283" s="215"/>
      <c r="AW1283" s="215"/>
      <c r="AX1283" s="215"/>
      <c r="AY1283" s="215"/>
      <c r="AZ1283" s="215"/>
      <c r="BA1283" s="215"/>
      <c r="BB1283" s="215"/>
      <c r="BC1283" s="215"/>
      <c r="BD1283" s="215"/>
      <c r="BE1283" s="215"/>
      <c r="BF1283" s="215"/>
      <c r="BG1283" s="215"/>
      <c r="BH1283" s="215"/>
      <c r="BI1283" s="215"/>
      <c r="BJ1283" s="215"/>
      <c r="BK1283" s="215"/>
      <c r="BL1283" s="215"/>
      <c r="BM1283" s="215"/>
      <c r="BN1283" s="215"/>
      <c r="BO1283" s="215"/>
      <c r="BP1283" s="215"/>
      <c r="BQ1283" s="215"/>
      <c r="BR1283" s="215"/>
      <c r="BS1283" s="215"/>
      <c r="BT1283" s="215"/>
      <c r="BU1283" s="215"/>
      <c r="BV1283" s="215"/>
      <c r="BW1283" s="215"/>
      <c r="BX1283" s="215"/>
      <c r="BY1283" s="215"/>
      <c r="BZ1283" s="215"/>
    </row>
    <row r="1284" spans="1:78" x14ac:dyDescent="0.2">
      <c r="A1284" s="16"/>
      <c r="B1284" s="16"/>
      <c r="C1284" s="16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31"/>
      <c r="P1284" s="18"/>
      <c r="Q1284" s="215"/>
      <c r="R1284" s="215"/>
      <c r="S1284" s="215"/>
      <c r="T1284" s="215"/>
      <c r="U1284" s="215"/>
      <c r="V1284" s="222"/>
      <c r="W1284" s="222"/>
      <c r="X1284" s="222"/>
      <c r="Y1284" s="215"/>
      <c r="Z1284" s="215"/>
      <c r="AA1284" s="215"/>
      <c r="AB1284" s="215"/>
      <c r="AC1284" s="215"/>
      <c r="AD1284" s="215"/>
      <c r="AE1284" s="215"/>
      <c r="AF1284" s="215"/>
      <c r="AG1284" s="215"/>
      <c r="AH1284" s="215"/>
      <c r="AI1284" s="215"/>
      <c r="AJ1284" s="215"/>
      <c r="AK1284" s="215"/>
      <c r="AL1284" s="215"/>
      <c r="AM1284" s="215"/>
      <c r="AN1284" s="215"/>
      <c r="AO1284" s="215"/>
      <c r="AP1284" s="215"/>
      <c r="AQ1284" s="215"/>
      <c r="AR1284" s="215"/>
      <c r="AS1284" s="215"/>
      <c r="AT1284" s="215"/>
      <c r="AU1284" s="215"/>
      <c r="AV1284" s="215"/>
      <c r="AW1284" s="215"/>
      <c r="AX1284" s="215"/>
      <c r="AY1284" s="215"/>
      <c r="AZ1284" s="215"/>
      <c r="BA1284" s="215"/>
      <c r="BB1284" s="215"/>
      <c r="BC1284" s="215"/>
      <c r="BD1284" s="215"/>
      <c r="BE1284" s="215"/>
      <c r="BF1284" s="215"/>
      <c r="BG1284" s="215"/>
      <c r="BH1284" s="215"/>
      <c r="BI1284" s="215"/>
      <c r="BJ1284" s="215"/>
      <c r="BK1284" s="215"/>
      <c r="BL1284" s="215"/>
      <c r="BM1284" s="215"/>
      <c r="BN1284" s="215"/>
      <c r="BO1284" s="215"/>
      <c r="BP1284" s="215"/>
      <c r="BQ1284" s="215"/>
      <c r="BR1284" s="215"/>
      <c r="BS1284" s="215"/>
      <c r="BT1284" s="215"/>
      <c r="BU1284" s="215"/>
      <c r="BV1284" s="215"/>
      <c r="BW1284" s="215"/>
      <c r="BX1284" s="215"/>
      <c r="BY1284" s="215"/>
      <c r="BZ1284" s="215"/>
    </row>
    <row r="1285" spans="1:78" x14ac:dyDescent="0.2">
      <c r="A1285" s="6" t="str">
        <f>'Language Index'!A746</f>
        <v>LONG-TERM SOLVENCY</v>
      </c>
      <c r="B1285" s="44"/>
      <c r="C1285" s="44"/>
      <c r="D1285" s="59"/>
      <c r="E1285" s="59"/>
      <c r="F1285" s="59"/>
      <c r="G1285" s="59"/>
      <c r="H1285" s="59"/>
      <c r="I1285" s="59"/>
      <c r="J1285" s="59"/>
      <c r="K1285" s="59"/>
      <c r="L1285" s="59"/>
      <c r="M1285" s="59"/>
      <c r="N1285" s="59"/>
      <c r="O1285" s="59"/>
      <c r="P1285" s="59"/>
      <c r="Q1285" s="215"/>
      <c r="R1285" s="215"/>
      <c r="S1285" s="215"/>
      <c r="T1285" s="215"/>
      <c r="U1285" s="215"/>
      <c r="V1285" s="222"/>
      <c r="W1285" s="222"/>
      <c r="X1285" s="222"/>
      <c r="Y1285" s="215"/>
      <c r="Z1285" s="215"/>
      <c r="AA1285" s="215"/>
      <c r="AB1285" s="215"/>
      <c r="AC1285" s="215"/>
      <c r="AD1285" s="215"/>
      <c r="AE1285" s="215"/>
      <c r="AF1285" s="215"/>
      <c r="AG1285" s="215"/>
      <c r="AH1285" s="215"/>
      <c r="AI1285" s="215"/>
      <c r="AJ1285" s="215"/>
      <c r="AK1285" s="215"/>
      <c r="AL1285" s="215"/>
      <c r="AM1285" s="215"/>
      <c r="AN1285" s="215"/>
      <c r="AO1285" s="215"/>
      <c r="AP1285" s="215"/>
      <c r="AQ1285" s="215"/>
      <c r="AR1285" s="215"/>
      <c r="AS1285" s="215"/>
      <c r="AT1285" s="215"/>
      <c r="AU1285" s="215"/>
      <c r="AV1285" s="215"/>
      <c r="AW1285" s="215"/>
      <c r="AX1285" s="215"/>
      <c r="AY1285" s="215"/>
      <c r="AZ1285" s="215"/>
      <c r="BA1285" s="215"/>
      <c r="BB1285" s="215"/>
      <c r="BC1285" s="215"/>
      <c r="BD1285" s="215"/>
      <c r="BE1285" s="215"/>
      <c r="BF1285" s="215"/>
      <c r="BG1285" s="215"/>
      <c r="BH1285" s="215"/>
      <c r="BI1285" s="215"/>
      <c r="BJ1285" s="215"/>
      <c r="BK1285" s="215"/>
      <c r="BL1285" s="215"/>
      <c r="BM1285" s="215"/>
      <c r="BN1285" s="215"/>
      <c r="BO1285" s="215"/>
      <c r="BP1285" s="215"/>
      <c r="BQ1285" s="215"/>
      <c r="BR1285" s="215"/>
      <c r="BS1285" s="215"/>
      <c r="BT1285" s="215"/>
      <c r="BU1285" s="215"/>
      <c r="BV1285" s="215"/>
      <c r="BW1285" s="215"/>
      <c r="BX1285" s="215"/>
      <c r="BY1285" s="215"/>
      <c r="BZ1285" s="215"/>
    </row>
    <row r="1286" spans="1:78" x14ac:dyDescent="0.2">
      <c r="A1286" s="53" t="str">
        <f>'Language Index'!A747</f>
        <v>Total Debt / Equity (%)</v>
      </c>
      <c r="B1286" s="17"/>
      <c r="C1286" s="17"/>
      <c r="D1286" s="18">
        <f>_xll.ciqfunctions.udf.CIQ($C$2, "IQ_TOTAL_DEBT_EQUITY", D$6,$F$2)</f>
        <v>270.77359999999999</v>
      </c>
      <c r="E1286" s="18">
        <f>_xll.ciqfunctions.udf.CIQ($C$2, "IQ_TOTAL_DEBT_EQUITY", E$6,$F$2)</f>
        <v>252.7422</v>
      </c>
      <c r="F1286" s="18">
        <f>_xll.ciqfunctions.udf.CIQ($C$2, "IQ_TOTAL_DEBT_EQUITY", F$6,$F$2)</f>
        <v>265.04660000000001</v>
      </c>
      <c r="G1286" s="18">
        <f>_xll.ciqfunctions.udf.CIQ($C$2, "IQ_TOTAL_DEBT_EQUITY", G$6,$F$2)</f>
        <v>269.45089999999999</v>
      </c>
      <c r="H1286" s="18">
        <f>_xll.ciqfunctions.udf.CIQ($C$2, "IQ_TOTAL_DEBT_EQUITY", H$6,$F$2)</f>
        <v>248.2637</v>
      </c>
      <c r="I1286" s="18">
        <f>_xll.ciqfunctions.udf.CIQ($C$2, "IQ_TOTAL_DEBT_EQUITY", I$6,$F$2)</f>
        <v>245.1121</v>
      </c>
      <c r="J1286" s="18">
        <f>_xll.ciqfunctions.udf.CIQ($C$2, "IQ_TOTAL_DEBT_EQUITY", J$6,$F$2)</f>
        <v>213.17850000000001</v>
      </c>
      <c r="K1286" s="18">
        <f>_xll.ciqfunctions.udf.CIQ($C$2, "IQ_TOTAL_DEBT_EQUITY", K$6,$F$2)</f>
        <v>247.9778</v>
      </c>
      <c r="L1286" s="18">
        <f>_xll.ciqfunctions.udf.CIQ($C$2, "IQ_TOTAL_DEBT_EQUITY", L$6,$F$2)</f>
        <v>245.46539999999999</v>
      </c>
      <c r="M1286" s="18">
        <f>_xll.ciqfunctions.udf.CIQ($C$2, "IQ_TOTAL_DEBT_EQUITY", M$6,$F$2)</f>
        <v>237.8313</v>
      </c>
      <c r="N1286" s="18">
        <f>_xll.ciqfunctions.udf.CIQ($C$2, "IQ_TOTAL_DEBT_EQUITY", N$6,$F$2)</f>
        <v>197.32749999999999</v>
      </c>
      <c r="O1286" s="57"/>
      <c r="P1286" s="18">
        <f>_xll.ciqfunctions.udf.CIQ($C$2, "IQ_TOTAL_DEBT_EQUITY", P$6,$F$2)</f>
        <v>197.32749999999999</v>
      </c>
      <c r="Q1286" s="215"/>
      <c r="R1286" s="215"/>
      <c r="S1286" s="215"/>
      <c r="T1286" s="215"/>
      <c r="U1286" s="215"/>
      <c r="V1286" s="222"/>
      <c r="W1286" s="222"/>
      <c r="X1286" s="222"/>
      <c r="Y1286" s="215"/>
      <c r="Z1286" s="215"/>
      <c r="AA1286" s="215"/>
      <c r="AB1286" s="215"/>
      <c r="AC1286" s="215"/>
      <c r="AD1286" s="215"/>
      <c r="AE1286" s="215"/>
      <c r="AF1286" s="215"/>
      <c r="AG1286" s="215"/>
      <c r="AH1286" s="215"/>
      <c r="AI1286" s="215"/>
      <c r="AJ1286" s="215"/>
      <c r="AK1286" s="215"/>
      <c r="AL1286" s="215"/>
      <c r="AM1286" s="215"/>
      <c r="AN1286" s="215"/>
      <c r="AO1286" s="215"/>
      <c r="AP1286" s="215"/>
      <c r="AQ1286" s="215"/>
      <c r="AR1286" s="215"/>
      <c r="AS1286" s="215"/>
      <c r="AT1286" s="215"/>
      <c r="AU1286" s="215"/>
      <c r="AV1286" s="215"/>
      <c r="AW1286" s="215"/>
      <c r="AX1286" s="215"/>
      <c r="AY1286" s="215"/>
      <c r="AZ1286" s="215"/>
      <c r="BA1286" s="215"/>
      <c r="BB1286" s="215"/>
      <c r="BC1286" s="215"/>
      <c r="BD1286" s="215"/>
      <c r="BE1286" s="215"/>
      <c r="BF1286" s="215"/>
      <c r="BG1286" s="215"/>
      <c r="BH1286" s="215"/>
      <c r="BI1286" s="215"/>
      <c r="BJ1286" s="215"/>
      <c r="BK1286" s="215"/>
      <c r="BL1286" s="215"/>
      <c r="BM1286" s="215"/>
      <c r="BN1286" s="215"/>
      <c r="BO1286" s="215"/>
      <c r="BP1286" s="215"/>
      <c r="BQ1286" s="215"/>
      <c r="BR1286" s="215"/>
      <c r="BS1286" s="215"/>
      <c r="BT1286" s="215"/>
      <c r="BU1286" s="215"/>
      <c r="BV1286" s="215"/>
      <c r="BW1286" s="215"/>
      <c r="BX1286" s="215"/>
      <c r="BY1286" s="215"/>
      <c r="BZ1286" s="215"/>
    </row>
    <row r="1287" spans="1:78" x14ac:dyDescent="0.2">
      <c r="A1287" s="53" t="str">
        <f>'Language Index'!A748</f>
        <v>Total Debt / Capital (%)</v>
      </c>
      <c r="B1287" s="17"/>
      <c r="C1287" s="17"/>
      <c r="D1287" s="18">
        <f>_xll.ciqfunctions.udf.CIQ($C$2, "IQ_TOTAL_DEBT_CAPITAL", D$6,$F$2)</f>
        <v>73.029300000000006</v>
      </c>
      <c r="E1287" s="18">
        <f>_xll.ciqfunctions.udf.CIQ($C$2, "IQ_TOTAL_DEBT_CAPITAL", E$6,$F$2)</f>
        <v>71.650599999999997</v>
      </c>
      <c r="F1287" s="18">
        <f>_xll.ciqfunctions.udf.CIQ($C$2, "IQ_TOTAL_DEBT_CAPITAL", F$6,$F$2)</f>
        <v>72.606200000000001</v>
      </c>
      <c r="G1287" s="18">
        <f>_xll.ciqfunctions.udf.CIQ($C$2, "IQ_TOTAL_DEBT_CAPITAL", G$6,$F$2)</f>
        <v>72.9328</v>
      </c>
      <c r="H1287" s="18">
        <f>_xll.ciqfunctions.udf.CIQ($C$2, "IQ_TOTAL_DEBT_CAPITAL", H$6,$F$2)</f>
        <v>71.286100000000005</v>
      </c>
      <c r="I1287" s="18">
        <f>_xll.ciqfunctions.udf.CIQ($C$2, "IQ_TOTAL_DEBT_CAPITAL", I$6,$F$2)</f>
        <v>71.023899999999998</v>
      </c>
      <c r="J1287" s="18">
        <f>_xll.ciqfunctions.udf.CIQ($C$2, "IQ_TOTAL_DEBT_CAPITAL", J$6,$F$2)</f>
        <v>68.069299999999998</v>
      </c>
      <c r="K1287" s="18">
        <f>_xll.ciqfunctions.udf.CIQ($C$2, "IQ_TOTAL_DEBT_CAPITAL", K$6,$F$2)</f>
        <v>71.262500000000003</v>
      </c>
      <c r="L1287" s="18">
        <f>_xll.ciqfunctions.udf.CIQ($C$2, "IQ_TOTAL_DEBT_CAPITAL", L$6,$F$2)</f>
        <v>71.0535</v>
      </c>
      <c r="M1287" s="18">
        <f>_xll.ciqfunctions.udf.CIQ($C$2, "IQ_TOTAL_DEBT_CAPITAL", M$6,$F$2)</f>
        <v>70.3994</v>
      </c>
      <c r="N1287" s="18">
        <f>_xll.ciqfunctions.udf.CIQ($C$2, "IQ_TOTAL_DEBT_CAPITAL", N$6,$F$2)</f>
        <v>66.367000000000004</v>
      </c>
      <c r="O1287" s="18"/>
      <c r="P1287" s="18">
        <f>_xll.ciqfunctions.udf.CIQ($C$2, "IQ_TOTAL_DEBT_CAPITAL", P$6,$F$2)</f>
        <v>66.367000000000004</v>
      </c>
      <c r="Q1287" s="215"/>
      <c r="R1287" s="215"/>
      <c r="S1287" s="215"/>
      <c r="T1287" s="215"/>
      <c r="U1287" s="215"/>
      <c r="V1287" s="222"/>
      <c r="W1287" s="222"/>
      <c r="X1287" s="222"/>
      <c r="Y1287" s="215"/>
      <c r="Z1287" s="215"/>
      <c r="AA1287" s="215"/>
      <c r="AB1287" s="215"/>
      <c r="AC1287" s="215"/>
      <c r="AD1287" s="215"/>
      <c r="AE1287" s="215"/>
      <c r="AF1287" s="215"/>
      <c r="AG1287" s="215"/>
      <c r="AH1287" s="215"/>
      <c r="AI1287" s="215"/>
      <c r="AJ1287" s="215"/>
      <c r="AK1287" s="215"/>
      <c r="AL1287" s="215"/>
      <c r="AM1287" s="215"/>
      <c r="AN1287" s="215"/>
      <c r="AO1287" s="215"/>
      <c r="AP1287" s="215"/>
      <c r="AQ1287" s="215"/>
      <c r="AR1287" s="215"/>
      <c r="AS1287" s="215"/>
      <c r="AT1287" s="215"/>
      <c r="AU1287" s="215"/>
      <c r="AV1287" s="215"/>
      <c r="AW1287" s="215"/>
      <c r="AX1287" s="215"/>
      <c r="AY1287" s="215"/>
      <c r="AZ1287" s="215"/>
      <c r="BA1287" s="215"/>
      <c r="BB1287" s="215"/>
      <c r="BC1287" s="215"/>
      <c r="BD1287" s="215"/>
      <c r="BE1287" s="215"/>
      <c r="BF1287" s="215"/>
      <c r="BG1287" s="215"/>
      <c r="BH1287" s="215"/>
      <c r="BI1287" s="215"/>
      <c r="BJ1287" s="215"/>
      <c r="BK1287" s="215"/>
      <c r="BL1287" s="215"/>
      <c r="BM1287" s="215"/>
      <c r="BN1287" s="215"/>
      <c r="BO1287" s="215"/>
      <c r="BP1287" s="215"/>
      <c r="BQ1287" s="215"/>
      <c r="BR1287" s="215"/>
      <c r="BS1287" s="215"/>
      <c r="BT1287" s="215"/>
      <c r="BU1287" s="215"/>
      <c r="BV1287" s="215"/>
      <c r="BW1287" s="215"/>
      <c r="BX1287" s="215"/>
      <c r="BY1287" s="215"/>
      <c r="BZ1287" s="215"/>
    </row>
    <row r="1288" spans="1:78" x14ac:dyDescent="0.2">
      <c r="A1288" s="53" t="str">
        <f>'Language Index'!A749</f>
        <v>LT Debt / Equity (%)</v>
      </c>
      <c r="B1288" s="17"/>
      <c r="C1288" s="17"/>
      <c r="D1288" s="18">
        <f>_xll.ciqfunctions.udf.CIQ($C$2,  "IQ_LT_DEBT_EQUITY", D$6,$F$2)</f>
        <v>236.5273</v>
      </c>
      <c r="E1288" s="18">
        <f>_xll.ciqfunctions.udf.CIQ($C$2,  "IQ_LT_DEBT_EQUITY", E$6,$F$2)</f>
        <v>221.5581</v>
      </c>
      <c r="F1288" s="18">
        <f>_xll.ciqfunctions.udf.CIQ($C$2,  "IQ_LT_DEBT_EQUITY", F$6,$F$2)</f>
        <v>233.00309999999999</v>
      </c>
      <c r="G1288" s="18">
        <f>_xll.ciqfunctions.udf.CIQ($C$2,  "IQ_LT_DEBT_EQUITY", G$6,$F$2)</f>
        <v>242.64340000000001</v>
      </c>
      <c r="H1288" s="18">
        <f>_xll.ciqfunctions.udf.CIQ($C$2,  "IQ_LT_DEBT_EQUITY", H$6,$F$2)</f>
        <v>230.15799999999999</v>
      </c>
      <c r="I1288" s="18">
        <f>_xll.ciqfunctions.udf.CIQ($C$2,  "IQ_LT_DEBT_EQUITY", I$6,$F$2)</f>
        <v>227.21969999999999</v>
      </c>
      <c r="J1288" s="18">
        <f>_xll.ciqfunctions.udf.CIQ($C$2,  "IQ_LT_DEBT_EQUITY", J$6,$F$2)</f>
        <v>191.7971</v>
      </c>
      <c r="K1288" s="18">
        <f>_xll.ciqfunctions.udf.CIQ($C$2,  "IQ_LT_DEBT_EQUITY", K$6,$F$2)</f>
        <v>219.36770000000001</v>
      </c>
      <c r="L1288" s="18">
        <f>_xll.ciqfunctions.udf.CIQ($C$2,  "IQ_LT_DEBT_EQUITY", L$6,$F$2)</f>
        <v>210.06950000000001</v>
      </c>
      <c r="M1288" s="18">
        <f>_xll.ciqfunctions.udf.CIQ($C$2,  "IQ_LT_DEBT_EQUITY", M$6,$F$2)</f>
        <v>206.5737</v>
      </c>
      <c r="N1288" s="18">
        <f>_xll.ciqfunctions.udf.CIQ($C$2,  "IQ_LT_DEBT_EQUITY", N$6,$F$2)</f>
        <v>175.26339999999999</v>
      </c>
      <c r="O1288" s="18"/>
      <c r="P1288" s="18">
        <f>_xll.ciqfunctions.udf.CIQ($C$2,  "IQ_LT_DEBT_EQUITY", P$6,$F$2)</f>
        <v>175.26339999999999</v>
      </c>
      <c r="Q1288" s="215"/>
      <c r="R1288" s="215"/>
      <c r="S1288" s="215"/>
      <c r="T1288" s="215"/>
      <c r="U1288" s="215"/>
      <c r="V1288" s="222"/>
      <c r="W1288" s="222"/>
      <c r="X1288" s="222"/>
      <c r="Y1288" s="215"/>
      <c r="Z1288" s="215"/>
      <c r="AA1288" s="215"/>
      <c r="AB1288" s="215"/>
      <c r="AC1288" s="215"/>
      <c r="AD1288" s="215"/>
      <c r="AE1288" s="215"/>
      <c r="AF1288" s="215"/>
      <c r="AG1288" s="215"/>
      <c r="AH1288" s="215"/>
      <c r="AI1288" s="215"/>
      <c r="AJ1288" s="215"/>
      <c r="AK1288" s="215"/>
      <c r="AL1288" s="215"/>
      <c r="AM1288" s="215"/>
      <c r="AN1288" s="215"/>
      <c r="AO1288" s="215"/>
      <c r="AP1288" s="215"/>
      <c r="AQ1288" s="215"/>
      <c r="AR1288" s="215"/>
      <c r="AS1288" s="215"/>
      <c r="AT1288" s="215"/>
      <c r="AU1288" s="215"/>
      <c r="AV1288" s="215"/>
      <c r="AW1288" s="215"/>
      <c r="AX1288" s="215"/>
      <c r="AY1288" s="215"/>
      <c r="AZ1288" s="215"/>
      <c r="BA1288" s="215"/>
      <c r="BB1288" s="215"/>
      <c r="BC1288" s="215"/>
      <c r="BD1288" s="215"/>
      <c r="BE1288" s="215"/>
      <c r="BF1288" s="215"/>
      <c r="BG1288" s="215"/>
      <c r="BH1288" s="215"/>
      <c r="BI1288" s="215"/>
      <c r="BJ1288" s="215"/>
      <c r="BK1288" s="215"/>
      <c r="BL1288" s="215"/>
      <c r="BM1288" s="215"/>
      <c r="BN1288" s="215"/>
      <c r="BO1288" s="215"/>
      <c r="BP1288" s="215"/>
      <c r="BQ1288" s="215"/>
      <c r="BR1288" s="215"/>
      <c r="BS1288" s="215"/>
      <c r="BT1288" s="215"/>
      <c r="BU1288" s="215"/>
      <c r="BV1288" s="215"/>
      <c r="BW1288" s="215"/>
      <c r="BX1288" s="215"/>
      <c r="BY1288" s="215"/>
      <c r="BZ1288" s="215"/>
    </row>
    <row r="1289" spans="1:78" x14ac:dyDescent="0.2">
      <c r="A1289" s="53" t="str">
        <f>'Language Index'!A750</f>
        <v>LT Debt / Capital (%)</v>
      </c>
      <c r="B1289" s="17"/>
      <c r="C1289" s="17"/>
      <c r="D1289" s="18">
        <f>_xll.ciqfunctions.udf.CIQ($C$2, "IQ_LT_DEBT_CAPITAL", D$6,$F$2)</f>
        <v>63.792900000000003</v>
      </c>
      <c r="E1289" s="18">
        <f>_xll.ciqfunctions.udf.CIQ($C$2, "IQ_LT_DEBT_CAPITAL", E$6,$F$2)</f>
        <v>62.810200000000002</v>
      </c>
      <c r="F1289" s="18">
        <f>_xll.ciqfunctions.udf.CIQ($C$2, "IQ_LT_DEBT_CAPITAL", F$6,$F$2)</f>
        <v>63.828299999999999</v>
      </c>
      <c r="G1289" s="18">
        <f>_xll.ciqfunctions.udf.CIQ($C$2, "IQ_LT_DEBT_CAPITAL", G$6,$F$2)</f>
        <v>65.676699999999997</v>
      </c>
      <c r="H1289" s="18">
        <f>_xll.ciqfunctions.udf.CIQ($C$2, "IQ_LT_DEBT_CAPITAL", H$6,$F$2)</f>
        <v>66.087199999999996</v>
      </c>
      <c r="I1289" s="18">
        <f>_xll.ciqfunctions.udf.CIQ($C$2, "IQ_LT_DEBT_CAPITAL", I$6,$F$2)</f>
        <v>65.839299999999994</v>
      </c>
      <c r="J1289" s="18">
        <f>_xll.ciqfunctions.udf.CIQ($C$2, "IQ_LT_DEBT_CAPITAL", J$6,$F$2)</f>
        <v>61.242100000000001</v>
      </c>
      <c r="K1289" s="18">
        <f>_xll.ciqfunctions.udf.CIQ($C$2, "IQ_LT_DEBT_CAPITAL", K$6,$F$2)</f>
        <v>63.040700000000001</v>
      </c>
      <c r="L1289" s="18">
        <f>_xll.ciqfunctions.udf.CIQ($C$2, "IQ_LT_DEBT_CAPITAL", L$6,$F$2)</f>
        <v>60.807699999999997</v>
      </c>
      <c r="M1289" s="18">
        <f>_xll.ciqfunctions.udf.CIQ($C$2, "IQ_LT_DEBT_CAPITAL", M$6,$F$2)</f>
        <v>61.146999999999998</v>
      </c>
      <c r="N1289" s="18">
        <f>_xll.ciqfunctions.udf.CIQ($C$2, "IQ_LT_DEBT_CAPITAL", N$6,$F$2)</f>
        <v>58.946199999999997</v>
      </c>
      <c r="O1289" s="18"/>
      <c r="P1289" s="18">
        <f>_xll.ciqfunctions.udf.CIQ($C$2, "IQ_LT_DEBT_CAPITAL", P$6,$F$2)</f>
        <v>58.946199999999997</v>
      </c>
      <c r="Q1289" s="215"/>
      <c r="R1289" s="215"/>
      <c r="S1289" s="215"/>
      <c r="T1289" s="215"/>
      <c r="U1289" s="215"/>
      <c r="V1289" s="222"/>
      <c r="W1289" s="222"/>
      <c r="X1289" s="222"/>
      <c r="Y1289" s="215"/>
      <c r="Z1289" s="215"/>
      <c r="AA1289" s="215"/>
      <c r="AB1289" s="215"/>
      <c r="AC1289" s="215"/>
      <c r="AD1289" s="215"/>
      <c r="AE1289" s="215"/>
      <c r="AF1289" s="215"/>
      <c r="AG1289" s="215"/>
      <c r="AH1289" s="215"/>
      <c r="AI1289" s="215"/>
      <c r="AJ1289" s="215"/>
      <c r="AK1289" s="215"/>
      <c r="AL1289" s="215"/>
      <c r="AM1289" s="215"/>
      <c r="AN1289" s="215"/>
      <c r="AO1289" s="215"/>
      <c r="AP1289" s="215"/>
      <c r="AQ1289" s="215"/>
      <c r="AR1289" s="215"/>
      <c r="AS1289" s="215"/>
      <c r="AT1289" s="215"/>
      <c r="AU1289" s="215"/>
      <c r="AV1289" s="215"/>
      <c r="AW1289" s="215"/>
      <c r="AX1289" s="215"/>
      <c r="AY1289" s="215"/>
      <c r="AZ1289" s="215"/>
      <c r="BA1289" s="215"/>
      <c r="BB1289" s="215"/>
      <c r="BC1289" s="215"/>
      <c r="BD1289" s="215"/>
      <c r="BE1289" s="215"/>
      <c r="BF1289" s="215"/>
      <c r="BG1289" s="215"/>
      <c r="BH1289" s="215"/>
      <c r="BI1289" s="215"/>
      <c r="BJ1289" s="215"/>
      <c r="BK1289" s="215"/>
      <c r="BL1289" s="215"/>
      <c r="BM1289" s="215"/>
      <c r="BN1289" s="215"/>
      <c r="BO1289" s="215"/>
      <c r="BP1289" s="215"/>
      <c r="BQ1289" s="215"/>
      <c r="BR1289" s="215"/>
      <c r="BS1289" s="215"/>
      <c r="BT1289" s="215"/>
      <c r="BU1289" s="215"/>
      <c r="BV1289" s="215"/>
      <c r="BW1289" s="215"/>
      <c r="BX1289" s="215"/>
      <c r="BY1289" s="215"/>
      <c r="BZ1289" s="215"/>
    </row>
    <row r="1290" spans="1:78" x14ac:dyDescent="0.2">
      <c r="A1290" s="53" t="str">
        <f>'Language Index'!A751</f>
        <v>Total Liabilities / Total Assets (%)</v>
      </c>
      <c r="B1290" s="17"/>
      <c r="C1290" s="17"/>
      <c r="D1290" s="18">
        <f>_xll.ciqfunctions.udf.CIQ($C$2, "IQ_TOTAL_LIAB_TOTAL_ASSETS", D$6,$F$2)</f>
        <v>83.155199999999994</v>
      </c>
      <c r="E1290" s="18">
        <f>_xll.ciqfunctions.udf.CIQ($C$2, "IQ_TOTAL_LIAB_TOTAL_ASSETS", E$6,$F$2)</f>
        <v>82.094099999999997</v>
      </c>
      <c r="F1290" s="18">
        <f>_xll.ciqfunctions.udf.CIQ($C$2, "IQ_TOTAL_LIAB_TOTAL_ASSETS", F$6,$F$2)</f>
        <v>83.279399999999995</v>
      </c>
      <c r="G1290" s="18">
        <f>_xll.ciqfunctions.udf.CIQ($C$2, "IQ_TOTAL_LIAB_TOTAL_ASSETS", G$6,$F$2)</f>
        <v>82.989500000000007</v>
      </c>
      <c r="H1290" s="18">
        <f>_xll.ciqfunctions.udf.CIQ($C$2, "IQ_TOTAL_LIAB_TOTAL_ASSETS", H$6,$F$2)</f>
        <v>81.992199999999997</v>
      </c>
      <c r="I1290" s="18">
        <f>_xll.ciqfunctions.udf.CIQ($C$2, "IQ_TOTAL_LIAB_TOTAL_ASSETS", I$6,$F$2)</f>
        <v>81.740200000000002</v>
      </c>
      <c r="J1290" s="18">
        <f>_xll.ciqfunctions.udf.CIQ($C$2, "IQ_TOTAL_LIAB_TOTAL_ASSETS", J$6,$F$2)</f>
        <v>80.030600000000007</v>
      </c>
      <c r="K1290" s="18">
        <f>_xll.ciqfunctions.udf.CIQ($C$2, "IQ_TOTAL_LIAB_TOTAL_ASSETS", K$6,$F$2)</f>
        <v>81.497500000000002</v>
      </c>
      <c r="L1290" s="18">
        <f>_xll.ciqfunctions.udf.CIQ($C$2, "IQ_TOTAL_LIAB_TOTAL_ASSETS", L$6,$F$2)</f>
        <v>81.4328</v>
      </c>
      <c r="M1290" s="18">
        <f>_xll.ciqfunctions.udf.CIQ($C$2, "IQ_TOTAL_LIAB_TOTAL_ASSETS", M$6,$F$2)</f>
        <v>80.869600000000005</v>
      </c>
      <c r="N1290" s="18">
        <f>_xll.ciqfunctions.udf.CIQ($C$2, "IQ_TOTAL_LIAB_TOTAL_ASSETS", N$6,$F$2)</f>
        <v>78.442800000000005</v>
      </c>
      <c r="O1290" s="18"/>
      <c r="P1290" s="18">
        <f>_xll.ciqfunctions.udf.CIQ($C$2, "IQ_TOTAL_LIAB_TOTAL_ASSETS", P$6,$F$2)</f>
        <v>78.442800000000005</v>
      </c>
      <c r="Q1290" s="215"/>
      <c r="R1290" s="215"/>
      <c r="S1290" s="215"/>
      <c r="T1290" s="215"/>
      <c r="U1290" s="215"/>
      <c r="V1290" s="222"/>
      <c r="W1290" s="222"/>
      <c r="X1290" s="222"/>
      <c r="Y1290" s="215"/>
      <c r="Z1290" s="215"/>
      <c r="AA1290" s="215"/>
      <c r="AB1290" s="215"/>
      <c r="AC1290" s="215"/>
      <c r="AD1290" s="215"/>
      <c r="AE1290" s="215"/>
      <c r="AF1290" s="215"/>
      <c r="AG1290" s="215"/>
      <c r="AH1290" s="215"/>
      <c r="AI1290" s="215"/>
      <c r="AJ1290" s="215"/>
      <c r="AK1290" s="215"/>
      <c r="AL1290" s="215"/>
      <c r="AM1290" s="215"/>
      <c r="AN1290" s="215"/>
      <c r="AO1290" s="215"/>
      <c r="AP1290" s="215"/>
      <c r="AQ1290" s="215"/>
      <c r="AR1290" s="215"/>
      <c r="AS1290" s="215"/>
      <c r="AT1290" s="215"/>
      <c r="AU1290" s="215"/>
      <c r="AV1290" s="215"/>
      <c r="AW1290" s="215"/>
      <c r="AX1290" s="215"/>
      <c r="AY1290" s="215"/>
      <c r="AZ1290" s="215"/>
      <c r="BA1290" s="215"/>
      <c r="BB1290" s="215"/>
      <c r="BC1290" s="215"/>
      <c r="BD1290" s="215"/>
      <c r="BE1290" s="215"/>
      <c r="BF1290" s="215"/>
      <c r="BG1290" s="215"/>
      <c r="BH1290" s="215"/>
      <c r="BI1290" s="215"/>
      <c r="BJ1290" s="215"/>
      <c r="BK1290" s="215"/>
      <c r="BL1290" s="215"/>
      <c r="BM1290" s="215"/>
      <c r="BN1290" s="215"/>
      <c r="BO1290" s="215"/>
      <c r="BP1290" s="215"/>
      <c r="BQ1290" s="215"/>
      <c r="BR1290" s="215"/>
      <c r="BS1290" s="215"/>
      <c r="BT1290" s="215"/>
      <c r="BU1290" s="215"/>
      <c r="BV1290" s="215"/>
      <c r="BW1290" s="215"/>
      <c r="BX1290" s="215"/>
      <c r="BY1290" s="215"/>
      <c r="BZ1290" s="215"/>
    </row>
    <row r="1291" spans="1:78" x14ac:dyDescent="0.2">
      <c r="A1291" s="53"/>
      <c r="B1291" s="17"/>
      <c r="C1291" s="17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215"/>
      <c r="R1291" s="215"/>
      <c r="S1291" s="215"/>
      <c r="T1291" s="215"/>
      <c r="U1291" s="215"/>
      <c r="V1291" s="222"/>
      <c r="W1291" s="222"/>
      <c r="X1291" s="222"/>
      <c r="Y1291" s="215"/>
      <c r="Z1291" s="215"/>
      <c r="AA1291" s="215"/>
      <c r="AB1291" s="215"/>
      <c r="AC1291" s="215"/>
      <c r="AD1291" s="215"/>
      <c r="AE1291" s="215"/>
      <c r="AF1291" s="215"/>
      <c r="AG1291" s="215"/>
      <c r="AH1291" s="215"/>
      <c r="AI1291" s="215"/>
      <c r="AJ1291" s="215"/>
      <c r="AK1291" s="215"/>
      <c r="AL1291" s="215"/>
      <c r="AM1291" s="215"/>
      <c r="AN1291" s="215"/>
      <c r="AO1291" s="215"/>
      <c r="AP1291" s="215"/>
      <c r="AQ1291" s="215"/>
      <c r="AR1291" s="215"/>
      <c r="AS1291" s="215"/>
      <c r="AT1291" s="215"/>
      <c r="AU1291" s="215"/>
      <c r="AV1291" s="215"/>
      <c r="AW1291" s="215"/>
      <c r="AX1291" s="215"/>
      <c r="AY1291" s="215"/>
      <c r="AZ1291" s="215"/>
      <c r="BA1291" s="215"/>
      <c r="BB1291" s="215"/>
      <c r="BC1291" s="215"/>
      <c r="BD1291" s="215"/>
      <c r="BE1291" s="215"/>
      <c r="BF1291" s="215"/>
      <c r="BG1291" s="215"/>
      <c r="BH1291" s="215"/>
      <c r="BI1291" s="215"/>
      <c r="BJ1291" s="215"/>
      <c r="BK1291" s="215"/>
      <c r="BL1291" s="215"/>
      <c r="BM1291" s="215"/>
      <c r="BN1291" s="215"/>
      <c r="BO1291" s="215"/>
      <c r="BP1291" s="215"/>
      <c r="BQ1291" s="215"/>
      <c r="BR1291" s="215"/>
      <c r="BS1291" s="215"/>
      <c r="BT1291" s="215"/>
      <c r="BU1291" s="215"/>
      <c r="BV1291" s="215"/>
      <c r="BW1291" s="215"/>
      <c r="BX1291" s="215"/>
      <c r="BY1291" s="215"/>
      <c r="BZ1291" s="215"/>
    </row>
    <row r="1292" spans="1:78" x14ac:dyDescent="0.2">
      <c r="A1292" s="53" t="str">
        <f>'Language Index'!A752</f>
        <v>EBIT / Interest Expense</v>
      </c>
      <c r="B1292" s="17"/>
      <c r="C1292" s="17"/>
      <c r="D1292" s="55">
        <f>_xll.ciqfunctions.udf.CIQ($C$2, "IQ_EBIT_INT", D$6,$F$2)</f>
        <v>6.10365</v>
      </c>
      <c r="E1292" s="55">
        <f>_xll.ciqfunctions.udf.CIQ($C$2, "IQ_EBIT_INT", E$6,$F$2)</f>
        <v>6.1293699999999998</v>
      </c>
      <c r="F1292" s="55">
        <f>_xll.ciqfunctions.udf.CIQ($C$2, "IQ_EBIT_INT", F$6,$F$2)</f>
        <v>5.8624799999999997</v>
      </c>
      <c r="G1292" s="55">
        <f>_xll.ciqfunctions.udf.CIQ($C$2, "IQ_EBIT_INT", G$6,$F$2)</f>
        <v>5.9425800000000004</v>
      </c>
      <c r="H1292" s="55">
        <f>_xll.ciqfunctions.udf.CIQ($C$2, "IQ_EBIT_INT", H$6,$F$2)</f>
        <v>5.9689699999999997</v>
      </c>
      <c r="I1292" s="55">
        <f>_xll.ciqfunctions.udf.CIQ($C$2, "IQ_EBIT_INT", I$6,$F$2)</f>
        <v>5.8936799999999998</v>
      </c>
      <c r="J1292" s="55">
        <f>_xll.ciqfunctions.udf.CIQ($C$2, "IQ_EBIT_INT", J$6,$F$2)</f>
        <v>5.7172900000000002</v>
      </c>
      <c r="K1292" s="55">
        <f>_xll.ciqfunctions.udf.CIQ($C$2, "IQ_EBIT_INT", K$6,$F$2)</f>
        <v>5.8288200000000003</v>
      </c>
      <c r="L1292" s="55">
        <f>_xll.ciqfunctions.udf.CIQ($C$2, "IQ_EBIT_INT", L$6,$F$2)</f>
        <v>5.9813000000000001</v>
      </c>
      <c r="M1292" s="55">
        <f>_xll.ciqfunctions.udf.CIQ($C$2, "IQ_EBIT_INT", M$6,$F$2)</f>
        <v>6.13131</v>
      </c>
      <c r="N1292" s="55">
        <f>_xll.ciqfunctions.udf.CIQ($C$2, "IQ_EBIT_INT", N$6,$F$2)</f>
        <v>6.4950900000000003</v>
      </c>
      <c r="O1292" s="55"/>
      <c r="P1292" s="55">
        <f>_xll.ciqfunctions.udf.CIQ($C$2, "IQ_EBIT_INT", P$6,$F$2)</f>
        <v>6.4950900000000003</v>
      </c>
      <c r="Q1292" s="215"/>
      <c r="R1292" s="215"/>
      <c r="S1292" s="215"/>
      <c r="T1292" s="215"/>
      <c r="U1292" s="215"/>
      <c r="V1292" s="222"/>
      <c r="W1292" s="222"/>
      <c r="X1292" s="222"/>
      <c r="Y1292" s="215"/>
      <c r="Z1292" s="215"/>
      <c r="AA1292" s="215"/>
      <c r="AB1292" s="215"/>
      <c r="AC1292" s="215"/>
      <c r="AD1292" s="215"/>
      <c r="AE1292" s="215"/>
      <c r="AF1292" s="215"/>
      <c r="AG1292" s="215"/>
      <c r="AH1292" s="215"/>
      <c r="AI1292" s="215"/>
      <c r="AJ1292" s="215"/>
      <c r="AK1292" s="215"/>
      <c r="AL1292" s="215"/>
      <c r="AM1292" s="215"/>
      <c r="AN1292" s="215"/>
      <c r="AO1292" s="215"/>
      <c r="AP1292" s="215"/>
      <c r="AQ1292" s="215"/>
      <c r="AR1292" s="215"/>
      <c r="AS1292" s="215"/>
      <c r="AT1292" s="215"/>
      <c r="AU1292" s="215"/>
      <c r="AV1292" s="215"/>
      <c r="AW1292" s="215"/>
      <c r="AX1292" s="215"/>
      <c r="AY1292" s="215"/>
      <c r="AZ1292" s="215"/>
      <c r="BA1292" s="215"/>
      <c r="BB1292" s="215"/>
      <c r="BC1292" s="215"/>
      <c r="BD1292" s="215"/>
      <c r="BE1292" s="215"/>
      <c r="BF1292" s="215"/>
      <c r="BG1292" s="215"/>
      <c r="BH1292" s="215"/>
      <c r="BI1292" s="215"/>
      <c r="BJ1292" s="215"/>
      <c r="BK1292" s="215"/>
      <c r="BL1292" s="215"/>
      <c r="BM1292" s="215"/>
      <c r="BN1292" s="215"/>
      <c r="BO1292" s="215"/>
      <c r="BP1292" s="215"/>
      <c r="BQ1292" s="215"/>
      <c r="BR1292" s="215"/>
      <c r="BS1292" s="215"/>
      <c r="BT1292" s="215"/>
      <c r="BU1292" s="215"/>
      <c r="BV1292" s="215"/>
      <c r="BW1292" s="215"/>
      <c r="BX1292" s="215"/>
      <c r="BY1292" s="215"/>
      <c r="BZ1292" s="215"/>
    </row>
    <row r="1293" spans="1:78" x14ac:dyDescent="0.2">
      <c r="A1293" s="53" t="str">
        <f>'Language Index'!A753</f>
        <v>EBITDA / Interest Expense</v>
      </c>
      <c r="B1293" s="17"/>
      <c r="C1293" s="17"/>
      <c r="D1293" s="55">
        <f>_xll.ciqfunctions.udf.CIQ($C$2,  "IQ_EBITDA_INT", D$6,$F$2)</f>
        <v>9.2880599999999998</v>
      </c>
      <c r="E1293" s="55">
        <f>_xll.ciqfunctions.udf.CIQ($C$2,  "IQ_EBITDA_INT", E$6,$F$2)</f>
        <v>8.5422399999999996</v>
      </c>
      <c r="F1293" s="55">
        <f>_xll.ciqfunctions.udf.CIQ($C$2,  "IQ_EBITDA_INT", F$6,$F$2)</f>
        <v>8.4312400000000007</v>
      </c>
      <c r="G1293" s="55">
        <f>_xll.ciqfunctions.udf.CIQ($C$2,  "IQ_EBITDA_INT", G$6,$F$2)</f>
        <v>8.3506300000000007</v>
      </c>
      <c r="H1293" s="55">
        <f>_xll.ciqfunctions.udf.CIQ($C$2,  "IQ_EBITDA_INT", H$6,$F$2)</f>
        <v>8.3833500000000001</v>
      </c>
      <c r="I1293" s="55">
        <f>_xll.ciqfunctions.udf.CIQ($C$2,  "IQ_EBITDA_INT", I$6,$F$2)</f>
        <v>8.4877400000000005</v>
      </c>
      <c r="J1293" s="55">
        <f>_xll.ciqfunctions.udf.CIQ($C$2,  "IQ_EBITDA_INT", J$6,$F$2)</f>
        <v>8.2914700000000003</v>
      </c>
      <c r="K1293" s="55">
        <f>_xll.ciqfunctions.udf.CIQ($C$2,  "IQ_EBITDA_INT", K$6,$F$2)</f>
        <v>8.4116700000000009</v>
      </c>
      <c r="L1293" s="55">
        <f>_xll.ciqfunctions.udf.CIQ($C$2,  "IQ_EBITDA_INT", L$6,$F$2)</f>
        <v>8.5261300000000002</v>
      </c>
      <c r="M1293" s="55">
        <f>_xll.ciqfunctions.udf.CIQ($C$2,  "IQ_EBITDA_INT", M$6,$F$2)</f>
        <v>8.6994900000000008</v>
      </c>
      <c r="N1293" s="55">
        <f>_xll.ciqfunctions.udf.CIQ($C$2,  "IQ_EBITDA_INT", N$6,$F$2)</f>
        <v>9.0056799999999999</v>
      </c>
      <c r="O1293" s="55"/>
      <c r="P1293" s="55">
        <f>_xll.ciqfunctions.udf.CIQ($C$2,  "IQ_EBITDA_INT", P$6,$F$2)</f>
        <v>9.0056799999999999</v>
      </c>
      <c r="Q1293" s="215"/>
      <c r="R1293" s="215"/>
      <c r="S1293" s="215"/>
      <c r="T1293" s="215"/>
      <c r="U1293" s="215"/>
      <c r="V1293" s="222"/>
      <c r="W1293" s="222"/>
      <c r="X1293" s="222"/>
      <c r="Y1293" s="215"/>
      <c r="Z1293" s="215"/>
      <c r="AA1293" s="215"/>
      <c r="AB1293" s="215"/>
      <c r="AC1293" s="215"/>
      <c r="AD1293" s="215"/>
      <c r="AE1293" s="215"/>
      <c r="AF1293" s="215"/>
      <c r="AG1293" s="215"/>
      <c r="AH1293" s="215"/>
      <c r="AI1293" s="215"/>
      <c r="AJ1293" s="215"/>
      <c r="AK1293" s="215"/>
      <c r="AL1293" s="215"/>
      <c r="AM1293" s="215"/>
      <c r="AN1293" s="215"/>
      <c r="AO1293" s="215"/>
      <c r="AP1293" s="215"/>
      <c r="AQ1293" s="215"/>
      <c r="AR1293" s="215"/>
      <c r="AS1293" s="215"/>
      <c r="AT1293" s="215"/>
      <c r="AU1293" s="215"/>
      <c r="AV1293" s="215"/>
      <c r="AW1293" s="215"/>
      <c r="AX1293" s="215"/>
      <c r="AY1293" s="215"/>
      <c r="AZ1293" s="215"/>
      <c r="BA1293" s="215"/>
      <c r="BB1293" s="215"/>
      <c r="BC1293" s="215"/>
      <c r="BD1293" s="215"/>
      <c r="BE1293" s="215"/>
      <c r="BF1293" s="215"/>
      <c r="BG1293" s="215"/>
      <c r="BH1293" s="215"/>
      <c r="BI1293" s="215"/>
      <c r="BJ1293" s="215"/>
      <c r="BK1293" s="215"/>
      <c r="BL1293" s="215"/>
      <c r="BM1293" s="215"/>
      <c r="BN1293" s="215"/>
      <c r="BO1293" s="215"/>
      <c r="BP1293" s="215"/>
      <c r="BQ1293" s="215"/>
      <c r="BR1293" s="215"/>
      <c r="BS1293" s="215"/>
      <c r="BT1293" s="215"/>
      <c r="BU1293" s="215"/>
      <c r="BV1293" s="215"/>
      <c r="BW1293" s="215"/>
      <c r="BX1293" s="215"/>
      <c r="BY1293" s="215"/>
      <c r="BZ1293" s="215"/>
    </row>
    <row r="1294" spans="1:78" x14ac:dyDescent="0.2">
      <c r="A1294" s="222" t="str">
        <f>'Language Index'!A869</f>
        <v>EBITDA, Excl. Operating Leases/Interest Expense</v>
      </c>
      <c r="B1294" s="258"/>
      <c r="C1294" s="258"/>
      <c r="D1294" s="55">
        <f>_xll.ciqfunctions.udf.CIQ($C$2,  "IQ_EBITDA_EXCL_OPER_LEASES_INT", D$6,$F$2)</f>
        <v>8.46462</v>
      </c>
      <c r="E1294" s="55">
        <f>_xll.ciqfunctions.udf.CIQ($C$2,  "IQ_EBITDA_EXCL_OPER_LEASES_INT", E$6,$F$2)</f>
        <v>7.8132000000000001</v>
      </c>
      <c r="F1294" s="55">
        <f>_xll.ciqfunctions.udf.CIQ($C$2,  "IQ_EBITDA_EXCL_OPER_LEASES_INT", F$6,$F$2)</f>
        <v>7.6272599999999997</v>
      </c>
      <c r="G1294" s="55">
        <f>_xll.ciqfunctions.udf.CIQ($C$2,  "IQ_EBITDA_EXCL_OPER_LEASES_INT", G$6,$F$2)</f>
        <v>7.5711700000000004</v>
      </c>
      <c r="H1294" s="55">
        <f>_xll.ciqfunctions.udf.CIQ($C$2,  "IQ_EBITDA_EXCL_OPER_LEASES_INT", H$6,$F$2)</f>
        <v>7.5990500000000001</v>
      </c>
      <c r="I1294" s="55">
        <f>_xll.ciqfunctions.udf.CIQ($C$2,  "IQ_EBITDA_EXCL_OPER_LEASES_INT", I$6,$F$2)</f>
        <v>7.7046700000000001</v>
      </c>
      <c r="J1294" s="55">
        <f>_xll.ciqfunctions.udf.CIQ($C$2,  "IQ_EBITDA_EXCL_OPER_LEASES_INT", J$6,$F$2)</f>
        <v>7.5268699999999997</v>
      </c>
      <c r="K1294" s="55">
        <f>_xll.ciqfunctions.udf.CIQ($C$2,  "IQ_EBITDA_EXCL_OPER_LEASES_INT", K$6,$F$2)</f>
        <v>7.6547599999999996</v>
      </c>
      <c r="L1294" s="55">
        <f>_xll.ciqfunctions.udf.CIQ($C$2,  "IQ_EBITDA_EXCL_OPER_LEASES_INT", L$6,$F$2)</f>
        <v>7.8014299999999999</v>
      </c>
      <c r="M1294" s="55">
        <f>_xll.ciqfunctions.udf.CIQ($C$2,  "IQ_EBITDA_EXCL_OPER_LEASES_INT", M$6,$F$2)</f>
        <v>7.99681</v>
      </c>
      <c r="N1294" s="55">
        <f>_xll.ciqfunctions.udf.CIQ($C$2,  "IQ_EBITDA_EXCL_OPER_LEASES_INT", N$6,$F$2)</f>
        <v>8.32972</v>
      </c>
      <c r="O1294" s="55"/>
      <c r="P1294" s="55">
        <f>_xll.ciqfunctions.udf.CIQ($C$2,  "IQ_EBITDA_EXCL_OPER_LEASES_INT", P$6,$F$2)</f>
        <v>8.32972</v>
      </c>
      <c r="Q1294" s="215"/>
      <c r="R1294" s="215"/>
      <c r="S1294" s="215"/>
      <c r="T1294" s="215"/>
      <c r="U1294" s="215"/>
      <c r="V1294" s="222"/>
      <c r="W1294" s="222"/>
      <c r="X1294" s="222"/>
      <c r="Y1294" s="215"/>
      <c r="Z1294" s="215"/>
      <c r="AA1294" s="215"/>
      <c r="AB1294" s="215"/>
      <c r="AC1294" s="215"/>
      <c r="AD1294" s="215"/>
      <c r="AE1294" s="215"/>
      <c r="AF1294" s="215"/>
      <c r="AG1294" s="215"/>
      <c r="AH1294" s="215"/>
      <c r="AI1294" s="215"/>
      <c r="AJ1294" s="215"/>
      <c r="AK1294" s="215"/>
      <c r="AL1294" s="215"/>
      <c r="AM1294" s="215"/>
      <c r="AN1294" s="215"/>
      <c r="AO1294" s="215"/>
      <c r="AP1294" s="215"/>
      <c r="AQ1294" s="215"/>
      <c r="AR1294" s="215"/>
      <c r="AS1294" s="215"/>
      <c r="AT1294" s="215"/>
      <c r="AU1294" s="215"/>
      <c r="AV1294" s="215"/>
      <c r="AW1294" s="215"/>
      <c r="AX1294" s="215"/>
      <c r="AY1294" s="215"/>
      <c r="AZ1294" s="215"/>
      <c r="BA1294" s="215"/>
      <c r="BB1294" s="215"/>
      <c r="BC1294" s="215"/>
      <c r="BD1294" s="215"/>
      <c r="BE1294" s="215"/>
      <c r="BF1294" s="215"/>
      <c r="BG1294" s="215"/>
      <c r="BH1294" s="215"/>
      <c r="BI1294" s="215"/>
      <c r="BJ1294" s="215"/>
      <c r="BK1294" s="215"/>
      <c r="BL1294" s="215"/>
      <c r="BM1294" s="215"/>
      <c r="BN1294" s="215"/>
      <c r="BO1294" s="215"/>
      <c r="BP1294" s="215"/>
      <c r="BQ1294" s="215"/>
      <c r="BR1294" s="215"/>
      <c r="BS1294" s="215"/>
      <c r="BT1294" s="215"/>
      <c r="BU1294" s="215"/>
      <c r="BV1294" s="215"/>
      <c r="BW1294" s="215"/>
      <c r="BX1294" s="215"/>
      <c r="BY1294" s="215"/>
      <c r="BZ1294" s="215"/>
    </row>
    <row r="1295" spans="1:78" x14ac:dyDescent="0.2">
      <c r="A1295" s="53" t="str">
        <f>'Language Index'!A754</f>
        <v>(EBITDA-CAPEX) / Interest Expense</v>
      </c>
      <c r="B1295" s="17"/>
      <c r="C1295" s="17"/>
      <c r="D1295" s="55">
        <f>_xll.ciqfunctions.udf.CIQ($C$2, "IQ_EBITDA_CAPEX_INT", D$6,$F$2)</f>
        <v>8.2944999999999993</v>
      </c>
      <c r="E1295" s="55">
        <f>_xll.ciqfunctions.udf.CIQ($C$2, "IQ_EBITDA_CAPEX_INT", E$6,$F$2)</f>
        <v>7.6485099999999999</v>
      </c>
      <c r="F1295" s="55">
        <f>_xll.ciqfunctions.udf.CIQ($C$2, "IQ_EBITDA_CAPEX_INT", F$6,$F$2)</f>
        <v>7.6565000000000003</v>
      </c>
      <c r="G1295" s="55">
        <f>_xll.ciqfunctions.udf.CIQ($C$2, "IQ_EBITDA_CAPEX_INT", G$6,$F$2)</f>
        <v>7.6424899999999996</v>
      </c>
      <c r="H1295" s="55">
        <f>_xll.ciqfunctions.udf.CIQ($C$2, "IQ_EBITDA_CAPEX_INT", H$6,$F$2)</f>
        <v>7.7628300000000001</v>
      </c>
      <c r="I1295" s="55">
        <f>_xll.ciqfunctions.udf.CIQ($C$2, "IQ_EBITDA_CAPEX_INT", I$6,$F$2)</f>
        <v>7.8704999999999998</v>
      </c>
      <c r="J1295" s="55">
        <f>_xll.ciqfunctions.udf.CIQ($C$2, "IQ_EBITDA_CAPEX_INT", J$6,$F$2)</f>
        <v>7.6793199999999997</v>
      </c>
      <c r="K1295" s="55">
        <f>_xll.ciqfunctions.udf.CIQ($C$2, "IQ_EBITDA_CAPEX_INT", K$6,$F$2)</f>
        <v>7.8047599999999999</v>
      </c>
      <c r="L1295" s="55">
        <f>_xll.ciqfunctions.udf.CIQ($C$2, "IQ_EBITDA_CAPEX_INT", L$6,$F$2)</f>
        <v>7.95242</v>
      </c>
      <c r="M1295" s="55">
        <f>_xll.ciqfunctions.udf.CIQ($C$2, "IQ_EBITDA_CAPEX_INT", M$6,$F$2)</f>
        <v>8.1614799999999992</v>
      </c>
      <c r="N1295" s="55">
        <f>_xll.ciqfunctions.udf.CIQ($C$2, "IQ_EBITDA_CAPEX_INT", N$6,$F$2)</f>
        <v>8.4418600000000001</v>
      </c>
      <c r="O1295" s="55"/>
      <c r="P1295" s="55">
        <f>_xll.ciqfunctions.udf.CIQ($C$2, "IQ_EBITDA_CAPEX_INT", P$6,$F$2)</f>
        <v>8.4418600000000001</v>
      </c>
      <c r="Q1295" s="215"/>
      <c r="R1295" s="215"/>
      <c r="S1295" s="215"/>
      <c r="T1295" s="215"/>
      <c r="U1295" s="215"/>
      <c r="V1295" s="222"/>
      <c r="W1295" s="222"/>
      <c r="X1295" s="222"/>
      <c r="Y1295" s="215"/>
      <c r="Z1295" s="215"/>
      <c r="AA1295" s="215"/>
      <c r="AB1295" s="215"/>
      <c r="AC1295" s="215"/>
      <c r="AD1295" s="215"/>
      <c r="AE1295" s="215"/>
      <c r="AF1295" s="215"/>
      <c r="AG1295" s="215"/>
      <c r="AH1295" s="215"/>
      <c r="AI1295" s="215"/>
      <c r="AJ1295" s="215"/>
      <c r="AK1295" s="215"/>
      <c r="AL1295" s="215"/>
      <c r="AM1295" s="215"/>
      <c r="AN1295" s="215"/>
      <c r="AO1295" s="215"/>
      <c r="AP1295" s="215"/>
      <c r="AQ1295" s="215"/>
      <c r="AR1295" s="215"/>
      <c r="AS1295" s="215"/>
      <c r="AT1295" s="215"/>
      <c r="AU1295" s="215"/>
      <c r="AV1295" s="215"/>
      <c r="AW1295" s="215"/>
      <c r="AX1295" s="215"/>
      <c r="AY1295" s="215"/>
      <c r="AZ1295" s="215"/>
      <c r="BA1295" s="215"/>
      <c r="BB1295" s="215"/>
      <c r="BC1295" s="215"/>
      <c r="BD1295" s="215"/>
      <c r="BE1295" s="215"/>
      <c r="BF1295" s="215"/>
      <c r="BG1295" s="215"/>
      <c r="BH1295" s="215"/>
      <c r="BI1295" s="215"/>
      <c r="BJ1295" s="215"/>
      <c r="BK1295" s="215"/>
      <c r="BL1295" s="215"/>
      <c r="BM1295" s="215"/>
      <c r="BN1295" s="215"/>
      <c r="BO1295" s="215"/>
      <c r="BP1295" s="215"/>
      <c r="BQ1295" s="215"/>
      <c r="BR1295" s="215"/>
      <c r="BS1295" s="215"/>
      <c r="BT1295" s="215"/>
      <c r="BU1295" s="215"/>
      <c r="BV1295" s="215"/>
      <c r="BW1295" s="215"/>
      <c r="BX1295" s="215"/>
      <c r="BY1295" s="215"/>
      <c r="BZ1295" s="215"/>
    </row>
    <row r="1296" spans="1:78" x14ac:dyDescent="0.2">
      <c r="A1296" s="222" t="str">
        <f>'Language Index'!A868</f>
        <v>(EBITDA, Excl. Operating Leases-CAPEX)/Interest Exp.</v>
      </c>
      <c r="B1296" s="258"/>
      <c r="C1296" s="258"/>
      <c r="D1296" s="55">
        <f>_xll.ciqfunctions.udf.CIQ($C$2,  "IQ_EBITDA_EXCL_OPER_LEASES_CAPEX_INT", D$6,$F$2)</f>
        <v>7.47105</v>
      </c>
      <c r="E1296" s="55">
        <f>_xll.ciqfunctions.udf.CIQ($C$2,  "IQ_EBITDA_EXCL_OPER_LEASES_CAPEX_INT", E$6,$F$2)</f>
        <v>6.9194699999999996</v>
      </c>
      <c r="F1296" s="55">
        <f>_xll.ciqfunctions.udf.CIQ($C$2,  "IQ_EBITDA_EXCL_OPER_LEASES_CAPEX_INT", F$6,$F$2)</f>
        <v>6.8525200000000002</v>
      </c>
      <c r="G1296" s="55">
        <f>_xll.ciqfunctions.udf.CIQ($C$2,  "IQ_EBITDA_EXCL_OPER_LEASES_CAPEX_INT", G$6,$F$2)</f>
        <v>6.8630399999999998</v>
      </c>
      <c r="H1296" s="55">
        <f>_xll.ciqfunctions.udf.CIQ($C$2,  "IQ_EBITDA_EXCL_OPER_LEASES_CAPEX_INT", H$6,$F$2)</f>
        <v>6.9785199999999996</v>
      </c>
      <c r="I1296" s="55">
        <f>_xll.ciqfunctions.udf.CIQ($C$2,  "IQ_EBITDA_EXCL_OPER_LEASES_CAPEX_INT", I$6,$F$2)</f>
        <v>7.0874199999999998</v>
      </c>
      <c r="J1296" s="55">
        <f>_xll.ciqfunctions.udf.CIQ($C$2,  "IQ_EBITDA_EXCL_OPER_LEASES_CAPEX_INT", J$6,$F$2)</f>
        <v>6.91472</v>
      </c>
      <c r="K1296" s="55">
        <f>_xll.ciqfunctions.udf.CIQ($C$2,  "IQ_EBITDA_EXCL_OPER_LEASES_CAPEX_INT", K$6,$F$2)</f>
        <v>7.0478399999999999</v>
      </c>
      <c r="L1296" s="55">
        <f>_xll.ciqfunctions.udf.CIQ($C$2,  "IQ_EBITDA_EXCL_OPER_LEASES_CAPEX_INT", L$6,$F$2)</f>
        <v>7.2277199999999997</v>
      </c>
      <c r="M1296" s="55">
        <f>_xll.ciqfunctions.udf.CIQ($C$2,  "IQ_EBITDA_EXCL_OPER_LEASES_CAPEX_INT", M$6,$F$2)</f>
        <v>7.4588000000000001</v>
      </c>
      <c r="N1296" s="55">
        <f>_xll.ciqfunctions.udf.CIQ($C$2,  "IQ_EBITDA_EXCL_OPER_LEASES_CAPEX_INT", N$6,$F$2)</f>
        <v>7.7658899999999997</v>
      </c>
      <c r="O1296" s="55"/>
      <c r="P1296" s="55">
        <f>_xll.ciqfunctions.udf.CIQ($C$2,  "IQ_EBITDA_EXCL_OPER_LEASES_CAPEX_INT", P$6,$F$2)</f>
        <v>7.7658899999999997</v>
      </c>
      <c r="Q1296" s="215"/>
      <c r="R1296" s="215"/>
      <c r="S1296" s="215"/>
      <c r="T1296" s="215"/>
      <c r="U1296" s="215"/>
      <c r="V1296" s="222"/>
      <c r="W1296" s="222"/>
      <c r="X1296" s="222"/>
      <c r="Y1296" s="215"/>
      <c r="Z1296" s="215"/>
      <c r="AA1296" s="215"/>
      <c r="AB1296" s="215"/>
      <c r="AC1296" s="215"/>
      <c r="AD1296" s="215"/>
      <c r="AE1296" s="215"/>
      <c r="AF1296" s="215"/>
      <c r="AG1296" s="215"/>
      <c r="AH1296" s="215"/>
      <c r="AI1296" s="215"/>
      <c r="AJ1296" s="215"/>
      <c r="AK1296" s="215"/>
      <c r="AL1296" s="215"/>
      <c r="AM1296" s="215"/>
      <c r="AN1296" s="215"/>
      <c r="AO1296" s="215"/>
      <c r="AP1296" s="215"/>
      <c r="AQ1296" s="215"/>
      <c r="AR1296" s="215"/>
      <c r="AS1296" s="215"/>
      <c r="AT1296" s="215"/>
      <c r="AU1296" s="215"/>
      <c r="AV1296" s="215"/>
      <c r="AW1296" s="215"/>
      <c r="AX1296" s="215"/>
      <c r="AY1296" s="215"/>
      <c r="AZ1296" s="215"/>
      <c r="BA1296" s="215"/>
      <c r="BB1296" s="215"/>
      <c r="BC1296" s="215"/>
      <c r="BD1296" s="215"/>
      <c r="BE1296" s="215"/>
      <c r="BF1296" s="215"/>
      <c r="BG1296" s="215"/>
      <c r="BH1296" s="215"/>
      <c r="BI1296" s="215"/>
      <c r="BJ1296" s="215"/>
      <c r="BK1296" s="215"/>
      <c r="BL1296" s="215"/>
      <c r="BM1296" s="215"/>
      <c r="BN1296" s="215"/>
      <c r="BO1296" s="215"/>
      <c r="BP1296" s="215"/>
      <c r="BQ1296" s="215"/>
      <c r="BR1296" s="215"/>
      <c r="BS1296" s="215"/>
      <c r="BT1296" s="215"/>
      <c r="BU1296" s="215"/>
      <c r="BV1296" s="215"/>
      <c r="BW1296" s="215"/>
      <c r="BX1296" s="215"/>
      <c r="BY1296" s="215"/>
      <c r="BZ1296" s="215"/>
    </row>
    <row r="1297" spans="1:78" x14ac:dyDescent="0.2">
      <c r="A1297" s="53" t="str">
        <f>'Language Index'!A755</f>
        <v>Total Debt / EBITDA</v>
      </c>
      <c r="B1297" s="17"/>
      <c r="C1297" s="17"/>
      <c r="D1297" s="55">
        <f>_xll.ciqfunctions.udf.CIQ($C$2, "IQ_TOTAL_DEBT_EBITDA", D$6,$F$2)</f>
        <v>4.6409099999999999</v>
      </c>
      <c r="E1297" s="55">
        <f>_xll.ciqfunctions.udf.CIQ($C$2, "IQ_TOTAL_DEBT_EBITDA", E$6,$F$2)</f>
        <v>4.5222699999999998</v>
      </c>
      <c r="F1297" s="55">
        <f>_xll.ciqfunctions.udf.CIQ($C$2, "IQ_TOTAL_DEBT_EBITDA", F$6,$F$2)</f>
        <v>4.4235699999999998</v>
      </c>
      <c r="G1297" s="55">
        <f>_xll.ciqfunctions.udf.CIQ($C$2, "IQ_TOTAL_DEBT_EBITDA", G$6,$F$2)</f>
        <v>4.5029300000000001</v>
      </c>
      <c r="H1297" s="55">
        <f>_xll.ciqfunctions.udf.CIQ($C$2, "IQ_TOTAL_DEBT_EBITDA", H$6,$F$2)</f>
        <v>4.2588499999999998</v>
      </c>
      <c r="I1297" s="55">
        <f>_xll.ciqfunctions.udf.CIQ($C$2, "IQ_TOTAL_DEBT_EBITDA", I$6,$F$2)</f>
        <v>4.1842100000000002</v>
      </c>
      <c r="J1297" s="55">
        <f>_xll.ciqfunctions.udf.CIQ($C$2, "IQ_TOTAL_DEBT_EBITDA", J$6,$F$2)</f>
        <v>4.1138399999999997</v>
      </c>
      <c r="K1297" s="55">
        <f>_xll.ciqfunctions.udf.CIQ($C$2, "IQ_TOTAL_DEBT_EBITDA", K$6,$F$2)</f>
        <v>4.5795399999999997</v>
      </c>
      <c r="L1297" s="55">
        <f>_xll.ciqfunctions.udf.CIQ($C$2, "IQ_TOTAL_DEBT_EBITDA", L$6,$F$2)</f>
        <v>4.36883</v>
      </c>
      <c r="M1297" s="55">
        <f>_xll.ciqfunctions.udf.CIQ($C$2, "IQ_TOTAL_DEBT_EBITDA", M$6,$F$2)</f>
        <v>4.0680800000000001</v>
      </c>
      <c r="N1297" s="55">
        <f>_xll.ciqfunctions.udf.CIQ($C$2, "IQ_TOTAL_DEBT_EBITDA", N$6,$F$2)</f>
        <v>3.7075100000000001</v>
      </c>
      <c r="O1297" s="55"/>
      <c r="P1297" s="55">
        <f>_xll.ciqfunctions.udf.CIQ($C$2, "IQ_TOTAL_DEBT_EBITDA", P$6,$F$2)</f>
        <v>3.7075100000000001</v>
      </c>
      <c r="Q1297" s="215"/>
      <c r="R1297" s="215"/>
      <c r="S1297" s="215"/>
      <c r="T1297" s="215"/>
      <c r="U1297" s="215"/>
      <c r="V1297" s="215"/>
      <c r="W1297" s="215"/>
      <c r="X1297" s="215"/>
      <c r="Y1297" s="215"/>
      <c r="Z1297" s="215"/>
      <c r="AA1297" s="215"/>
      <c r="AB1297" s="215"/>
      <c r="AC1297" s="215"/>
      <c r="AD1297" s="215"/>
      <c r="AE1297" s="215"/>
      <c r="AF1297" s="215"/>
      <c r="AG1297" s="215"/>
      <c r="AH1297" s="215"/>
      <c r="AI1297" s="215"/>
      <c r="AJ1297" s="215"/>
      <c r="AK1297" s="215"/>
      <c r="AL1297" s="215"/>
      <c r="AM1297" s="215"/>
      <c r="AN1297" s="215"/>
      <c r="AO1297" s="215"/>
      <c r="AP1297" s="215"/>
      <c r="AQ1297" s="215"/>
      <c r="AR1297" s="215"/>
      <c r="AS1297" s="215"/>
      <c r="AT1297" s="215"/>
      <c r="AU1297" s="215"/>
      <c r="AV1297" s="215"/>
      <c r="AW1297" s="215"/>
      <c r="AX1297" s="215"/>
      <c r="AY1297" s="215"/>
      <c r="AZ1297" s="215"/>
      <c r="BA1297" s="215"/>
      <c r="BB1297" s="215"/>
      <c r="BC1297" s="215"/>
      <c r="BD1297" s="215"/>
      <c r="BE1297" s="215"/>
      <c r="BF1297" s="215"/>
      <c r="BG1297" s="215"/>
      <c r="BH1297" s="215"/>
      <c r="BI1297" s="215"/>
      <c r="BJ1297" s="215"/>
      <c r="BK1297" s="215"/>
      <c r="BL1297" s="215"/>
      <c r="BM1297" s="215"/>
      <c r="BN1297" s="215"/>
      <c r="BO1297" s="215"/>
      <c r="BP1297" s="215"/>
      <c r="BQ1297" s="215"/>
      <c r="BR1297" s="215"/>
      <c r="BS1297" s="215"/>
      <c r="BT1297" s="215"/>
      <c r="BU1297" s="215"/>
      <c r="BV1297" s="215"/>
      <c r="BW1297" s="215"/>
      <c r="BX1297" s="215"/>
      <c r="BY1297" s="215"/>
      <c r="BZ1297" s="215"/>
    </row>
    <row r="1298" spans="1:78" x14ac:dyDescent="0.2">
      <c r="A1298" s="222" t="str">
        <f>'Language Index'!A872</f>
        <v>Total Debt / EBITDA, Excl. Operating Leases</v>
      </c>
      <c r="B1298" s="258"/>
      <c r="C1298" s="258"/>
      <c r="D1298" s="55">
        <f>_xll.ciqfunctions.udf.CIQ($C$2,  "IQ_TOTAL_DEBT_EBITDA_EXCL_OPER_LEASES", D$6,$F$2)</f>
        <v>5.0923800000000004</v>
      </c>
      <c r="E1298" s="55">
        <f>_xll.ciqfunctions.udf.CIQ($C$2,  "IQ_TOTAL_DEBT_EBITDA_EXCL_OPER_LEASES", E$6,$F$2)</f>
        <v>4.9442399999999997</v>
      </c>
      <c r="F1298" s="55">
        <f>_xll.ciqfunctions.udf.CIQ($C$2,  "IQ_TOTAL_DEBT_EBITDA_EXCL_OPER_LEASES", F$6,$F$2)</f>
        <v>4.8898599999999997</v>
      </c>
      <c r="G1298" s="55">
        <f>_xll.ciqfunctions.udf.CIQ($C$2,  "IQ_TOTAL_DEBT_EBITDA_EXCL_OPER_LEASES", G$6,$F$2)</f>
        <v>4.9665100000000004</v>
      </c>
      <c r="H1298" s="55">
        <f>_xll.ciqfunctions.udf.CIQ($C$2,  "IQ_TOTAL_DEBT_EBITDA_EXCL_OPER_LEASES", H$6,$F$2)</f>
        <v>4.69841</v>
      </c>
      <c r="I1298" s="55">
        <f>_xll.ciqfunctions.udf.CIQ($C$2,  "IQ_TOTAL_DEBT_EBITDA_EXCL_OPER_LEASES", I$6,$F$2)</f>
        <v>4.6094799999999996</v>
      </c>
      <c r="J1298" s="55">
        <f>_xll.ciqfunctions.udf.CIQ($C$2,  "IQ_TOTAL_DEBT_EBITDA_EXCL_OPER_LEASES", J$6,$F$2)</f>
        <v>4.5317400000000001</v>
      </c>
      <c r="K1298" s="55">
        <f>_xll.ciqfunctions.udf.CIQ($C$2,  "IQ_TOTAL_DEBT_EBITDA_EXCL_OPER_LEASES", K$6,$F$2)</f>
        <v>5.0323799999999999</v>
      </c>
      <c r="L1298" s="55">
        <f>_xll.ciqfunctions.udf.CIQ($C$2,  "IQ_TOTAL_DEBT_EBITDA_EXCL_OPER_LEASES", L$6,$F$2)</f>
        <v>4.7746599999999999</v>
      </c>
      <c r="M1298" s="55">
        <f>_xll.ciqfunctions.udf.CIQ($C$2,  "IQ_TOTAL_DEBT_EBITDA_EXCL_OPER_LEASES", M$6,$F$2)</f>
        <v>4.4255399999999998</v>
      </c>
      <c r="N1298" s="55">
        <f>_xll.ciqfunctions.udf.CIQ($C$2,  "IQ_TOTAL_DEBT_EBITDA_EXCL_OPER_LEASES", N$6,$F$2)</f>
        <v>4.0083799999999998</v>
      </c>
      <c r="O1298" s="55"/>
      <c r="P1298" s="55">
        <f>_xll.ciqfunctions.udf.CIQ($C$2,  "IQ_TOTAL_DEBT_EBITDA_EXCL_OPER_LEASES", P$6,$F$2)</f>
        <v>4.0083799999999998</v>
      </c>
      <c r="Q1298" s="215"/>
      <c r="R1298" s="215"/>
      <c r="S1298" s="215"/>
      <c r="T1298" s="215"/>
      <c r="U1298" s="215"/>
      <c r="V1298" s="215"/>
      <c r="W1298" s="215"/>
      <c r="X1298" s="215"/>
      <c r="Y1298" s="215"/>
      <c r="Z1298" s="215"/>
      <c r="AA1298" s="215"/>
      <c r="AB1298" s="215"/>
      <c r="AC1298" s="215"/>
      <c r="AD1298" s="215"/>
      <c r="AE1298" s="215"/>
      <c r="AF1298" s="215"/>
      <c r="AG1298" s="215"/>
      <c r="AH1298" s="215"/>
      <c r="AI1298" s="215"/>
      <c r="AJ1298" s="215"/>
      <c r="AK1298" s="215"/>
      <c r="AL1298" s="215"/>
      <c r="AM1298" s="215"/>
      <c r="AN1298" s="215"/>
      <c r="AO1298" s="215"/>
      <c r="AP1298" s="215"/>
      <c r="AQ1298" s="215"/>
      <c r="AR1298" s="215"/>
      <c r="AS1298" s="215"/>
      <c r="AT1298" s="215"/>
      <c r="AU1298" s="215"/>
      <c r="AV1298" s="215"/>
      <c r="AW1298" s="215"/>
      <c r="AX1298" s="215"/>
      <c r="AY1298" s="215"/>
      <c r="AZ1298" s="215"/>
      <c r="BA1298" s="215"/>
      <c r="BB1298" s="215"/>
      <c r="BC1298" s="215"/>
      <c r="BD1298" s="215"/>
      <c r="BE1298" s="215"/>
      <c r="BF1298" s="215"/>
      <c r="BG1298" s="215"/>
      <c r="BH1298" s="215"/>
      <c r="BI1298" s="215"/>
      <c r="BJ1298" s="215"/>
      <c r="BK1298" s="215"/>
      <c r="BL1298" s="215"/>
      <c r="BM1298" s="215"/>
      <c r="BN1298" s="215"/>
      <c r="BO1298" s="215"/>
      <c r="BP1298" s="215"/>
      <c r="BQ1298" s="215"/>
      <c r="BR1298" s="215"/>
      <c r="BS1298" s="215"/>
      <c r="BT1298" s="215"/>
      <c r="BU1298" s="215"/>
      <c r="BV1298" s="215"/>
      <c r="BW1298" s="215"/>
      <c r="BX1298" s="215"/>
      <c r="BY1298" s="215"/>
      <c r="BZ1298" s="215"/>
    </row>
    <row r="1299" spans="1:78" x14ac:dyDescent="0.2">
      <c r="A1299" s="53" t="str">
        <f>'Language Index'!A756</f>
        <v>Net Debt / EBITDA</v>
      </c>
      <c r="B1299" s="17"/>
      <c r="C1299" s="17"/>
      <c r="D1299" s="55">
        <f>_xll.ciqfunctions.udf.CIQ($C$2,"IQ_NET_DEBT_EBITDA", D$6,$F$2)</f>
        <v>3.3866399999999999</v>
      </c>
      <c r="E1299" s="55">
        <f>_xll.ciqfunctions.udf.CIQ($C$2,"IQ_NET_DEBT_EBITDA", E$6,$F$2)</f>
        <v>3.6739899999999999</v>
      </c>
      <c r="F1299" s="55">
        <f>_xll.ciqfunctions.udf.CIQ($C$2,"IQ_NET_DEBT_EBITDA", F$6,$F$2)</f>
        <v>3.43154</v>
      </c>
      <c r="G1299" s="55">
        <f>_xll.ciqfunctions.udf.CIQ($C$2,"IQ_NET_DEBT_EBITDA", G$6,$F$2)</f>
        <v>3.13388</v>
      </c>
      <c r="H1299" s="55">
        <f>_xll.ciqfunctions.udf.CIQ($C$2,"IQ_NET_DEBT_EBITDA", H$6,$F$2)</f>
        <v>3.28444</v>
      </c>
      <c r="I1299" s="55">
        <f>_xll.ciqfunctions.udf.CIQ($C$2,"IQ_NET_DEBT_EBITDA", I$6,$F$2)</f>
        <v>3.23068</v>
      </c>
      <c r="J1299" s="55">
        <f>_xll.ciqfunctions.udf.CIQ($C$2,"IQ_NET_DEBT_EBITDA", J$6,$F$2)</f>
        <v>3.08595</v>
      </c>
      <c r="K1299" s="55">
        <f>_xll.ciqfunctions.udf.CIQ($C$2,"IQ_NET_DEBT_EBITDA", K$6,$F$2)</f>
        <v>3.3828399999999998</v>
      </c>
      <c r="L1299" s="55">
        <f>_xll.ciqfunctions.udf.CIQ($C$2,"IQ_NET_DEBT_EBITDA", L$6,$F$2)</f>
        <v>3.3722799999999999</v>
      </c>
      <c r="M1299" s="55">
        <f>_xll.ciqfunctions.udf.CIQ($C$2,"IQ_NET_DEBT_EBITDA", M$6,$F$2)</f>
        <v>3.1602800000000002</v>
      </c>
      <c r="N1299" s="55">
        <f>_xll.ciqfunctions.udf.CIQ($C$2,"IQ_NET_DEBT_EBITDA", N$6,$F$2)</f>
        <v>2.8801800000000002</v>
      </c>
      <c r="O1299" s="55"/>
      <c r="P1299" s="55">
        <f>_xll.ciqfunctions.udf.CIQ($C$2,"IQ_NET_DEBT_EBITDA", P$6,$F$2)</f>
        <v>2.8801800000000002</v>
      </c>
      <c r="Q1299" s="215"/>
      <c r="R1299" s="215"/>
      <c r="S1299" s="215"/>
      <c r="T1299" s="215"/>
      <c r="U1299" s="215"/>
      <c r="V1299" s="222"/>
      <c r="W1299" s="222"/>
      <c r="X1299" s="222"/>
      <c r="Y1299" s="215"/>
      <c r="Z1299" s="215"/>
      <c r="AA1299" s="215"/>
      <c r="AB1299" s="215"/>
      <c r="AC1299" s="215"/>
      <c r="AD1299" s="215"/>
      <c r="AE1299" s="215"/>
      <c r="AF1299" s="215"/>
      <c r="AG1299" s="215"/>
      <c r="AH1299" s="215"/>
      <c r="AI1299" s="215"/>
      <c r="AJ1299" s="215"/>
      <c r="AK1299" s="215"/>
      <c r="AL1299" s="215"/>
      <c r="AM1299" s="215"/>
      <c r="AN1299" s="215"/>
      <c r="AO1299" s="215"/>
      <c r="AP1299" s="215"/>
      <c r="AQ1299" s="215"/>
      <c r="AR1299" s="215"/>
      <c r="AS1299" s="215"/>
      <c r="AT1299" s="215"/>
      <c r="AU1299" s="215"/>
      <c r="AV1299" s="215"/>
      <c r="AW1299" s="215"/>
      <c r="AX1299" s="215"/>
      <c r="AY1299" s="215"/>
      <c r="AZ1299" s="215"/>
      <c r="BA1299" s="215"/>
      <c r="BB1299" s="215"/>
      <c r="BC1299" s="215"/>
      <c r="BD1299" s="215"/>
      <c r="BE1299" s="215"/>
      <c r="BF1299" s="215"/>
      <c r="BG1299" s="215"/>
      <c r="BH1299" s="215"/>
      <c r="BI1299" s="215"/>
      <c r="BJ1299" s="215"/>
      <c r="BK1299" s="215"/>
      <c r="BL1299" s="215"/>
      <c r="BM1299" s="215"/>
      <c r="BN1299" s="215"/>
      <c r="BO1299" s="215"/>
      <c r="BP1299" s="215"/>
      <c r="BQ1299" s="215"/>
      <c r="BR1299" s="215"/>
      <c r="BS1299" s="215"/>
      <c r="BT1299" s="215"/>
      <c r="BU1299" s="215"/>
      <c r="BV1299" s="215"/>
      <c r="BW1299" s="215"/>
      <c r="BX1299" s="215"/>
      <c r="BY1299" s="215"/>
      <c r="BZ1299" s="215"/>
    </row>
    <row r="1300" spans="1:78" x14ac:dyDescent="0.2">
      <c r="A1300" s="222" t="str">
        <f>'Language Index'!A871</f>
        <v>Net Debt/EBITDA, Excl. Operating Leases</v>
      </c>
      <c r="B1300" s="258"/>
      <c r="C1300" s="258"/>
      <c r="D1300" s="55">
        <f>_xll.ciqfunctions.udf.CIQ($C$2,  "IQ_NET_DEBT_EBITDA_EXCL_OPER_LEASES", D$6,$F$2)</f>
        <v>3.7161</v>
      </c>
      <c r="E1300" s="55">
        <f>_xll.ciqfunctions.udf.CIQ($C$2,  "IQ_NET_DEBT_EBITDA_EXCL_OPER_LEASES", E$6,$F$2)</f>
        <v>4.0168100000000004</v>
      </c>
      <c r="F1300" s="55">
        <f>_xll.ciqfunctions.udf.CIQ($C$2,  "IQ_NET_DEBT_EBITDA_EXCL_OPER_LEASES", F$6,$F$2)</f>
        <v>3.7932600000000001</v>
      </c>
      <c r="G1300" s="55">
        <f>_xll.ciqfunctions.udf.CIQ($C$2,  "IQ_NET_DEBT_EBITDA_EXCL_OPER_LEASES", G$6,$F$2)</f>
        <v>3.4565100000000002</v>
      </c>
      <c r="H1300" s="55">
        <f>_xll.ciqfunctions.udf.CIQ($C$2,  "IQ_NET_DEBT_EBITDA_EXCL_OPER_LEASES", H$6,$F$2)</f>
        <v>3.6234299999999999</v>
      </c>
      <c r="I1300" s="55">
        <f>_xll.ciqfunctions.udf.CIQ($C$2,  "IQ_NET_DEBT_EBITDA_EXCL_OPER_LEASES", I$6,$F$2)</f>
        <v>3.5590299999999999</v>
      </c>
      <c r="J1300" s="55">
        <f>_xll.ciqfunctions.udf.CIQ($C$2,  "IQ_NET_DEBT_EBITDA_EXCL_OPER_LEASES", J$6,$F$2)</f>
        <v>3.3994300000000002</v>
      </c>
      <c r="K1300" s="55">
        <f>_xll.ciqfunctions.udf.CIQ($C$2,  "IQ_NET_DEBT_EBITDA_EXCL_OPER_LEASES", K$6,$F$2)</f>
        <v>3.7173400000000001</v>
      </c>
      <c r="L1300" s="55">
        <f>_xll.ciqfunctions.udf.CIQ($C$2,  "IQ_NET_DEBT_EBITDA_EXCL_OPER_LEASES", L$6,$F$2)</f>
        <v>3.68554</v>
      </c>
      <c r="M1300" s="55">
        <f>_xll.ciqfunctions.udf.CIQ($C$2,  "IQ_NET_DEBT_EBITDA_EXCL_OPER_LEASES", M$6,$F$2)</f>
        <v>3.43797</v>
      </c>
      <c r="N1300" s="55">
        <f>_xll.ciqfunctions.udf.CIQ($C$2,  "IQ_NET_DEBT_EBITDA_EXCL_OPER_LEASES", N$6,$F$2)</f>
        <v>3.1139100000000002</v>
      </c>
      <c r="O1300" s="55"/>
      <c r="P1300" s="55">
        <f>_xll.ciqfunctions.udf.CIQ($C$2,  "IQ_NET_DEBT_EBITDA_EXCL_OPER_LEASES", P$6,$F$2)</f>
        <v>3.1139100000000002</v>
      </c>
      <c r="Q1300" s="215"/>
      <c r="R1300" s="215"/>
      <c r="S1300" s="215"/>
      <c r="T1300" s="215"/>
      <c r="U1300" s="215"/>
      <c r="V1300" s="222"/>
      <c r="W1300" s="222"/>
      <c r="X1300" s="222"/>
      <c r="Y1300" s="215"/>
      <c r="Z1300" s="215"/>
      <c r="AA1300" s="215"/>
      <c r="AB1300" s="215"/>
      <c r="AC1300" s="215"/>
      <c r="AD1300" s="215"/>
      <c r="AE1300" s="215"/>
      <c r="AF1300" s="215"/>
      <c r="AG1300" s="215"/>
      <c r="AH1300" s="215"/>
      <c r="AI1300" s="215"/>
      <c r="AJ1300" s="215"/>
      <c r="AK1300" s="215"/>
      <c r="AL1300" s="215"/>
      <c r="AM1300" s="215"/>
      <c r="AN1300" s="215"/>
      <c r="AO1300" s="215"/>
      <c r="AP1300" s="215"/>
      <c r="AQ1300" s="215"/>
      <c r="AR1300" s="215"/>
      <c r="AS1300" s="215"/>
      <c r="AT1300" s="215"/>
      <c r="AU1300" s="215"/>
      <c r="AV1300" s="215"/>
      <c r="AW1300" s="215"/>
      <c r="AX1300" s="215"/>
      <c r="AY1300" s="215"/>
      <c r="AZ1300" s="215"/>
      <c r="BA1300" s="215"/>
      <c r="BB1300" s="215"/>
      <c r="BC1300" s="215"/>
      <c r="BD1300" s="215"/>
      <c r="BE1300" s="215"/>
      <c r="BF1300" s="215"/>
      <c r="BG1300" s="215"/>
      <c r="BH1300" s="215"/>
      <c r="BI1300" s="215"/>
      <c r="BJ1300" s="215"/>
      <c r="BK1300" s="215"/>
      <c r="BL1300" s="215"/>
      <c r="BM1300" s="215"/>
      <c r="BN1300" s="215"/>
      <c r="BO1300" s="215"/>
      <c r="BP1300" s="215"/>
      <c r="BQ1300" s="215"/>
      <c r="BR1300" s="215"/>
      <c r="BS1300" s="215"/>
      <c r="BT1300" s="215"/>
      <c r="BU1300" s="215"/>
      <c r="BV1300" s="215"/>
      <c r="BW1300" s="215"/>
      <c r="BX1300" s="215"/>
      <c r="BY1300" s="215"/>
      <c r="BZ1300" s="215"/>
    </row>
    <row r="1301" spans="1:78" x14ac:dyDescent="0.2">
      <c r="A1301" s="53" t="str">
        <f>'Language Index'!A757</f>
        <v>Total Debt / (EBITDA-CAPEX)</v>
      </c>
      <c r="B1301" s="17"/>
      <c r="C1301" s="17"/>
      <c r="D1301" s="55">
        <f>_xll.ciqfunctions.udf.CIQ($C$2, "IQ_TOTAL_DEBT_EBITDA_CAPEX", D$6,$F$2)</f>
        <v>5.1968300000000003</v>
      </c>
      <c r="E1301" s="55">
        <f>_xll.ciqfunctions.udf.CIQ($C$2, "IQ_TOTAL_DEBT_EBITDA_CAPEX", E$6,$F$2)</f>
        <v>5.0507</v>
      </c>
      <c r="F1301" s="55">
        <f>_xll.ciqfunctions.udf.CIQ($C$2, "IQ_TOTAL_DEBT_EBITDA_CAPEX", F$6,$F$2)</f>
        <v>4.8711799999999998</v>
      </c>
      <c r="G1301" s="55">
        <f>_xll.ciqfunctions.udf.CIQ($C$2, "IQ_TOTAL_DEBT_EBITDA_CAPEX", G$6,$F$2)</f>
        <v>4.9201600000000001</v>
      </c>
      <c r="H1301" s="55">
        <f>_xll.ciqfunctions.udf.CIQ($C$2, "IQ_TOTAL_DEBT_EBITDA_CAPEX", H$6,$F$2)</f>
        <v>4.5992899999999999</v>
      </c>
      <c r="I1301" s="55">
        <f>_xll.ciqfunctions.udf.CIQ($C$2, "IQ_TOTAL_DEBT_EBITDA_CAPEX", I$6,$F$2)</f>
        <v>4.5123499999999996</v>
      </c>
      <c r="J1301" s="55">
        <f>_xll.ciqfunctions.udf.CIQ($C$2, "IQ_TOTAL_DEBT_EBITDA_CAPEX", J$6,$F$2)</f>
        <v>4.44177</v>
      </c>
      <c r="K1301" s="55">
        <f>_xll.ciqfunctions.udf.CIQ($C$2, "IQ_TOTAL_DEBT_EBITDA_CAPEX", K$6,$F$2)</f>
        <v>4.9356600000000004</v>
      </c>
      <c r="L1301" s="55">
        <f>_xll.ciqfunctions.udf.CIQ($C$2, "IQ_TOTAL_DEBT_EBITDA_CAPEX", L$6,$F$2)</f>
        <v>4.6840000000000002</v>
      </c>
      <c r="M1301" s="55">
        <f>_xll.ciqfunctions.udf.CIQ($C$2, "IQ_TOTAL_DEBT_EBITDA_CAPEX", M$6,$F$2)</f>
        <v>4.3362499999999997</v>
      </c>
      <c r="N1301" s="55">
        <f>_xll.ciqfunctions.udf.CIQ($C$2, "IQ_TOTAL_DEBT_EBITDA_CAPEX", N$6,$F$2)</f>
        <v>3.95513</v>
      </c>
      <c r="O1301" s="55"/>
      <c r="P1301" s="55">
        <f>_xll.ciqfunctions.udf.CIQ($C$2, "IQ_TOTAL_DEBT_EBITDA_CAPEX", P$6,$F$2)</f>
        <v>3.95513</v>
      </c>
      <c r="Q1301" s="215"/>
      <c r="R1301" s="215"/>
      <c r="S1301" s="215"/>
      <c r="T1301" s="215"/>
      <c r="U1301" s="215"/>
      <c r="V1301" s="222"/>
      <c r="W1301" s="222"/>
      <c r="X1301" s="222"/>
      <c r="Y1301" s="215"/>
      <c r="Z1301" s="215"/>
      <c r="AA1301" s="215"/>
      <c r="AB1301" s="215"/>
      <c r="AC1301" s="215"/>
      <c r="AD1301" s="215"/>
      <c r="AE1301" s="215"/>
      <c r="AF1301" s="215"/>
      <c r="AG1301" s="215"/>
      <c r="AH1301" s="215"/>
      <c r="AI1301" s="215"/>
      <c r="AJ1301" s="215"/>
      <c r="AK1301" s="215"/>
      <c r="AL1301" s="215"/>
      <c r="AM1301" s="215"/>
      <c r="AN1301" s="215"/>
      <c r="AO1301" s="215"/>
      <c r="AP1301" s="215"/>
      <c r="AQ1301" s="215"/>
      <c r="AR1301" s="215"/>
      <c r="AS1301" s="215"/>
      <c r="AT1301" s="215"/>
      <c r="AU1301" s="215"/>
      <c r="AV1301" s="215"/>
      <c r="AW1301" s="215"/>
      <c r="AX1301" s="215"/>
      <c r="AY1301" s="215"/>
      <c r="AZ1301" s="215"/>
      <c r="BA1301" s="215"/>
      <c r="BB1301" s="215"/>
      <c r="BC1301" s="215"/>
      <c r="BD1301" s="215"/>
      <c r="BE1301" s="215"/>
      <c r="BF1301" s="215"/>
      <c r="BG1301" s="215"/>
      <c r="BH1301" s="215"/>
      <c r="BI1301" s="215"/>
      <c r="BJ1301" s="215"/>
      <c r="BK1301" s="215"/>
      <c r="BL1301" s="215"/>
      <c r="BM1301" s="215"/>
      <c r="BN1301" s="215"/>
      <c r="BO1301" s="215"/>
      <c r="BP1301" s="215"/>
      <c r="BQ1301" s="215"/>
      <c r="BR1301" s="215"/>
      <c r="BS1301" s="215"/>
      <c r="BT1301" s="215"/>
      <c r="BU1301" s="215"/>
      <c r="BV1301" s="215"/>
      <c r="BW1301" s="215"/>
      <c r="BX1301" s="215"/>
      <c r="BY1301" s="215"/>
      <c r="BZ1301" s="215"/>
    </row>
    <row r="1302" spans="1:78" x14ac:dyDescent="0.2">
      <c r="A1302" s="222" t="str">
        <f>'Language Index'!A873</f>
        <v>Total Debt/(EBITDA, Excl. Operating Leases - CAPEX)</v>
      </c>
      <c r="B1302" s="258"/>
      <c r="C1302" s="258"/>
      <c r="D1302" s="55">
        <f>_xll.ciqfunctions.udf.CIQ($C$2,  "IQ_TOTAL_DEBT_EBITDA_EXCL_OPER_LEASES_CAPEX", D$6,$F$2)</f>
        <v>5.7696100000000001</v>
      </c>
      <c r="E1302" s="55">
        <f>_xll.ciqfunctions.udf.CIQ($C$2,  "IQ_TOTAL_DEBT_EBITDA_EXCL_OPER_LEASES_CAPEX", E$6,$F$2)</f>
        <v>5.5828499999999996</v>
      </c>
      <c r="F1302" s="55">
        <f>_xll.ciqfunctions.udf.CIQ($C$2,  "IQ_TOTAL_DEBT_EBITDA_EXCL_OPER_LEASES_CAPEX", F$6,$F$2)</f>
        <v>5.4427000000000003</v>
      </c>
      <c r="G1302" s="55">
        <f>_xll.ciqfunctions.udf.CIQ($C$2,  "IQ_TOTAL_DEBT_EBITDA_EXCL_OPER_LEASES_CAPEX", G$6,$F$2)</f>
        <v>5.4789500000000002</v>
      </c>
      <c r="H1302" s="55">
        <f>_xll.ciqfunctions.udf.CIQ($C$2,  "IQ_TOTAL_DEBT_EBITDA_EXCL_OPER_LEASES_CAPEX", H$6,$F$2)</f>
        <v>5.1161899999999996</v>
      </c>
      <c r="I1302" s="55">
        <f>_xll.ciqfunctions.udf.CIQ($C$2,  "IQ_TOTAL_DEBT_EBITDA_EXCL_OPER_LEASES_CAPEX", I$6,$F$2)</f>
        <v>5.0109199999999996</v>
      </c>
      <c r="J1302" s="55">
        <f>_xll.ciqfunctions.udf.CIQ($C$2,  "IQ_TOTAL_DEBT_EBITDA_EXCL_OPER_LEASES_CAPEX", J$6,$F$2)</f>
        <v>4.9329299999999998</v>
      </c>
      <c r="K1302" s="55">
        <f>_xll.ciqfunctions.udf.CIQ($C$2,  "IQ_TOTAL_DEBT_EBITDA_EXCL_OPER_LEASES_CAPEX", K$6,$F$2)</f>
        <v>5.4657299999999998</v>
      </c>
      <c r="L1302" s="55">
        <f>_xll.ciqfunctions.udf.CIQ($C$2,  "IQ_TOTAL_DEBT_EBITDA_EXCL_OPER_LEASES_CAPEX", L$6,$F$2)</f>
        <v>5.1536499999999998</v>
      </c>
      <c r="M1302" s="55">
        <f>_xll.ciqfunctions.udf.CIQ($C$2,  "IQ_TOTAL_DEBT_EBITDA_EXCL_OPER_LEASES_CAPEX", M$6,$F$2)</f>
        <v>4.7447600000000003</v>
      </c>
      <c r="N1302" s="55">
        <f>_xll.ciqfunctions.udf.CIQ($C$2,  "IQ_TOTAL_DEBT_EBITDA_EXCL_OPER_LEASES_CAPEX", N$6,$F$2)</f>
        <v>4.2993899999999998</v>
      </c>
      <c r="O1302" s="55"/>
      <c r="P1302" s="55">
        <f>_xll.ciqfunctions.udf.CIQ($C$2,  "IQ_TOTAL_DEBT_EBITDA_EXCL_OPER_LEASES_CAPEX", P$6,$F$2)</f>
        <v>4.2993899999999998</v>
      </c>
      <c r="Q1302" s="215"/>
      <c r="R1302" s="215"/>
      <c r="S1302" s="215"/>
      <c r="T1302" s="215"/>
      <c r="U1302" s="215"/>
      <c r="V1302" s="222"/>
      <c r="W1302" s="222"/>
      <c r="X1302" s="222"/>
      <c r="Y1302" s="215"/>
      <c r="Z1302" s="215"/>
      <c r="AA1302" s="215"/>
      <c r="AB1302" s="215"/>
      <c r="AC1302" s="215"/>
      <c r="AD1302" s="215"/>
      <c r="AE1302" s="215"/>
      <c r="AF1302" s="215"/>
      <c r="AG1302" s="215"/>
      <c r="AH1302" s="215"/>
      <c r="AI1302" s="215"/>
      <c r="AJ1302" s="215"/>
      <c r="AK1302" s="215"/>
      <c r="AL1302" s="215"/>
      <c r="AM1302" s="215"/>
      <c r="AN1302" s="215"/>
      <c r="AO1302" s="215"/>
      <c r="AP1302" s="215"/>
      <c r="AQ1302" s="215"/>
      <c r="AR1302" s="215"/>
      <c r="AS1302" s="215"/>
      <c r="AT1302" s="215"/>
      <c r="AU1302" s="215"/>
      <c r="AV1302" s="215"/>
      <c r="AW1302" s="215"/>
      <c r="AX1302" s="215"/>
      <c r="AY1302" s="215"/>
      <c r="AZ1302" s="215"/>
      <c r="BA1302" s="215"/>
      <c r="BB1302" s="215"/>
      <c r="BC1302" s="215"/>
      <c r="BD1302" s="215"/>
      <c r="BE1302" s="215"/>
      <c r="BF1302" s="215"/>
      <c r="BG1302" s="215"/>
      <c r="BH1302" s="215"/>
      <c r="BI1302" s="215"/>
      <c r="BJ1302" s="215"/>
      <c r="BK1302" s="215"/>
      <c r="BL1302" s="215"/>
      <c r="BM1302" s="215"/>
      <c r="BN1302" s="215"/>
      <c r="BO1302" s="215"/>
      <c r="BP1302" s="215"/>
      <c r="BQ1302" s="215"/>
      <c r="BR1302" s="215"/>
      <c r="BS1302" s="215"/>
      <c r="BT1302" s="215"/>
      <c r="BU1302" s="215"/>
      <c r="BV1302" s="215"/>
      <c r="BW1302" s="215"/>
      <c r="BX1302" s="215"/>
      <c r="BY1302" s="215"/>
      <c r="BZ1302" s="215"/>
    </row>
    <row r="1303" spans="1:78" x14ac:dyDescent="0.2">
      <c r="A1303" s="222" t="str">
        <f>'Language Index'!A758</f>
        <v>Net Debt / (EBITDA-CAPEX)</v>
      </c>
      <c r="B1303" s="258"/>
      <c r="C1303" s="258"/>
      <c r="D1303" s="55">
        <f>_xll.ciqfunctions.udf.CIQ($C$2, "IQ_NET_DEBT_EBITDA_CAPEX", D$6,$F$2)</f>
        <v>3.7923100000000001</v>
      </c>
      <c r="E1303" s="55">
        <f>_xll.ciqfunctions.udf.CIQ($C$2, "IQ_NET_DEBT_EBITDA_CAPEX", E$6,$F$2)</f>
        <v>4.1032999999999999</v>
      </c>
      <c r="F1303" s="55">
        <f>_xll.ciqfunctions.udf.CIQ($C$2, "IQ_NET_DEBT_EBITDA_CAPEX", F$6,$F$2)</f>
        <v>3.7787700000000002</v>
      </c>
      <c r="G1303" s="55">
        <f>_xll.ciqfunctions.udf.CIQ($C$2, "IQ_NET_DEBT_EBITDA_CAPEX", G$6,$F$2)</f>
        <v>3.4242599999999999</v>
      </c>
      <c r="H1303" s="55">
        <f>_xll.ciqfunctions.udf.CIQ($C$2, "IQ_NET_DEBT_EBITDA_CAPEX", H$6,$F$2)</f>
        <v>3.54698</v>
      </c>
      <c r="I1303" s="55">
        <f>_xll.ciqfunctions.udf.CIQ($C$2, "IQ_NET_DEBT_EBITDA_CAPEX", I$6,$F$2)</f>
        <v>3.4840399999999998</v>
      </c>
      <c r="J1303" s="55">
        <f>_xll.ciqfunctions.udf.CIQ($C$2, "IQ_NET_DEBT_EBITDA_CAPEX", J$6,$F$2)</f>
        <v>3.3319399999999999</v>
      </c>
      <c r="K1303" s="55">
        <f>_xll.ciqfunctions.udf.CIQ($C$2, "IQ_NET_DEBT_EBITDA_CAPEX", K$6,$F$2)</f>
        <v>3.6459000000000001</v>
      </c>
      <c r="L1303" s="55">
        <f>_xll.ciqfunctions.udf.CIQ($C$2, "IQ_NET_DEBT_EBITDA_CAPEX", L$6,$F$2)</f>
        <v>3.6155599999999999</v>
      </c>
      <c r="M1303" s="55">
        <f>_xll.ciqfunctions.udf.CIQ($C$2, "IQ_NET_DEBT_EBITDA_CAPEX", M$6,$F$2)</f>
        <v>3.3686099999999999</v>
      </c>
      <c r="N1303" s="55">
        <f>_xll.ciqfunctions.udf.CIQ($C$2, "IQ_NET_DEBT_EBITDA_CAPEX", N$6,$F$2)</f>
        <v>3.07254</v>
      </c>
      <c r="O1303" s="55"/>
      <c r="P1303" s="55">
        <f>_xll.ciqfunctions.udf.CIQ($C$2, "IQ_NET_DEBT_EBITDA_CAPEX", P$6,$F$2)</f>
        <v>3.07254</v>
      </c>
      <c r="Q1303" s="215"/>
      <c r="R1303" s="215"/>
      <c r="S1303" s="215"/>
      <c r="T1303" s="215"/>
      <c r="U1303" s="215"/>
      <c r="V1303" s="222"/>
      <c r="W1303" s="222"/>
      <c r="X1303" s="222"/>
      <c r="Y1303" s="215"/>
      <c r="Z1303" s="215"/>
      <c r="AA1303" s="215"/>
      <c r="AB1303" s="215"/>
      <c r="AC1303" s="215"/>
      <c r="AD1303" s="215"/>
      <c r="AE1303" s="215"/>
      <c r="AF1303" s="215"/>
      <c r="AG1303" s="215"/>
      <c r="AH1303" s="215"/>
      <c r="AI1303" s="215"/>
      <c r="AJ1303" s="215"/>
      <c r="AK1303" s="215"/>
      <c r="AL1303" s="215"/>
      <c r="AM1303" s="215"/>
      <c r="AN1303" s="215"/>
      <c r="AO1303" s="215"/>
      <c r="AP1303" s="215"/>
      <c r="AQ1303" s="215"/>
      <c r="AR1303" s="215"/>
      <c r="AS1303" s="215"/>
      <c r="AT1303" s="215"/>
      <c r="AU1303" s="215"/>
      <c r="AV1303" s="215"/>
      <c r="AW1303" s="215"/>
      <c r="AX1303" s="215"/>
      <c r="AY1303" s="215"/>
      <c r="AZ1303" s="215"/>
      <c r="BA1303" s="215"/>
      <c r="BB1303" s="215"/>
      <c r="BC1303" s="215"/>
      <c r="BD1303" s="215"/>
      <c r="BE1303" s="215"/>
      <c r="BF1303" s="215"/>
      <c r="BG1303" s="215"/>
      <c r="BH1303" s="215"/>
      <c r="BI1303" s="215"/>
      <c r="BJ1303" s="215"/>
      <c r="BK1303" s="215"/>
      <c r="BL1303" s="215"/>
      <c r="BM1303" s="215"/>
      <c r="BN1303" s="215"/>
      <c r="BO1303" s="215"/>
      <c r="BP1303" s="215"/>
      <c r="BQ1303" s="215"/>
      <c r="BR1303" s="215"/>
      <c r="BS1303" s="215"/>
      <c r="BT1303" s="215"/>
      <c r="BU1303" s="215"/>
      <c r="BV1303" s="215"/>
      <c r="BW1303" s="215"/>
      <c r="BX1303" s="215"/>
      <c r="BY1303" s="215"/>
      <c r="BZ1303" s="215"/>
    </row>
    <row r="1304" spans="1:78" x14ac:dyDescent="0.2">
      <c r="A1304" s="222" t="str">
        <f>'Language Index'!A870</f>
        <v>Net Debt/(EBITDA, Excl. Operating Leases - CAPEX)</v>
      </c>
      <c r="B1304" s="258"/>
      <c r="C1304" s="258"/>
      <c r="D1304" s="55">
        <f>_xll.ciqfunctions.udf.CIQ($C$2,  "IQ_NET_DEBT_EBITDA_EXCL_OPER_LEASES_CAPEX", D$6,$F$2)</f>
        <v>4.2102899999999996</v>
      </c>
      <c r="E1304" s="55">
        <f>_xll.ciqfunctions.udf.CIQ($C$2,  "IQ_NET_DEBT_EBITDA_EXCL_OPER_LEASES_CAPEX", E$6,$F$2)</f>
        <v>4.5356300000000003</v>
      </c>
      <c r="F1304" s="55">
        <f>_xll.ciqfunctions.udf.CIQ($C$2,  "IQ_NET_DEBT_EBITDA_EXCL_OPER_LEASES_CAPEX", F$6,$F$2)</f>
        <v>4.2221200000000003</v>
      </c>
      <c r="G1304" s="55">
        <f>_xll.ciqfunctions.udf.CIQ($C$2,  "IQ_NET_DEBT_EBITDA_EXCL_OPER_LEASES_CAPEX", G$6,$F$2)</f>
        <v>3.8131599999999999</v>
      </c>
      <c r="H1304" s="55">
        <f>_xll.ciqfunctions.udf.CIQ($C$2,  "IQ_NET_DEBT_EBITDA_EXCL_OPER_LEASES_CAPEX", H$6,$F$2)</f>
        <v>3.9456199999999999</v>
      </c>
      <c r="I1304" s="55">
        <f>_xll.ciqfunctions.udf.CIQ($C$2,  "IQ_NET_DEBT_EBITDA_EXCL_OPER_LEASES_CAPEX", I$6,$F$2)</f>
        <v>3.8689900000000002</v>
      </c>
      <c r="J1304" s="55">
        <f>_xll.ciqfunctions.udf.CIQ($C$2,  "IQ_NET_DEBT_EBITDA_EXCL_OPER_LEASES_CAPEX", J$6,$F$2)</f>
        <v>3.7003699999999999</v>
      </c>
      <c r="K1304" s="55">
        <f>_xll.ciqfunctions.udf.CIQ($C$2,  "IQ_NET_DEBT_EBITDA_EXCL_OPER_LEASES_CAPEX", K$6,$F$2)</f>
        <v>4.0374600000000003</v>
      </c>
      <c r="L1304" s="55">
        <f>_xll.ciqfunctions.udf.CIQ($C$2,  "IQ_NET_DEBT_EBITDA_EXCL_OPER_LEASES_CAPEX", L$6,$F$2)</f>
        <v>3.9780799999999998</v>
      </c>
      <c r="M1304" s="55">
        <f>_xll.ciqfunctions.udf.CIQ($C$2,  "IQ_NET_DEBT_EBITDA_EXCL_OPER_LEASES_CAPEX", M$6,$F$2)</f>
        <v>3.6859600000000001</v>
      </c>
      <c r="N1304" s="55">
        <f>_xll.ciqfunctions.udf.CIQ($C$2,  "IQ_NET_DEBT_EBITDA_EXCL_OPER_LEASES_CAPEX", N$6,$F$2)</f>
        <v>3.3399899999999998</v>
      </c>
      <c r="O1304" s="55"/>
      <c r="P1304" s="55">
        <f>_xll.ciqfunctions.udf.CIQ($C$2,  "IQ_NET_DEBT_EBITDA_EXCL_OPER_LEASES_CAPEX", P$6,$F$2)</f>
        <v>3.3399899999999998</v>
      </c>
      <c r="Q1304" s="215"/>
      <c r="R1304" s="215"/>
      <c r="S1304" s="215"/>
      <c r="T1304" s="215"/>
      <c r="U1304" s="215"/>
      <c r="V1304" s="222"/>
      <c r="W1304" s="222"/>
      <c r="X1304" s="222"/>
      <c r="Y1304" s="215"/>
      <c r="Z1304" s="215"/>
      <c r="AA1304" s="215"/>
      <c r="AB1304" s="215"/>
      <c r="AC1304" s="215"/>
      <c r="AD1304" s="215"/>
      <c r="AE1304" s="215"/>
      <c r="AF1304" s="215"/>
      <c r="AG1304" s="215"/>
      <c r="AH1304" s="215"/>
      <c r="AI1304" s="215"/>
      <c r="AJ1304" s="215"/>
      <c r="AK1304" s="215"/>
      <c r="AL1304" s="215"/>
      <c r="AM1304" s="215"/>
      <c r="AN1304" s="215"/>
      <c r="AO1304" s="215"/>
      <c r="AP1304" s="215"/>
      <c r="AQ1304" s="215"/>
      <c r="AR1304" s="215"/>
      <c r="AS1304" s="215"/>
      <c r="AT1304" s="215"/>
      <c r="AU1304" s="215"/>
      <c r="AV1304" s="215"/>
      <c r="AW1304" s="215"/>
      <c r="AX1304" s="215"/>
      <c r="AY1304" s="215"/>
      <c r="AZ1304" s="215"/>
      <c r="BA1304" s="215"/>
      <c r="BB1304" s="215"/>
      <c r="BC1304" s="215"/>
      <c r="BD1304" s="215"/>
      <c r="BE1304" s="215"/>
      <c r="BF1304" s="215"/>
      <c r="BG1304" s="215"/>
      <c r="BH1304" s="215"/>
      <c r="BI1304" s="215"/>
      <c r="BJ1304" s="215"/>
      <c r="BK1304" s="215"/>
      <c r="BL1304" s="215"/>
      <c r="BM1304" s="215"/>
      <c r="BN1304" s="215"/>
      <c r="BO1304" s="215"/>
      <c r="BP1304" s="215"/>
      <c r="BQ1304" s="215"/>
      <c r="BR1304" s="215"/>
      <c r="BS1304" s="215"/>
      <c r="BT1304" s="215"/>
      <c r="BU1304" s="215"/>
      <c r="BV1304" s="215"/>
      <c r="BW1304" s="215"/>
      <c r="BX1304" s="215"/>
      <c r="BY1304" s="215"/>
      <c r="BZ1304" s="215"/>
    </row>
    <row r="1305" spans="1:78" x14ac:dyDescent="0.2">
      <c r="A1305" s="53" t="str">
        <f>'Language Index'!A759</f>
        <v>Total Revenues/ Employee</v>
      </c>
      <c r="B1305" s="17"/>
      <c r="C1305" s="17"/>
      <c r="D1305" s="58">
        <f>_xll.ciqfunctions.udf.CIQ($C$2, "IQ_TOTAL_REV_EMPLOYEE", D$6,$F$2,,,Ccy,Conv)</f>
        <v>0</v>
      </c>
      <c r="E1305" s="58">
        <f>_xll.ciqfunctions.udf.CIQ($C$2, "IQ_TOTAL_REV_EMPLOYEE", E$6,$F$2,,,Ccy,Conv)</f>
        <v>0</v>
      </c>
      <c r="F1305" s="58">
        <f>_xll.ciqfunctions.udf.CIQ($C$2, "IQ_TOTAL_REV_EMPLOYEE", F$6,$F$2,,,Ccy,Conv)</f>
        <v>219.20599999999999</v>
      </c>
      <c r="G1305" s="58">
        <f>_xll.ciqfunctions.udf.CIQ($C$2, "IQ_TOTAL_REV_EMPLOYEE", G$6,$F$2,,,Ccy,Conv)</f>
        <v>0</v>
      </c>
      <c r="H1305" s="58">
        <f>_xll.ciqfunctions.udf.CIQ($C$2, "IQ_TOTAL_REV_EMPLOYEE", H$6,$F$2,,,Ccy,Conv)</f>
        <v>0</v>
      </c>
      <c r="I1305" s="58">
        <f>_xll.ciqfunctions.udf.CIQ($C$2, "IQ_TOTAL_REV_EMPLOYEE", I$6,$F$2,,,Ccy,Conv)</f>
        <v>0</v>
      </c>
      <c r="J1305" s="58">
        <f>_xll.ciqfunctions.udf.CIQ($C$2, "IQ_TOTAL_REV_EMPLOYEE", J$6,$F$2,,,Ccy,Conv)</f>
        <v>232.16</v>
      </c>
      <c r="K1305" s="58">
        <f>_xll.ciqfunctions.udf.CIQ($C$2, "IQ_TOTAL_REV_EMPLOYEE", K$6,$F$2,,,Ccy,Conv)</f>
        <v>0</v>
      </c>
      <c r="L1305" s="58">
        <f>_xll.ciqfunctions.udf.CIQ($C$2, "IQ_TOTAL_REV_EMPLOYEE", L$6,$F$2,,,Ccy,Conv)</f>
        <v>0</v>
      </c>
      <c r="M1305" s="58">
        <f>_xll.ciqfunctions.udf.CIQ($C$2, "IQ_TOTAL_REV_EMPLOYEE", M$6,$F$2,,,Ccy,Conv)</f>
        <v>0</v>
      </c>
      <c r="N1305" s="58">
        <f>_xll.ciqfunctions.udf.CIQ($C$2, "IQ_TOTAL_REV_EMPLOYEE", N$6,$F$2,,,Ccy,Conv)</f>
        <v>255.524</v>
      </c>
      <c r="O1305" s="55"/>
      <c r="P1305" s="58">
        <f>_xll.ciqfunctions.udf.CIQ($C$2, "IQ_TOTAL_REV_EMPLOYEE", P$6,$F$2,,,Ccy,Conv)</f>
        <v>255.524</v>
      </c>
      <c r="Q1305" s="215"/>
      <c r="R1305" s="215"/>
      <c r="S1305" s="215"/>
      <c r="T1305" s="215"/>
      <c r="U1305" s="215"/>
      <c r="V1305" s="222"/>
      <c r="W1305" s="222"/>
      <c r="X1305" s="222"/>
      <c r="Y1305" s="215"/>
      <c r="Z1305" s="215"/>
      <c r="AA1305" s="215"/>
      <c r="AB1305" s="215"/>
      <c r="AC1305" s="215"/>
      <c r="AD1305" s="215"/>
      <c r="AE1305" s="215"/>
      <c r="AF1305" s="215"/>
      <c r="AG1305" s="215"/>
      <c r="AH1305" s="215"/>
      <c r="AI1305" s="215"/>
      <c r="AJ1305" s="215"/>
      <c r="AK1305" s="215"/>
      <c r="AL1305" s="215"/>
      <c r="AM1305" s="215"/>
      <c r="AN1305" s="215"/>
      <c r="AO1305" s="215"/>
      <c r="AP1305" s="215"/>
      <c r="AQ1305" s="215"/>
      <c r="AR1305" s="215"/>
      <c r="AS1305" s="215"/>
      <c r="AT1305" s="215"/>
      <c r="AU1305" s="215"/>
      <c r="AV1305" s="215"/>
      <c r="AW1305" s="215"/>
      <c r="AX1305" s="215"/>
      <c r="AY1305" s="215"/>
      <c r="AZ1305" s="215"/>
      <c r="BA1305" s="215"/>
      <c r="BB1305" s="215"/>
      <c r="BC1305" s="215"/>
      <c r="BD1305" s="215"/>
      <c r="BE1305" s="215"/>
      <c r="BF1305" s="215"/>
      <c r="BG1305" s="215"/>
      <c r="BH1305" s="215"/>
      <c r="BI1305" s="215"/>
      <c r="BJ1305" s="215"/>
      <c r="BK1305" s="215"/>
      <c r="BL1305" s="215"/>
      <c r="BM1305" s="215"/>
      <c r="BN1305" s="215"/>
      <c r="BO1305" s="215"/>
      <c r="BP1305" s="215"/>
      <c r="BQ1305" s="215"/>
      <c r="BR1305" s="215"/>
      <c r="BS1305" s="215"/>
      <c r="BT1305" s="215"/>
      <c r="BU1305" s="215"/>
      <c r="BV1305" s="215"/>
      <c r="BW1305" s="215"/>
      <c r="BX1305" s="215"/>
      <c r="BY1305" s="215"/>
      <c r="BZ1305" s="215"/>
    </row>
    <row r="1306" spans="1:78" x14ac:dyDescent="0.2">
      <c r="A1306" s="53"/>
      <c r="B1306" s="17"/>
      <c r="C1306" s="17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5"/>
      <c r="P1306" s="58"/>
      <c r="Q1306" s="215"/>
      <c r="R1306" s="215"/>
      <c r="S1306" s="215"/>
      <c r="T1306" s="215"/>
      <c r="U1306" s="215"/>
      <c r="V1306" s="222"/>
      <c r="W1306" s="222"/>
      <c r="X1306" s="222"/>
      <c r="Y1306" s="215"/>
      <c r="Z1306" s="215"/>
      <c r="AA1306" s="215"/>
      <c r="AB1306" s="215"/>
      <c r="AC1306" s="215"/>
      <c r="AD1306" s="215"/>
      <c r="AE1306" s="215"/>
      <c r="AF1306" s="215"/>
      <c r="AG1306" s="215"/>
      <c r="AH1306" s="215"/>
      <c r="AI1306" s="215"/>
      <c r="AJ1306" s="215"/>
      <c r="AK1306" s="215"/>
      <c r="AL1306" s="215"/>
      <c r="AM1306" s="215"/>
      <c r="AN1306" s="215"/>
      <c r="AO1306" s="215"/>
      <c r="AP1306" s="215"/>
      <c r="AQ1306" s="215"/>
      <c r="AR1306" s="215"/>
      <c r="AS1306" s="215"/>
      <c r="AT1306" s="215"/>
      <c r="AU1306" s="215"/>
      <c r="AV1306" s="215"/>
      <c r="AW1306" s="215"/>
      <c r="AX1306" s="215"/>
      <c r="AY1306" s="215"/>
      <c r="AZ1306" s="215"/>
      <c r="BA1306" s="215"/>
      <c r="BB1306" s="215"/>
      <c r="BC1306" s="215"/>
      <c r="BD1306" s="215"/>
      <c r="BE1306" s="215"/>
      <c r="BF1306" s="215"/>
      <c r="BG1306" s="215"/>
      <c r="BH1306" s="215"/>
      <c r="BI1306" s="215"/>
      <c r="BJ1306" s="215"/>
      <c r="BK1306" s="215"/>
      <c r="BL1306" s="215"/>
      <c r="BM1306" s="215"/>
      <c r="BN1306" s="215"/>
      <c r="BO1306" s="215"/>
      <c r="BP1306" s="215"/>
      <c r="BQ1306" s="215"/>
      <c r="BR1306" s="215"/>
      <c r="BS1306" s="215"/>
      <c r="BT1306" s="215"/>
      <c r="BU1306" s="215"/>
      <c r="BV1306" s="215"/>
      <c r="BW1306" s="215"/>
      <c r="BX1306" s="215"/>
      <c r="BY1306" s="215"/>
      <c r="BZ1306" s="215"/>
    </row>
    <row r="1307" spans="1:78" x14ac:dyDescent="0.2">
      <c r="A1307" s="53" t="str">
        <f>'Language Index'!A760</f>
        <v>Altman Z Score</v>
      </c>
      <c r="B1307" s="16"/>
      <c r="C1307" s="16"/>
      <c r="D1307" s="18">
        <f>_xll.ciqfunctions.udf.CIQ($C$2,"IQ_Z_SCORE", D$6,$F$2)</f>
        <v>2.9264399999999999</v>
      </c>
      <c r="E1307" s="18">
        <f>_xll.ciqfunctions.udf.CIQ($C$2,"IQ_Z_SCORE", E$6,$F$2)</f>
        <v>2.9975700000000001</v>
      </c>
      <c r="F1307" s="18">
        <f>_xll.ciqfunctions.udf.CIQ($C$2,"IQ_Z_SCORE", F$6,$F$2)</f>
        <v>2.9162699999999999</v>
      </c>
      <c r="G1307" s="18">
        <f>_xll.ciqfunctions.udf.CIQ($C$2,"IQ_Z_SCORE", G$6,$F$2)</f>
        <v>2.9996700000000001</v>
      </c>
      <c r="H1307" s="18">
        <f>_xll.ciqfunctions.udf.CIQ($C$2,"IQ_Z_SCORE", H$6,$F$2)</f>
        <v>3.1425100000000001</v>
      </c>
      <c r="I1307" s="18">
        <f>_xll.ciqfunctions.udf.CIQ($C$2,"IQ_Z_SCORE", I$6,$F$2)</f>
        <v>3.1680299999999999</v>
      </c>
      <c r="J1307" s="18">
        <f>_xll.ciqfunctions.udf.CIQ($C$2,"IQ_Z_SCORE", J$6,$F$2)</f>
        <v>3.2222</v>
      </c>
      <c r="K1307" s="18">
        <f>_xll.ciqfunctions.udf.CIQ($C$2,"IQ_Z_SCORE", K$6,$F$2)</f>
        <v>3.0842700000000001</v>
      </c>
      <c r="L1307" s="18">
        <f>_xll.ciqfunctions.udf.CIQ($C$2,"IQ_Z_SCORE", L$6,$F$2)</f>
        <v>3.1246499999999999</v>
      </c>
      <c r="M1307" s="18">
        <f>_xll.ciqfunctions.udf.CIQ($C$2,"IQ_Z_SCORE", M$6,$F$2)</f>
        <v>3.2977099999999999</v>
      </c>
      <c r="N1307" s="18">
        <f>_xll.ciqfunctions.udf.CIQ($C$2,"IQ_Z_SCORE", N$6,$F$2)</f>
        <v>3.3862999999999999</v>
      </c>
      <c r="O1307" s="31"/>
      <c r="P1307" s="18">
        <f>_xll.ciqfunctions.udf.CIQ($C$2,"IQ_Z_SCORE", P$6,$F$2)</f>
        <v>3.3862999999999999</v>
      </c>
      <c r="Q1307" s="215"/>
      <c r="R1307" s="215"/>
      <c r="S1307" s="215"/>
      <c r="T1307" s="215"/>
      <c r="U1307" s="215"/>
      <c r="V1307" s="222"/>
      <c r="W1307" s="222"/>
      <c r="X1307" s="222"/>
      <c r="Y1307" s="215"/>
      <c r="Z1307" s="215"/>
      <c r="AA1307" s="215"/>
      <c r="AB1307" s="215"/>
      <c r="AC1307" s="215"/>
      <c r="AD1307" s="215"/>
      <c r="AE1307" s="215"/>
      <c r="AF1307" s="215"/>
      <c r="AG1307" s="215"/>
      <c r="AH1307" s="215"/>
      <c r="AI1307" s="215"/>
      <c r="AJ1307" s="215"/>
      <c r="AK1307" s="215"/>
      <c r="AL1307" s="215"/>
      <c r="AM1307" s="215"/>
      <c r="AN1307" s="215"/>
      <c r="AO1307" s="215"/>
      <c r="AP1307" s="215"/>
      <c r="AQ1307" s="215"/>
      <c r="AR1307" s="215"/>
      <c r="AS1307" s="215"/>
      <c r="AT1307" s="215"/>
      <c r="AU1307" s="215"/>
      <c r="AV1307" s="215"/>
      <c r="AW1307" s="215"/>
      <c r="AX1307" s="215"/>
      <c r="AY1307" s="215"/>
      <c r="AZ1307" s="215"/>
      <c r="BA1307" s="215"/>
      <c r="BB1307" s="215"/>
      <c r="BC1307" s="215"/>
      <c r="BD1307" s="215"/>
      <c r="BE1307" s="215"/>
      <c r="BF1307" s="215"/>
      <c r="BG1307" s="215"/>
      <c r="BH1307" s="215"/>
      <c r="BI1307" s="215"/>
      <c r="BJ1307" s="215"/>
      <c r="BK1307" s="215"/>
      <c r="BL1307" s="215"/>
      <c r="BM1307" s="215"/>
      <c r="BN1307" s="215"/>
      <c r="BO1307" s="215"/>
      <c r="BP1307" s="215"/>
      <c r="BQ1307" s="215"/>
      <c r="BR1307" s="215"/>
      <c r="BS1307" s="215"/>
      <c r="BT1307" s="215"/>
      <c r="BU1307" s="215"/>
      <c r="BV1307" s="215"/>
      <c r="BW1307" s="215"/>
      <c r="BX1307" s="215"/>
      <c r="BY1307" s="215"/>
      <c r="BZ1307" s="215"/>
    </row>
    <row r="1308" spans="1:78" x14ac:dyDescent="0.2">
      <c r="A1308" s="16"/>
      <c r="B1308" s="16"/>
      <c r="C1308" s="16"/>
      <c r="D1308" s="57"/>
      <c r="E1308" s="57"/>
      <c r="F1308" s="57"/>
      <c r="G1308" s="57"/>
      <c r="H1308" s="57"/>
      <c r="I1308" s="57"/>
      <c r="J1308" s="57"/>
      <c r="K1308" s="57"/>
      <c r="L1308" s="57"/>
      <c r="M1308" s="57"/>
      <c r="N1308" s="57"/>
      <c r="O1308" s="57"/>
      <c r="P1308" s="57"/>
      <c r="Q1308" s="215"/>
      <c r="R1308" s="215"/>
      <c r="S1308" s="215"/>
      <c r="T1308" s="215"/>
      <c r="U1308" s="215"/>
      <c r="V1308" s="222"/>
      <c r="W1308" s="222"/>
      <c r="X1308" s="222"/>
      <c r="Y1308" s="215"/>
      <c r="Z1308" s="215"/>
      <c r="AA1308" s="215"/>
      <c r="AB1308" s="215"/>
      <c r="AC1308" s="215"/>
      <c r="AD1308" s="215"/>
      <c r="AE1308" s="215"/>
      <c r="AF1308" s="215"/>
      <c r="AG1308" s="215"/>
      <c r="AH1308" s="215"/>
      <c r="AI1308" s="215"/>
      <c r="AJ1308" s="215"/>
      <c r="AK1308" s="215"/>
      <c r="AL1308" s="215"/>
      <c r="AM1308" s="215"/>
      <c r="AN1308" s="215"/>
      <c r="AO1308" s="215"/>
      <c r="AP1308" s="215"/>
      <c r="AQ1308" s="215"/>
      <c r="AR1308" s="215"/>
      <c r="AS1308" s="215"/>
      <c r="AT1308" s="215"/>
      <c r="AU1308" s="215"/>
      <c r="AV1308" s="215"/>
      <c r="AW1308" s="215"/>
      <c r="AX1308" s="215"/>
      <c r="AY1308" s="215"/>
      <c r="AZ1308" s="215"/>
      <c r="BA1308" s="215"/>
      <c r="BB1308" s="215"/>
      <c r="BC1308" s="215"/>
      <c r="BD1308" s="215"/>
      <c r="BE1308" s="215"/>
      <c r="BF1308" s="215"/>
      <c r="BG1308" s="215"/>
      <c r="BH1308" s="215"/>
      <c r="BI1308" s="215"/>
      <c r="BJ1308" s="215"/>
      <c r="BK1308" s="215"/>
      <c r="BL1308" s="215"/>
      <c r="BM1308" s="215"/>
      <c r="BN1308" s="215"/>
      <c r="BO1308" s="215"/>
      <c r="BP1308" s="215"/>
      <c r="BQ1308" s="215"/>
      <c r="BR1308" s="215"/>
      <c r="BS1308" s="215"/>
      <c r="BT1308" s="215"/>
      <c r="BU1308" s="215"/>
      <c r="BV1308" s="215"/>
      <c r="BW1308" s="215"/>
      <c r="BX1308" s="215"/>
      <c r="BY1308" s="215"/>
      <c r="BZ1308" s="215"/>
    </row>
    <row r="1309" spans="1:78" x14ac:dyDescent="0.2">
      <c r="A1309" s="6" t="str">
        <f>'Language Index'!A761</f>
        <v>GROWTH OVER PRIOR YEAR</v>
      </c>
      <c r="B1309" s="17"/>
      <c r="C1309" s="17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215"/>
      <c r="R1309" s="215"/>
      <c r="S1309" s="215"/>
      <c r="T1309" s="215"/>
      <c r="U1309" s="215"/>
      <c r="V1309" s="222"/>
      <c r="W1309" s="222"/>
      <c r="X1309" s="222"/>
      <c r="Y1309" s="215"/>
      <c r="Z1309" s="215"/>
      <c r="AA1309" s="215"/>
      <c r="AB1309" s="215"/>
      <c r="AC1309" s="215"/>
      <c r="AD1309" s="215"/>
      <c r="AE1309" s="215"/>
      <c r="AF1309" s="215"/>
      <c r="AG1309" s="215"/>
      <c r="AH1309" s="215"/>
      <c r="AI1309" s="215"/>
      <c r="AJ1309" s="215"/>
      <c r="AK1309" s="215"/>
      <c r="AL1309" s="215"/>
      <c r="AM1309" s="215"/>
      <c r="AN1309" s="215"/>
      <c r="AO1309" s="215"/>
      <c r="AP1309" s="215"/>
      <c r="AQ1309" s="215"/>
      <c r="AR1309" s="215"/>
      <c r="AS1309" s="215"/>
      <c r="AT1309" s="215"/>
      <c r="AU1309" s="215"/>
      <c r="AV1309" s="215"/>
      <c r="AW1309" s="215"/>
      <c r="AX1309" s="215"/>
      <c r="AY1309" s="215"/>
      <c r="AZ1309" s="215"/>
      <c r="BA1309" s="215"/>
      <c r="BB1309" s="215"/>
      <c r="BC1309" s="215"/>
      <c r="BD1309" s="215"/>
      <c r="BE1309" s="215"/>
      <c r="BF1309" s="215"/>
      <c r="BG1309" s="215"/>
      <c r="BH1309" s="215"/>
      <c r="BI1309" s="215"/>
      <c r="BJ1309" s="215"/>
      <c r="BK1309" s="215"/>
      <c r="BL1309" s="215"/>
      <c r="BM1309" s="215"/>
      <c r="BN1309" s="215"/>
      <c r="BO1309" s="215"/>
      <c r="BP1309" s="215"/>
      <c r="BQ1309" s="215"/>
      <c r="BR1309" s="215"/>
      <c r="BS1309" s="215"/>
      <c r="BT1309" s="215"/>
      <c r="BU1309" s="215"/>
      <c r="BV1309" s="215"/>
      <c r="BW1309" s="215"/>
      <c r="BX1309" s="215"/>
      <c r="BY1309" s="215"/>
      <c r="BZ1309" s="215"/>
    </row>
    <row r="1310" spans="1:78" x14ac:dyDescent="0.2">
      <c r="A1310" s="53" t="str">
        <f>'Language Index'!A762</f>
        <v>Total Revenue (%)</v>
      </c>
      <c r="B1310" s="17"/>
      <c r="C1310" s="17"/>
      <c r="D1310" s="18">
        <f>_xll.ciqfunctions.udf.CIQ($C$2, "IQ_TOTAL_REV_1YR_ANN_GROWTH", D$6,$F$2)</f>
        <v>1.4192</v>
      </c>
      <c r="E1310" s="18">
        <f>_xll.ciqfunctions.udf.CIQ($C$2, "IQ_TOTAL_REV_1YR_ANN_GROWTH", E$6,$F$2)</f>
        <v>1.0523</v>
      </c>
      <c r="F1310" s="18">
        <f>_xll.ciqfunctions.udf.CIQ($C$2, "IQ_TOTAL_REV_1YR_ANN_GROWTH", F$6,$F$2)</f>
        <v>2.1972</v>
      </c>
      <c r="G1310" s="18">
        <f>_xll.ciqfunctions.udf.CIQ($C$2, "IQ_TOTAL_REV_1YR_ANN_GROWTH", G$6,$F$2)</f>
        <v>2.4510999999999998</v>
      </c>
      <c r="H1310" s="18">
        <f>_xll.ciqfunctions.udf.CIQ($C$2, "IQ_TOTAL_REV_1YR_ANN_GROWTH", H$6,$F$2)</f>
        <v>3.0417000000000001</v>
      </c>
      <c r="I1310" s="18">
        <f>_xll.ciqfunctions.udf.CIQ($C$2, "IQ_TOTAL_REV_1YR_ANN_GROWTH", I$6,$F$2)</f>
        <v>2.3033000000000001</v>
      </c>
      <c r="J1310" s="18">
        <f>_xll.ciqfunctions.udf.CIQ($C$2, "IQ_TOTAL_REV_1YR_ANN_GROWTH", J$6,$F$2)</f>
        <v>1.4435</v>
      </c>
      <c r="K1310" s="18">
        <f>_xll.ciqfunctions.udf.CIQ($C$2, "IQ_TOTAL_REV_1YR_ANN_GROWTH", K$6,$F$2)</f>
        <v>1.2276</v>
      </c>
      <c r="L1310" s="18">
        <f>_xll.ciqfunctions.udf.CIQ($C$2, "IQ_TOTAL_REV_1YR_ANN_GROWTH", L$6,$F$2)</f>
        <v>2.6873999999999998</v>
      </c>
      <c r="M1310" s="18">
        <f>_xll.ciqfunctions.udf.CIQ($C$2, "IQ_TOTAL_REV_1YR_ANN_GROWTH", M$6,$F$2)</f>
        <v>4.5094000000000003</v>
      </c>
      <c r="N1310" s="18">
        <f>_xll.ciqfunctions.udf.CIQ($C$2, "IQ_TOTAL_REV_1YR_ANN_GROWTH", N$6,$F$2)</f>
        <v>7.6203000000000003</v>
      </c>
      <c r="O1310" s="18"/>
      <c r="P1310" s="18">
        <f>_xll.ciqfunctions.udf.CIQ($C$2, "IQ_TOTAL_REV_1YR_ANN_GROWTH", P$6,$F$2)</f>
        <v>7.6203000000000003</v>
      </c>
      <c r="Q1310" s="215"/>
      <c r="R1310" s="215"/>
      <c r="S1310" s="215"/>
      <c r="T1310" s="215"/>
      <c r="U1310" s="215"/>
      <c r="V1310" s="222"/>
      <c r="W1310" s="222"/>
      <c r="X1310" s="222"/>
      <c r="Y1310" s="215"/>
      <c r="Z1310" s="215"/>
      <c r="AA1310" s="215"/>
      <c r="AB1310" s="215"/>
      <c r="AC1310" s="215"/>
      <c r="AD1310" s="215"/>
      <c r="AE1310" s="215"/>
      <c r="AF1310" s="215"/>
      <c r="AG1310" s="215"/>
      <c r="AH1310" s="215"/>
      <c r="AI1310" s="215"/>
      <c r="AJ1310" s="215"/>
      <c r="AK1310" s="215"/>
      <c r="AL1310" s="215"/>
      <c r="AM1310" s="215"/>
      <c r="AN1310" s="215"/>
      <c r="AO1310" s="215"/>
      <c r="AP1310" s="215"/>
      <c r="AQ1310" s="215"/>
      <c r="AR1310" s="215"/>
      <c r="AS1310" s="215"/>
      <c r="AT1310" s="215"/>
      <c r="AU1310" s="215"/>
      <c r="AV1310" s="215"/>
      <c r="AW1310" s="215"/>
      <c r="AX1310" s="215"/>
      <c r="AY1310" s="215"/>
      <c r="AZ1310" s="215"/>
      <c r="BA1310" s="215"/>
      <c r="BB1310" s="215"/>
      <c r="BC1310" s="215"/>
      <c r="BD1310" s="215"/>
      <c r="BE1310" s="215"/>
      <c r="BF1310" s="215"/>
      <c r="BG1310" s="215"/>
      <c r="BH1310" s="215"/>
      <c r="BI1310" s="215"/>
      <c r="BJ1310" s="215"/>
      <c r="BK1310" s="215"/>
      <c r="BL1310" s="215"/>
      <c r="BM1310" s="215"/>
      <c r="BN1310" s="215"/>
      <c r="BO1310" s="215"/>
      <c r="BP1310" s="215"/>
      <c r="BQ1310" s="215"/>
      <c r="BR1310" s="215"/>
      <c r="BS1310" s="215"/>
      <c r="BT1310" s="215"/>
      <c r="BU1310" s="215"/>
      <c r="BV1310" s="215"/>
      <c r="BW1310" s="215"/>
      <c r="BX1310" s="215"/>
      <c r="BY1310" s="215"/>
      <c r="BZ1310" s="215"/>
    </row>
    <row r="1311" spans="1:78" x14ac:dyDescent="0.2">
      <c r="A1311" s="53" t="str">
        <f>'Language Index'!A763</f>
        <v>Gross Profit (%)</v>
      </c>
      <c r="B1311" s="17"/>
      <c r="C1311" s="17"/>
      <c r="D1311" s="18">
        <f>_xll.ciqfunctions.udf.CIQ($C$2, "IQ_GP_1YR_ANN_GROWTH", D$6,$F$2)</f>
        <v>2.6029</v>
      </c>
      <c r="E1311" s="18">
        <f>_xll.ciqfunctions.udf.CIQ($C$2, "IQ_GP_1YR_ANN_GROWTH", E$6,$F$2)</f>
        <v>3.4095</v>
      </c>
      <c r="F1311" s="18">
        <f>_xll.ciqfunctions.udf.CIQ($C$2, "IQ_GP_1YR_ANN_GROWTH", F$6,$F$2)</f>
        <v>4.9314</v>
      </c>
      <c r="G1311" s="18">
        <f>_xll.ciqfunctions.udf.CIQ($C$2, "IQ_GP_1YR_ANN_GROWTH", G$6,$F$2)</f>
        <v>5.0816999999999997</v>
      </c>
      <c r="H1311" s="18">
        <f>_xll.ciqfunctions.udf.CIQ($C$2, "IQ_GP_1YR_ANN_GROWTH", H$6,$F$2)</f>
        <v>5.7751999999999999</v>
      </c>
      <c r="I1311" s="18">
        <f>_xll.ciqfunctions.udf.CIQ($C$2, "IQ_GP_1YR_ANN_GROWTH", I$6,$F$2)</f>
        <v>5.0881999999999996</v>
      </c>
      <c r="J1311" s="18">
        <f>_xll.ciqfunctions.udf.CIQ($C$2, "IQ_GP_1YR_ANN_GROWTH", J$6,$F$2)</f>
        <v>3.6501000000000001</v>
      </c>
      <c r="K1311" s="18">
        <f>_xll.ciqfunctions.udf.CIQ($C$2, "IQ_GP_1YR_ANN_GROWTH", K$6,$F$2)</f>
        <v>3.7847</v>
      </c>
      <c r="L1311" s="18">
        <f>_xll.ciqfunctions.udf.CIQ($C$2, "IQ_GP_1YR_ANN_GROWTH", L$6,$F$2)</f>
        <v>5.3913000000000002</v>
      </c>
      <c r="M1311" s="18">
        <f>_xll.ciqfunctions.udf.CIQ($C$2, "IQ_GP_1YR_ANN_GROWTH", M$6,$F$2)</f>
        <v>6.8655999999999997</v>
      </c>
      <c r="N1311" s="18">
        <f>_xll.ciqfunctions.udf.CIQ($C$2, "IQ_GP_1YR_ANN_GROWTH", N$6,$F$2)</f>
        <v>10.531000000000001</v>
      </c>
      <c r="O1311" s="18"/>
      <c r="P1311" s="18">
        <f>_xll.ciqfunctions.udf.CIQ($C$2, "IQ_GP_1YR_ANN_GROWTH", P$6,$F$2)</f>
        <v>10.531000000000001</v>
      </c>
      <c r="Q1311" s="215"/>
      <c r="R1311" s="215"/>
      <c r="S1311" s="215"/>
      <c r="T1311" s="215"/>
      <c r="U1311" s="215"/>
      <c r="V1311" s="222"/>
      <c r="W1311" s="222"/>
      <c r="X1311" s="222"/>
      <c r="Y1311" s="215"/>
      <c r="Z1311" s="215"/>
      <c r="AA1311" s="215"/>
      <c r="AB1311" s="215"/>
      <c r="AC1311" s="215"/>
      <c r="AD1311" s="215"/>
      <c r="AE1311" s="215"/>
      <c r="AF1311" s="215"/>
      <c r="AG1311" s="215"/>
      <c r="AH1311" s="215"/>
      <c r="AI1311" s="215"/>
      <c r="AJ1311" s="215"/>
      <c r="AK1311" s="215"/>
      <c r="AL1311" s="215"/>
      <c r="AM1311" s="215"/>
      <c r="AN1311" s="215"/>
      <c r="AO1311" s="215"/>
      <c r="AP1311" s="215"/>
      <c r="AQ1311" s="215"/>
      <c r="AR1311" s="215"/>
      <c r="AS1311" s="215"/>
      <c r="AT1311" s="215"/>
      <c r="AU1311" s="215"/>
      <c r="AV1311" s="215"/>
      <c r="AW1311" s="215"/>
      <c r="AX1311" s="215"/>
      <c r="AY1311" s="215"/>
      <c r="AZ1311" s="215"/>
      <c r="BA1311" s="215"/>
      <c r="BB1311" s="215"/>
      <c r="BC1311" s="215"/>
      <c r="BD1311" s="215"/>
      <c r="BE1311" s="215"/>
      <c r="BF1311" s="215"/>
      <c r="BG1311" s="215"/>
      <c r="BH1311" s="215"/>
      <c r="BI1311" s="215"/>
      <c r="BJ1311" s="215"/>
      <c r="BK1311" s="215"/>
      <c r="BL1311" s="215"/>
      <c r="BM1311" s="215"/>
      <c r="BN1311" s="215"/>
      <c r="BO1311" s="215"/>
      <c r="BP1311" s="215"/>
      <c r="BQ1311" s="215"/>
      <c r="BR1311" s="215"/>
      <c r="BS1311" s="215"/>
      <c r="BT1311" s="215"/>
      <c r="BU1311" s="215"/>
      <c r="BV1311" s="215"/>
      <c r="BW1311" s="215"/>
      <c r="BX1311" s="215"/>
      <c r="BY1311" s="215"/>
      <c r="BZ1311" s="215"/>
    </row>
    <row r="1312" spans="1:78" x14ac:dyDescent="0.2">
      <c r="A1312" s="53" t="str">
        <f>'Language Index'!A764</f>
        <v>EBITDA (%)</v>
      </c>
      <c r="B1312" s="17"/>
      <c r="C1312" s="17"/>
      <c r="D1312" s="18">
        <f>_xll.ciqfunctions.udf.CIQ($C$2,  "IQ_EBITDA_1YR_ANN_GROWTH", D$6,$F$2)</f>
        <v>-2.6072000000000002</v>
      </c>
      <c r="E1312" s="18">
        <f>_xll.ciqfunctions.udf.CIQ($C$2,  "IQ_EBITDA_1YR_ANN_GROWTH", E$6,$F$2)</f>
        <v>-1.4322999999999999</v>
      </c>
      <c r="F1312" s="18">
        <f>_xll.ciqfunctions.udf.CIQ($C$2,  "IQ_EBITDA_1YR_ANN_GROWTH", F$6,$F$2)</f>
        <v>13.754</v>
      </c>
      <c r="G1312" s="18">
        <f>_xll.ciqfunctions.udf.CIQ($C$2,  "IQ_EBITDA_1YR_ANN_GROWTH", G$6,$F$2)</f>
        <v>7.3159999999999998</v>
      </c>
      <c r="H1312" s="18">
        <f>_xll.ciqfunctions.udf.CIQ($C$2,  "IQ_EBITDA_1YR_ANN_GROWTH", H$6,$F$2)</f>
        <v>7.5494000000000003</v>
      </c>
      <c r="I1312" s="18">
        <f>_xll.ciqfunctions.udf.CIQ($C$2,  "IQ_EBITDA_1YR_ANN_GROWTH", I$6,$F$2)</f>
        <v>10.1968</v>
      </c>
      <c r="J1312" s="18">
        <f>_xll.ciqfunctions.udf.CIQ($C$2,  "IQ_EBITDA_1YR_ANN_GROWTH", J$6,$F$2)</f>
        <v>5.1317000000000004</v>
      </c>
      <c r="K1312" s="18">
        <f>_xll.ciqfunctions.udf.CIQ($C$2,  "IQ_EBITDA_1YR_ANN_GROWTH", K$6,$F$2)</f>
        <v>4.9135</v>
      </c>
      <c r="L1312" s="18">
        <f>_xll.ciqfunctions.udf.CIQ($C$2,  "IQ_EBITDA_1YR_ANN_GROWTH", L$6,$F$2)</f>
        <v>11.370200000000001</v>
      </c>
      <c r="M1312" s="18">
        <f>_xll.ciqfunctions.udf.CIQ($C$2,  "IQ_EBITDA_1YR_ANN_GROWTH", M$6,$F$2)</f>
        <v>15.317299999999999</v>
      </c>
      <c r="N1312" s="18">
        <f>_xll.ciqfunctions.udf.CIQ($C$2,  "IQ_EBITDA_1YR_ANN_GROWTH", N$6,$F$2)</f>
        <v>25.081399999999999</v>
      </c>
      <c r="O1312" s="18"/>
      <c r="P1312" s="18">
        <f>_xll.ciqfunctions.udf.CIQ($C$2,  "IQ_EBITDA_1YR_ANN_GROWTH", P$6,$F$2)</f>
        <v>25.081399999999999</v>
      </c>
      <c r="Q1312" s="215"/>
      <c r="R1312" s="215"/>
      <c r="S1312" s="215"/>
      <c r="T1312" s="215"/>
      <c r="U1312" s="215"/>
      <c r="V1312" s="222"/>
      <c r="W1312" s="222"/>
      <c r="X1312" s="222"/>
      <c r="Y1312" s="215"/>
      <c r="Z1312" s="215"/>
      <c r="AA1312" s="215"/>
      <c r="AB1312" s="215"/>
      <c r="AC1312" s="215"/>
      <c r="AD1312" s="215"/>
      <c r="AE1312" s="215"/>
      <c r="AF1312" s="215"/>
      <c r="AG1312" s="215"/>
      <c r="AH1312" s="215"/>
      <c r="AI1312" s="215"/>
      <c r="AJ1312" s="215"/>
      <c r="AK1312" s="215"/>
      <c r="AL1312" s="215"/>
      <c r="AM1312" s="215"/>
      <c r="AN1312" s="215"/>
      <c r="AO1312" s="215"/>
      <c r="AP1312" s="215"/>
      <c r="AQ1312" s="215"/>
      <c r="AR1312" s="215"/>
      <c r="AS1312" s="215"/>
      <c r="AT1312" s="215"/>
      <c r="AU1312" s="215"/>
      <c r="AV1312" s="215"/>
      <c r="AW1312" s="215"/>
      <c r="AX1312" s="215"/>
      <c r="AY1312" s="215"/>
      <c r="AZ1312" s="215"/>
      <c r="BA1312" s="215"/>
      <c r="BB1312" s="215"/>
      <c r="BC1312" s="215"/>
      <c r="BD1312" s="215"/>
      <c r="BE1312" s="215"/>
      <c r="BF1312" s="215"/>
      <c r="BG1312" s="215"/>
      <c r="BH1312" s="215"/>
      <c r="BI1312" s="215"/>
      <c r="BJ1312" s="215"/>
      <c r="BK1312" s="215"/>
      <c r="BL1312" s="215"/>
      <c r="BM1312" s="215"/>
      <c r="BN1312" s="215"/>
      <c r="BO1312" s="215"/>
      <c r="BP1312" s="215"/>
      <c r="BQ1312" s="215"/>
      <c r="BR1312" s="215"/>
      <c r="BS1312" s="215"/>
      <c r="BT1312" s="215"/>
      <c r="BU1312" s="215"/>
      <c r="BV1312" s="215"/>
      <c r="BW1312" s="215"/>
      <c r="BX1312" s="215"/>
      <c r="BY1312" s="215"/>
      <c r="BZ1312" s="215"/>
    </row>
    <row r="1313" spans="1:78" x14ac:dyDescent="0.2">
      <c r="A1313" s="53" t="str">
        <f>'Language Index'!A765</f>
        <v>EBIT (%)</v>
      </c>
      <c r="B1313" s="17"/>
      <c r="C1313" s="17"/>
      <c r="D1313" s="18">
        <f>_xll.ciqfunctions.udf.CIQ($C$2, "IQ_EBIT_1YR_ANN_GROWTH", D$6,$F$2)</f>
        <v>29.535799999999998</v>
      </c>
      <c r="E1313" s="18">
        <f>_xll.ciqfunctions.udf.CIQ($C$2, "IQ_EBIT_1YR_ANN_GROWTH", E$6,$F$2)</f>
        <v>33.362000000000002</v>
      </c>
      <c r="F1313" s="18">
        <f>_xll.ciqfunctions.udf.CIQ($C$2, "IQ_EBIT_1YR_ANN_GROWTH", F$6,$F$2)</f>
        <v>25.262499999999999</v>
      </c>
      <c r="G1313" s="18">
        <f>_xll.ciqfunctions.udf.CIQ($C$2, "IQ_EBIT_1YR_ANN_GROWTH", G$6,$F$2)</f>
        <v>23.828499999999998</v>
      </c>
      <c r="H1313" s="18">
        <f>_xll.ciqfunctions.udf.CIQ($C$2, "IQ_EBIT_1YR_ANN_GROWTH", H$6,$F$2)</f>
        <v>17.156500000000001</v>
      </c>
      <c r="I1313" s="18">
        <f>_xll.ciqfunctions.udf.CIQ($C$2, "IQ_EBIT_1YR_ANN_GROWTH", I$6,$F$2)</f>
        <v>7.452</v>
      </c>
      <c r="J1313" s="18">
        <f>_xll.ciqfunctions.udf.CIQ($C$2, "IQ_EBIT_1YR_ANN_GROWTH", J$6,$F$2)</f>
        <v>3.8955000000000002</v>
      </c>
      <c r="K1313" s="18">
        <f>_xll.ciqfunctions.udf.CIQ($C$2, "IQ_EBIT_1YR_ANN_GROWTH", K$6,$F$2)</f>
        <v>1.7814000000000001</v>
      </c>
      <c r="L1313" s="18">
        <f>_xll.ciqfunctions.udf.CIQ($C$2, "IQ_EBIT_1YR_ANN_GROWTH", L$6,$F$2)</f>
        <v>8.7073</v>
      </c>
      <c r="M1313" s="18">
        <f>_xll.ciqfunctions.udf.CIQ($C$2, "IQ_EBIT_1YR_ANN_GROWTH", M$6,$F$2)</f>
        <v>15.584199999999999</v>
      </c>
      <c r="N1313" s="18">
        <f>_xll.ciqfunctions.udf.CIQ($C$2, "IQ_EBIT_1YR_ANN_GROWTH", N$6,$F$2)</f>
        <v>28.402100000000001</v>
      </c>
      <c r="O1313" s="18"/>
      <c r="P1313" s="18">
        <f>_xll.ciqfunctions.udf.CIQ($C$2, "IQ_EBIT_1YR_ANN_GROWTH", P$6,$F$2)</f>
        <v>28.402100000000001</v>
      </c>
      <c r="Q1313" s="215"/>
      <c r="R1313" s="215"/>
      <c r="S1313" s="215"/>
      <c r="T1313" s="215"/>
      <c r="U1313" s="215"/>
      <c r="V1313" s="222"/>
      <c r="W1313" s="222"/>
      <c r="X1313" s="222"/>
      <c r="Y1313" s="215"/>
      <c r="Z1313" s="215"/>
      <c r="AA1313" s="215"/>
      <c r="AB1313" s="215"/>
      <c r="AC1313" s="215"/>
      <c r="AD1313" s="215"/>
      <c r="AE1313" s="215"/>
      <c r="AF1313" s="215"/>
      <c r="AG1313" s="215"/>
      <c r="AH1313" s="215"/>
      <c r="AI1313" s="215"/>
      <c r="AJ1313" s="215"/>
      <c r="AK1313" s="215"/>
      <c r="AL1313" s="215"/>
      <c r="AM1313" s="215"/>
      <c r="AN1313" s="215"/>
      <c r="AO1313" s="215"/>
      <c r="AP1313" s="215"/>
      <c r="AQ1313" s="215"/>
      <c r="AR1313" s="215"/>
      <c r="AS1313" s="215"/>
      <c r="AT1313" s="215"/>
      <c r="AU1313" s="215"/>
      <c r="AV1313" s="215"/>
      <c r="AW1313" s="215"/>
      <c r="AX1313" s="215"/>
      <c r="AY1313" s="215"/>
      <c r="AZ1313" s="215"/>
      <c r="BA1313" s="215"/>
      <c r="BB1313" s="215"/>
      <c r="BC1313" s="215"/>
      <c r="BD1313" s="215"/>
      <c r="BE1313" s="215"/>
      <c r="BF1313" s="215"/>
      <c r="BG1313" s="215"/>
      <c r="BH1313" s="215"/>
      <c r="BI1313" s="215"/>
      <c r="BJ1313" s="215"/>
      <c r="BK1313" s="215"/>
      <c r="BL1313" s="215"/>
      <c r="BM1313" s="215"/>
      <c r="BN1313" s="215"/>
      <c r="BO1313" s="215"/>
      <c r="BP1313" s="215"/>
      <c r="BQ1313" s="215"/>
      <c r="BR1313" s="215"/>
      <c r="BS1313" s="215"/>
      <c r="BT1313" s="215"/>
      <c r="BU1313" s="215"/>
      <c r="BV1313" s="215"/>
      <c r="BW1313" s="215"/>
      <c r="BX1313" s="215"/>
      <c r="BY1313" s="215"/>
      <c r="BZ1313" s="215"/>
    </row>
    <row r="1314" spans="1:78" x14ac:dyDescent="0.2">
      <c r="A1314" s="53" t="str">
        <f>'Language Index'!A766</f>
        <v>Net Income (%)</v>
      </c>
      <c r="B1314" s="17"/>
      <c r="C1314" s="17"/>
      <c r="D1314" s="18">
        <f>_xll.ciqfunctions.udf.CIQ($C$2,  "IQ_NI_1YR_ANN_GROWTH", D$6,$F$2)</f>
        <v>-63.761699999999998</v>
      </c>
      <c r="E1314" s="18">
        <f>_xll.ciqfunctions.udf.CIQ($C$2,  "IQ_NI_1YR_ANN_GROWTH", E$6,$F$2)</f>
        <v>448.65289999999999</v>
      </c>
      <c r="F1314" s="18">
        <f>_xll.ciqfunctions.udf.CIQ($C$2,  "IQ_NI_1YR_ANN_GROWTH", F$6,$F$2)</f>
        <v>357.71809999999999</v>
      </c>
      <c r="G1314" s="18">
        <f>_xll.ciqfunctions.udf.CIQ($C$2,  "IQ_NI_1YR_ANN_GROWTH", G$6,$F$2)</f>
        <v>346.2629</v>
      </c>
      <c r="H1314" s="18">
        <f>_xll.ciqfunctions.udf.CIQ($C$2,  "IQ_NI_1YR_ANN_GROWTH", H$6,$F$2)</f>
        <v>316.2962</v>
      </c>
      <c r="I1314" s="18">
        <f>_xll.ciqfunctions.udf.CIQ($C$2,  "IQ_NI_1YR_ANN_GROWTH", I$6,$F$2)</f>
        <v>-7.6113</v>
      </c>
      <c r="J1314" s="18">
        <f>_xll.ciqfunctions.udf.CIQ($C$2,  "IQ_NI_1YR_ANN_GROWTH", J$6,$F$2)</f>
        <v>-19.7148</v>
      </c>
      <c r="K1314" s="18">
        <f>_xll.ciqfunctions.udf.CIQ($C$2,  "IQ_NI_1YR_ANN_GROWTH", K$6,$F$2)</f>
        <v>-33.093000000000004</v>
      </c>
      <c r="L1314" s="18">
        <f>_xll.ciqfunctions.udf.CIQ($C$2,  "IQ_NI_1YR_ANN_GROWTH", L$6,$F$2)</f>
        <v>-30.806699999999999</v>
      </c>
      <c r="M1314" s="18">
        <f>_xll.ciqfunctions.udf.CIQ($C$2,  "IQ_NI_1YR_ANN_GROWTH", M$6,$F$2)</f>
        <v>23.604800000000001</v>
      </c>
      <c r="N1314" s="18">
        <f>_xll.ciqfunctions.udf.CIQ($C$2,  "IQ_NI_1YR_ANN_GROWTH", N$6,$F$2)</f>
        <v>75.875799999999998</v>
      </c>
      <c r="O1314" s="18"/>
      <c r="P1314" s="18">
        <f>_xll.ciqfunctions.udf.CIQ($C$2,  "IQ_NI_1YR_ANN_GROWTH", P$6,$F$2)</f>
        <v>75.875799999999998</v>
      </c>
      <c r="Q1314" s="215"/>
      <c r="R1314" s="215"/>
      <c r="S1314" s="215"/>
      <c r="T1314" s="215"/>
      <c r="U1314" s="215"/>
      <c r="V1314" s="222"/>
      <c r="W1314" s="222"/>
      <c r="X1314" s="222"/>
      <c r="Y1314" s="215"/>
      <c r="Z1314" s="215"/>
      <c r="AA1314" s="215"/>
      <c r="AB1314" s="215"/>
      <c r="AC1314" s="215"/>
      <c r="AD1314" s="215"/>
      <c r="AE1314" s="215"/>
      <c r="AF1314" s="215"/>
      <c r="AG1314" s="215"/>
      <c r="AH1314" s="215"/>
      <c r="AI1314" s="215"/>
      <c r="AJ1314" s="215"/>
      <c r="AK1314" s="215"/>
      <c r="AL1314" s="215"/>
      <c r="AM1314" s="215"/>
      <c r="AN1314" s="215"/>
      <c r="AO1314" s="215"/>
      <c r="AP1314" s="215"/>
      <c r="AQ1314" s="215"/>
      <c r="AR1314" s="215"/>
      <c r="AS1314" s="215"/>
      <c r="AT1314" s="215"/>
      <c r="AU1314" s="215"/>
      <c r="AV1314" s="215"/>
      <c r="AW1314" s="215"/>
      <c r="AX1314" s="215"/>
      <c r="AY1314" s="215"/>
      <c r="AZ1314" s="215"/>
      <c r="BA1314" s="215"/>
      <c r="BB1314" s="215"/>
      <c r="BC1314" s="215"/>
      <c r="BD1314" s="215"/>
      <c r="BE1314" s="215"/>
      <c r="BF1314" s="215"/>
      <c r="BG1314" s="215"/>
      <c r="BH1314" s="215"/>
      <c r="BI1314" s="215"/>
      <c r="BJ1314" s="215"/>
      <c r="BK1314" s="215"/>
      <c r="BL1314" s="215"/>
      <c r="BM1314" s="215"/>
      <c r="BN1314" s="215"/>
      <c r="BO1314" s="215"/>
      <c r="BP1314" s="215"/>
      <c r="BQ1314" s="215"/>
      <c r="BR1314" s="215"/>
      <c r="BS1314" s="215"/>
      <c r="BT1314" s="215"/>
      <c r="BU1314" s="215"/>
      <c r="BV1314" s="215"/>
      <c r="BW1314" s="215"/>
      <c r="BX1314" s="215"/>
      <c r="BY1314" s="215"/>
      <c r="BZ1314" s="215"/>
    </row>
    <row r="1315" spans="1:78" x14ac:dyDescent="0.2">
      <c r="A1315" s="53" t="str">
        <f>'Language Index'!A767</f>
        <v>Diluted EPS before Extra (%)</v>
      </c>
      <c r="B1315" s="17"/>
      <c r="C1315" s="17"/>
      <c r="D1315" s="18">
        <f>_xll.ciqfunctions.udf.CIQ($C$2, "IQ_EPS_1YR_ANN_GROWTH", D$6,$F$2)</f>
        <v>-61.833500000000001</v>
      </c>
      <c r="E1315" s="18">
        <f>_xll.ciqfunctions.udf.CIQ($C$2, "IQ_EPS_1YR_ANN_GROWTH", E$6,$F$2)</f>
        <v>404.24759999999998</v>
      </c>
      <c r="F1315" s="18">
        <f>_xll.ciqfunctions.udf.CIQ($C$2, "IQ_EPS_1YR_ANN_GROWTH", F$6,$F$2)</f>
        <v>317.9486</v>
      </c>
      <c r="G1315" s="18">
        <f>_xll.ciqfunctions.udf.CIQ($C$2, "IQ_EPS_1YR_ANN_GROWTH", G$6,$F$2)</f>
        <v>292.63560000000001</v>
      </c>
      <c r="H1315" s="18">
        <f>_xll.ciqfunctions.udf.CIQ($C$2, "IQ_EPS_1YR_ANN_GROWTH", H$6,$F$2)</f>
        <v>280.65589999999997</v>
      </c>
      <c r="I1315" s="18">
        <f>_xll.ciqfunctions.udf.CIQ($C$2, "IQ_EPS_1YR_ANN_GROWTH", I$6,$F$2)</f>
        <v>-10.786099999999999</v>
      </c>
      <c r="J1315" s="18">
        <f>_xll.ciqfunctions.udf.CIQ($C$2, "IQ_EPS_1YR_ANN_GROWTH", J$6,$F$2)</f>
        <v>-21.227</v>
      </c>
      <c r="K1315" s="18">
        <f>_xll.ciqfunctions.udf.CIQ($C$2, "IQ_EPS_1YR_ANN_GROWTH", K$6,$F$2)</f>
        <v>-33.608899999999998</v>
      </c>
      <c r="L1315" s="18">
        <f>_xll.ciqfunctions.udf.CIQ($C$2, "IQ_EPS_1YR_ANN_GROWTH", L$6,$F$2)</f>
        <v>-31.3748</v>
      </c>
      <c r="M1315" s="18">
        <f>_xll.ciqfunctions.udf.CIQ($C$2, "IQ_EPS_1YR_ANN_GROWTH", M$6,$F$2)</f>
        <v>22.5501</v>
      </c>
      <c r="N1315" s="18">
        <f>_xll.ciqfunctions.udf.CIQ($C$2, "IQ_EPS_1YR_ANN_GROWTH", N$6,$F$2)</f>
        <v>73.520200000000003</v>
      </c>
      <c r="O1315" s="18"/>
      <c r="P1315" s="18">
        <f>_xll.ciqfunctions.udf.CIQ($C$2, "IQ_EPS_1YR_ANN_GROWTH", P$6,$F$2)</f>
        <v>73.520200000000003</v>
      </c>
      <c r="Q1315" s="215"/>
      <c r="R1315" s="215"/>
      <c r="S1315" s="215"/>
      <c r="T1315" s="215"/>
      <c r="U1315" s="215"/>
      <c r="V1315" s="222"/>
      <c r="W1315" s="222"/>
      <c r="X1315" s="222"/>
      <c r="Y1315" s="215"/>
      <c r="Z1315" s="215"/>
      <c r="AA1315" s="215"/>
      <c r="AB1315" s="215"/>
      <c r="AC1315" s="215"/>
      <c r="AD1315" s="215"/>
      <c r="AE1315" s="215"/>
      <c r="AF1315" s="215"/>
      <c r="AG1315" s="215"/>
      <c r="AH1315" s="215"/>
      <c r="AI1315" s="215"/>
      <c r="AJ1315" s="215"/>
      <c r="AK1315" s="215"/>
      <c r="AL1315" s="215"/>
      <c r="AM1315" s="215"/>
      <c r="AN1315" s="215"/>
      <c r="AO1315" s="215"/>
      <c r="AP1315" s="215"/>
      <c r="AQ1315" s="215"/>
      <c r="AR1315" s="215"/>
      <c r="AS1315" s="215"/>
      <c r="AT1315" s="215"/>
      <c r="AU1315" s="215"/>
      <c r="AV1315" s="215"/>
      <c r="AW1315" s="215"/>
      <c r="AX1315" s="215"/>
      <c r="AY1315" s="215"/>
      <c r="AZ1315" s="215"/>
      <c r="BA1315" s="215"/>
      <c r="BB1315" s="215"/>
      <c r="BC1315" s="215"/>
      <c r="BD1315" s="215"/>
      <c r="BE1315" s="215"/>
      <c r="BF1315" s="215"/>
      <c r="BG1315" s="215"/>
      <c r="BH1315" s="215"/>
      <c r="BI1315" s="215"/>
      <c r="BJ1315" s="215"/>
      <c r="BK1315" s="215"/>
      <c r="BL1315" s="215"/>
      <c r="BM1315" s="215"/>
      <c r="BN1315" s="215"/>
      <c r="BO1315" s="215"/>
      <c r="BP1315" s="215"/>
      <c r="BQ1315" s="215"/>
      <c r="BR1315" s="215"/>
      <c r="BS1315" s="215"/>
      <c r="BT1315" s="215"/>
      <c r="BU1315" s="215"/>
      <c r="BV1315" s="215"/>
      <c r="BW1315" s="215"/>
      <c r="BX1315" s="215"/>
      <c r="BY1315" s="215"/>
      <c r="BZ1315" s="215"/>
    </row>
    <row r="1316" spans="1:78" x14ac:dyDescent="0.2">
      <c r="A1316" s="2"/>
      <c r="B1316" s="2"/>
      <c r="C1316" s="2"/>
      <c r="D1316" s="60"/>
      <c r="E1316" s="60"/>
      <c r="F1316" s="60"/>
      <c r="G1316" s="60"/>
      <c r="H1316" s="60"/>
      <c r="I1316" s="60"/>
      <c r="J1316" s="60"/>
      <c r="K1316" s="60"/>
      <c r="L1316" s="60"/>
      <c r="M1316" s="60"/>
      <c r="N1316" s="60"/>
      <c r="O1316" s="39"/>
      <c r="P1316" s="60"/>
      <c r="Q1316" s="215"/>
      <c r="R1316" s="215"/>
      <c r="S1316" s="215"/>
      <c r="T1316" s="215"/>
      <c r="U1316" s="215"/>
      <c r="V1316" s="222"/>
      <c r="W1316" s="222"/>
      <c r="X1316" s="222"/>
      <c r="Y1316" s="215"/>
      <c r="Z1316" s="215"/>
      <c r="AA1316" s="215"/>
      <c r="AB1316" s="215"/>
      <c r="AC1316" s="215"/>
      <c r="AD1316" s="215"/>
      <c r="AE1316" s="215"/>
      <c r="AF1316" s="215"/>
      <c r="AG1316" s="215"/>
      <c r="AH1316" s="215"/>
      <c r="AI1316" s="215"/>
      <c r="AJ1316" s="215"/>
      <c r="AK1316" s="215"/>
      <c r="AL1316" s="215"/>
      <c r="AM1316" s="215"/>
      <c r="AN1316" s="215"/>
      <c r="AO1316" s="215"/>
      <c r="AP1316" s="215"/>
      <c r="AQ1316" s="215"/>
      <c r="AR1316" s="215"/>
      <c r="AS1316" s="215"/>
      <c r="AT1316" s="215"/>
      <c r="AU1316" s="215"/>
      <c r="AV1316" s="215"/>
      <c r="AW1316" s="215"/>
      <c r="AX1316" s="215"/>
      <c r="AY1316" s="215"/>
      <c r="AZ1316" s="215"/>
      <c r="BA1316" s="215"/>
      <c r="BB1316" s="215"/>
      <c r="BC1316" s="215"/>
      <c r="BD1316" s="215"/>
      <c r="BE1316" s="215"/>
      <c r="BF1316" s="215"/>
      <c r="BG1316" s="215"/>
      <c r="BH1316" s="215"/>
      <c r="BI1316" s="215"/>
      <c r="BJ1316" s="215"/>
      <c r="BK1316" s="215"/>
      <c r="BL1316" s="215"/>
      <c r="BM1316" s="215"/>
      <c r="BN1316" s="215"/>
      <c r="BO1316" s="215"/>
      <c r="BP1316" s="215"/>
      <c r="BQ1316" s="215"/>
      <c r="BR1316" s="215"/>
      <c r="BS1316" s="215"/>
      <c r="BT1316" s="215"/>
      <c r="BU1316" s="215"/>
      <c r="BV1316" s="215"/>
      <c r="BW1316" s="215"/>
      <c r="BX1316" s="215"/>
      <c r="BY1316" s="215"/>
      <c r="BZ1316" s="215"/>
    </row>
    <row r="1317" spans="1:78" x14ac:dyDescent="0.2">
      <c r="A1317" s="6" t="str">
        <f>'Language Index'!A768</f>
        <v>CAGR (3 YEAR)</v>
      </c>
      <c r="B1317" s="17"/>
      <c r="C1317" s="17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215"/>
      <c r="R1317" s="215"/>
      <c r="S1317" s="215"/>
      <c r="T1317" s="215"/>
      <c r="U1317" s="215"/>
      <c r="V1317" s="222"/>
      <c r="W1317" s="222"/>
      <c r="X1317" s="222"/>
      <c r="Y1317" s="215"/>
      <c r="Z1317" s="215"/>
      <c r="AA1317" s="215"/>
      <c r="AB1317" s="215"/>
      <c r="AC1317" s="215"/>
      <c r="AD1317" s="215"/>
      <c r="AE1317" s="215"/>
      <c r="AF1317" s="215"/>
      <c r="AG1317" s="215"/>
      <c r="AH1317" s="215"/>
      <c r="AI1317" s="215"/>
      <c r="AJ1317" s="215"/>
      <c r="AK1317" s="215"/>
      <c r="AL1317" s="215"/>
      <c r="AM1317" s="215"/>
      <c r="AN1317" s="215"/>
      <c r="AO1317" s="215"/>
      <c r="AP1317" s="215"/>
      <c r="AQ1317" s="215"/>
      <c r="AR1317" s="215"/>
      <c r="AS1317" s="215"/>
      <c r="AT1317" s="215"/>
      <c r="AU1317" s="215"/>
      <c r="AV1317" s="215"/>
      <c r="AW1317" s="215"/>
      <c r="AX1317" s="215"/>
      <c r="AY1317" s="215"/>
      <c r="AZ1317" s="215"/>
      <c r="BA1317" s="215"/>
      <c r="BB1317" s="215"/>
      <c r="BC1317" s="215"/>
      <c r="BD1317" s="215"/>
      <c r="BE1317" s="215"/>
      <c r="BF1317" s="215"/>
      <c r="BG1317" s="215"/>
      <c r="BH1317" s="215"/>
      <c r="BI1317" s="215"/>
      <c r="BJ1317" s="215"/>
      <c r="BK1317" s="215"/>
      <c r="BL1317" s="215"/>
      <c r="BM1317" s="215"/>
      <c r="BN1317" s="215"/>
      <c r="BO1317" s="215"/>
      <c r="BP1317" s="215"/>
      <c r="BQ1317" s="215"/>
      <c r="BR1317" s="215"/>
      <c r="BS1317" s="215"/>
      <c r="BT1317" s="215"/>
      <c r="BU1317" s="215"/>
      <c r="BV1317" s="215"/>
      <c r="BW1317" s="215"/>
      <c r="BX1317" s="215"/>
      <c r="BY1317" s="215"/>
      <c r="BZ1317" s="215"/>
    </row>
    <row r="1318" spans="1:78" x14ac:dyDescent="0.2">
      <c r="A1318" s="53" t="str">
        <f>'Language Index'!A762</f>
        <v>Total Revenue (%)</v>
      </c>
      <c r="B1318" s="17"/>
      <c r="C1318" s="17"/>
      <c r="D1318" s="18">
        <f>_xll.ciqfunctions.udf.CIQ($C$2, "IQ_TOTAL_REV_3YR_ANN_CAGR", D$6,$F$2)</f>
        <v>-7.1029999999999998</v>
      </c>
      <c r="E1318" s="18">
        <f>_xll.ciqfunctions.udf.CIQ($C$2, "IQ_TOTAL_REV_3YR_ANN_CAGR", E$6,$F$2)</f>
        <v>-6.5807000000000002</v>
      </c>
      <c r="F1318" s="18">
        <f>_xll.ciqfunctions.udf.CIQ($C$2, "IQ_TOTAL_REV_3YR_ANN_CAGR", F$6,$F$2)</f>
        <v>3.8832</v>
      </c>
      <c r="G1318" s="18">
        <f>_xll.ciqfunctions.udf.CIQ($C$2, "IQ_TOTAL_REV_3YR_ANN_CAGR", G$6,$F$2)</f>
        <v>6.9119000000000002</v>
      </c>
      <c r="H1318" s="18">
        <f>_xll.ciqfunctions.udf.CIQ($C$2, "IQ_TOTAL_REV_3YR_ANN_CAGR", H$6,$F$2)</f>
        <v>9.9722000000000008</v>
      </c>
      <c r="I1318" s="18">
        <f>_xll.ciqfunctions.udf.CIQ($C$2, "IQ_TOTAL_REV_3YR_ANN_CAGR", I$6,$F$2)</f>
        <v>13.6937</v>
      </c>
      <c r="J1318" s="18">
        <f>_xll.ciqfunctions.udf.CIQ($C$2, "IQ_TOTAL_REV_3YR_ANN_CAGR", J$6,$F$2)</f>
        <v>3.0459999999999998</v>
      </c>
      <c r="K1318" s="18">
        <f>_xll.ciqfunctions.udf.CIQ($C$2, "IQ_TOTAL_REV_3YR_ANN_CAGR", K$6,$F$2)</f>
        <v>2.4899</v>
      </c>
      <c r="L1318" s="18">
        <f>_xll.ciqfunctions.udf.CIQ($C$2, "IQ_TOTAL_REV_3YR_ANN_CAGR", L$6,$F$2)</f>
        <v>2.3793000000000002</v>
      </c>
      <c r="M1318" s="18">
        <f>_xll.ciqfunctions.udf.CIQ($C$2, "IQ_TOTAL_REV_3YR_ANN_CAGR", M$6,$F$2)</f>
        <v>2.6118000000000001</v>
      </c>
      <c r="N1318" s="18">
        <f>_xll.ciqfunctions.udf.CIQ($C$2, "IQ_TOTAL_REV_3YR_ANN_CAGR", N$6,$F$2)</f>
        <v>3.7176</v>
      </c>
      <c r="O1318" s="18"/>
      <c r="P1318" s="18">
        <f>_xll.ciqfunctions.udf.CIQ($C$2, "IQ_TOTAL_REV_3YR_ANN_CAGR", P$6,$F$2)</f>
        <v>3.7176</v>
      </c>
      <c r="Q1318" s="215"/>
      <c r="R1318" s="215"/>
      <c r="S1318" s="215"/>
      <c r="T1318" s="215"/>
      <c r="U1318" s="215"/>
      <c r="V1318" s="222"/>
      <c r="W1318" s="222"/>
      <c r="X1318" s="222"/>
      <c r="Y1318" s="215"/>
      <c r="Z1318" s="215"/>
      <c r="AA1318" s="215"/>
      <c r="AB1318" s="215"/>
      <c r="AC1318" s="215"/>
      <c r="AD1318" s="215"/>
      <c r="AE1318" s="215"/>
      <c r="AF1318" s="215"/>
      <c r="AG1318" s="215"/>
      <c r="AH1318" s="215"/>
      <c r="AI1318" s="215"/>
      <c r="AJ1318" s="215"/>
      <c r="AK1318" s="215"/>
      <c r="AL1318" s="215"/>
      <c r="AM1318" s="215"/>
      <c r="AN1318" s="215"/>
      <c r="AO1318" s="215"/>
      <c r="AP1318" s="215"/>
      <c r="AQ1318" s="215"/>
      <c r="AR1318" s="215"/>
      <c r="AS1318" s="215"/>
      <c r="AT1318" s="215"/>
      <c r="AU1318" s="215"/>
      <c r="AV1318" s="215"/>
      <c r="AW1318" s="215"/>
      <c r="AX1318" s="215"/>
      <c r="AY1318" s="215"/>
      <c r="AZ1318" s="215"/>
      <c r="BA1318" s="215"/>
      <c r="BB1318" s="215"/>
      <c r="BC1318" s="215"/>
      <c r="BD1318" s="215"/>
      <c r="BE1318" s="215"/>
      <c r="BF1318" s="215"/>
      <c r="BG1318" s="215"/>
      <c r="BH1318" s="215"/>
      <c r="BI1318" s="215"/>
      <c r="BJ1318" s="215"/>
      <c r="BK1318" s="215"/>
      <c r="BL1318" s="215"/>
      <c r="BM1318" s="215"/>
      <c r="BN1318" s="215"/>
      <c r="BO1318" s="215"/>
      <c r="BP1318" s="215"/>
      <c r="BQ1318" s="215"/>
      <c r="BR1318" s="215"/>
      <c r="BS1318" s="215"/>
      <c r="BT1318" s="215"/>
      <c r="BU1318" s="215"/>
      <c r="BV1318" s="215"/>
      <c r="BW1318" s="215"/>
      <c r="BX1318" s="215"/>
      <c r="BY1318" s="215"/>
      <c r="BZ1318" s="215"/>
    </row>
    <row r="1319" spans="1:78" x14ac:dyDescent="0.2">
      <c r="A1319" s="53" t="str">
        <f>'Language Index'!A763</f>
        <v>Gross Profit (%)</v>
      </c>
      <c r="B1319" s="17"/>
      <c r="C1319" s="17"/>
      <c r="D1319" s="18">
        <f>_xll.ciqfunctions.udf.CIQ($C$2, "IQ_GP_3YR_ANN_CAGR", D$6,$F$2)</f>
        <v>-2.8393999999999999</v>
      </c>
      <c r="E1319" s="18">
        <f>_xll.ciqfunctions.udf.CIQ($C$2, "IQ_GP_3YR_ANN_CAGR", E$6,$F$2)</f>
        <v>-2.3477000000000001</v>
      </c>
      <c r="F1319" s="18">
        <f>_xll.ciqfunctions.udf.CIQ($C$2, "IQ_GP_3YR_ANN_CAGR", F$6,$F$2)</f>
        <v>3.58</v>
      </c>
      <c r="G1319" s="18">
        <f>_xll.ciqfunctions.udf.CIQ($C$2, "IQ_GP_3YR_ANN_CAGR", G$6,$F$2)</f>
        <v>4.8407999999999998</v>
      </c>
      <c r="H1319" s="18">
        <f>_xll.ciqfunctions.udf.CIQ($C$2, "IQ_GP_3YR_ANN_CAGR", H$6,$F$2)</f>
        <v>6.3007</v>
      </c>
      <c r="I1319" s="18">
        <f>_xll.ciqfunctions.udf.CIQ($C$2, "IQ_GP_3YR_ANN_CAGR", I$6,$F$2)</f>
        <v>8.3704000000000001</v>
      </c>
      <c r="J1319" s="18">
        <f>_xll.ciqfunctions.udf.CIQ($C$2, "IQ_GP_3YR_ANN_CAGR", J$6,$F$2)</f>
        <v>4.1315</v>
      </c>
      <c r="K1319" s="18">
        <f>_xll.ciqfunctions.udf.CIQ($C$2, "IQ_GP_3YR_ANN_CAGR", K$6,$F$2)</f>
        <v>4.0715000000000003</v>
      </c>
      <c r="L1319" s="18">
        <f>_xll.ciqfunctions.udf.CIQ($C$2, "IQ_GP_3YR_ANN_CAGR", L$6,$F$2)</f>
        <v>4.5801999999999996</v>
      </c>
      <c r="M1319" s="18">
        <f>_xll.ciqfunctions.udf.CIQ($C$2, "IQ_GP_3YR_ANN_CAGR", M$6,$F$2)</f>
        <v>5.1116999999999999</v>
      </c>
      <c r="N1319" s="18">
        <f>_xll.ciqfunctions.udf.CIQ($C$2, "IQ_GP_3YR_ANN_CAGR", N$6,$F$2)</f>
        <v>6.3293999999999997</v>
      </c>
      <c r="O1319" s="18"/>
      <c r="P1319" s="18">
        <f>_xll.ciqfunctions.udf.CIQ($C$2, "IQ_GP_3YR_ANN_CAGR", P$6,$F$2)</f>
        <v>6.3293999999999997</v>
      </c>
      <c r="Q1319" s="215"/>
      <c r="R1319" s="215"/>
      <c r="S1319" s="215"/>
      <c r="T1319" s="215"/>
      <c r="U1319" s="215"/>
      <c r="V1319" s="222"/>
      <c r="W1319" s="222"/>
      <c r="X1319" s="222"/>
      <c r="Y1319" s="215"/>
      <c r="Z1319" s="215"/>
      <c r="AA1319" s="215"/>
      <c r="AB1319" s="215"/>
      <c r="AC1319" s="215"/>
      <c r="AD1319" s="215"/>
      <c r="AE1319" s="215"/>
      <c r="AF1319" s="215"/>
      <c r="AG1319" s="215"/>
      <c r="AH1319" s="215"/>
      <c r="AI1319" s="215"/>
      <c r="AJ1319" s="215"/>
      <c r="AK1319" s="215"/>
      <c r="AL1319" s="215"/>
      <c r="AM1319" s="215"/>
      <c r="AN1319" s="215"/>
      <c r="AO1319" s="215"/>
      <c r="AP1319" s="215"/>
      <c r="AQ1319" s="215"/>
      <c r="AR1319" s="215"/>
      <c r="AS1319" s="215"/>
      <c r="AT1319" s="215"/>
      <c r="AU1319" s="215"/>
      <c r="AV1319" s="215"/>
      <c r="AW1319" s="215"/>
      <c r="AX1319" s="215"/>
      <c r="AY1319" s="215"/>
      <c r="AZ1319" s="215"/>
      <c r="BA1319" s="215"/>
      <c r="BB1319" s="215"/>
      <c r="BC1319" s="215"/>
      <c r="BD1319" s="215"/>
      <c r="BE1319" s="215"/>
      <c r="BF1319" s="215"/>
      <c r="BG1319" s="215"/>
      <c r="BH1319" s="215"/>
      <c r="BI1319" s="215"/>
      <c r="BJ1319" s="215"/>
      <c r="BK1319" s="215"/>
      <c r="BL1319" s="215"/>
      <c r="BM1319" s="215"/>
      <c r="BN1319" s="215"/>
      <c r="BO1319" s="215"/>
      <c r="BP1319" s="215"/>
      <c r="BQ1319" s="215"/>
      <c r="BR1319" s="215"/>
      <c r="BS1319" s="215"/>
      <c r="BT1319" s="215"/>
      <c r="BU1319" s="215"/>
      <c r="BV1319" s="215"/>
      <c r="BW1319" s="215"/>
      <c r="BX1319" s="215"/>
      <c r="BY1319" s="215"/>
      <c r="BZ1319" s="215"/>
    </row>
    <row r="1320" spans="1:78" x14ac:dyDescent="0.2">
      <c r="A1320" s="53" t="str">
        <f>'Language Index'!A764</f>
        <v>EBITDA (%)</v>
      </c>
      <c r="B1320" s="17"/>
      <c r="C1320" s="17"/>
      <c r="D1320" s="18">
        <f>_xll.ciqfunctions.udf.CIQ($C$2,  "IQ_EBITDA_3YR_ANN_CAGR", D$6,$F$2)</f>
        <v>-8.7310999999999996</v>
      </c>
      <c r="E1320" s="18">
        <f>_xll.ciqfunctions.udf.CIQ($C$2,  "IQ_EBITDA_3YR_ANN_CAGR", E$6,$F$2)</f>
        <v>-8.9655000000000005</v>
      </c>
      <c r="F1320" s="18">
        <f>_xll.ciqfunctions.udf.CIQ($C$2,  "IQ_EBITDA_3YR_ANN_CAGR", F$6,$F$2)</f>
        <v>2.5747</v>
      </c>
      <c r="G1320" s="18">
        <f>_xll.ciqfunctions.udf.CIQ($C$2,  "IQ_EBITDA_3YR_ANN_CAGR", G$6,$F$2)</f>
        <v>1.6514</v>
      </c>
      <c r="H1320" s="18">
        <f>_xll.ciqfunctions.udf.CIQ($C$2,  "IQ_EBITDA_3YR_ANN_CAGR", H$6,$F$2)</f>
        <v>3.7115</v>
      </c>
      <c r="I1320" s="18">
        <f>_xll.ciqfunctions.udf.CIQ($C$2,  "IQ_EBITDA_3YR_ANN_CAGR", I$6,$F$2)</f>
        <v>8.1175999999999995</v>
      </c>
      <c r="J1320" s="18">
        <f>_xll.ciqfunctions.udf.CIQ($C$2,  "IQ_EBITDA_3YR_ANN_CAGR", J$6,$F$2)</f>
        <v>4.4474999999999998</v>
      </c>
      <c r="K1320" s="18">
        <f>_xll.ciqfunctions.udf.CIQ($C$2,  "IQ_EBITDA_3YR_ANN_CAGR", K$6,$F$2)</f>
        <v>3.0905</v>
      </c>
      <c r="L1320" s="18">
        <f>_xll.ciqfunctions.udf.CIQ($C$2,  "IQ_EBITDA_3YR_ANN_CAGR", L$6,$F$2)</f>
        <v>5.2664999999999997</v>
      </c>
      <c r="M1320" s="18">
        <f>_xll.ciqfunctions.udf.CIQ($C$2,  "IQ_EBITDA_3YR_ANN_CAGR", M$6,$F$2)</f>
        <v>7.7952000000000004</v>
      </c>
      <c r="N1320" s="18">
        <f>_xll.ciqfunctions.udf.CIQ($C$2,  "IQ_EBITDA_3YR_ANN_CAGR", N$6,$F$2)</f>
        <v>14.366300000000001</v>
      </c>
      <c r="O1320" s="18"/>
      <c r="P1320" s="18">
        <f>_xll.ciqfunctions.udf.CIQ($C$2,  "IQ_EBITDA_3YR_ANN_CAGR", P$6,$F$2)</f>
        <v>14.366300000000001</v>
      </c>
      <c r="Q1320" s="215"/>
      <c r="R1320" s="215"/>
      <c r="S1320" s="215"/>
      <c r="T1320" s="215"/>
      <c r="U1320" s="215"/>
      <c r="V1320" s="215"/>
      <c r="W1320" s="215"/>
      <c r="X1320" s="215"/>
      <c r="Y1320" s="215"/>
      <c r="Z1320" s="215"/>
      <c r="AA1320" s="215"/>
      <c r="AB1320" s="215"/>
      <c r="AC1320" s="215"/>
      <c r="AD1320" s="215"/>
      <c r="AE1320" s="215"/>
      <c r="AF1320" s="215"/>
      <c r="AG1320" s="215"/>
      <c r="AH1320" s="215"/>
      <c r="AI1320" s="215"/>
      <c r="AJ1320" s="215"/>
      <c r="AK1320" s="215"/>
      <c r="AL1320" s="215"/>
      <c r="AM1320" s="215"/>
      <c r="AN1320" s="215"/>
      <c r="AO1320" s="215"/>
      <c r="AP1320" s="215"/>
      <c r="AQ1320" s="215"/>
      <c r="AR1320" s="215"/>
      <c r="AS1320" s="215"/>
      <c r="AT1320" s="215"/>
      <c r="AU1320" s="215"/>
      <c r="AV1320" s="215"/>
      <c r="AW1320" s="215"/>
      <c r="AX1320" s="215"/>
      <c r="AY1320" s="215"/>
      <c r="AZ1320" s="215"/>
      <c r="BA1320" s="215"/>
      <c r="BB1320" s="215"/>
      <c r="BC1320" s="215"/>
      <c r="BD1320" s="215"/>
      <c r="BE1320" s="215"/>
      <c r="BF1320" s="215"/>
      <c r="BG1320" s="215"/>
      <c r="BH1320" s="215"/>
      <c r="BI1320" s="215"/>
      <c r="BJ1320" s="215"/>
      <c r="BK1320" s="215"/>
      <c r="BL1320" s="215"/>
      <c r="BM1320" s="215"/>
      <c r="BN1320" s="215"/>
      <c r="BO1320" s="215"/>
      <c r="BP1320" s="215"/>
      <c r="BQ1320" s="215"/>
      <c r="BR1320" s="215"/>
      <c r="BS1320" s="215"/>
      <c r="BT1320" s="215"/>
      <c r="BU1320" s="215"/>
      <c r="BV1320" s="215"/>
      <c r="BW1320" s="215"/>
      <c r="BX1320" s="215"/>
      <c r="BY1320" s="215"/>
      <c r="BZ1320" s="215"/>
    </row>
    <row r="1321" spans="1:78" x14ac:dyDescent="0.2">
      <c r="A1321" s="53" t="str">
        <f>'Language Index'!A765</f>
        <v>EBIT (%)</v>
      </c>
      <c r="B1321" s="17"/>
      <c r="C1321" s="17"/>
      <c r="D1321" s="18">
        <f>_xll.ciqfunctions.udf.CIQ($C$2, "IQ_EBIT_3YR_ANN_CAGR", D$6,$F$2)</f>
        <v>-1.5327999999999999</v>
      </c>
      <c r="E1321" s="18">
        <f>_xll.ciqfunctions.udf.CIQ($C$2, "IQ_EBIT_3YR_ANN_CAGR", E$6,$F$2)</f>
        <v>0.8841</v>
      </c>
      <c r="F1321" s="18">
        <f>_xll.ciqfunctions.udf.CIQ($C$2, "IQ_EBIT_3YR_ANN_CAGR", F$6,$F$2)</f>
        <v>26.427499999999998</v>
      </c>
      <c r="G1321" s="18">
        <f>_xll.ciqfunctions.udf.CIQ($C$2, "IQ_EBIT_3YR_ANN_CAGR", G$6,$F$2)</f>
        <v>23.157399999999999</v>
      </c>
      <c r="H1321" s="18">
        <f>_xll.ciqfunctions.udf.CIQ($C$2, "IQ_EBIT_3YR_ANN_CAGR", H$6,$F$2)</f>
        <v>28.790299999999998</v>
      </c>
      <c r="I1321" s="18">
        <f>_xll.ciqfunctions.udf.CIQ($C$2, "IQ_EBIT_3YR_ANN_CAGR", I$6,$F$2)</f>
        <v>40.651499999999999</v>
      </c>
      <c r="J1321" s="18">
        <f>_xll.ciqfunctions.udf.CIQ($C$2, "IQ_EBIT_3YR_ANN_CAGR", J$6,$F$2)</f>
        <v>20.58</v>
      </c>
      <c r="K1321" s="18">
        <f>_xll.ciqfunctions.udf.CIQ($C$2, "IQ_EBIT_3YR_ANN_CAGR", K$6,$F$2)</f>
        <v>18.218599999999999</v>
      </c>
      <c r="L1321" s="18">
        <f>_xll.ciqfunctions.udf.CIQ($C$2, "IQ_EBIT_3YR_ANN_CAGR", L$6,$F$2)</f>
        <v>18.156400000000001</v>
      </c>
      <c r="M1321" s="18">
        <f>_xll.ciqfunctions.udf.CIQ($C$2, "IQ_EBIT_3YR_ANN_CAGR", M$6,$F$2)</f>
        <v>18.317399999999999</v>
      </c>
      <c r="N1321" s="18">
        <f>_xll.ciqfunctions.udf.CIQ($C$2, "IQ_EBIT_3YR_ANN_CAGR", N$6,$F$2)</f>
        <v>18.667100000000001</v>
      </c>
      <c r="O1321" s="18"/>
      <c r="P1321" s="18">
        <f>_xll.ciqfunctions.udf.CIQ($C$2, "IQ_EBIT_3YR_ANN_CAGR", P$6,$F$2)</f>
        <v>18.667100000000001</v>
      </c>
      <c r="Q1321" s="215"/>
      <c r="R1321" s="215"/>
      <c r="S1321" s="215"/>
      <c r="T1321" s="215"/>
      <c r="U1321" s="215"/>
      <c r="V1321" s="215"/>
      <c r="W1321" s="215"/>
      <c r="X1321" s="215"/>
      <c r="Y1321" s="215"/>
      <c r="Z1321" s="215"/>
      <c r="AA1321" s="215"/>
      <c r="AB1321" s="215"/>
      <c r="AC1321" s="215"/>
      <c r="AD1321" s="215"/>
      <c r="AE1321" s="215"/>
      <c r="AF1321" s="215"/>
      <c r="AG1321" s="215"/>
      <c r="AH1321" s="215"/>
      <c r="AI1321" s="215"/>
      <c r="AJ1321" s="215"/>
      <c r="AK1321" s="215"/>
      <c r="AL1321" s="215"/>
      <c r="AM1321" s="215"/>
      <c r="AN1321" s="215"/>
      <c r="AO1321" s="215"/>
      <c r="AP1321" s="215"/>
      <c r="AQ1321" s="215"/>
      <c r="AR1321" s="215"/>
      <c r="AS1321" s="215"/>
      <c r="AT1321" s="215"/>
      <c r="AU1321" s="215"/>
      <c r="AV1321" s="215"/>
      <c r="AW1321" s="215"/>
      <c r="AX1321" s="215"/>
      <c r="AY1321" s="215"/>
      <c r="AZ1321" s="215"/>
      <c r="BA1321" s="215"/>
      <c r="BB1321" s="215"/>
      <c r="BC1321" s="215"/>
      <c r="BD1321" s="215"/>
      <c r="BE1321" s="215"/>
      <c r="BF1321" s="215"/>
      <c r="BG1321" s="215"/>
      <c r="BH1321" s="215"/>
      <c r="BI1321" s="215"/>
      <c r="BJ1321" s="215"/>
      <c r="BK1321" s="215"/>
      <c r="BL1321" s="215"/>
      <c r="BM1321" s="215"/>
      <c r="BN1321" s="215"/>
      <c r="BO1321" s="215"/>
      <c r="BP1321" s="215"/>
      <c r="BQ1321" s="215"/>
      <c r="BR1321" s="215"/>
      <c r="BS1321" s="215"/>
      <c r="BT1321" s="215"/>
      <c r="BU1321" s="215"/>
      <c r="BV1321" s="215"/>
      <c r="BW1321" s="215"/>
      <c r="BX1321" s="215"/>
      <c r="BY1321" s="215"/>
      <c r="BZ1321" s="215"/>
    </row>
    <row r="1322" spans="1:78" x14ac:dyDescent="0.2">
      <c r="A1322" s="53" t="str">
        <f>'Language Index'!A766</f>
        <v>Net Income (%)</v>
      </c>
      <c r="B1322" s="17"/>
      <c r="C1322" s="17"/>
      <c r="D1322" s="18">
        <f>_xll.ciqfunctions.udf.CIQ($C$2,  "IQ_NI_3YR_ANN_CAGR", D$6,$F$2)</f>
        <v>-36.4178</v>
      </c>
      <c r="E1322" s="18">
        <f>_xll.ciqfunctions.udf.CIQ($C$2,  "IQ_NI_3YR_ANN_CAGR", E$6,$F$2)</f>
        <v>-4.3166000000000002</v>
      </c>
      <c r="F1322" s="18">
        <f>_xll.ciqfunctions.udf.CIQ($C$2,  "IQ_NI_3YR_ANN_CAGR", F$6,$F$2)</f>
        <v>10.3033</v>
      </c>
      <c r="G1322" s="18">
        <f>_xll.ciqfunctions.udf.CIQ($C$2,  "IQ_NI_3YR_ANN_CAGR", G$6,$F$2)</f>
        <v>15.060499999999999</v>
      </c>
      <c r="H1322" s="18">
        <f>_xll.ciqfunctions.udf.CIQ($C$2,  "IQ_NI_3YR_ANN_CAGR", H$6,$F$2)</f>
        <v>16.4818</v>
      </c>
      <c r="I1322" s="18">
        <f>_xll.ciqfunctions.udf.CIQ($C$2,  "IQ_NI_3YR_ANN_CAGR", I$6,$F$2)</f>
        <v>10.3081</v>
      </c>
      <c r="J1322" s="18">
        <f>_xll.ciqfunctions.udf.CIQ($C$2,  "IQ_NI_3YR_ANN_CAGR", J$6,$F$2)</f>
        <v>1.5993999999999999</v>
      </c>
      <c r="K1322" s="18">
        <f>_xll.ciqfunctions.udf.CIQ($C$2,  "IQ_NI_3YR_ANN_CAGR", K$6,$F$2)</f>
        <v>-0.29070000000000001</v>
      </c>
      <c r="L1322" s="18">
        <f>_xll.ciqfunctions.udf.CIQ($C$2,  "IQ_NI_3YR_ANN_CAGR", L$6,$F$2)</f>
        <v>1.4406000000000001</v>
      </c>
      <c r="M1322" s="18">
        <f>_xll.ciqfunctions.udf.CIQ($C$2,  "IQ_NI_3YR_ANN_CAGR", M$6,$F$2)</f>
        <v>84.353200000000001</v>
      </c>
      <c r="N1322" s="18">
        <f>_xll.ciqfunctions.udf.CIQ($C$2,  "IQ_NI_3YR_ANN_CAGR", N$6,$F$2)</f>
        <v>86.271600000000007</v>
      </c>
      <c r="O1322" s="18"/>
      <c r="P1322" s="18">
        <f>_xll.ciqfunctions.udf.CIQ($C$2,  "IQ_NI_3YR_ANN_CAGR", P$6,$F$2)</f>
        <v>86.271600000000007</v>
      </c>
      <c r="Q1322" s="215"/>
      <c r="R1322" s="215"/>
      <c r="S1322" s="215"/>
      <c r="T1322" s="215"/>
      <c r="U1322" s="215"/>
      <c r="V1322" s="215"/>
      <c r="W1322" s="215"/>
      <c r="X1322" s="215"/>
      <c r="Y1322" s="215"/>
      <c r="Z1322" s="215"/>
      <c r="AA1322" s="215"/>
      <c r="AB1322" s="215"/>
      <c r="AC1322" s="215"/>
      <c r="AD1322" s="215"/>
      <c r="AE1322" s="215"/>
      <c r="AF1322" s="215"/>
      <c r="AG1322" s="215"/>
      <c r="AH1322" s="215"/>
      <c r="AI1322" s="215"/>
      <c r="AJ1322" s="215"/>
      <c r="AK1322" s="215"/>
      <c r="AL1322" s="215"/>
      <c r="AM1322" s="215"/>
      <c r="AN1322" s="215"/>
      <c r="AO1322" s="215"/>
      <c r="AP1322" s="215"/>
      <c r="AQ1322" s="215"/>
      <c r="AR1322" s="215"/>
      <c r="AS1322" s="215"/>
      <c r="AT1322" s="215"/>
      <c r="AU1322" s="215"/>
      <c r="AV1322" s="215"/>
      <c r="AW1322" s="215"/>
      <c r="AX1322" s="215"/>
      <c r="AY1322" s="215"/>
      <c r="AZ1322" s="215"/>
      <c r="BA1322" s="215"/>
      <c r="BB1322" s="215"/>
      <c r="BC1322" s="215"/>
      <c r="BD1322" s="215"/>
      <c r="BE1322" s="215"/>
      <c r="BF1322" s="215"/>
      <c r="BG1322" s="215"/>
      <c r="BH1322" s="215"/>
      <c r="BI1322" s="215"/>
      <c r="BJ1322" s="215"/>
      <c r="BK1322" s="215"/>
      <c r="BL1322" s="215"/>
      <c r="BM1322" s="215"/>
      <c r="BN1322" s="215"/>
      <c r="BO1322" s="215"/>
      <c r="BP1322" s="215"/>
      <c r="BQ1322" s="215"/>
      <c r="BR1322" s="215"/>
      <c r="BS1322" s="215"/>
      <c r="BT1322" s="215"/>
      <c r="BU1322" s="215"/>
      <c r="BV1322" s="215"/>
      <c r="BW1322" s="215"/>
      <c r="BX1322" s="215"/>
      <c r="BY1322" s="215"/>
      <c r="BZ1322" s="215"/>
    </row>
    <row r="1323" spans="1:78" x14ac:dyDescent="0.2">
      <c r="A1323" s="53" t="str">
        <f>'Language Index'!A767</f>
        <v>Diluted EPS before Extra (%)</v>
      </c>
      <c r="B1323" s="17"/>
      <c r="C1323" s="17"/>
      <c r="D1323" s="18">
        <f>_xll.ciqfunctions.udf.CIQ($C$2, "IQ_EPS_3YR_ANN_CAGR", D$6,$F$2)</f>
        <v>-35.515599999999999</v>
      </c>
      <c r="E1323" s="18">
        <f>_xll.ciqfunctions.udf.CIQ($C$2, "IQ_EPS_3YR_ANN_CAGR", E$6,$F$2)</f>
        <v>-4.6104000000000003</v>
      </c>
      <c r="F1323" s="18">
        <f>_xll.ciqfunctions.udf.CIQ($C$2, "IQ_EPS_3YR_ANN_CAGR", F$6,$F$2)</f>
        <v>22.965199999999999</v>
      </c>
      <c r="G1323" s="18">
        <f>_xll.ciqfunctions.udf.CIQ($C$2, "IQ_EPS_3YR_ANN_CAGR", G$6,$F$2)</f>
        <v>35.901200000000003</v>
      </c>
      <c r="H1323" s="18">
        <f>_xll.ciqfunctions.udf.CIQ($C$2, "IQ_EPS_3YR_ANN_CAGR", H$6,$F$2)</f>
        <v>45.771099999999997</v>
      </c>
      <c r="I1323" s="18">
        <f>_xll.ciqfunctions.udf.CIQ($C$2, "IQ_EPS_3YR_ANN_CAGR", I$6,$F$2)</f>
        <v>46.718699999999998</v>
      </c>
      <c r="J1323" s="18">
        <f>_xll.ciqfunctions.udf.CIQ($C$2, "IQ_EPS_3YR_ANN_CAGR", J$6,$F$2)</f>
        <v>7.2092999999999998</v>
      </c>
      <c r="K1323" s="18">
        <f>_xll.ciqfunctions.udf.CIQ($C$2, "IQ_EPS_3YR_ANN_CAGR", K$6,$F$2)</f>
        <v>2.1002999999999998</v>
      </c>
      <c r="L1323" s="18">
        <f>_xll.ciqfunctions.udf.CIQ($C$2, "IQ_EPS_3YR_ANN_CAGR", L$6,$F$2)</f>
        <v>6.3899999999999998E-2</v>
      </c>
      <c r="M1323" s="18">
        <f>_xll.ciqfunctions.udf.CIQ($C$2, "IQ_EPS_3YR_ANN_CAGR", M$6,$F$2)</f>
        <v>76.656700000000001</v>
      </c>
      <c r="N1323" s="18">
        <f>_xll.ciqfunctions.udf.CIQ($C$2, "IQ_EPS_3YR_ANN_CAGR", N$6,$F$2)</f>
        <v>78.7654</v>
      </c>
      <c r="O1323" s="18"/>
      <c r="P1323" s="18">
        <f>_xll.ciqfunctions.udf.CIQ($C$2, "IQ_EPS_3YR_ANN_CAGR", P$6,$F$2)</f>
        <v>78.7654</v>
      </c>
      <c r="Q1323" s="215"/>
      <c r="R1323" s="215"/>
      <c r="S1323" s="215"/>
      <c r="T1323" s="215"/>
      <c r="U1323" s="215"/>
      <c r="V1323" s="215"/>
      <c r="W1323" s="215"/>
      <c r="X1323" s="215"/>
      <c r="Y1323" s="215"/>
      <c r="Z1323" s="215"/>
      <c r="AA1323" s="215"/>
      <c r="AB1323" s="215"/>
      <c r="AC1323" s="215"/>
      <c r="AD1323" s="215"/>
      <c r="AE1323" s="215"/>
      <c r="AF1323" s="215"/>
      <c r="AG1323" s="215"/>
      <c r="AH1323" s="215"/>
      <c r="AI1323" s="215"/>
      <c r="AJ1323" s="215"/>
      <c r="AK1323" s="215"/>
      <c r="AL1323" s="215"/>
      <c r="AM1323" s="215"/>
      <c r="AN1323" s="215"/>
      <c r="AO1323" s="215"/>
      <c r="AP1323" s="215"/>
      <c r="AQ1323" s="215"/>
      <c r="AR1323" s="215"/>
      <c r="AS1323" s="215"/>
      <c r="AT1323" s="215"/>
      <c r="AU1323" s="215"/>
      <c r="AV1323" s="215"/>
      <c r="AW1323" s="215"/>
      <c r="AX1323" s="215"/>
      <c r="AY1323" s="215"/>
      <c r="AZ1323" s="215"/>
      <c r="BA1323" s="215"/>
      <c r="BB1323" s="215"/>
      <c r="BC1323" s="215"/>
      <c r="BD1323" s="215"/>
      <c r="BE1323" s="215"/>
      <c r="BF1323" s="215"/>
      <c r="BG1323" s="215"/>
      <c r="BH1323" s="215"/>
      <c r="BI1323" s="215"/>
      <c r="BJ1323" s="215"/>
      <c r="BK1323" s="215"/>
      <c r="BL1323" s="215"/>
      <c r="BM1323" s="215"/>
      <c r="BN1323" s="215"/>
      <c r="BO1323" s="215"/>
      <c r="BP1323" s="215"/>
      <c r="BQ1323" s="215"/>
      <c r="BR1323" s="215"/>
      <c r="BS1323" s="215"/>
      <c r="BT1323" s="215"/>
      <c r="BU1323" s="215"/>
      <c r="BV1323" s="215"/>
      <c r="BW1323" s="215"/>
      <c r="BX1323" s="215"/>
      <c r="BY1323" s="215"/>
      <c r="BZ1323" s="215"/>
    </row>
    <row r="1324" spans="1:78" x14ac:dyDescent="0.2">
      <c r="A1324" s="2"/>
      <c r="B1324" s="2"/>
      <c r="C1324" s="2"/>
      <c r="D1324" s="60"/>
      <c r="E1324" s="60"/>
      <c r="F1324" s="60"/>
      <c r="G1324" s="60"/>
      <c r="H1324" s="60"/>
      <c r="I1324" s="60"/>
      <c r="J1324" s="60"/>
      <c r="K1324" s="60"/>
      <c r="L1324" s="60"/>
      <c r="M1324" s="60"/>
      <c r="N1324" s="60"/>
      <c r="O1324" s="39"/>
      <c r="P1324" s="60"/>
      <c r="Q1324" s="215"/>
      <c r="R1324" s="215"/>
      <c r="S1324" s="215"/>
      <c r="T1324" s="215"/>
      <c r="U1324" s="215"/>
      <c r="V1324" s="215"/>
      <c r="W1324" s="215"/>
      <c r="X1324" s="215"/>
      <c r="Y1324" s="215"/>
      <c r="Z1324" s="215"/>
      <c r="AA1324" s="215"/>
      <c r="AB1324" s="215"/>
      <c r="AC1324" s="215"/>
      <c r="AD1324" s="215"/>
      <c r="AE1324" s="215"/>
      <c r="AF1324" s="215"/>
      <c r="AG1324" s="215"/>
      <c r="AH1324" s="215"/>
      <c r="AI1324" s="215"/>
      <c r="AJ1324" s="215"/>
      <c r="AK1324" s="215"/>
      <c r="AL1324" s="215"/>
      <c r="AM1324" s="215"/>
      <c r="AN1324" s="215"/>
      <c r="AO1324" s="215"/>
      <c r="AP1324" s="215"/>
      <c r="AQ1324" s="215"/>
      <c r="AR1324" s="215"/>
      <c r="AS1324" s="215"/>
      <c r="AT1324" s="215"/>
      <c r="AU1324" s="215"/>
      <c r="AV1324" s="215"/>
      <c r="AW1324" s="215"/>
      <c r="AX1324" s="215"/>
      <c r="AY1324" s="215"/>
      <c r="AZ1324" s="215"/>
      <c r="BA1324" s="215"/>
      <c r="BB1324" s="215"/>
      <c r="BC1324" s="215"/>
      <c r="BD1324" s="215"/>
      <c r="BE1324" s="215"/>
      <c r="BF1324" s="215"/>
      <c r="BG1324" s="215"/>
      <c r="BH1324" s="215"/>
      <c r="BI1324" s="215"/>
      <c r="BJ1324" s="215"/>
      <c r="BK1324" s="215"/>
      <c r="BL1324" s="215"/>
      <c r="BM1324" s="215"/>
      <c r="BN1324" s="215"/>
      <c r="BO1324" s="215"/>
      <c r="BP1324" s="215"/>
      <c r="BQ1324" s="215"/>
      <c r="BR1324" s="215"/>
      <c r="BS1324" s="215"/>
      <c r="BT1324" s="215"/>
      <c r="BU1324" s="215"/>
      <c r="BV1324" s="215"/>
      <c r="BW1324" s="215"/>
      <c r="BX1324" s="215"/>
      <c r="BY1324" s="215"/>
      <c r="BZ1324" s="215"/>
    </row>
    <row r="1325" spans="1:78" x14ac:dyDescent="0.2">
      <c r="A1325" s="6" t="str">
        <f>'Language Index'!A769</f>
        <v>CAGR (5 YEAR)</v>
      </c>
      <c r="B1325" s="17"/>
      <c r="C1325" s="17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215"/>
      <c r="R1325" s="215"/>
      <c r="S1325" s="215"/>
      <c r="T1325" s="215"/>
      <c r="U1325" s="215"/>
      <c r="V1325" s="215"/>
      <c r="W1325" s="215"/>
      <c r="X1325" s="215"/>
      <c r="Y1325" s="215"/>
      <c r="Z1325" s="215"/>
      <c r="AA1325" s="215"/>
      <c r="AB1325" s="215"/>
      <c r="AC1325" s="215"/>
      <c r="AD1325" s="215"/>
      <c r="AE1325" s="215"/>
      <c r="AF1325" s="215"/>
      <c r="AG1325" s="215"/>
      <c r="AH1325" s="215"/>
      <c r="AI1325" s="215"/>
      <c r="AJ1325" s="215"/>
      <c r="AK1325" s="215"/>
      <c r="AL1325" s="215"/>
      <c r="AM1325" s="215"/>
      <c r="AN1325" s="215"/>
      <c r="AO1325" s="215"/>
      <c r="AP1325" s="215"/>
      <c r="AQ1325" s="215"/>
      <c r="AR1325" s="215"/>
      <c r="AS1325" s="215"/>
      <c r="AT1325" s="215"/>
      <c r="AU1325" s="215"/>
      <c r="AV1325" s="215"/>
      <c r="AW1325" s="215"/>
      <c r="AX1325" s="215"/>
      <c r="AY1325" s="215"/>
      <c r="AZ1325" s="215"/>
      <c r="BA1325" s="215"/>
      <c r="BB1325" s="215"/>
      <c r="BC1325" s="215"/>
      <c r="BD1325" s="215"/>
      <c r="BE1325" s="215"/>
      <c r="BF1325" s="215"/>
      <c r="BG1325" s="215"/>
      <c r="BH1325" s="215"/>
      <c r="BI1325" s="215"/>
      <c r="BJ1325" s="215"/>
      <c r="BK1325" s="215"/>
      <c r="BL1325" s="215"/>
      <c r="BM1325" s="215"/>
      <c r="BN1325" s="215"/>
      <c r="BO1325" s="215"/>
      <c r="BP1325" s="215"/>
      <c r="BQ1325" s="215"/>
      <c r="BR1325" s="215"/>
      <c r="BS1325" s="215"/>
      <c r="BT1325" s="215"/>
      <c r="BU1325" s="215"/>
      <c r="BV1325" s="215"/>
      <c r="BW1325" s="215"/>
      <c r="BX1325" s="215"/>
      <c r="BY1325" s="215"/>
      <c r="BZ1325" s="215"/>
    </row>
    <row r="1326" spans="1:78" x14ac:dyDescent="0.2">
      <c r="A1326" s="53" t="str">
        <f>'Language Index'!A762</f>
        <v>Total Revenue (%)</v>
      </c>
      <c r="B1326" s="17"/>
      <c r="C1326" s="17"/>
      <c r="D1326" s="18">
        <f>_xll.ciqfunctions.udf.CIQ($C$2, "IQ_TOTAL_REV_5YR_ANN_CAGR", D$6,$F$2)</f>
        <v>-5.6078999999999999</v>
      </c>
      <c r="E1326" s="18">
        <f>_xll.ciqfunctions.udf.CIQ($C$2, "IQ_TOTAL_REV_5YR_ANN_CAGR", E$6,$F$2)</f>
        <v>-5.3136999999999999</v>
      </c>
      <c r="F1326" s="18">
        <f>_xll.ciqfunctions.udf.CIQ($C$2, "IQ_TOTAL_REV_5YR_ANN_CAGR", F$6,$F$2)</f>
        <v>-4.9156000000000004</v>
      </c>
      <c r="G1326" s="18">
        <f>_xll.ciqfunctions.udf.CIQ($C$2, "IQ_TOTAL_REV_5YR_ANN_CAGR", G$6,$F$2)</f>
        <v>-4.6368999999999998</v>
      </c>
      <c r="H1326" s="18">
        <f>_xll.ciqfunctions.udf.CIQ($C$2, "IQ_TOTAL_REV_5YR_ANN_CAGR", H$6,$F$2)</f>
        <v>-4.3403</v>
      </c>
      <c r="I1326" s="18">
        <f>_xll.ciqfunctions.udf.CIQ($C$2, "IQ_TOTAL_REV_5YR_ANN_CAGR", I$6,$F$2)</f>
        <v>-4.0949999999999998</v>
      </c>
      <c r="J1326" s="18">
        <f>_xll.ciqfunctions.udf.CIQ($C$2, "IQ_TOTAL_REV_5YR_ANN_CAGR", J$6,$F$2)</f>
        <v>1.6881999999999999</v>
      </c>
      <c r="K1326" s="18">
        <f>_xll.ciqfunctions.udf.CIQ($C$2, "IQ_TOTAL_REV_5YR_ANN_CAGR", K$6,$F$2)</f>
        <v>-3.8691</v>
      </c>
      <c r="L1326" s="18">
        <f>_xll.ciqfunctions.udf.CIQ($C$2, "IQ_TOTAL_REV_5YR_ANN_CAGR", L$6,$F$2)</f>
        <v>-3.2381000000000002</v>
      </c>
      <c r="M1326" s="18">
        <f>_xll.ciqfunctions.udf.CIQ($C$2, "IQ_TOTAL_REV_5YR_ANN_CAGR", M$6,$F$2)</f>
        <v>-2.7092999999999998</v>
      </c>
      <c r="N1326" s="18">
        <f>_xll.ciqfunctions.udf.CIQ($C$2, "IQ_TOTAL_REV_5YR_ANN_CAGR", N$6,$F$2)</f>
        <v>4.1239999999999997</v>
      </c>
      <c r="O1326" s="18"/>
      <c r="P1326" s="18">
        <f>_xll.ciqfunctions.udf.CIQ($C$2, "IQ_TOTAL_REV_5YR_ANN_CAGR", P$6,$F$2)</f>
        <v>4.1239999999999997</v>
      </c>
      <c r="Q1326" s="215"/>
      <c r="R1326" s="215"/>
      <c r="S1326" s="215"/>
      <c r="T1326" s="215"/>
      <c r="U1326" s="215"/>
      <c r="V1326" s="215"/>
      <c r="W1326" s="215"/>
      <c r="X1326" s="215"/>
      <c r="Y1326" s="215"/>
      <c r="Z1326" s="215"/>
      <c r="AA1326" s="215"/>
      <c r="AB1326" s="215"/>
      <c r="AC1326" s="215"/>
      <c r="AD1326" s="215"/>
      <c r="AE1326" s="215"/>
      <c r="AF1326" s="215"/>
      <c r="AG1326" s="215"/>
      <c r="AH1326" s="215"/>
      <c r="AI1326" s="215"/>
      <c r="AJ1326" s="215"/>
      <c r="AK1326" s="215"/>
      <c r="AL1326" s="215"/>
      <c r="AM1326" s="215"/>
      <c r="AN1326" s="215"/>
      <c r="AO1326" s="215"/>
      <c r="AP1326" s="215"/>
      <c r="AQ1326" s="215"/>
      <c r="AR1326" s="215"/>
      <c r="AS1326" s="215"/>
      <c r="AT1326" s="215"/>
      <c r="AU1326" s="215"/>
      <c r="AV1326" s="215"/>
      <c r="AW1326" s="215"/>
      <c r="AX1326" s="215"/>
      <c r="AY1326" s="215"/>
      <c r="AZ1326" s="215"/>
      <c r="BA1326" s="215"/>
      <c r="BB1326" s="215"/>
      <c r="BC1326" s="215"/>
      <c r="BD1326" s="215"/>
      <c r="BE1326" s="215"/>
      <c r="BF1326" s="215"/>
      <c r="BG1326" s="215"/>
      <c r="BH1326" s="215"/>
      <c r="BI1326" s="215"/>
      <c r="BJ1326" s="215"/>
      <c r="BK1326" s="215"/>
      <c r="BL1326" s="215"/>
      <c r="BM1326" s="215"/>
      <c r="BN1326" s="215"/>
      <c r="BO1326" s="215"/>
      <c r="BP1326" s="215"/>
      <c r="BQ1326" s="215"/>
      <c r="BR1326" s="215"/>
      <c r="BS1326" s="215"/>
      <c r="BT1326" s="215"/>
      <c r="BU1326" s="215"/>
      <c r="BV1326" s="215"/>
      <c r="BW1326" s="215"/>
      <c r="BX1326" s="215"/>
      <c r="BY1326" s="215"/>
      <c r="BZ1326" s="215"/>
    </row>
    <row r="1327" spans="1:78" x14ac:dyDescent="0.2">
      <c r="A1327" s="53" t="str">
        <f>'Language Index'!A763</f>
        <v>Gross Profit (%)</v>
      </c>
      <c r="B1327" s="17"/>
      <c r="C1327" s="17"/>
      <c r="D1327" s="18">
        <f>_xll.ciqfunctions.udf.CIQ($C$2, "IQ_GP_5YR_ANN_CAGR", D$6,$F$2)</f>
        <v>-2.4702999999999999</v>
      </c>
      <c r="E1327" s="18">
        <f>_xll.ciqfunctions.udf.CIQ($C$2, "IQ_GP_5YR_ANN_CAGR", E$6,$F$2)</f>
        <v>-2.0282</v>
      </c>
      <c r="F1327" s="18">
        <f>_xll.ciqfunctions.udf.CIQ($C$2, "IQ_GP_5YR_ANN_CAGR", F$6,$F$2)</f>
        <v>-1.4704999999999999</v>
      </c>
      <c r="G1327" s="18">
        <f>_xll.ciqfunctions.udf.CIQ($C$2, "IQ_GP_5YR_ANN_CAGR", G$6,$F$2)</f>
        <v>-1.2282</v>
      </c>
      <c r="H1327" s="18">
        <f>_xll.ciqfunctions.udf.CIQ($C$2, "IQ_GP_5YR_ANN_CAGR", H$6,$F$2)</f>
        <v>-0.86990000000000001</v>
      </c>
      <c r="I1327" s="18">
        <f>_xll.ciqfunctions.udf.CIQ($C$2, "IQ_GP_5YR_ANN_CAGR", I$6,$F$2)</f>
        <v>-0.39</v>
      </c>
      <c r="J1327" s="18">
        <f>_xll.ciqfunctions.udf.CIQ($C$2, "IQ_GP_5YR_ANN_CAGR", J$6,$F$2)</f>
        <v>2.4276</v>
      </c>
      <c r="K1327" s="18">
        <f>_xll.ciqfunctions.udf.CIQ($C$2, "IQ_GP_5YR_ANN_CAGR", K$6,$F$2)</f>
        <v>-0.29260000000000003</v>
      </c>
      <c r="L1327" s="18">
        <f>_xll.ciqfunctions.udf.CIQ($C$2, "IQ_GP_5YR_ANN_CAGR", L$6,$F$2)</f>
        <v>0.44579999999999997</v>
      </c>
      <c r="M1327" s="18">
        <f>_xll.ciqfunctions.udf.CIQ($C$2, "IQ_GP_5YR_ANN_CAGR", M$6,$F$2)</f>
        <v>0.8992</v>
      </c>
      <c r="N1327" s="18">
        <f>_xll.ciqfunctions.udf.CIQ($C$2, "IQ_GP_5YR_ANN_CAGR", N$6,$F$2)</f>
        <v>4.9485000000000001</v>
      </c>
      <c r="O1327" s="18"/>
      <c r="P1327" s="18">
        <f>_xll.ciqfunctions.udf.CIQ($C$2, "IQ_GP_5YR_ANN_CAGR", P$6,$F$2)</f>
        <v>4.9485000000000001</v>
      </c>
      <c r="Q1327" s="215"/>
      <c r="R1327" s="215"/>
      <c r="S1327" s="215"/>
      <c r="T1327" s="215"/>
      <c r="U1327" s="215"/>
      <c r="V1327" s="215"/>
      <c r="W1327" s="215"/>
      <c r="X1327" s="215"/>
      <c r="Y1327" s="215"/>
      <c r="Z1327" s="215"/>
      <c r="AA1327" s="215"/>
      <c r="AB1327" s="215"/>
      <c r="AC1327" s="215"/>
      <c r="AD1327" s="215"/>
      <c r="AE1327" s="215"/>
      <c r="AF1327" s="215"/>
      <c r="AG1327" s="215"/>
      <c r="AH1327" s="215"/>
      <c r="AI1327" s="215"/>
      <c r="AJ1327" s="215"/>
      <c r="AK1327" s="215"/>
      <c r="AL1327" s="215"/>
      <c r="AM1327" s="215"/>
      <c r="AN1327" s="215"/>
      <c r="AO1327" s="215"/>
      <c r="AP1327" s="215"/>
      <c r="AQ1327" s="215"/>
      <c r="AR1327" s="215"/>
      <c r="AS1327" s="215"/>
      <c r="AT1327" s="215"/>
      <c r="AU1327" s="215"/>
      <c r="AV1327" s="215"/>
      <c r="AW1327" s="215"/>
      <c r="AX1327" s="215"/>
      <c r="AY1327" s="215"/>
      <c r="AZ1327" s="215"/>
      <c r="BA1327" s="215"/>
      <c r="BB1327" s="215"/>
      <c r="BC1327" s="215"/>
      <c r="BD1327" s="215"/>
      <c r="BE1327" s="215"/>
      <c r="BF1327" s="215"/>
      <c r="BG1327" s="215"/>
      <c r="BH1327" s="215"/>
      <c r="BI1327" s="215"/>
      <c r="BJ1327" s="215"/>
      <c r="BK1327" s="215"/>
      <c r="BL1327" s="215"/>
      <c r="BM1327" s="215"/>
      <c r="BN1327" s="215"/>
      <c r="BO1327" s="215"/>
      <c r="BP1327" s="215"/>
      <c r="BQ1327" s="215"/>
      <c r="BR1327" s="215"/>
      <c r="BS1327" s="215"/>
      <c r="BT1327" s="215"/>
      <c r="BU1327" s="215"/>
      <c r="BV1327" s="215"/>
      <c r="BW1327" s="215"/>
      <c r="BX1327" s="215"/>
      <c r="BY1327" s="215"/>
      <c r="BZ1327" s="215"/>
    </row>
    <row r="1328" spans="1:78" x14ac:dyDescent="0.2">
      <c r="A1328" s="53" t="str">
        <f>'Language Index'!A764</f>
        <v>EBITDA (%)</v>
      </c>
      <c r="B1328" s="17"/>
      <c r="C1328" s="17"/>
      <c r="D1328" s="18">
        <f>_xll.ciqfunctions.udf.CIQ($C$2,  "IQ_EBITDA_5YR_ANN_CAGR", D$6,$F$2)</f>
        <v>-6.1177000000000001</v>
      </c>
      <c r="E1328" s="18">
        <f>_xll.ciqfunctions.udf.CIQ($C$2,  "IQ_EBITDA_5YR_ANN_CAGR", E$6,$F$2)</f>
        <v>-6.9322999999999997</v>
      </c>
      <c r="F1328" s="18">
        <f>_xll.ciqfunctions.udf.CIQ($C$2,  "IQ_EBITDA_5YR_ANN_CAGR", F$6,$F$2)</f>
        <v>-7.0837000000000003</v>
      </c>
      <c r="G1328" s="18">
        <f>_xll.ciqfunctions.udf.CIQ($C$2,  "IQ_EBITDA_5YR_ANN_CAGR", G$6,$F$2)</f>
        <v>-5.8589000000000002</v>
      </c>
      <c r="H1328" s="18">
        <f>_xll.ciqfunctions.udf.CIQ($C$2,  "IQ_EBITDA_5YR_ANN_CAGR", H$6,$F$2)</f>
        <v>-5.8413000000000004</v>
      </c>
      <c r="I1328" s="18">
        <f>_xll.ciqfunctions.udf.CIQ($C$2,  "IQ_EBITDA_5YR_ANN_CAGR", I$6,$F$2)</f>
        <v>-4.7816000000000001</v>
      </c>
      <c r="J1328" s="18">
        <f>_xll.ciqfunctions.udf.CIQ($C$2,  "IQ_EBITDA_5YR_ANN_CAGR", J$6,$F$2)</f>
        <v>-1.0699000000000001</v>
      </c>
      <c r="K1328" s="18">
        <f>_xll.ciqfunctions.udf.CIQ($C$2,  "IQ_EBITDA_5YR_ANN_CAGR", K$6,$F$2)</f>
        <v>-3.6806000000000001</v>
      </c>
      <c r="L1328" s="18">
        <f>_xll.ciqfunctions.udf.CIQ($C$2,  "IQ_EBITDA_5YR_ANN_CAGR", L$6,$F$2)</f>
        <v>-1.8563000000000001</v>
      </c>
      <c r="M1328" s="18">
        <f>_xll.ciqfunctions.udf.CIQ($C$2,  "IQ_EBITDA_5YR_ANN_CAGR", M$6,$F$2)</f>
        <v>-0.84</v>
      </c>
      <c r="N1328" s="18">
        <f>_xll.ciqfunctions.udf.CIQ($C$2,  "IQ_EBITDA_5YR_ANN_CAGR", N$6,$F$2)</f>
        <v>7.2530000000000001</v>
      </c>
      <c r="O1328" s="18"/>
      <c r="P1328" s="18">
        <f>_xll.ciqfunctions.udf.CIQ($C$2,  "IQ_EBITDA_5YR_ANN_CAGR", P$6,$F$2)</f>
        <v>7.2530000000000001</v>
      </c>
      <c r="Q1328" s="215"/>
      <c r="R1328" s="215"/>
      <c r="S1328" s="215"/>
      <c r="T1328" s="215"/>
      <c r="U1328" s="215"/>
      <c r="V1328" s="215"/>
      <c r="W1328" s="215"/>
      <c r="X1328" s="215"/>
      <c r="Y1328" s="215"/>
      <c r="Z1328" s="215"/>
      <c r="AA1328" s="215"/>
      <c r="AB1328" s="215"/>
      <c r="AC1328" s="215"/>
      <c r="AD1328" s="215"/>
      <c r="AE1328" s="215"/>
      <c r="AF1328" s="215"/>
      <c r="AG1328" s="215"/>
      <c r="AH1328" s="215"/>
      <c r="AI1328" s="215"/>
      <c r="AJ1328" s="215"/>
      <c r="AK1328" s="215"/>
      <c r="AL1328" s="215"/>
      <c r="AM1328" s="215"/>
      <c r="AN1328" s="215"/>
      <c r="AO1328" s="215"/>
      <c r="AP1328" s="215"/>
      <c r="AQ1328" s="215"/>
      <c r="AR1328" s="215"/>
      <c r="AS1328" s="215"/>
      <c r="AT1328" s="215"/>
      <c r="AU1328" s="215"/>
      <c r="AV1328" s="215"/>
      <c r="AW1328" s="215"/>
      <c r="AX1328" s="215"/>
      <c r="AY1328" s="215"/>
      <c r="AZ1328" s="215"/>
      <c r="BA1328" s="215"/>
      <c r="BB1328" s="215"/>
      <c r="BC1328" s="215"/>
      <c r="BD1328" s="215"/>
      <c r="BE1328" s="215"/>
      <c r="BF1328" s="215"/>
      <c r="BG1328" s="215"/>
      <c r="BH1328" s="215"/>
      <c r="BI1328" s="215"/>
      <c r="BJ1328" s="215"/>
      <c r="BK1328" s="215"/>
      <c r="BL1328" s="215"/>
      <c r="BM1328" s="215"/>
      <c r="BN1328" s="215"/>
      <c r="BO1328" s="215"/>
      <c r="BP1328" s="215"/>
      <c r="BQ1328" s="215"/>
      <c r="BR1328" s="215"/>
      <c r="BS1328" s="215"/>
      <c r="BT1328" s="215"/>
      <c r="BU1328" s="215"/>
      <c r="BV1328" s="215"/>
      <c r="BW1328" s="215"/>
      <c r="BX1328" s="215"/>
      <c r="BY1328" s="215"/>
      <c r="BZ1328" s="215"/>
    </row>
    <row r="1329" spans="1:78" x14ac:dyDescent="0.2">
      <c r="A1329" s="53" t="str">
        <f>'Language Index'!A765</f>
        <v>EBIT (%)</v>
      </c>
      <c r="B1329" s="17"/>
      <c r="C1329" s="17"/>
      <c r="D1329" s="18">
        <f>_xll.ciqfunctions.udf.CIQ($C$2, "IQ_EBIT_5YR_ANN_CAGR", D$6,$F$2)</f>
        <v>-6.0757000000000003</v>
      </c>
      <c r="E1329" s="18">
        <f>_xll.ciqfunctions.udf.CIQ($C$2, "IQ_EBIT_5YR_ANN_CAGR", E$6,$F$2)</f>
        <v>-5.6744000000000003</v>
      </c>
      <c r="F1329" s="18">
        <f>_xll.ciqfunctions.udf.CIQ($C$2, "IQ_EBIT_5YR_ANN_CAGR", F$6,$F$2)</f>
        <v>-6.5484999999999998</v>
      </c>
      <c r="G1329" s="18">
        <f>_xll.ciqfunctions.udf.CIQ($C$2, "IQ_EBIT_5YR_ANN_CAGR", G$6,$F$2)</f>
        <v>-4.1913</v>
      </c>
      <c r="H1329" s="18">
        <f>_xll.ciqfunctions.udf.CIQ($C$2, "IQ_EBIT_5YR_ANN_CAGR", H$6,$F$2)</f>
        <v>-3.9196</v>
      </c>
      <c r="I1329" s="18">
        <f>_xll.ciqfunctions.udf.CIQ($C$2, "IQ_EBIT_5YR_ANN_CAGR", I$6,$F$2)</f>
        <v>-2.1861000000000002</v>
      </c>
      <c r="J1329" s="18">
        <f>_xll.ciqfunctions.udf.CIQ($C$2, "IQ_EBIT_5YR_ANN_CAGR", J$6,$F$2)</f>
        <v>5.3601000000000001</v>
      </c>
      <c r="K1329" s="18">
        <f>_xll.ciqfunctions.udf.CIQ($C$2, "IQ_EBIT_5YR_ANN_CAGR", K$6,$F$2)</f>
        <v>0.68630000000000002</v>
      </c>
      <c r="L1329" s="18">
        <f>_xll.ciqfunctions.udf.CIQ($C$2, "IQ_EBIT_5YR_ANN_CAGR", L$6,$F$2)</f>
        <v>3.9851999999999999</v>
      </c>
      <c r="M1329" s="18">
        <f>_xll.ciqfunctions.udf.CIQ($C$2, "IQ_EBIT_5YR_ANN_CAGR", M$6,$F$2)</f>
        <v>4.9824000000000002</v>
      </c>
      <c r="N1329" s="18">
        <f>_xll.ciqfunctions.udf.CIQ($C$2, "IQ_EBIT_5YR_ANN_CAGR", N$6,$F$2)</f>
        <v>21.937899999999999</v>
      </c>
      <c r="O1329" s="18"/>
      <c r="P1329" s="18">
        <f>_xll.ciqfunctions.udf.CIQ($C$2, "IQ_EBIT_5YR_ANN_CAGR", P$6,$F$2)</f>
        <v>21.937899999999999</v>
      </c>
      <c r="Q1329" s="215"/>
      <c r="R1329" s="215"/>
      <c r="S1329" s="215"/>
      <c r="T1329" s="215"/>
      <c r="U1329" s="215"/>
      <c r="V1329" s="215"/>
      <c r="W1329" s="215"/>
      <c r="X1329" s="215"/>
      <c r="Y1329" s="215"/>
      <c r="Z1329" s="215"/>
      <c r="AA1329" s="215"/>
      <c r="AB1329" s="215"/>
      <c r="AC1329" s="215"/>
      <c r="AD1329" s="215"/>
      <c r="AE1329" s="215"/>
      <c r="AF1329" s="215"/>
      <c r="AG1329" s="215"/>
      <c r="AH1329" s="215"/>
      <c r="AI1329" s="215"/>
      <c r="AJ1329" s="215"/>
      <c r="AK1329" s="215"/>
      <c r="AL1329" s="215"/>
      <c r="AM1329" s="215"/>
      <c r="AN1329" s="215"/>
      <c r="AO1329" s="215"/>
      <c r="AP1329" s="215"/>
      <c r="AQ1329" s="215"/>
      <c r="AR1329" s="215"/>
      <c r="AS1329" s="215"/>
      <c r="AT1329" s="215"/>
      <c r="AU1329" s="215"/>
      <c r="AV1329" s="215"/>
      <c r="AW1329" s="215"/>
      <c r="AX1329" s="215"/>
      <c r="AY1329" s="215"/>
      <c r="AZ1329" s="215"/>
      <c r="BA1329" s="215"/>
      <c r="BB1329" s="215"/>
      <c r="BC1329" s="215"/>
      <c r="BD1329" s="215"/>
      <c r="BE1329" s="215"/>
      <c r="BF1329" s="215"/>
      <c r="BG1329" s="215"/>
      <c r="BH1329" s="215"/>
      <c r="BI1329" s="215"/>
      <c r="BJ1329" s="215"/>
      <c r="BK1329" s="215"/>
      <c r="BL1329" s="215"/>
      <c r="BM1329" s="215"/>
      <c r="BN1329" s="215"/>
      <c r="BO1329" s="215"/>
      <c r="BP1329" s="215"/>
      <c r="BQ1329" s="215"/>
      <c r="BR1329" s="215"/>
      <c r="BS1329" s="215"/>
      <c r="BT1329" s="215"/>
      <c r="BU1329" s="215"/>
      <c r="BV1329" s="215"/>
      <c r="BW1329" s="215"/>
      <c r="BX1329" s="215"/>
      <c r="BY1329" s="215"/>
      <c r="BZ1329" s="215"/>
    </row>
    <row r="1330" spans="1:78" x14ac:dyDescent="0.2">
      <c r="A1330" s="53" t="str">
        <f>'Language Index'!A766</f>
        <v>Net Income (%)</v>
      </c>
      <c r="B1330" s="17"/>
      <c r="C1330" s="17"/>
      <c r="D1330" s="18">
        <f>_xll.ciqfunctions.udf.CIQ($C$2,  "IQ_NI_5YR_ANN_CAGR", D$6,$F$2)</f>
        <v>-18.849499999999999</v>
      </c>
      <c r="E1330" s="18">
        <f>_xll.ciqfunctions.udf.CIQ($C$2,  "IQ_NI_5YR_ANN_CAGR", E$6,$F$2)</f>
        <v>3.8835000000000002</v>
      </c>
      <c r="F1330" s="18">
        <f>_xll.ciqfunctions.udf.CIQ($C$2,  "IQ_NI_5YR_ANN_CAGR", F$6,$F$2)</f>
        <v>-2.9820000000000002</v>
      </c>
      <c r="G1330" s="18">
        <f>_xll.ciqfunctions.udf.CIQ($C$2,  "IQ_NI_5YR_ANN_CAGR", G$6,$F$2)</f>
        <v>-1.0882000000000001</v>
      </c>
      <c r="H1330" s="18">
        <f>_xll.ciqfunctions.udf.CIQ($C$2,  "IQ_NI_5YR_ANN_CAGR", H$6,$F$2)</f>
        <v>-0.70599999999999996</v>
      </c>
      <c r="I1330" s="18">
        <f>_xll.ciqfunctions.udf.CIQ($C$2,  "IQ_NI_5YR_ANN_CAGR", I$6,$F$2)</f>
        <v>-3.6699000000000002</v>
      </c>
      <c r="J1330" s="18">
        <f>_xll.ciqfunctions.udf.CIQ($C$2,  "IQ_NI_5YR_ANN_CAGR", J$6,$F$2)</f>
        <v>-8.5779999999999994</v>
      </c>
      <c r="K1330" s="18">
        <f>_xll.ciqfunctions.udf.CIQ($C$2,  "IQ_NI_5YR_ANN_CAGR", K$6,$F$2)</f>
        <v>-9.4992999999999999</v>
      </c>
      <c r="L1330" s="18">
        <f>_xll.ciqfunctions.udf.CIQ($C$2,  "IQ_NI_5YR_ANN_CAGR", L$6,$F$2)</f>
        <v>-5.8338000000000001</v>
      </c>
      <c r="M1330" s="18">
        <f>_xll.ciqfunctions.udf.CIQ($C$2,  "IQ_NI_5YR_ANN_CAGR", M$6,$F$2)</f>
        <v>7.6E-3</v>
      </c>
      <c r="N1330" s="18">
        <f>_xll.ciqfunctions.udf.CIQ($C$2,  "IQ_NI_5YR_ANN_CAGR", N$6,$F$2)</f>
        <v>13.6374</v>
      </c>
      <c r="O1330" s="18"/>
      <c r="P1330" s="18">
        <f>_xll.ciqfunctions.udf.CIQ($C$2,  "IQ_NI_5YR_ANN_CAGR", P$6,$F$2)</f>
        <v>13.6374</v>
      </c>
      <c r="Q1330" s="215"/>
      <c r="R1330" s="215"/>
      <c r="S1330" s="215"/>
      <c r="T1330" s="215"/>
      <c r="U1330" s="215"/>
      <c r="V1330" s="215"/>
      <c r="W1330" s="215"/>
      <c r="X1330" s="215"/>
      <c r="Y1330" s="215"/>
      <c r="Z1330" s="215"/>
      <c r="AA1330" s="215"/>
      <c r="AB1330" s="215"/>
      <c r="AC1330" s="215"/>
      <c r="AD1330" s="215"/>
      <c r="AE1330" s="215"/>
      <c r="AF1330" s="215"/>
      <c r="AG1330" s="215"/>
      <c r="AH1330" s="215"/>
      <c r="AI1330" s="215"/>
      <c r="AJ1330" s="215"/>
      <c r="AK1330" s="215"/>
      <c r="AL1330" s="215"/>
      <c r="AM1330" s="215"/>
      <c r="AN1330" s="215"/>
      <c r="AO1330" s="215"/>
      <c r="AP1330" s="215"/>
      <c r="AQ1330" s="215"/>
      <c r="AR1330" s="215"/>
      <c r="AS1330" s="215"/>
      <c r="AT1330" s="215"/>
      <c r="AU1330" s="215"/>
      <c r="AV1330" s="215"/>
      <c r="AW1330" s="215"/>
      <c r="AX1330" s="215"/>
      <c r="AY1330" s="215"/>
      <c r="AZ1330" s="215"/>
      <c r="BA1330" s="215"/>
      <c r="BB1330" s="215"/>
      <c r="BC1330" s="215"/>
      <c r="BD1330" s="215"/>
      <c r="BE1330" s="215"/>
      <c r="BF1330" s="215"/>
      <c r="BG1330" s="215"/>
      <c r="BH1330" s="215"/>
      <c r="BI1330" s="215"/>
      <c r="BJ1330" s="215"/>
      <c r="BK1330" s="215"/>
      <c r="BL1330" s="215"/>
      <c r="BM1330" s="215"/>
      <c r="BN1330" s="215"/>
      <c r="BO1330" s="215"/>
      <c r="BP1330" s="215"/>
      <c r="BQ1330" s="215"/>
      <c r="BR1330" s="215"/>
      <c r="BS1330" s="215"/>
      <c r="BT1330" s="215"/>
      <c r="BU1330" s="215"/>
      <c r="BV1330" s="215"/>
      <c r="BW1330" s="215"/>
      <c r="BX1330" s="215"/>
      <c r="BY1330" s="215"/>
      <c r="BZ1330" s="215"/>
    </row>
    <row r="1331" spans="1:78" x14ac:dyDescent="0.2">
      <c r="A1331" s="53" t="str">
        <f>'Language Index'!A767</f>
        <v>Diluted EPS before Extra (%)</v>
      </c>
      <c r="B1331" s="17"/>
      <c r="C1331" s="17"/>
      <c r="D1331" s="18">
        <f>_xll.ciqfunctions.udf.CIQ($C$2, "IQ_EPS_5YR_ANN_CAGR", D$6,$F$2)</f>
        <v>-17.552099999999999</v>
      </c>
      <c r="E1331" s="18">
        <f>_xll.ciqfunctions.udf.CIQ($C$2, "IQ_EPS_5YR_ANN_CAGR", E$6,$F$2)</f>
        <v>4.3193999999999999</v>
      </c>
      <c r="F1331" s="18">
        <f>_xll.ciqfunctions.udf.CIQ($C$2, "IQ_EPS_5YR_ANN_CAGR", F$6,$F$2)</f>
        <v>-3.0478999999999998</v>
      </c>
      <c r="G1331" s="18">
        <f>_xll.ciqfunctions.udf.CIQ($C$2, "IQ_EPS_5YR_ANN_CAGR", G$6,$F$2)</f>
        <v>-1.5097</v>
      </c>
      <c r="H1331" s="18">
        <f>_xll.ciqfunctions.udf.CIQ($C$2, "IQ_EPS_5YR_ANN_CAGR", H$6,$F$2)</f>
        <v>-1.4585999999999999</v>
      </c>
      <c r="I1331" s="18">
        <f>_xll.ciqfunctions.udf.CIQ($C$2, "IQ_EPS_5YR_ANN_CAGR", I$6,$F$2)</f>
        <v>-4.5258000000000003</v>
      </c>
      <c r="J1331" s="18">
        <f>_xll.ciqfunctions.udf.CIQ($C$2, "IQ_EPS_5YR_ANN_CAGR", J$6,$F$2)</f>
        <v>-4.3051000000000004</v>
      </c>
      <c r="K1331" s="18">
        <f>_xll.ciqfunctions.udf.CIQ($C$2, "IQ_EPS_5YR_ANN_CAGR", K$6,$F$2)</f>
        <v>-10.3522</v>
      </c>
      <c r="L1331" s="18">
        <f>_xll.ciqfunctions.udf.CIQ($C$2, "IQ_EPS_5YR_ANN_CAGR", L$6,$F$2)</f>
        <v>-6.7812999999999999</v>
      </c>
      <c r="M1331" s="18">
        <f>_xll.ciqfunctions.udf.CIQ($C$2, "IQ_EPS_5YR_ANN_CAGR", M$6,$F$2)</f>
        <v>-1.0422</v>
      </c>
      <c r="N1331" s="18">
        <f>_xll.ciqfunctions.udf.CIQ($C$2, "IQ_EPS_5YR_ANN_CAGR", N$6,$F$2)</f>
        <v>20.5077</v>
      </c>
      <c r="O1331" s="18"/>
      <c r="P1331" s="18">
        <f>_xll.ciqfunctions.udf.CIQ($C$2, "IQ_EPS_5YR_ANN_CAGR", P$6,$F$2)</f>
        <v>20.5077</v>
      </c>
      <c r="Q1331" s="215"/>
      <c r="R1331" s="215"/>
      <c r="S1331" s="215"/>
      <c r="T1331" s="215"/>
      <c r="U1331" s="215"/>
      <c r="V1331" s="215"/>
      <c r="W1331" s="215"/>
      <c r="X1331" s="215"/>
      <c r="Y1331" s="215"/>
      <c r="Z1331" s="215"/>
      <c r="AA1331" s="215"/>
      <c r="AB1331" s="215"/>
      <c r="AC1331" s="215"/>
      <c r="AD1331" s="215"/>
      <c r="AE1331" s="215"/>
      <c r="AF1331" s="215"/>
      <c r="AG1331" s="215"/>
      <c r="AH1331" s="215"/>
      <c r="AI1331" s="215"/>
      <c r="AJ1331" s="215"/>
      <c r="AK1331" s="215"/>
      <c r="AL1331" s="215"/>
      <c r="AM1331" s="215"/>
      <c r="AN1331" s="215"/>
      <c r="AO1331" s="215"/>
      <c r="AP1331" s="215"/>
      <c r="AQ1331" s="215"/>
      <c r="AR1331" s="215"/>
      <c r="AS1331" s="215"/>
      <c r="AT1331" s="215"/>
      <c r="AU1331" s="215"/>
      <c r="AV1331" s="215"/>
      <c r="AW1331" s="215"/>
      <c r="AX1331" s="215"/>
      <c r="AY1331" s="215"/>
      <c r="AZ1331" s="215"/>
      <c r="BA1331" s="215"/>
      <c r="BB1331" s="215"/>
      <c r="BC1331" s="215"/>
      <c r="BD1331" s="215"/>
      <c r="BE1331" s="215"/>
      <c r="BF1331" s="215"/>
      <c r="BG1331" s="215"/>
      <c r="BH1331" s="215"/>
      <c r="BI1331" s="215"/>
      <c r="BJ1331" s="215"/>
      <c r="BK1331" s="215"/>
      <c r="BL1331" s="215"/>
      <c r="BM1331" s="215"/>
      <c r="BN1331" s="215"/>
      <c r="BO1331" s="215"/>
      <c r="BP1331" s="215"/>
      <c r="BQ1331" s="215"/>
      <c r="BR1331" s="215"/>
      <c r="BS1331" s="215"/>
      <c r="BT1331" s="215"/>
      <c r="BU1331" s="215"/>
      <c r="BV1331" s="215"/>
      <c r="BW1331" s="215"/>
      <c r="BX1331" s="215"/>
      <c r="BY1331" s="215"/>
      <c r="BZ1331" s="215"/>
    </row>
    <row r="1332" spans="1:78" x14ac:dyDescent="0.2">
      <c r="A1332" s="51"/>
      <c r="B1332" s="2"/>
      <c r="C1332" s="2"/>
      <c r="D1332" s="39"/>
      <c r="E1332" s="39"/>
      <c r="F1332" s="39"/>
      <c r="G1332" s="39"/>
      <c r="H1332" s="39"/>
      <c r="I1332" s="39"/>
      <c r="J1332" s="39"/>
      <c r="K1332" s="39"/>
      <c r="L1332" s="39"/>
      <c r="M1332" s="39"/>
      <c r="N1332" s="39"/>
      <c r="O1332" s="39"/>
      <c r="P1332" s="39"/>
      <c r="Q1332" s="215"/>
      <c r="R1332" s="215"/>
      <c r="S1332" s="215"/>
      <c r="T1332" s="215"/>
      <c r="U1332" s="215"/>
      <c r="V1332" s="215"/>
      <c r="W1332" s="215"/>
      <c r="X1332" s="215"/>
      <c r="Y1332" s="215"/>
      <c r="Z1332" s="215"/>
      <c r="AA1332" s="215"/>
      <c r="AB1332" s="215"/>
      <c r="AC1332" s="215"/>
      <c r="AD1332" s="215"/>
      <c r="AE1332" s="215"/>
      <c r="AF1332" s="215"/>
      <c r="AG1332" s="215"/>
      <c r="AH1332" s="215"/>
      <c r="AI1332" s="215"/>
      <c r="AJ1332" s="215"/>
      <c r="AK1332" s="215"/>
      <c r="AL1332" s="215"/>
      <c r="AM1332" s="215"/>
      <c r="AN1332" s="215"/>
      <c r="AO1332" s="215"/>
      <c r="AP1332" s="215"/>
      <c r="AQ1332" s="215"/>
      <c r="AR1332" s="215"/>
      <c r="AS1332" s="215"/>
      <c r="AT1332" s="215"/>
      <c r="AU1332" s="215"/>
      <c r="AV1332" s="215"/>
      <c r="AW1332" s="215"/>
      <c r="AX1332" s="215"/>
      <c r="AY1332" s="215"/>
      <c r="AZ1332" s="215"/>
      <c r="BA1332" s="215"/>
      <c r="BB1332" s="215"/>
      <c r="BC1332" s="215"/>
      <c r="BD1332" s="215"/>
      <c r="BE1332" s="215"/>
      <c r="BF1332" s="215"/>
      <c r="BG1332" s="215"/>
      <c r="BH1332" s="215"/>
      <c r="BI1332" s="215"/>
      <c r="BJ1332" s="215"/>
      <c r="BK1332" s="215"/>
      <c r="BL1332" s="215"/>
      <c r="BM1332" s="215"/>
      <c r="BN1332" s="215"/>
      <c r="BO1332" s="215"/>
      <c r="BP1332" s="215"/>
      <c r="BQ1332" s="215"/>
      <c r="BR1332" s="215"/>
      <c r="BS1332" s="215"/>
      <c r="BT1332" s="215"/>
      <c r="BU1332" s="215"/>
      <c r="BV1332" s="215"/>
      <c r="BW1332" s="215"/>
      <c r="BX1332" s="215"/>
      <c r="BY1332" s="215"/>
      <c r="BZ1332" s="215"/>
    </row>
    <row r="1333" spans="1:78" x14ac:dyDescent="0.2">
      <c r="A1333" s="42" t="str">
        <f>'Language Index'!A770</f>
        <v>Source: S&amp;P Capital IQ</v>
      </c>
      <c r="B1333" s="2"/>
      <c r="C1333" s="2"/>
      <c r="D1333" s="39"/>
      <c r="E1333" s="39"/>
      <c r="F1333" s="39"/>
      <c r="G1333" s="39"/>
      <c r="H1333" s="39"/>
      <c r="I1333" s="39"/>
      <c r="J1333" s="39"/>
      <c r="K1333" s="39"/>
      <c r="L1333" s="39"/>
      <c r="M1333" s="39"/>
      <c r="N1333" s="39"/>
      <c r="O1333" s="39"/>
      <c r="P1333" s="39"/>
      <c r="Q1333" s="215"/>
      <c r="R1333" s="215"/>
      <c r="S1333" s="215"/>
      <c r="T1333" s="215"/>
      <c r="U1333" s="215"/>
      <c r="V1333" s="215"/>
      <c r="W1333" s="215"/>
      <c r="X1333" s="215"/>
      <c r="Y1333" s="215"/>
      <c r="Z1333" s="215"/>
      <c r="AA1333" s="215"/>
      <c r="AB1333" s="215"/>
      <c r="AC1333" s="215"/>
      <c r="AD1333" s="215"/>
      <c r="AE1333" s="215"/>
      <c r="AF1333" s="215"/>
      <c r="AG1333" s="215"/>
      <c r="AH1333" s="215"/>
      <c r="AI1333" s="215"/>
      <c r="AJ1333" s="215"/>
      <c r="AK1333" s="215"/>
      <c r="AL1333" s="215"/>
      <c r="AM1333" s="215"/>
      <c r="AN1333" s="215"/>
      <c r="AO1333" s="215"/>
      <c r="AP1333" s="215"/>
      <c r="AQ1333" s="215"/>
      <c r="AR1333" s="215"/>
      <c r="AS1333" s="215"/>
      <c r="AT1333" s="215"/>
      <c r="AU1333" s="215"/>
      <c r="AV1333" s="215"/>
      <c r="AW1333" s="215"/>
      <c r="AX1333" s="215"/>
      <c r="AY1333" s="215"/>
      <c r="AZ1333" s="215"/>
      <c r="BA1333" s="215"/>
      <c r="BB1333" s="215"/>
      <c r="BC1333" s="215"/>
      <c r="BD1333" s="215"/>
      <c r="BE1333" s="215"/>
      <c r="BF1333" s="215"/>
      <c r="BG1333" s="215"/>
      <c r="BH1333" s="215"/>
      <c r="BI1333" s="215"/>
      <c r="BJ1333" s="215"/>
      <c r="BK1333" s="215"/>
      <c r="BL1333" s="215"/>
      <c r="BM1333" s="215"/>
      <c r="BN1333" s="215"/>
      <c r="BO1333" s="215"/>
      <c r="BP1333" s="215"/>
      <c r="BQ1333" s="215"/>
      <c r="BR1333" s="215"/>
      <c r="BS1333" s="215"/>
      <c r="BT1333" s="215"/>
      <c r="BU1333" s="215"/>
      <c r="BV1333" s="215"/>
      <c r="BW1333" s="215"/>
      <c r="BX1333" s="215"/>
      <c r="BY1333" s="215"/>
      <c r="BZ1333" s="215"/>
    </row>
    <row r="1334" spans="1:78" ht="29.25" customHeight="1" x14ac:dyDescent="0.2">
      <c r="A1334" s="270" t="str">
        <f>'Language Index'!A771</f>
        <v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v>
      </c>
      <c r="B1334" s="270"/>
      <c r="C1334" s="270"/>
      <c r="D1334" s="270"/>
      <c r="E1334" s="270"/>
      <c r="F1334" s="270"/>
      <c r="G1334" s="270"/>
      <c r="H1334" s="270"/>
      <c r="I1334" s="270"/>
      <c r="J1334" s="270"/>
      <c r="K1334" s="270"/>
      <c r="L1334" s="270"/>
      <c r="M1334" s="270"/>
      <c r="N1334" s="270"/>
      <c r="O1334" s="270"/>
      <c r="P1334" s="270"/>
      <c r="Q1334" s="215"/>
      <c r="R1334" s="215"/>
      <c r="S1334" s="215"/>
      <c r="T1334" s="215"/>
      <c r="U1334" s="215"/>
      <c r="V1334" s="215"/>
      <c r="W1334" s="215"/>
      <c r="X1334" s="215"/>
      <c r="Y1334" s="215"/>
      <c r="Z1334" s="215"/>
      <c r="AA1334" s="215"/>
      <c r="AB1334" s="215"/>
      <c r="AC1334" s="215"/>
      <c r="AD1334" s="215"/>
      <c r="AE1334" s="215"/>
      <c r="AF1334" s="215"/>
      <c r="AG1334" s="215"/>
      <c r="AH1334" s="215"/>
      <c r="AI1334" s="215"/>
      <c r="AJ1334" s="215"/>
      <c r="AK1334" s="215"/>
      <c r="AL1334" s="215"/>
      <c r="AM1334" s="215"/>
      <c r="AN1334" s="215"/>
      <c r="AO1334" s="215"/>
      <c r="AP1334" s="215"/>
      <c r="AQ1334" s="215"/>
      <c r="AR1334" s="215"/>
      <c r="AS1334" s="215"/>
      <c r="AT1334" s="215"/>
      <c r="AU1334" s="215"/>
      <c r="AV1334" s="215"/>
      <c r="AW1334" s="215"/>
      <c r="AX1334" s="215"/>
      <c r="AY1334" s="215"/>
      <c r="AZ1334" s="215"/>
      <c r="BA1334" s="215"/>
      <c r="BB1334" s="215"/>
      <c r="BC1334" s="215"/>
      <c r="BD1334" s="215"/>
      <c r="BE1334" s="215"/>
      <c r="BF1334" s="215"/>
      <c r="BG1334" s="215"/>
      <c r="BH1334" s="215"/>
      <c r="BI1334" s="215"/>
      <c r="BJ1334" s="215"/>
      <c r="BK1334" s="215"/>
      <c r="BL1334" s="215"/>
      <c r="BM1334" s="215"/>
      <c r="BN1334" s="215"/>
      <c r="BO1334" s="215"/>
      <c r="BP1334" s="215"/>
      <c r="BQ1334" s="215"/>
      <c r="BR1334" s="215"/>
      <c r="BS1334" s="215"/>
      <c r="BT1334" s="215"/>
      <c r="BU1334" s="215"/>
      <c r="BV1334" s="215"/>
      <c r="BW1334" s="215"/>
      <c r="BX1334" s="215"/>
      <c r="BY1334" s="215"/>
      <c r="BZ1334" s="215"/>
    </row>
    <row r="1335" spans="1:78" x14ac:dyDescent="0.2">
      <c r="A1335" s="2"/>
      <c r="B1335" s="2"/>
      <c r="C1335" s="2"/>
      <c r="D1335" s="39"/>
      <c r="E1335" s="39"/>
      <c r="F1335" s="39"/>
      <c r="G1335" s="39"/>
      <c r="H1335" s="39"/>
      <c r="I1335" s="39"/>
      <c r="J1335" s="39"/>
      <c r="K1335" s="39"/>
      <c r="L1335" s="39"/>
      <c r="M1335" s="39"/>
      <c r="N1335" s="39"/>
      <c r="O1335" s="39"/>
      <c r="P1335" s="39"/>
      <c r="Q1335" s="215"/>
      <c r="R1335" s="215"/>
      <c r="S1335" s="215"/>
      <c r="T1335" s="215"/>
      <c r="U1335" s="215"/>
      <c r="V1335" s="215"/>
      <c r="W1335" s="215"/>
      <c r="X1335" s="215"/>
      <c r="Y1335" s="215"/>
      <c r="Z1335" s="215"/>
      <c r="AA1335" s="215"/>
      <c r="AB1335" s="215"/>
      <c r="AC1335" s="215"/>
      <c r="AD1335" s="215"/>
      <c r="AE1335" s="215"/>
      <c r="AF1335" s="215"/>
      <c r="AG1335" s="215"/>
      <c r="AH1335" s="215"/>
      <c r="AI1335" s="215"/>
      <c r="AJ1335" s="215"/>
      <c r="AK1335" s="215"/>
      <c r="AL1335" s="215"/>
      <c r="AM1335" s="215"/>
      <c r="AN1335" s="215"/>
      <c r="AO1335" s="215"/>
      <c r="AP1335" s="215"/>
      <c r="AQ1335" s="215"/>
      <c r="AR1335" s="215"/>
      <c r="AS1335" s="215"/>
      <c r="AT1335" s="215"/>
      <c r="AU1335" s="215"/>
      <c r="AV1335" s="215"/>
      <c r="AW1335" s="215"/>
      <c r="AX1335" s="215"/>
      <c r="AY1335" s="215"/>
      <c r="AZ1335" s="215"/>
      <c r="BA1335" s="215"/>
      <c r="BB1335" s="215"/>
      <c r="BC1335" s="215"/>
      <c r="BD1335" s="215"/>
      <c r="BE1335" s="215"/>
      <c r="BF1335" s="215"/>
      <c r="BG1335" s="215"/>
      <c r="BH1335" s="215"/>
      <c r="BI1335" s="215"/>
      <c r="BJ1335" s="215"/>
      <c r="BK1335" s="215"/>
      <c r="BL1335" s="215"/>
      <c r="BM1335" s="215"/>
      <c r="BN1335" s="215"/>
      <c r="BO1335" s="215"/>
      <c r="BP1335" s="215"/>
      <c r="BQ1335" s="215"/>
      <c r="BR1335" s="215"/>
      <c r="BS1335" s="215"/>
      <c r="BT1335" s="215"/>
      <c r="BU1335" s="215"/>
      <c r="BV1335" s="215"/>
      <c r="BW1335" s="215"/>
      <c r="BX1335" s="215"/>
      <c r="BY1335" s="215"/>
      <c r="BZ1335" s="215"/>
    </row>
    <row r="1336" spans="1:78" x14ac:dyDescent="0.2">
      <c r="A1336" s="2"/>
      <c r="B1336" s="2"/>
      <c r="C1336" s="2"/>
      <c r="D1336" s="39"/>
      <c r="E1336" s="39"/>
      <c r="F1336" s="39"/>
      <c r="G1336" s="39"/>
      <c r="H1336" s="39"/>
      <c r="I1336" s="39"/>
      <c r="J1336" s="39"/>
      <c r="K1336" s="39"/>
      <c r="L1336" s="39"/>
      <c r="M1336" s="39"/>
      <c r="N1336" s="39"/>
      <c r="O1336" s="39"/>
      <c r="P1336" s="39"/>
      <c r="Q1336" s="215"/>
      <c r="R1336" s="215"/>
      <c r="S1336" s="215"/>
      <c r="T1336" s="215"/>
      <c r="U1336" s="215"/>
      <c r="V1336" s="215"/>
      <c r="W1336" s="215"/>
      <c r="X1336" s="215"/>
      <c r="Y1336" s="215"/>
      <c r="Z1336" s="215"/>
      <c r="AA1336" s="215"/>
      <c r="AB1336" s="215"/>
      <c r="AC1336" s="215"/>
      <c r="AD1336" s="215"/>
      <c r="AE1336" s="215"/>
      <c r="AF1336" s="215"/>
      <c r="AG1336" s="215"/>
      <c r="AH1336" s="215"/>
      <c r="AI1336" s="215"/>
      <c r="AJ1336" s="215"/>
      <c r="AK1336" s="215"/>
      <c r="AL1336" s="215"/>
      <c r="AM1336" s="215"/>
      <c r="AN1336" s="215"/>
      <c r="AO1336" s="215"/>
      <c r="AP1336" s="215"/>
      <c r="AQ1336" s="215"/>
      <c r="AR1336" s="215"/>
      <c r="AS1336" s="215"/>
      <c r="AT1336" s="215"/>
      <c r="AU1336" s="215"/>
      <c r="AV1336" s="215"/>
      <c r="AW1336" s="215"/>
      <c r="AX1336" s="215"/>
      <c r="AY1336" s="215"/>
      <c r="AZ1336" s="215"/>
      <c r="BA1336" s="215"/>
      <c r="BB1336" s="215"/>
      <c r="BC1336" s="215"/>
      <c r="BD1336" s="215"/>
      <c r="BE1336" s="215"/>
      <c r="BF1336" s="215"/>
      <c r="BG1336" s="215"/>
      <c r="BH1336" s="215"/>
      <c r="BI1336" s="215"/>
      <c r="BJ1336" s="215"/>
      <c r="BK1336" s="215"/>
      <c r="BL1336" s="215"/>
      <c r="BM1336" s="215"/>
      <c r="BN1336" s="215"/>
      <c r="BO1336" s="215"/>
      <c r="BP1336" s="215"/>
      <c r="BQ1336" s="215"/>
      <c r="BR1336" s="215"/>
      <c r="BS1336" s="215"/>
      <c r="BT1336" s="215"/>
      <c r="BU1336" s="215"/>
      <c r="BV1336" s="215"/>
      <c r="BW1336" s="215"/>
      <c r="BX1336" s="215"/>
      <c r="BY1336" s="215"/>
      <c r="BZ1336" s="215"/>
    </row>
  </sheetData>
  <mergeCells count="1">
    <mergeCell ref="A1334:P1334"/>
  </mergeCells>
  <phoneticPr fontId="6" type="noConversion"/>
  <printOptions horizontalCentered="1"/>
  <pageMargins left="0.25" right="0.25" top="0.25" bottom="0.25" header="0.25" footer="0.25"/>
  <pageSetup scale="22" orientation="landscape" r:id="rId1"/>
  <headerFooter alignWithMargins="0"/>
  <customProperties>
    <customPr name="Guid" r:id="rId2"/>
  </customPropertie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5" name="Drop Down 1">
              <controlPr defaultSize="0" autoLine="0" autoPict="0">
                <anchor moveWithCells="1">
                  <from>
                    <xdr:col>8</xdr:col>
                    <xdr:colOff>9525</xdr:colOff>
                    <xdr:row>0</xdr:row>
                    <xdr:rowOff>9525</xdr:rowOff>
                  </from>
                  <to>
                    <xdr:col>9</xdr:col>
                    <xdr:colOff>323850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1</xdr:col>
                    <xdr:colOff>133350</xdr:colOff>
                    <xdr:row>2</xdr:row>
                    <xdr:rowOff>19050</xdr:rowOff>
                  </from>
                  <to>
                    <xdr:col>3</xdr:col>
                    <xdr:colOff>19050</xdr:colOff>
                    <xdr:row>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Drop Down 5">
              <controlPr defaultSize="0" autoLine="0" autoPict="0">
                <anchor moveWithCells="1">
                  <from>
                    <xdr:col>1</xdr:col>
                    <xdr:colOff>133350</xdr:colOff>
                    <xdr:row>3</xdr:row>
                    <xdr:rowOff>19050</xdr:rowOff>
                  </from>
                  <to>
                    <xdr:col>3</xdr:col>
                    <xdr:colOff>19050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Drop Down 6">
              <controlPr defaultSize="0" autoLine="0" autoPict="0">
                <anchor moveWithCells="1">
                  <from>
                    <xdr:col>5</xdr:col>
                    <xdr:colOff>38100</xdr:colOff>
                    <xdr:row>3</xdr:row>
                    <xdr:rowOff>38100</xdr:rowOff>
                  </from>
                  <to>
                    <xdr:col>6</xdr:col>
                    <xdr:colOff>342900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163"/>
  <sheetViews>
    <sheetView showGridLines="0" zoomScale="85" zoomScaleNormal="100" zoomScaleSheetLayoutView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RowHeight="12.75" customHeight="1" x14ac:dyDescent="0.2"/>
  <cols>
    <col min="1" max="1" width="16.28515625" customWidth="1"/>
    <col min="2" max="2" width="5.140625" customWidth="1"/>
    <col min="3" max="3" width="13" customWidth="1"/>
    <col min="4" max="14" width="11.7109375" customWidth="1"/>
    <col min="15" max="15" width="1.7109375" customWidth="1"/>
    <col min="16" max="16" width="11.7109375" customWidth="1"/>
    <col min="17" max="17" width="3.85546875" customWidth="1"/>
  </cols>
  <sheetData>
    <row r="1" spans="1:17" ht="5.0999999999999996" customHeight="1" thickBot="1" x14ac:dyDescent="0.25">
      <c r="A1" s="2"/>
      <c r="B1" s="2"/>
      <c r="C1" s="2"/>
      <c r="D1" s="2"/>
      <c r="E1" s="2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5" customHeight="1" x14ac:dyDescent="0.2">
      <c r="A2" s="6" t="str">
        <f>'Language Index'!A8</f>
        <v>Ticker</v>
      </c>
      <c r="B2" s="7"/>
      <c r="C2" s="66" t="str">
        <f>'Financial Statements'!C2</f>
        <v>NYSE:IBM</v>
      </c>
      <c r="D2" s="67"/>
      <c r="E2" s="68" t="str">
        <f>'Language Index'!A11</f>
        <v>Date</v>
      </c>
      <c r="F2" s="69">
        <f>'Financial Statements'!F2</f>
        <v>46087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 customHeight="1" x14ac:dyDescent="0.2">
      <c r="A3" s="6" t="str">
        <f>'Language Index'!A9</f>
        <v>Time Period</v>
      </c>
      <c r="B3" s="2"/>
      <c r="C3" s="70" t="str">
        <f>'Financial Statements'!T2</f>
        <v>Last Twelve Months</v>
      </c>
      <c r="D3" s="71"/>
      <c r="E3" s="68" t="str">
        <f>'Language Index'!A12</f>
        <v>Currency</v>
      </c>
      <c r="F3" s="70" t="str">
        <f>'Financial Statements'!F3</f>
        <v>USD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 customHeight="1" x14ac:dyDescent="0.2">
      <c r="A4" s="6" t="str">
        <f>'Language Index'!A10</f>
        <v>Most Recent on the:</v>
      </c>
      <c r="B4" s="9"/>
      <c r="C4" s="70" t="str">
        <f>'Financial Statements'!Z1</f>
        <v>Right</v>
      </c>
      <c r="D4" s="71"/>
      <c r="E4" s="68" t="str">
        <f>'Language Index'!A13</f>
        <v>Conversion</v>
      </c>
      <c r="F4" s="70" t="str">
        <f>'Financial Statements'!Z2</f>
        <v>Historical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 customHeight="1" x14ac:dyDescent="0.2">
      <c r="A5" s="9"/>
      <c r="B5" s="9"/>
      <c r="C5" s="2"/>
      <c r="D5" s="9"/>
      <c r="E5" s="9"/>
      <c r="F5" s="2"/>
      <c r="G5" s="9"/>
      <c r="H5" s="10"/>
      <c r="I5" s="2"/>
      <c r="J5" s="2"/>
      <c r="K5" s="2"/>
      <c r="L5" s="2"/>
      <c r="M5" s="2"/>
      <c r="N5" s="2"/>
      <c r="O5" s="2"/>
      <c r="P5" s="2"/>
      <c r="Q5" s="2"/>
    </row>
    <row r="6" spans="1:17" ht="5.0999999999999996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3"/>
      <c r="P6" s="12"/>
      <c r="Q6" s="2"/>
    </row>
    <row r="7" spans="1:17" ht="32.1" customHeight="1" x14ac:dyDescent="0.4">
      <c r="A7" s="61" t="str">
        <f>'Financial Statements'!A7</f>
        <v>INTERNATIONAL BUSINESS MACHINES CORPORATION (NYSE:IBM)</v>
      </c>
      <c r="B7" s="62"/>
      <c r="C7" s="62"/>
      <c r="D7" s="63"/>
      <c r="E7" s="63"/>
      <c r="F7" s="63"/>
      <c r="G7" s="63"/>
      <c r="H7" s="63"/>
      <c r="I7" s="63"/>
      <c r="J7" s="63"/>
      <c r="K7" s="63"/>
      <c r="L7" s="63"/>
      <c r="M7" s="62"/>
      <c r="N7" s="62"/>
      <c r="O7" s="62"/>
      <c r="P7" s="62"/>
      <c r="Q7" s="2"/>
    </row>
    <row r="8" spans="1:17" ht="6" customHeight="1" x14ac:dyDescent="0.2">
      <c r="A8" s="13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4"/>
      <c r="P8" s="4"/>
      <c r="Q8" s="2"/>
    </row>
    <row r="9" spans="1:17" ht="12.75" customHeight="1" x14ac:dyDescent="0.2">
      <c r="A9" s="9" t="str">
        <f>UPPER('Language Index'!A28)</f>
        <v>INCOME STATEMENT</v>
      </c>
      <c r="B9" s="1"/>
      <c r="C9" s="1"/>
      <c r="D9" s="14" t="str">
        <f>$C$3&amp; " "&amp;'Language Index'!A31&amp;","</f>
        <v>Last Twelve Months Ended,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4"/>
      <c r="P9" s="14" t="str">
        <f>'Language Index'!A14</f>
        <v>LTM</v>
      </c>
      <c r="Q9" s="2"/>
    </row>
    <row r="10" spans="1:17" ht="12.75" customHeight="1" x14ac:dyDescent="0.2">
      <c r="A10" s="2"/>
      <c r="B10" s="2"/>
      <c r="C10" s="2"/>
      <c r="D10" s="72">
        <f>'Financial Statements'!D$10</f>
        <v>45107</v>
      </c>
      <c r="E10" s="72">
        <f>'Financial Statements'!E$10</f>
        <v>45199</v>
      </c>
      <c r="F10" s="72">
        <f>'Financial Statements'!F$10</f>
        <v>45291</v>
      </c>
      <c r="G10" s="72">
        <f>'Financial Statements'!G$10</f>
        <v>45382</v>
      </c>
      <c r="H10" s="72">
        <f>'Financial Statements'!H$10</f>
        <v>45473</v>
      </c>
      <c r="I10" s="72">
        <f>'Financial Statements'!I$10</f>
        <v>45565</v>
      </c>
      <c r="J10" s="72">
        <f>'Financial Statements'!J$10</f>
        <v>45657</v>
      </c>
      <c r="K10" s="72">
        <f>'Financial Statements'!K$10</f>
        <v>45747</v>
      </c>
      <c r="L10" s="72">
        <f>'Financial Statements'!L$10</f>
        <v>45838</v>
      </c>
      <c r="M10" s="72">
        <f>'Financial Statements'!M$10</f>
        <v>45930</v>
      </c>
      <c r="N10" s="72">
        <f>'Financial Statements'!N$10</f>
        <v>46022</v>
      </c>
      <c r="O10" s="56"/>
      <c r="P10" s="72">
        <f>'Financial Statements'!P$10</f>
        <v>46022</v>
      </c>
      <c r="Q10" s="2"/>
    </row>
    <row r="11" spans="1:17" ht="12.75" customHeight="1" x14ac:dyDescent="0.2">
      <c r="A11" s="16"/>
      <c r="B11" s="16"/>
      <c r="C11" s="1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2.75" customHeight="1" x14ac:dyDescent="0.2">
      <c r="A12" s="2" t="str">
        <f>'Language Index'!A33</f>
        <v>Revenues</v>
      </c>
      <c r="B12" s="17"/>
      <c r="C12" s="17"/>
      <c r="D12" s="73">
        <f>'Financial Statements'!D12/'Financial Statements'!D$19</f>
        <v>0.98797191243287896</v>
      </c>
      <c r="E12" s="73">
        <f>'Financial Statements'!E12/'Financial Statements'!E$19</f>
        <v>0.98793545961321538</v>
      </c>
      <c r="F12" s="73">
        <f>'Financial Statements'!F12/'Financial Statements'!F$19</f>
        <v>0.98808600064662144</v>
      </c>
      <c r="G12" s="73">
        <f>'Financial Statements'!G12/'Financial Statements'!G$19</f>
        <v>0.98817464153375223</v>
      </c>
      <c r="H12" s="73">
        <f>'Financial Statements'!H12/'Financial Statements'!H$19</f>
        <v>0.98845524805182305</v>
      </c>
      <c r="I12" s="73">
        <f>'Financial Statements'!I12/'Financial Statements'!I$19</f>
        <v>0.98860658357302655</v>
      </c>
      <c r="J12" s="73">
        <f>'Financial Statements'!J12/'Financial Statements'!J$19</f>
        <v>0.98870173537520123</v>
      </c>
      <c r="K12" s="73">
        <f>'Financial Statements'!K12/'Financial Statements'!K$19</f>
        <v>0.98874777183600715</v>
      </c>
      <c r="L12" s="73">
        <f>'Financial Statements'!L12/'Financial Statements'!L$19</f>
        <v>0.98899125546533417</v>
      </c>
      <c r="M12" s="73">
        <f>'Financial Statements'!M12/'Financial Statements'!M$19</f>
        <v>0.98893000214060733</v>
      </c>
      <c r="N12" s="73">
        <f>'Financial Statements'!N12/'Financial Statements'!N$19</f>
        <v>0.98910194713852073</v>
      </c>
      <c r="O12" s="60"/>
      <c r="P12" s="73">
        <f>'Financial Statements'!P12/'Financial Statements'!P$19</f>
        <v>0.98910194713852073</v>
      </c>
      <c r="Q12" s="2"/>
    </row>
    <row r="13" spans="1:17" ht="12.75" customHeight="1" x14ac:dyDescent="0.2">
      <c r="A13" s="2" t="str">
        <f>'Language Index'!A34</f>
        <v>Finance Div. Revenues</v>
      </c>
      <c r="B13" s="17"/>
      <c r="C13" s="17"/>
      <c r="D13" s="73">
        <f>'Financial Statements'!D13/'Financial Statements'!D$19</f>
        <v>1.2028087567121024E-2</v>
      </c>
      <c r="E13" s="73">
        <f>'Financial Statements'!E13/'Financial Statements'!E$19</f>
        <v>1.2064540386784587E-2</v>
      </c>
      <c r="F13" s="73">
        <f>'Financial Statements'!F13/'Financial Statements'!F$19</f>
        <v>1.1913999353378597E-2</v>
      </c>
      <c r="G13" s="73">
        <f>'Financial Statements'!G13/'Financial Statements'!G$19</f>
        <v>1.1809247623650716E-2</v>
      </c>
      <c r="H13" s="73">
        <f>'Financial Statements'!H13/'Financial Statements'!H$19</f>
        <v>1.152871757047109E-2</v>
      </c>
      <c r="I13" s="73">
        <f>'Financial Statements'!I13/'Financial Statements'!I$19</f>
        <v>1.1393416426973474E-2</v>
      </c>
      <c r="J13" s="73">
        <f>'Financial Statements'!J13/'Financial Statements'!J$19</f>
        <v>1.1298264624798814E-2</v>
      </c>
      <c r="K13" s="73">
        <f>'Financial Statements'!K13/'Financial Statements'!K$19</f>
        <v>0</v>
      </c>
      <c r="L13" s="73">
        <f>'Financial Statements'!L13/'Financial Statements'!L$19</f>
        <v>1.1008744534665833E-2</v>
      </c>
      <c r="M13" s="73">
        <f>'Financial Statements'!M13/'Financial Statements'!M$19</f>
        <v>1.1069997859392678E-2</v>
      </c>
      <c r="N13" s="73">
        <f>'Financial Statements'!N13/'Financial Statements'!N$19</f>
        <v>1.0912859998519287E-2</v>
      </c>
      <c r="O13" s="60"/>
      <c r="P13" s="73">
        <f>'Financial Statements'!P13/'Financial Statements'!P$19</f>
        <v>1.0912859998519287E-2</v>
      </c>
      <c r="Q13" s="2"/>
    </row>
    <row r="14" spans="1:17" ht="12.75" customHeight="1" x14ac:dyDescent="0.2">
      <c r="A14" s="2" t="str">
        <f>'Language Index'!A35</f>
        <v>Insurance Div. Revenues</v>
      </c>
      <c r="B14" s="17"/>
      <c r="C14" s="17"/>
      <c r="D14" s="73">
        <f>'Financial Statements'!D14/'Financial Statements'!D$19</f>
        <v>0</v>
      </c>
      <c r="E14" s="73">
        <f>'Financial Statements'!E14/'Financial Statements'!E$19</f>
        <v>0</v>
      </c>
      <c r="F14" s="73">
        <f>'Financial Statements'!F14/'Financial Statements'!F$19</f>
        <v>0</v>
      </c>
      <c r="G14" s="73">
        <f>'Financial Statements'!G14/'Financial Statements'!G$19</f>
        <v>0</v>
      </c>
      <c r="H14" s="73">
        <f>'Financial Statements'!H14/'Financial Statements'!H$19</f>
        <v>0</v>
      </c>
      <c r="I14" s="73">
        <f>'Financial Statements'!I14/'Financial Statements'!I$19</f>
        <v>0</v>
      </c>
      <c r="J14" s="73">
        <f>'Financial Statements'!J14/'Financial Statements'!J$19</f>
        <v>0</v>
      </c>
      <c r="K14" s="73">
        <f>'Financial Statements'!K14/'Financial Statements'!K$19</f>
        <v>0</v>
      </c>
      <c r="L14" s="73">
        <f>'Financial Statements'!L14/'Financial Statements'!L$19</f>
        <v>0</v>
      </c>
      <c r="M14" s="73">
        <f>'Financial Statements'!M14/'Financial Statements'!M$19</f>
        <v>0</v>
      </c>
      <c r="N14" s="73">
        <f>'Financial Statements'!N14/'Financial Statements'!N$19</f>
        <v>0</v>
      </c>
      <c r="O14" s="60"/>
      <c r="P14" s="73">
        <f>'Financial Statements'!P14/'Financial Statements'!P$19</f>
        <v>0</v>
      </c>
      <c r="Q14" s="2"/>
    </row>
    <row r="15" spans="1:17" ht="12.75" customHeight="1" x14ac:dyDescent="0.2">
      <c r="A15" s="2" t="str">
        <f>'Language Index'!A36</f>
        <v>Gain/(Loss) on Sale Of Assets (Rev)</v>
      </c>
      <c r="B15" s="17"/>
      <c r="C15" s="17"/>
      <c r="D15" s="73">
        <f>'Financial Statements'!D15/'Financial Statements'!D$19</f>
        <v>0</v>
      </c>
      <c r="E15" s="73">
        <f>'Financial Statements'!E15/'Financial Statements'!E$19</f>
        <v>0</v>
      </c>
      <c r="F15" s="73">
        <f>'Financial Statements'!F15/'Financial Statements'!F$19</f>
        <v>0</v>
      </c>
      <c r="G15" s="73">
        <f>'Financial Statements'!G15/'Financial Statements'!G$19</f>
        <v>0</v>
      </c>
      <c r="H15" s="73">
        <f>'Financial Statements'!H15/'Financial Statements'!H$19</f>
        <v>0</v>
      </c>
      <c r="I15" s="73">
        <f>'Financial Statements'!I15/'Financial Statements'!I$19</f>
        <v>0</v>
      </c>
      <c r="J15" s="73">
        <f>'Financial Statements'!J15/'Financial Statements'!J$19</f>
        <v>0</v>
      </c>
      <c r="K15" s="73">
        <f>'Financial Statements'!K15/'Financial Statements'!K$19</f>
        <v>0</v>
      </c>
      <c r="L15" s="73">
        <f>'Financial Statements'!L15/'Financial Statements'!L$19</f>
        <v>0</v>
      </c>
      <c r="M15" s="73">
        <f>'Financial Statements'!M15/'Financial Statements'!M$19</f>
        <v>0</v>
      </c>
      <c r="N15" s="73">
        <f>'Financial Statements'!N15/'Financial Statements'!N$19</f>
        <v>0</v>
      </c>
      <c r="O15" s="60"/>
      <c r="P15" s="73">
        <f>'Financial Statements'!P15/'Financial Statements'!P$19</f>
        <v>0</v>
      </c>
      <c r="Q15" s="2"/>
    </row>
    <row r="16" spans="1:17" ht="12.75" customHeight="1" x14ac:dyDescent="0.2">
      <c r="A16" s="2" t="str">
        <f>'Language Index'!A37</f>
        <v>Gain/(Loss) on Sale Of Invest.(Rev)</v>
      </c>
      <c r="B16" s="17"/>
      <c r="C16" s="17"/>
      <c r="D16" s="73">
        <f>'Financial Statements'!D16/'Financial Statements'!D$19</f>
        <v>0</v>
      </c>
      <c r="E16" s="73">
        <f>'Financial Statements'!E16/'Financial Statements'!E$19</f>
        <v>0</v>
      </c>
      <c r="F16" s="73">
        <f>'Financial Statements'!F16/'Financial Statements'!F$19</f>
        <v>0</v>
      </c>
      <c r="G16" s="73">
        <f>'Financial Statements'!G16/'Financial Statements'!G$19</f>
        <v>0</v>
      </c>
      <c r="H16" s="73">
        <f>'Financial Statements'!H16/'Financial Statements'!H$19</f>
        <v>0</v>
      </c>
      <c r="I16" s="73">
        <f>'Financial Statements'!I16/'Financial Statements'!I$19</f>
        <v>0</v>
      </c>
      <c r="J16" s="73">
        <f>'Financial Statements'!J16/'Financial Statements'!J$19</f>
        <v>0</v>
      </c>
      <c r="K16" s="73">
        <f>'Financial Statements'!K16/'Financial Statements'!K$19</f>
        <v>0</v>
      </c>
      <c r="L16" s="73">
        <f>'Financial Statements'!L16/'Financial Statements'!L$19</f>
        <v>0</v>
      </c>
      <c r="M16" s="73">
        <f>'Financial Statements'!M16/'Financial Statements'!M$19</f>
        <v>0</v>
      </c>
      <c r="N16" s="73">
        <f>'Financial Statements'!N16/'Financial Statements'!N$19</f>
        <v>0</v>
      </c>
      <c r="O16" s="60"/>
      <c r="P16" s="73">
        <f>'Financial Statements'!P16/'Financial Statements'!P$19</f>
        <v>0</v>
      </c>
      <c r="Q16" s="2"/>
    </row>
    <row r="17" spans="1:17" ht="12.75" customHeight="1" x14ac:dyDescent="0.2">
      <c r="A17" s="2" t="str">
        <f>'Language Index'!A38</f>
        <v>Interest And Invest. Income (Rev)</v>
      </c>
      <c r="B17" s="17"/>
      <c r="C17" s="17"/>
      <c r="D17" s="73">
        <f>'Financial Statements'!D17/'Financial Statements'!D$19</f>
        <v>0</v>
      </c>
      <c r="E17" s="73">
        <f>'Financial Statements'!E17/'Financial Statements'!E$19</f>
        <v>0</v>
      </c>
      <c r="F17" s="73">
        <f>'Financial Statements'!F17/'Financial Statements'!F$19</f>
        <v>0</v>
      </c>
      <c r="G17" s="73">
        <f>'Financial Statements'!G17/'Financial Statements'!G$19</f>
        <v>0</v>
      </c>
      <c r="H17" s="73">
        <f>'Financial Statements'!H17/'Financial Statements'!H$19</f>
        <v>0</v>
      </c>
      <c r="I17" s="73">
        <f>'Financial Statements'!I17/'Financial Statements'!I$19</f>
        <v>0</v>
      </c>
      <c r="J17" s="73">
        <f>'Financial Statements'!J17/'Financial Statements'!J$19</f>
        <v>0</v>
      </c>
      <c r="K17" s="73">
        <f>'Financial Statements'!K17/'Financial Statements'!K$19</f>
        <v>0</v>
      </c>
      <c r="L17" s="73">
        <f>'Financial Statements'!L17/'Financial Statements'!L$19</f>
        <v>0</v>
      </c>
      <c r="M17" s="73">
        <f>'Financial Statements'!M17/'Financial Statements'!M$19</f>
        <v>0</v>
      </c>
      <c r="N17" s="73">
        <f>'Financial Statements'!N17/'Financial Statements'!N$19</f>
        <v>0</v>
      </c>
      <c r="O17" s="60"/>
      <c r="P17" s="73">
        <f>'Financial Statements'!P17/'Financial Statements'!P$19</f>
        <v>0</v>
      </c>
      <c r="Q17" s="2"/>
    </row>
    <row r="18" spans="1:17" ht="12.75" customHeight="1" x14ac:dyDescent="0.2">
      <c r="A18" s="2" t="str">
        <f>'Language Index'!A39</f>
        <v>Other Revenues</v>
      </c>
      <c r="B18" s="17"/>
      <c r="C18" s="17"/>
      <c r="D18" s="73">
        <f>'Financial Statements'!D18/'Financial Statements'!D$19</f>
        <v>0</v>
      </c>
      <c r="E18" s="73">
        <f>'Financial Statements'!E18/'Financial Statements'!E$19</f>
        <v>0</v>
      </c>
      <c r="F18" s="73">
        <f>'Financial Statements'!F18/'Financial Statements'!F$19</f>
        <v>0</v>
      </c>
      <c r="G18" s="73">
        <f>'Financial Statements'!G18/'Financial Statements'!G$19</f>
        <v>1.6110842597067826E-5</v>
      </c>
      <c r="H18" s="73">
        <f>'Financial Statements'!H18/'Financial Statements'!H$19</f>
        <v>1.6034377705801239E-5</v>
      </c>
      <c r="I18" s="73">
        <f>'Financial Statements'!I18/'Financial Statements'!I$19</f>
        <v>0</v>
      </c>
      <c r="J18" s="73">
        <f>'Financial Statements'!J18/'Financial Statements'!J$19</f>
        <v>0</v>
      </c>
      <c r="K18" s="73">
        <f>'Financial Statements'!K18/'Financial Statements'!K$19</f>
        <v>1.1252228163992869E-2</v>
      </c>
      <c r="L18" s="73">
        <f>'Financial Statements'!L18/'Financial Statements'!L$19</f>
        <v>0</v>
      </c>
      <c r="M18" s="73">
        <f>'Financial Statements'!M18/'Financial Statements'!M$19</f>
        <v>0</v>
      </c>
      <c r="N18" s="73">
        <f>'Financial Statements'!N18/'Financial Statements'!N$19</f>
        <v>-1.4807137040053305E-5</v>
      </c>
      <c r="O18" s="60"/>
      <c r="P18" s="73">
        <f>'Financial Statements'!P18/'Financial Statements'!P$19</f>
        <v>-1.4807137040053305E-5</v>
      </c>
      <c r="Q18" s="2"/>
    </row>
    <row r="19" spans="1:17" ht="12.75" customHeight="1" x14ac:dyDescent="0.2">
      <c r="A19" s="20" t="str">
        <f>'Language Index'!A40</f>
        <v>Total Revenues</v>
      </c>
      <c r="B19" s="20"/>
      <c r="C19" s="20"/>
      <c r="D19" s="74">
        <f>'Financial Statements'!D19/'Financial Statements'!D$19</f>
        <v>1</v>
      </c>
      <c r="E19" s="74">
        <f>'Financial Statements'!E19/'Financial Statements'!E$19</f>
        <v>1</v>
      </c>
      <c r="F19" s="74">
        <f>'Financial Statements'!F19/'Financial Statements'!F$19</f>
        <v>1</v>
      </c>
      <c r="G19" s="74">
        <f>'Financial Statements'!G19/'Financial Statements'!G$19</f>
        <v>1</v>
      </c>
      <c r="H19" s="74">
        <f>'Financial Statements'!H19/'Financial Statements'!H$19</f>
        <v>1</v>
      </c>
      <c r="I19" s="74">
        <f>'Financial Statements'!I19/'Financial Statements'!I$19</f>
        <v>1</v>
      </c>
      <c r="J19" s="74">
        <f>'Financial Statements'!J19/'Financial Statements'!J$19</f>
        <v>1</v>
      </c>
      <c r="K19" s="74">
        <f>'Financial Statements'!K19/'Financial Statements'!K$19</f>
        <v>1</v>
      </c>
      <c r="L19" s="74">
        <f>'Financial Statements'!L19/'Financial Statements'!L$19</f>
        <v>1</v>
      </c>
      <c r="M19" s="74">
        <f>'Financial Statements'!M19/'Financial Statements'!M$19</f>
        <v>1</v>
      </c>
      <c r="N19" s="74">
        <f>'Financial Statements'!N19/'Financial Statements'!N$19</f>
        <v>1</v>
      </c>
      <c r="O19" s="75"/>
      <c r="P19" s="74">
        <f>'Financial Statements'!P19/'Financial Statements'!P$19</f>
        <v>1</v>
      </c>
      <c r="Q19" s="76"/>
    </row>
    <row r="20" spans="1:17" ht="12.75" customHeight="1" x14ac:dyDescent="0.2">
      <c r="A20" s="16"/>
      <c r="B20" s="16"/>
      <c r="C20" s="16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60"/>
      <c r="P20" s="73"/>
      <c r="Q20" s="2"/>
    </row>
    <row r="21" spans="1:17" ht="12.75" customHeight="1" x14ac:dyDescent="0.2">
      <c r="A21" s="2" t="str">
        <f>'Language Index'!A41</f>
        <v>Cost Of Goods Sold</v>
      </c>
      <c r="B21" s="17"/>
      <c r="C21" s="17"/>
      <c r="D21" s="73">
        <f>'Financial Statements'!D21/'Financial Statements'!D$19</f>
        <v>0.44672449401073938</v>
      </c>
      <c r="E21" s="73">
        <f>'Financial Statements'!E21/'Financial Statements'!E$19</f>
        <v>0.44328194732798221</v>
      </c>
      <c r="F21" s="73">
        <f>'Financial Statements'!F21/'Financial Statements'!F$19</f>
        <v>0.43934691238279988</v>
      </c>
      <c r="G21" s="73">
        <f>'Financial Statements'!G21/'Financial Statements'!G$19</f>
        <v>0.43766714999194456</v>
      </c>
      <c r="H21" s="73">
        <f>'Financial Statements'!H21/'Financial Statements'!H$19</f>
        <v>0.43323285123304367</v>
      </c>
      <c r="I21" s="73">
        <f>'Financial Statements'!I21/'Financial Statements'!I$19</f>
        <v>0.42881112176414188</v>
      </c>
      <c r="J21" s="73">
        <f>'Financial Statements'!J21/'Financial Statements'!J$19</f>
        <v>0.4275811514987331</v>
      </c>
      <c r="K21" s="73">
        <f>'Financial Statements'!K21/'Financial Statements'!K$19</f>
        <v>0.42363763687293099</v>
      </c>
      <c r="L21" s="73">
        <f>'Financial Statements'!L21/'Financial Statements'!L$19</f>
        <v>0.41841036851967522</v>
      </c>
      <c r="M21" s="73">
        <f>'Financial Statements'!M21/'Financial Statements'!M$19</f>
        <v>0.41593529249870037</v>
      </c>
      <c r="N21" s="73">
        <f>'Financial Statements'!N21/'Financial Statements'!N$19</f>
        <v>0.41217146664692383</v>
      </c>
      <c r="O21" s="60"/>
      <c r="P21" s="73">
        <f>'Financial Statements'!P21/'Financial Statements'!P$19</f>
        <v>0.41217146664692383</v>
      </c>
      <c r="Q21" s="76"/>
    </row>
    <row r="22" spans="1:17" ht="12.75" customHeight="1" x14ac:dyDescent="0.2">
      <c r="A22" s="2" t="str">
        <f>'Language Index'!A42</f>
        <v>Finance Div. Operating Exp.</v>
      </c>
      <c r="B22" s="17"/>
      <c r="C22" s="17"/>
      <c r="D22" s="73">
        <f>'Financial Statements'!D22/'Financial Statements'!D$19</f>
        <v>6.8566707971912432E-3</v>
      </c>
      <c r="E22" s="73">
        <f>'Financial Statements'!E22/'Financial Statements'!E$19</f>
        <v>6.3592225073972964E-3</v>
      </c>
      <c r="F22" s="73">
        <f>'Financial Statements'!F22/'Financial Statements'!F$19</f>
        <v>6.1752344002586482E-3</v>
      </c>
      <c r="G22" s="73">
        <f>'Financial Statements'!G22/'Financial Statements'!G$19</f>
        <v>5.9771226035121635E-3</v>
      </c>
      <c r="H22" s="73">
        <f>'Financial Statements'!H22/'Financial Statements'!H$19</f>
        <v>5.8525478626174519E-3</v>
      </c>
      <c r="I22" s="73">
        <f>'Financial Statements'!I22/'Financial Statements'!I$19</f>
        <v>5.8485139022051774E-3</v>
      </c>
      <c r="J22" s="73">
        <f>'Financial Statements'!J22/'Financial Statements'!J$19</f>
        <v>5.8801969626950104E-3</v>
      </c>
      <c r="K22" s="73">
        <f>'Financial Statements'!K22/'Financial Statements'!K$19</f>
        <v>5.9523809523809521E-3</v>
      </c>
      <c r="L22" s="73">
        <f>'Financial Statements'!L22/'Financial Statements'!L$19</f>
        <v>5.8869456589631481E-3</v>
      </c>
      <c r="M22" s="73">
        <f>'Financial Statements'!M22/'Financial Statements'!M$19</f>
        <v>5.9784104461637257E-3</v>
      </c>
      <c r="N22" s="73">
        <f>'Financial Statements'!N22/'Financial Statements'!N$19</f>
        <v>5.9672762271414824E-3</v>
      </c>
      <c r="O22" s="60"/>
      <c r="P22" s="73">
        <f>'Financial Statements'!P22/'Financial Statements'!P$19</f>
        <v>5.9672762271414824E-3</v>
      </c>
      <c r="Q22" s="2"/>
    </row>
    <row r="23" spans="1:17" ht="12.75" customHeight="1" x14ac:dyDescent="0.2">
      <c r="A23" s="2" t="str">
        <f>'Language Index'!A43</f>
        <v>Insurance Div. Operating Exp.</v>
      </c>
      <c r="B23" s="17"/>
      <c r="C23" s="17"/>
      <c r="D23" s="73">
        <f>'Financial Statements'!D23/'Financial Statements'!D$19</f>
        <v>0</v>
      </c>
      <c r="E23" s="73">
        <f>'Financial Statements'!E23/'Financial Statements'!E$19</f>
        <v>0</v>
      </c>
      <c r="F23" s="73">
        <f>'Financial Statements'!F23/'Financial Statements'!F$19</f>
        <v>0</v>
      </c>
      <c r="G23" s="73">
        <f>'Financial Statements'!G23/'Financial Statements'!G$19</f>
        <v>0</v>
      </c>
      <c r="H23" s="73">
        <f>'Financial Statements'!H23/'Financial Statements'!H$19</f>
        <v>0</v>
      </c>
      <c r="I23" s="73">
        <f>'Financial Statements'!I23/'Financial Statements'!I$19</f>
        <v>0</v>
      </c>
      <c r="J23" s="73">
        <f>'Financial Statements'!J23/'Financial Statements'!J$19</f>
        <v>0</v>
      </c>
      <c r="K23" s="73">
        <f>'Financial Statements'!K23/'Financial Statements'!K$19</f>
        <v>0</v>
      </c>
      <c r="L23" s="73">
        <f>'Financial Statements'!L23/'Financial Statements'!L$19</f>
        <v>0</v>
      </c>
      <c r="M23" s="73">
        <f>'Financial Statements'!M23/'Financial Statements'!M$19</f>
        <v>0</v>
      </c>
      <c r="N23" s="73">
        <f>'Financial Statements'!N23/'Financial Statements'!N$19</f>
        <v>0</v>
      </c>
      <c r="O23" s="60"/>
      <c r="P23" s="73">
        <f>'Financial Statements'!P23/'Financial Statements'!P$19</f>
        <v>0</v>
      </c>
      <c r="Q23" s="2"/>
    </row>
    <row r="24" spans="1:17" ht="12.75" customHeight="1" x14ac:dyDescent="0.2">
      <c r="A24" s="2" t="str">
        <f>'Language Index'!A44</f>
        <v>Interest Expense - Finance Division</v>
      </c>
      <c r="B24" s="17"/>
      <c r="C24" s="17"/>
      <c r="D24" s="73">
        <f>'Financial Statements'!D24/'Financial Statements'!D$19</f>
        <v>0</v>
      </c>
      <c r="E24" s="73">
        <f>'Financial Statements'!E24/'Financial Statements'!E$19</f>
        <v>0</v>
      </c>
      <c r="F24" s="73">
        <f>'Financial Statements'!F24/'Financial Statements'!F$19</f>
        <v>0</v>
      </c>
      <c r="G24" s="73">
        <f>'Financial Statements'!G24/'Financial Statements'!G$19</f>
        <v>0</v>
      </c>
      <c r="H24" s="73">
        <f>'Financial Statements'!H24/'Financial Statements'!H$19</f>
        <v>0</v>
      </c>
      <c r="I24" s="73">
        <f>'Financial Statements'!I24/'Financial Statements'!I$19</f>
        <v>0</v>
      </c>
      <c r="J24" s="73">
        <f>'Financial Statements'!J24/'Financial Statements'!J$19</f>
        <v>0</v>
      </c>
      <c r="K24" s="73">
        <f>'Financial Statements'!K24/'Financial Statements'!K$19</f>
        <v>0</v>
      </c>
      <c r="L24" s="73">
        <f>'Financial Statements'!L24/'Financial Statements'!L$19</f>
        <v>0</v>
      </c>
      <c r="M24" s="73">
        <f>'Financial Statements'!M24/'Financial Statements'!M$19</f>
        <v>0</v>
      </c>
      <c r="N24" s="73">
        <f>'Financial Statements'!N24/'Financial Statements'!N$19</f>
        <v>0</v>
      </c>
      <c r="O24" s="60"/>
      <c r="P24" s="73">
        <f>'Financial Statements'!P24/'Financial Statements'!P$19</f>
        <v>0</v>
      </c>
      <c r="Q24" s="2"/>
    </row>
    <row r="25" spans="1:17" ht="12.75" customHeight="1" x14ac:dyDescent="0.2">
      <c r="A25" s="20" t="str">
        <f>'Language Index'!A45</f>
        <v>Gross Profit</v>
      </c>
      <c r="B25" s="20"/>
      <c r="C25" s="20"/>
      <c r="D25" s="74">
        <f>'Financial Statements'!D25/'Financial Statements'!D$19</f>
        <v>0.54641883519206935</v>
      </c>
      <c r="E25" s="74">
        <f>'Financial Statements'!E25/'Financial Statements'!E$19</f>
        <v>0.5503588301646205</v>
      </c>
      <c r="F25" s="74">
        <f>'Financial Statements'!F25/'Financial Statements'!F$19</f>
        <v>0.55447785321694143</v>
      </c>
      <c r="G25" s="74">
        <f>'Financial Statements'!G25/'Financial Statements'!G$19</f>
        <v>0.55635572740454331</v>
      </c>
      <c r="H25" s="74">
        <f>'Financial Statements'!H25/'Financial Statements'!H$19</f>
        <v>0.56091460090433887</v>
      </c>
      <c r="I25" s="74">
        <f>'Financial Statements'!I25/'Financial Statements'!I$19</f>
        <v>0.56534036433365298</v>
      </c>
      <c r="J25" s="74">
        <f>'Financial Statements'!J25/'Financial Statements'!J$19</f>
        <v>0.56653865153857186</v>
      </c>
      <c r="K25" s="74">
        <f>'Financial Statements'!K25/'Financial Statements'!K$19</f>
        <v>0.57040998217468808</v>
      </c>
      <c r="L25" s="74">
        <f>'Financial Statements'!L25/'Financial Statements'!L$19</f>
        <v>0.57570268582136164</v>
      </c>
      <c r="M25" s="74">
        <f>'Financial Statements'!M25/'Financial Statements'!M$19</f>
        <v>0.57808629705513592</v>
      </c>
      <c r="N25" s="74">
        <f>'Financial Statements'!N25/'Financial Statements'!N$19</f>
        <v>0.58186125712593473</v>
      </c>
      <c r="O25" s="75"/>
      <c r="P25" s="74">
        <f>'Financial Statements'!P25/'Financial Statements'!P$19</f>
        <v>0.58186125712593473</v>
      </c>
      <c r="Q25" s="76"/>
    </row>
    <row r="26" spans="1:17" ht="12.75" customHeight="1" x14ac:dyDescent="0.2">
      <c r="A26" s="16"/>
      <c r="B26" s="16"/>
      <c r="C26" s="16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60"/>
      <c r="P26" s="73"/>
      <c r="Q26" s="2"/>
    </row>
    <row r="27" spans="1:17" ht="12.75" customHeight="1" x14ac:dyDescent="0.2">
      <c r="A27" s="2" t="str">
        <f>'Language Index'!A46</f>
        <v>Selling General &amp; Admin Exp.</v>
      </c>
      <c r="B27" s="17"/>
      <c r="C27" s="17"/>
      <c r="D27" s="73">
        <f>'Financial Statements'!D27/'Financial Statements'!D$19</f>
        <v>0.30990499793473769</v>
      </c>
      <c r="E27" s="73">
        <f>'Financial Statements'!E27/'Financial Statements'!E$19</f>
        <v>0.30404930440895195</v>
      </c>
      <c r="F27" s="73">
        <f>'Financial Statements'!F27/'Financial Statements'!F$19</f>
        <v>0.30656320724215974</v>
      </c>
      <c r="G27" s="73">
        <f>'Financial Statements'!G27/'Financial Statements'!G$19</f>
        <v>0.29935556629611726</v>
      </c>
      <c r="H27" s="73">
        <f>'Financial Statements'!H27/'Financial Statements'!H$19</f>
        <v>0.30143026649135746</v>
      </c>
      <c r="I27" s="73">
        <f>'Financial Statements'!I27/'Financial Statements'!I$19</f>
        <v>0.30487376158517099</v>
      </c>
      <c r="J27" s="73">
        <f>'Financial Statements'!J27/'Financial Statements'!J$19</f>
        <v>0.30725224292065717</v>
      </c>
      <c r="K27" s="73">
        <f>'Financial Statements'!K27/'Financial Statements'!K$19</f>
        <v>0.30447860962566847</v>
      </c>
      <c r="L27" s="73">
        <f>'Financial Statements'!L27/'Financial Statements'!L$19</f>
        <v>0.29848532167395375</v>
      </c>
      <c r="M27" s="73">
        <f>'Financial Statements'!M27/'Financial Statements'!M$19</f>
        <v>0.29311030243723435</v>
      </c>
      <c r="N27" s="73">
        <f>'Financial Statements'!N27/'Financial Statements'!N$19</f>
        <v>0.28696231583623305</v>
      </c>
      <c r="O27" s="60"/>
      <c r="P27" s="73">
        <f>'Financial Statements'!P27/'Financial Statements'!P$19</f>
        <v>0.28696231583623305</v>
      </c>
      <c r="Q27" s="76"/>
    </row>
    <row r="28" spans="1:17" ht="12.75" customHeight="1" x14ac:dyDescent="0.2">
      <c r="A28" s="2" t="str">
        <f>'Language Index'!A47</f>
        <v>Exploration/Drilling Costs</v>
      </c>
      <c r="B28" s="17"/>
      <c r="C28" s="17"/>
      <c r="D28" s="73">
        <f>'Financial Statements'!D28/'Financial Statements'!D$19</f>
        <v>0</v>
      </c>
      <c r="E28" s="73">
        <f>'Financial Statements'!E28/'Financial Statements'!E$19</f>
        <v>0</v>
      </c>
      <c r="F28" s="73">
        <f>'Financial Statements'!F28/'Financial Statements'!F$19</f>
        <v>0</v>
      </c>
      <c r="G28" s="73">
        <f>'Financial Statements'!G28/'Financial Statements'!G$19</f>
        <v>0</v>
      </c>
      <c r="H28" s="73">
        <f>'Financial Statements'!H28/'Financial Statements'!H$19</f>
        <v>0</v>
      </c>
      <c r="I28" s="73">
        <f>'Financial Statements'!I28/'Financial Statements'!I$19</f>
        <v>0</v>
      </c>
      <c r="J28" s="73">
        <f>'Financial Statements'!J28/'Financial Statements'!J$19</f>
        <v>0</v>
      </c>
      <c r="K28" s="73">
        <f>'Financial Statements'!K28/'Financial Statements'!K$19</f>
        <v>0</v>
      </c>
      <c r="L28" s="73">
        <f>'Financial Statements'!L28/'Financial Statements'!L$19</f>
        <v>0</v>
      </c>
      <c r="M28" s="73">
        <f>'Financial Statements'!M28/'Financial Statements'!M$19</f>
        <v>0</v>
      </c>
      <c r="N28" s="73">
        <f>'Financial Statements'!N28/'Financial Statements'!N$19</f>
        <v>0</v>
      </c>
      <c r="O28" s="60"/>
      <c r="P28" s="73">
        <f>'Financial Statements'!P28/'Financial Statements'!P$19</f>
        <v>0</v>
      </c>
      <c r="Q28" s="2"/>
    </row>
    <row r="29" spans="1:17" ht="12.75" customHeight="1" x14ac:dyDescent="0.2">
      <c r="A29" s="2" t="str">
        <f>'Language Index'!A48</f>
        <v>Provision for Bad Debts</v>
      </c>
      <c r="B29" s="17"/>
      <c r="C29" s="17"/>
      <c r="D29" s="73">
        <f>'Financial Statements'!D29/'Financial Statements'!D$19</f>
        <v>0</v>
      </c>
      <c r="E29" s="73">
        <f>'Financial Statements'!E29/'Financial Statements'!E$19</f>
        <v>0</v>
      </c>
      <c r="F29" s="73">
        <f>'Financial Statements'!F29/'Financial Statements'!F$19</f>
        <v>0</v>
      </c>
      <c r="G29" s="73">
        <f>'Financial Statements'!G29/'Financial Statements'!G$19</f>
        <v>0</v>
      </c>
      <c r="H29" s="73">
        <f>'Financial Statements'!H29/'Financial Statements'!H$19</f>
        <v>0</v>
      </c>
      <c r="I29" s="73">
        <f>'Financial Statements'!I29/'Financial Statements'!I$19</f>
        <v>0</v>
      </c>
      <c r="J29" s="73">
        <f>'Financial Statements'!J29/'Financial Statements'!J$19</f>
        <v>0</v>
      </c>
      <c r="K29" s="73">
        <f>'Financial Statements'!K29/'Financial Statements'!K$19</f>
        <v>0</v>
      </c>
      <c r="L29" s="73">
        <f>'Financial Statements'!L29/'Financial Statements'!L$19</f>
        <v>0</v>
      </c>
      <c r="M29" s="73">
        <f>'Financial Statements'!M29/'Financial Statements'!M$19</f>
        <v>0</v>
      </c>
      <c r="N29" s="73">
        <f>'Financial Statements'!N29/'Financial Statements'!N$19</f>
        <v>0</v>
      </c>
      <c r="O29" s="60"/>
      <c r="P29" s="73">
        <f>'Financial Statements'!P29/'Financial Statements'!P$19</f>
        <v>0</v>
      </c>
      <c r="Q29" s="2"/>
    </row>
    <row r="30" spans="1:17" ht="12.75" customHeight="1" x14ac:dyDescent="0.2">
      <c r="A30" s="2" t="str">
        <f>'Language Index'!A49</f>
        <v>Stock-Based Compensation</v>
      </c>
      <c r="B30" s="17"/>
      <c r="C30" s="17"/>
      <c r="D30" s="73">
        <f>'Financial Statements'!D30/'Financial Statements'!D$19</f>
        <v>0</v>
      </c>
      <c r="E30" s="73">
        <f>'Financial Statements'!E30/'Financial Statements'!E$19</f>
        <v>0</v>
      </c>
      <c r="F30" s="73">
        <f>'Financial Statements'!F30/'Financial Statements'!F$19</f>
        <v>0</v>
      </c>
      <c r="G30" s="73">
        <f>'Financial Statements'!G30/'Financial Statements'!G$19</f>
        <v>0</v>
      </c>
      <c r="H30" s="73">
        <f>'Financial Statements'!H30/'Financial Statements'!H$19</f>
        <v>0</v>
      </c>
      <c r="I30" s="73">
        <f>'Financial Statements'!I30/'Financial Statements'!I$19</f>
        <v>0</v>
      </c>
      <c r="J30" s="73">
        <f>'Financial Statements'!J30/'Financial Statements'!J$19</f>
        <v>0</v>
      </c>
      <c r="K30" s="73">
        <f>'Financial Statements'!K30/'Financial Statements'!K$19</f>
        <v>0</v>
      </c>
      <c r="L30" s="73">
        <f>'Financial Statements'!L30/'Financial Statements'!L$19</f>
        <v>0</v>
      </c>
      <c r="M30" s="73">
        <f>'Financial Statements'!M30/'Financial Statements'!M$19</f>
        <v>0</v>
      </c>
      <c r="N30" s="73">
        <f>'Financial Statements'!N30/'Financial Statements'!N$19</f>
        <v>0</v>
      </c>
      <c r="O30" s="60"/>
      <c r="P30" s="73">
        <f>'Financial Statements'!P30/'Financial Statements'!P$19</f>
        <v>0</v>
      </c>
      <c r="Q30" s="2"/>
    </row>
    <row r="31" spans="1:17" ht="12.75" customHeight="1" x14ac:dyDescent="0.2">
      <c r="A31" s="2" t="str">
        <f>'Language Index'!A50</f>
        <v>Pre-Opening Costs</v>
      </c>
      <c r="B31" s="17"/>
      <c r="C31" s="17"/>
      <c r="D31" s="73">
        <f>'Financial Statements'!D31/'Financial Statements'!D$19</f>
        <v>0</v>
      </c>
      <c r="E31" s="73">
        <f>'Financial Statements'!E31/'Financial Statements'!E$19</f>
        <v>0</v>
      </c>
      <c r="F31" s="73">
        <f>'Financial Statements'!F31/'Financial Statements'!F$19</f>
        <v>0</v>
      </c>
      <c r="G31" s="73">
        <f>'Financial Statements'!G31/'Financial Statements'!G$19</f>
        <v>0</v>
      </c>
      <c r="H31" s="73">
        <f>'Financial Statements'!H31/'Financial Statements'!H$19</f>
        <v>0</v>
      </c>
      <c r="I31" s="73">
        <f>'Financial Statements'!I31/'Financial Statements'!I$19</f>
        <v>0</v>
      </c>
      <c r="J31" s="73">
        <f>'Financial Statements'!J31/'Financial Statements'!J$19</f>
        <v>0</v>
      </c>
      <c r="K31" s="73">
        <f>'Financial Statements'!K31/'Financial Statements'!K$19</f>
        <v>0</v>
      </c>
      <c r="L31" s="73">
        <f>'Financial Statements'!L31/'Financial Statements'!L$19</f>
        <v>0</v>
      </c>
      <c r="M31" s="73">
        <f>'Financial Statements'!M31/'Financial Statements'!M$19</f>
        <v>0</v>
      </c>
      <c r="N31" s="73">
        <f>'Financial Statements'!N31/'Financial Statements'!N$19</f>
        <v>0</v>
      </c>
      <c r="O31" s="60"/>
      <c r="P31" s="73">
        <f>'Financial Statements'!P31/'Financial Statements'!P$19</f>
        <v>0</v>
      </c>
      <c r="Q31" s="2"/>
    </row>
    <row r="32" spans="1:17" ht="12.75" customHeight="1" x14ac:dyDescent="0.2">
      <c r="A32" s="2" t="str">
        <f>'Language Index'!A51</f>
        <v>R &amp; D Exp.</v>
      </c>
      <c r="B32" s="17"/>
      <c r="C32" s="17"/>
      <c r="D32" s="73">
        <f>'Financial Statements'!D32/'Financial Statements'!D$19</f>
        <v>0.10833539859562165</v>
      </c>
      <c r="E32" s="73">
        <f>'Financial Statements'!E32/'Financial Statements'!E$19</f>
        <v>0.10840103970835853</v>
      </c>
      <c r="F32" s="73">
        <f>'Financial Statements'!F32/'Financial Statements'!F$19</f>
        <v>0.10952150016165535</v>
      </c>
      <c r="G32" s="73">
        <f>'Financial Statements'!G32/'Financial Statements'!G$19</f>
        <v>0.11142258740132109</v>
      </c>
      <c r="H32" s="73">
        <f>'Financial Statements'!H32/'Financial Statements'!H$19</f>
        <v>0.11334701600230895</v>
      </c>
      <c r="I32" s="73">
        <f>'Financial Statements'!I32/'Financial Statements'!I$19</f>
        <v>0.11601150527325024</v>
      </c>
      <c r="J32" s="73">
        <f>'Financial Statements'!J32/'Financial Statements'!J$19</f>
        <v>0.11918155307315985</v>
      </c>
      <c r="K32" s="73">
        <f>'Financial Statements'!K32/'Financial Statements'!K$19</f>
        <v>0.12141902215431627</v>
      </c>
      <c r="L32" s="73">
        <f>'Financial Statements'!L32/'Financial Statements'!L$19</f>
        <v>0.1231261711430356</v>
      </c>
      <c r="M32" s="73">
        <f>'Financial Statements'!M32/'Financial Statements'!M$19</f>
        <v>0.12372710314669276</v>
      </c>
      <c r="N32" s="73">
        <f>'Financial Statements'!N32/'Financial Statements'!N$19</f>
        <v>0.12307692307692308</v>
      </c>
      <c r="O32" s="60"/>
      <c r="P32" s="73">
        <f>'Financial Statements'!P32/'Financial Statements'!P$19</f>
        <v>0.12307692307692308</v>
      </c>
      <c r="Q32" s="2"/>
    </row>
    <row r="33" spans="1:17" ht="12.75" customHeight="1" x14ac:dyDescent="0.2">
      <c r="A33" s="2" t="str">
        <f>'Language Index'!A52</f>
        <v>Depreciation &amp; Amort.</v>
      </c>
      <c r="B33" s="17"/>
      <c r="C33" s="17"/>
      <c r="D33" s="73">
        <f>'Financial Statements'!D33/'Financial Statements'!D$19</f>
        <v>0</v>
      </c>
      <c r="E33" s="73">
        <f>'Financial Statements'!E33/'Financial Statements'!E$19</f>
        <v>0</v>
      </c>
      <c r="F33" s="73">
        <f>'Financial Statements'!F33/'Financial Statements'!F$19</f>
        <v>0</v>
      </c>
      <c r="G33" s="73">
        <f>'Financial Statements'!G33/'Financial Statements'!G$19</f>
        <v>0</v>
      </c>
      <c r="H33" s="73">
        <f>'Financial Statements'!H33/'Financial Statements'!H$19</f>
        <v>0</v>
      </c>
      <c r="I33" s="73">
        <f>'Financial Statements'!I33/'Financial Statements'!I$19</f>
        <v>0</v>
      </c>
      <c r="J33" s="73">
        <f>'Financial Statements'!J33/'Financial Statements'!J$19</f>
        <v>0</v>
      </c>
      <c r="K33" s="73">
        <f>'Financial Statements'!K33/'Financial Statements'!K$19</f>
        <v>0</v>
      </c>
      <c r="L33" s="73">
        <f>'Financial Statements'!L33/'Financial Statements'!L$19</f>
        <v>0</v>
      </c>
      <c r="M33" s="73">
        <f>'Financial Statements'!M33/'Financial Statements'!M$19</f>
        <v>0</v>
      </c>
      <c r="N33" s="73">
        <f>'Financial Statements'!N33/'Financial Statements'!N$19</f>
        <v>0</v>
      </c>
      <c r="O33" s="60"/>
      <c r="P33" s="73">
        <f>'Financial Statements'!P33/'Financial Statements'!P$19</f>
        <v>0</v>
      </c>
      <c r="Q33" s="2"/>
    </row>
    <row r="34" spans="1:17" ht="12.75" customHeight="1" x14ac:dyDescent="0.2">
      <c r="A34" s="2" t="str">
        <f>'Language Index'!A53</f>
        <v>Amort. of Goodwill and Intangibles</v>
      </c>
      <c r="B34" s="17"/>
      <c r="C34" s="17"/>
      <c r="D34" s="73">
        <f>'Financial Statements'!D34/'Financial Statements'!D$19</f>
        <v>0</v>
      </c>
      <c r="E34" s="73">
        <f>'Financial Statements'!E34/'Financial Statements'!E$19</f>
        <v>0</v>
      </c>
      <c r="F34" s="73">
        <f>'Financial Statements'!F34/'Financial Statements'!F$19</f>
        <v>0</v>
      </c>
      <c r="G34" s="73">
        <f>'Financial Statements'!G34/'Financial Statements'!G$19</f>
        <v>0</v>
      </c>
      <c r="H34" s="73">
        <f>'Financial Statements'!H34/'Financial Statements'!H$19</f>
        <v>0</v>
      </c>
      <c r="I34" s="73">
        <f>'Financial Statements'!I34/'Financial Statements'!I$19</f>
        <v>0</v>
      </c>
      <c r="J34" s="73">
        <f>'Financial Statements'!J34/'Financial Statements'!J$19</f>
        <v>0</v>
      </c>
      <c r="K34" s="73">
        <f>'Financial Statements'!K34/'Financial Statements'!K$19</f>
        <v>0</v>
      </c>
      <c r="L34" s="73">
        <f>'Financial Statements'!L34/'Financial Statements'!L$19</f>
        <v>0</v>
      </c>
      <c r="M34" s="73">
        <f>'Financial Statements'!M34/'Financial Statements'!M$19</f>
        <v>0</v>
      </c>
      <c r="N34" s="73">
        <f>'Financial Statements'!N34/'Financial Statements'!N$19</f>
        <v>0</v>
      </c>
      <c r="O34" s="60"/>
      <c r="P34" s="73">
        <f>'Financial Statements'!P34/'Financial Statements'!P$19</f>
        <v>0</v>
      </c>
      <c r="Q34" s="2"/>
    </row>
    <row r="35" spans="1:17" ht="12.75" customHeight="1" x14ac:dyDescent="0.2">
      <c r="A35" s="2" t="str">
        <f>'Language Index'!A54</f>
        <v>Impair. of Oil, Gas &amp; Mineral Prop.</v>
      </c>
      <c r="B35" s="17"/>
      <c r="C35" s="17"/>
      <c r="D35" s="73">
        <f>'Financial Statements'!D35/'Financial Statements'!D$19</f>
        <v>0</v>
      </c>
      <c r="E35" s="73">
        <f>'Financial Statements'!E35/'Financial Statements'!E$19</f>
        <v>0</v>
      </c>
      <c r="F35" s="73">
        <f>'Financial Statements'!F35/'Financial Statements'!F$19</f>
        <v>0</v>
      </c>
      <c r="G35" s="73">
        <f>'Financial Statements'!G35/'Financial Statements'!G$19</f>
        <v>0</v>
      </c>
      <c r="H35" s="73">
        <f>'Financial Statements'!H35/'Financial Statements'!H$19</f>
        <v>0</v>
      </c>
      <c r="I35" s="73">
        <f>'Financial Statements'!I35/'Financial Statements'!I$19</f>
        <v>0</v>
      </c>
      <c r="J35" s="73">
        <f>'Financial Statements'!J35/'Financial Statements'!J$19</f>
        <v>0</v>
      </c>
      <c r="K35" s="73">
        <f>'Financial Statements'!K35/'Financial Statements'!K$19</f>
        <v>0</v>
      </c>
      <c r="L35" s="73">
        <f>'Financial Statements'!L35/'Financial Statements'!L$19</f>
        <v>0</v>
      </c>
      <c r="M35" s="73">
        <f>'Financial Statements'!M35/'Financial Statements'!M$19</f>
        <v>0</v>
      </c>
      <c r="N35" s="73">
        <f>'Financial Statements'!N35/'Financial Statements'!N$19</f>
        <v>0</v>
      </c>
      <c r="O35" s="60"/>
      <c r="P35" s="73">
        <f>'Financial Statements'!P35/'Financial Statements'!P$19</f>
        <v>0</v>
      </c>
      <c r="Q35" s="2"/>
    </row>
    <row r="36" spans="1:17" ht="12.75" customHeight="1" x14ac:dyDescent="0.2">
      <c r="A36" s="2" t="str">
        <f>'Language Index'!A55</f>
        <v>Other Operating Expense/(Income)</v>
      </c>
      <c r="B36" s="17"/>
      <c r="C36" s="17"/>
      <c r="D36" s="77">
        <f>'Financial Statements'!D36/'Financial Statements'!D$19</f>
        <v>-1.2903758777364726E-2</v>
      </c>
      <c r="E36" s="77">
        <f>'Financial Statements'!E36/'Financial Statements'!E$19</f>
        <v>-1.38954733452126E-2</v>
      </c>
      <c r="F36" s="77">
        <f>'Financial Statements'!F36/'Financial Statements'!F$19</f>
        <v>-1.3902360168121564E-2</v>
      </c>
      <c r="G36" s="77">
        <f>'Financial Statements'!G36/'Financial Statements'!G$19</f>
        <v>-1.4499758337361043E-2</v>
      </c>
      <c r="H36" s="77">
        <f>'Financial Statements'!H36/'Financial Statements'!H$19</f>
        <v>-1.4270596158163102E-2</v>
      </c>
      <c r="I36" s="77">
        <f>'Financial Statements'!I36/'Financial Statements'!I$19</f>
        <v>-1.4988814317673379E-2</v>
      </c>
      <c r="J36" s="77">
        <f>'Financial Statements'!J36/'Financial Statements'!J$19</f>
        <v>-1.5871751151339378E-2</v>
      </c>
      <c r="K36" s="77">
        <f>'Financial Statements'!K36/'Financial Statements'!K$19</f>
        <v>-1.6440667175961293E-2</v>
      </c>
      <c r="L36" s="77">
        <f>'Financial Statements'!L36/'Financial Statements'!L$19</f>
        <v>-1.570893191755153E-2</v>
      </c>
      <c r="M36" s="77">
        <f>'Financial Statements'!M36/'Financial Statements'!M$19</f>
        <v>-1.5091281612183113E-2</v>
      </c>
      <c r="N36" s="77">
        <f>'Financial Statements'!N36/'Financial Statements'!N$19</f>
        <v>-1.4274080106611386E-2</v>
      </c>
      <c r="O36" s="60"/>
      <c r="P36" s="77">
        <f>'Financial Statements'!P36/'Financial Statements'!P$19</f>
        <v>-1.4274080106611386E-2</v>
      </c>
      <c r="Q36" s="2"/>
    </row>
    <row r="37" spans="1:17" ht="12.75" customHeight="1" x14ac:dyDescent="0.2">
      <c r="A37" s="20" t="str">
        <f>'Language Index'!A56</f>
        <v>Other Operating Exp., Total</v>
      </c>
      <c r="B37" s="20"/>
      <c r="C37" s="20"/>
      <c r="D37" s="78">
        <f>'Financial Statements'!D37/'Financial Statements'!D$19</f>
        <v>0.40533663775299461</v>
      </c>
      <c r="E37" s="78">
        <f>'Financial Statements'!E37/'Financial Statements'!E$19</f>
        <v>0.39855487077209789</v>
      </c>
      <c r="F37" s="78">
        <f>'Financial Statements'!F37/'Financial Statements'!F$19</f>
        <v>0.40218234723569352</v>
      </c>
      <c r="G37" s="78">
        <f>'Financial Statements'!G37/'Financial Statements'!G$19</f>
        <v>0.39627839536007731</v>
      </c>
      <c r="H37" s="78">
        <f>'Financial Statements'!H37/'Financial Statements'!H$19</f>
        <v>0.40050668633550329</v>
      </c>
      <c r="I37" s="78">
        <f>'Financial Statements'!I37/'Financial Statements'!I$19</f>
        <v>0.40589645254074785</v>
      </c>
      <c r="J37" s="78">
        <f>'Financial Statements'!J37/'Financial Statements'!J$19</f>
        <v>0.41056204484247766</v>
      </c>
      <c r="K37" s="78">
        <f>'Financial Statements'!K37/'Financial Statements'!K$19</f>
        <v>0.40945696460402342</v>
      </c>
      <c r="L37" s="78">
        <f>'Financial Statements'!L37/'Financial Statements'!L$19</f>
        <v>0.40590256089943783</v>
      </c>
      <c r="M37" s="78">
        <f>'Financial Statements'!M37/'Financial Statements'!M$19</f>
        <v>0.40174612397174397</v>
      </c>
      <c r="N37" s="78">
        <f>'Financial Statements'!N37/'Financial Statements'!N$19</f>
        <v>0.39576515880654478</v>
      </c>
      <c r="O37" s="75"/>
      <c r="P37" s="78">
        <f>'Financial Statements'!P37/'Financial Statements'!P$19</f>
        <v>0.39576515880654478</v>
      </c>
      <c r="Q37" s="76"/>
    </row>
    <row r="38" spans="1:17" ht="12.75" customHeight="1" x14ac:dyDescent="0.2">
      <c r="A38" s="16"/>
      <c r="B38" s="16"/>
      <c r="C38" s="16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60"/>
      <c r="P38" s="73"/>
      <c r="Q38" s="2"/>
    </row>
    <row r="39" spans="1:17" ht="12.75" customHeight="1" thickBot="1" x14ac:dyDescent="0.25">
      <c r="A39" s="20" t="str">
        <f>'Language Index'!A57</f>
        <v>Operating Income</v>
      </c>
      <c r="B39" s="20"/>
      <c r="C39" s="20"/>
      <c r="D39" s="79">
        <f>'Financial Statements'!D39/'Financial Statements'!D$19</f>
        <v>0.14108219743907477</v>
      </c>
      <c r="E39" s="79">
        <f>'Financial Statements'!E39/'Financial Statements'!E$19</f>
        <v>0.15180395939252261</v>
      </c>
      <c r="F39" s="79">
        <f>'Financial Statements'!F39/'Financial Statements'!F$19</f>
        <v>0.15229550598124797</v>
      </c>
      <c r="G39" s="79">
        <f>'Financial Statements'!G39/'Financial Statements'!G$19</f>
        <v>0.16007733204446592</v>
      </c>
      <c r="H39" s="79">
        <f>'Financial Statements'!H39/'Financial Statements'!H$19</f>
        <v>0.16040791456883557</v>
      </c>
      <c r="I39" s="79">
        <f>'Financial Statements'!I39/'Financial Statements'!I$19</f>
        <v>0.15944391179290507</v>
      </c>
      <c r="J39" s="79">
        <f>'Financial Statements'!J39/'Financial Statements'!J$19</f>
        <v>0.1559766066960942</v>
      </c>
      <c r="K39" s="79">
        <f>'Financial Statements'!K39/'Financial Statements'!K$19</f>
        <v>0.16095301757066463</v>
      </c>
      <c r="L39" s="79">
        <f>'Financial Statements'!L39/'Financial Statements'!L$19</f>
        <v>0.16980012492192378</v>
      </c>
      <c r="M39" s="79">
        <f>'Financial Statements'!M39/'Financial Statements'!M$19</f>
        <v>0.17634017308339195</v>
      </c>
      <c r="N39" s="79">
        <f>'Financial Statements'!N39/'Financial Statements'!N$19</f>
        <v>0.18609609831938995</v>
      </c>
      <c r="O39" s="75"/>
      <c r="P39" s="79">
        <f>'Financial Statements'!P39/'Financial Statements'!P$19</f>
        <v>0.18609609831938995</v>
      </c>
      <c r="Q39" s="76"/>
    </row>
    <row r="40" spans="1:17" ht="12.75" customHeight="1" thickTop="1" x14ac:dyDescent="0.2">
      <c r="A40" s="16"/>
      <c r="B40" s="16"/>
      <c r="C40" s="16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60"/>
      <c r="P40" s="73"/>
      <c r="Q40" s="2"/>
    </row>
    <row r="41" spans="1:17" ht="12.75" customHeight="1" x14ac:dyDescent="0.2">
      <c r="A41" s="2" t="str">
        <f>'Language Index'!A58</f>
        <v>Interest Expense</v>
      </c>
      <c r="B41" s="17"/>
      <c r="C41" s="17"/>
      <c r="D41" s="73">
        <f>'Financial Statements'!D41/'Financial Statements'!D$19</f>
        <v>-2.3114415530772408E-2</v>
      </c>
      <c r="E41" s="73">
        <f>'Financial Statements'!E41/'Financial Statements'!E$19</f>
        <v>-2.4766637785878929E-2</v>
      </c>
      <c r="F41" s="73">
        <f>'Financial Statements'!F41/'Financial Statements'!F$19</f>
        <v>-2.5978014872292274E-2</v>
      </c>
      <c r="G41" s="73">
        <f>'Financial Statements'!G41/'Financial Statements'!G$19</f>
        <v>-2.6937328822297407E-2</v>
      </c>
      <c r="H41" s="73">
        <f>'Financial Statements'!H41/'Financial Statements'!H$19</f>
        <v>-2.6873617034922876E-2</v>
      </c>
      <c r="I41" s="73">
        <f>'Financial Statements'!I41/'Financial Statements'!I$19</f>
        <v>-2.7053371684244168E-2</v>
      </c>
      <c r="J41" s="73">
        <f>'Financial Statements'!J41/'Financial Statements'!J$19</f>
        <v>-2.7281564228005036E-2</v>
      </c>
      <c r="K41" s="73">
        <f>'Financial Statements'!K41/'Financial Statements'!K$19</f>
        <v>-2.7613318054494525E-2</v>
      </c>
      <c r="L41" s="73">
        <f>'Financial Statements'!L41/'Financial Statements'!L$19</f>
        <v>-2.8388507183010617E-2</v>
      </c>
      <c r="M41" s="73">
        <f>'Financial Statements'!M41/'Financial Statements'!M$19</f>
        <v>-2.8760588361212196E-2</v>
      </c>
      <c r="N41" s="73">
        <f>'Financial Statements'!N41/'Financial Statements'!N$19</f>
        <v>-2.8651810172503147E-2</v>
      </c>
      <c r="O41" s="60"/>
      <c r="P41" s="73">
        <f>'Financial Statements'!P41/'Financial Statements'!P$19</f>
        <v>-2.8651810172503147E-2</v>
      </c>
      <c r="Q41" s="76"/>
    </row>
    <row r="42" spans="1:17" ht="12.75" customHeight="1" x14ac:dyDescent="0.2">
      <c r="A42" s="2" t="str">
        <f>'Language Index'!A59</f>
        <v>Interest and Invest. Income</v>
      </c>
      <c r="B42" s="17"/>
      <c r="C42" s="17"/>
      <c r="D42" s="73">
        <f>'Financial Statements'!D42/'Financial Statements'!D$19</f>
        <v>8.0462618752581583E-3</v>
      </c>
      <c r="E42" s="73">
        <f>'Financial Statements'!E42/'Financial Statements'!E$19</f>
        <v>9.6614408788478195E-3</v>
      </c>
      <c r="F42" s="73">
        <f>'Financial Statements'!F42/'Financial Statements'!F$19</f>
        <v>1.0830908503071451E-2</v>
      </c>
      <c r="G42" s="73">
        <f>'Financial Statements'!G42/'Financial Statements'!G$19</f>
        <v>1.1438698243918157E-2</v>
      </c>
      <c r="H42" s="73">
        <f>'Financial Statements'!H42/'Financial Statements'!H$19</f>
        <v>1.1640958214411698E-2</v>
      </c>
      <c r="I42" s="73">
        <f>'Financial Statements'!I42/'Financial Statements'!I$19</f>
        <v>1.1824864173857462E-2</v>
      </c>
      <c r="J42" s="73">
        <f>'Financial Statements'!J42/'Financial Statements'!J$19</f>
        <v>1.1903813363504533E-2</v>
      </c>
      <c r="K42" s="73">
        <f>'Financial Statements'!K42/'Financial Statements'!K$19</f>
        <v>1.1586452762923352E-2</v>
      </c>
      <c r="L42" s="73">
        <f>'Financial Statements'!L42/'Financial Statements'!L$19</f>
        <v>1.0665209244222361E-2</v>
      </c>
      <c r="M42" s="73">
        <f>'Financial Statements'!M42/'Financial Statements'!M$19</f>
        <v>1.0137304669581969E-2</v>
      </c>
      <c r="N42" s="73">
        <f>'Financial Statements'!N42/'Financial Statements'!N$19</f>
        <v>9.5506033908343817E-3</v>
      </c>
      <c r="O42" s="60"/>
      <c r="P42" s="73">
        <f>'Financial Statements'!P42/'Financial Statements'!P$19</f>
        <v>9.5506033908343817E-3</v>
      </c>
      <c r="Q42" s="2"/>
    </row>
    <row r="43" spans="1:17" ht="12.75" customHeight="1" x14ac:dyDescent="0.2">
      <c r="A43" s="20" t="str">
        <f>'Language Index'!A60</f>
        <v>Net Interest Exp.</v>
      </c>
      <c r="B43" s="20"/>
      <c r="C43" s="20"/>
      <c r="D43" s="74">
        <f>'Financial Statements'!D43/'Financial Statements'!D$19</f>
        <v>-1.506815365551425E-2</v>
      </c>
      <c r="E43" s="74">
        <f>'Financial Statements'!E43/'Financial Statements'!E$19</f>
        <v>-1.5105196907031109E-2</v>
      </c>
      <c r="F43" s="74">
        <f>'Financial Statements'!F43/'Financial Statements'!F$19</f>
        <v>-1.5147106369220821E-2</v>
      </c>
      <c r="G43" s="74">
        <f>'Financial Statements'!G43/'Financial Statements'!G$19</f>
        <v>-1.549863057837925E-2</v>
      </c>
      <c r="H43" s="74">
        <f>'Financial Statements'!H43/'Financial Statements'!H$19</f>
        <v>-1.5232658820511176E-2</v>
      </c>
      <c r="I43" s="74">
        <f>'Financial Statements'!I43/'Financial Statements'!I$19</f>
        <v>-1.5228507510386706E-2</v>
      </c>
      <c r="J43" s="74">
        <f>'Financial Statements'!J43/'Financial Statements'!J$19</f>
        <v>-1.5377750864500501E-2</v>
      </c>
      <c r="K43" s="74">
        <f>'Financial Statements'!K43/'Financial Statements'!K$19</f>
        <v>-1.6026865291571175E-2</v>
      </c>
      <c r="L43" s="74">
        <f>'Financial Statements'!L43/'Financial Statements'!L$19</f>
        <v>-1.7723297938788258E-2</v>
      </c>
      <c r="M43" s="74">
        <f>'Financial Statements'!M43/'Financial Statements'!M$19</f>
        <v>-1.8623283691630226E-2</v>
      </c>
      <c r="N43" s="74">
        <f>'Financial Statements'!N43/'Financial Statements'!N$19</f>
        <v>-1.9101206781668763E-2</v>
      </c>
      <c r="O43" s="75"/>
      <c r="P43" s="74">
        <f>'Financial Statements'!P43/'Financial Statements'!P$19</f>
        <v>-1.9101206781668763E-2</v>
      </c>
      <c r="Q43" s="2"/>
    </row>
    <row r="44" spans="1:17" ht="12.75" customHeight="1" x14ac:dyDescent="0.2">
      <c r="A44" s="16"/>
      <c r="B44" s="16"/>
      <c r="C44" s="16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60"/>
      <c r="P44" s="73"/>
      <c r="Q44" s="2"/>
    </row>
    <row r="45" spans="1:17" ht="12.75" customHeight="1" x14ac:dyDescent="0.2">
      <c r="A45" s="2" t="str">
        <f>'Financial Statements'!A45</f>
        <v>Income / (Loss) from Affiliates</v>
      </c>
      <c r="B45" s="16"/>
      <c r="C45" s="16"/>
      <c r="D45" s="73">
        <f>'Financial Statements'!D45/'Financial Statements'!D$19</f>
        <v>0</v>
      </c>
      <c r="E45" s="73">
        <f>'Financial Statements'!E45/'Financial Statements'!E$19</f>
        <v>0</v>
      </c>
      <c r="F45" s="73">
        <f>'Financial Statements'!F45/'Financial Statements'!F$19</f>
        <v>0</v>
      </c>
      <c r="G45" s="73">
        <f>'Financial Statements'!G45/'Financial Statements'!G$19</f>
        <v>0</v>
      </c>
      <c r="H45" s="73">
        <f>'Financial Statements'!H45/'Financial Statements'!H$19</f>
        <v>0</v>
      </c>
      <c r="I45" s="73">
        <f>'Financial Statements'!I45/'Financial Statements'!I$19</f>
        <v>0</v>
      </c>
      <c r="J45" s="73">
        <f>'Financial Statements'!J45/'Financial Statements'!J$19</f>
        <v>0</v>
      </c>
      <c r="K45" s="73">
        <f>'Financial Statements'!K45/'Financial Statements'!K$19</f>
        <v>0</v>
      </c>
      <c r="L45" s="73">
        <f>'Financial Statements'!L45/'Financial Statements'!L$19</f>
        <v>0</v>
      </c>
      <c r="M45" s="73">
        <f>'Financial Statements'!M45/'Financial Statements'!M$19</f>
        <v>0</v>
      </c>
      <c r="N45" s="73">
        <f>'Financial Statements'!N45/'Financial Statements'!N$19</f>
        <v>0</v>
      </c>
      <c r="O45" s="60"/>
      <c r="P45" s="73">
        <f>'Financial Statements'!P45/'Financial Statements'!P$19</f>
        <v>0</v>
      </c>
      <c r="Q45" s="76"/>
    </row>
    <row r="46" spans="1:17" ht="12.75" customHeight="1" x14ac:dyDescent="0.2">
      <c r="A46" s="2" t="str">
        <f>'Financial Statements'!A46</f>
        <v>Currency Exchange Gains (Loss)</v>
      </c>
      <c r="B46" s="16"/>
      <c r="C46" s="16"/>
      <c r="D46" s="73">
        <f>'Financial Statements'!D46/'Financial Statements'!D$19</f>
        <v>5.9975216852540276E-3</v>
      </c>
      <c r="E46" s="73">
        <f>'Financial Statements'!E46/'Financial Statements'!E$19</f>
        <v>2.5829232806395186E-3</v>
      </c>
      <c r="F46" s="73">
        <f>'Financial Statements'!F46/'Financial Statements'!F$19</f>
        <v>-1.1154219204655674E-3</v>
      </c>
      <c r="G46" s="73">
        <f>'Financial Statements'!G46/'Financial Statements'!G$19</f>
        <v>-3.3027227323989047E-3</v>
      </c>
      <c r="H46" s="73">
        <f>'Financial Statements'!H46/'Financial Statements'!H$19</f>
        <v>-3.11066927492544E-3</v>
      </c>
      <c r="I46" s="73">
        <f>'Financial Statements'!I46/'Financial Statements'!I$19</f>
        <v>-2.70054330457015E-3</v>
      </c>
      <c r="J46" s="73">
        <f>'Financial Statements'!J46/'Financial Statements'!J$19</f>
        <v>3.1870986247669437E-4</v>
      </c>
      <c r="K46" s="73">
        <f>'Financial Statements'!K46/'Financial Statements'!K$19</f>
        <v>1.6074611662846958E-3</v>
      </c>
      <c r="L46" s="73">
        <f>'Financial Statements'!L46/'Financial Statements'!L$19</f>
        <v>-1.0930668332292317E-3</v>
      </c>
      <c r="M46" s="73">
        <f>'Financial Statements'!M46/'Financial Statements'!M$19</f>
        <v>-1.2079141310663282E-3</v>
      </c>
      <c r="N46" s="73">
        <f>'Financial Statements'!N46/'Financial Statements'!N$19</f>
        <v>-3.6129414377730068E-3</v>
      </c>
      <c r="O46" s="60"/>
      <c r="P46" s="73">
        <f>'Financial Statements'!P46/'Financial Statements'!P$19</f>
        <v>-3.6129414377730068E-3</v>
      </c>
      <c r="Q46" s="2"/>
    </row>
    <row r="47" spans="1:17" ht="12.75" customHeight="1" x14ac:dyDescent="0.2">
      <c r="A47" s="2" t="str">
        <f>'Financial Statements'!A47</f>
        <v>Other Non-Operating Inc. (Exp.)</v>
      </c>
      <c r="B47" s="17"/>
      <c r="C47" s="17"/>
      <c r="D47" s="73">
        <f>'Financial Statements'!D47/'Financial Statements'!D$19</f>
        <v>1.6026435357290377E-3</v>
      </c>
      <c r="E47" s="73">
        <f>'Financial Statements'!E47/'Financial Statements'!E$19</f>
        <v>7.2910366023115529E-3</v>
      </c>
      <c r="F47" s="73">
        <f>'Financial Statements'!F47/'Financial Statements'!F$19</f>
        <v>3.8150662786938247E-3</v>
      </c>
      <c r="G47" s="73">
        <f>'Financial Statements'!G47/'Financial Statements'!G$19</f>
        <v>3.9149347510874823E-3</v>
      </c>
      <c r="H47" s="73">
        <f>'Financial Statements'!H47/'Financial Statements'!H$19</f>
        <v>4.7942789340345701E-3</v>
      </c>
      <c r="I47" s="73">
        <f>'Financial Statements'!I47/'Financial Statements'!I$19</f>
        <v>4.1706615532118886E-3</v>
      </c>
      <c r="J47" s="73">
        <f>'Financial Statements'!J47/'Financial Statements'!J$19</f>
        <v>4.3663251159307128E-3</v>
      </c>
      <c r="K47" s="73">
        <f>'Financial Statements'!K47/'Financial Statements'!K$19</f>
        <v>3.246753246753247E-3</v>
      </c>
      <c r="L47" s="73">
        <f>'Financial Statements'!L47/'Financial Statements'!L$19</f>
        <v>1.7801374141161773E-3</v>
      </c>
      <c r="M47" s="73">
        <f>'Financial Statements'!M47/'Financial Statements'!M$19</f>
        <v>2.1100272162930798E-3</v>
      </c>
      <c r="N47" s="73">
        <f>'Financial Statements'!N47/'Financial Statements'!N$19</f>
        <v>1.8508921300066632E-3</v>
      </c>
      <c r="O47" s="60"/>
      <c r="P47" s="73">
        <f>'Financial Statements'!P47/'Financial Statements'!P$19</f>
        <v>1.8508921300066632E-3</v>
      </c>
      <c r="Q47" s="2"/>
    </row>
    <row r="48" spans="1:17" ht="12.75" customHeight="1" x14ac:dyDescent="0.2">
      <c r="A48" s="20" t="str">
        <f>'Financial Statements'!A48</f>
        <v>EBT Excl Unusual Items</v>
      </c>
      <c r="B48" s="20"/>
      <c r="C48" s="20"/>
      <c r="D48" s="74">
        <f>'Financial Statements'!D48/'Financial Statements'!D$19</f>
        <v>0.13361420900454357</v>
      </c>
      <c r="E48" s="74">
        <f>'Financial Statements'!E48/'Financial Statements'!E$19</f>
        <v>0.14657272236844257</v>
      </c>
      <c r="F48" s="74">
        <f>'Financial Statements'!F48/'Financial Statements'!F$19</f>
        <v>0.13984804397025541</v>
      </c>
      <c r="G48" s="74">
        <f>'Financial Statements'!G48/'Financial Statements'!G$19</f>
        <v>0.14519091348477525</v>
      </c>
      <c r="H48" s="74">
        <f>'Financial Statements'!H48/'Financial Statements'!H$19</f>
        <v>0.14685886540743354</v>
      </c>
      <c r="I48" s="74">
        <f>'Financial Statements'!I48/'Financial Statements'!I$19</f>
        <v>0.14568552253116013</v>
      </c>
      <c r="J48" s="74">
        <f>'Financial Statements'!J48/'Financial Statements'!J$19</f>
        <v>0.14528389081000112</v>
      </c>
      <c r="K48" s="74">
        <f>'Financial Statements'!K48/'Financial Statements'!K$19</f>
        <v>0.14978036669213141</v>
      </c>
      <c r="L48" s="74">
        <f>'Financial Statements'!L48/'Financial Statements'!L$19</f>
        <v>0.15276389756402248</v>
      </c>
      <c r="M48" s="74">
        <f>'Financial Statements'!M48/'Financial Statements'!M$19</f>
        <v>0.15861900247698846</v>
      </c>
      <c r="N48" s="74">
        <f>'Financial Statements'!N48/'Financial Statements'!N$19</f>
        <v>0.16523284222995485</v>
      </c>
      <c r="O48" s="75"/>
      <c r="P48" s="74">
        <f>'Financial Statements'!P48/'Financial Statements'!P$19</f>
        <v>0.16523284222995485</v>
      </c>
      <c r="Q48" s="76"/>
    </row>
    <row r="49" spans="1:17" ht="12.75" customHeight="1" x14ac:dyDescent="0.2">
      <c r="A49" s="16"/>
      <c r="B49" s="16"/>
      <c r="C49" s="16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60"/>
      <c r="P49" s="73"/>
      <c r="Q49" s="2"/>
    </row>
    <row r="50" spans="1:17" ht="12.75" customHeight="1" x14ac:dyDescent="0.2">
      <c r="A50" s="2" t="str">
        <f>'Language Index'!A65</f>
        <v>Restructuring Charges</v>
      </c>
      <c r="B50" s="16"/>
      <c r="C50" s="16"/>
      <c r="D50" s="73">
        <f>'Financial Statements'!D50/'Financial Statements'!D$19</f>
        <v>-6.4931846344485752E-3</v>
      </c>
      <c r="E50" s="73">
        <f>'Financial Statements'!E50/'Financial Statements'!E$19</f>
        <v>-6.7679128999035493E-3</v>
      </c>
      <c r="F50" s="73">
        <f>'Financial Statements'!F50/'Financial Statements'!F$19</f>
        <v>0</v>
      </c>
      <c r="G50" s="73">
        <f>'Financial Statements'!G50/'Financial Statements'!G$19</f>
        <v>-8.9254067987755755E-3</v>
      </c>
      <c r="H50" s="73">
        <f>'Financial Statements'!H50/'Financial Statements'!H$19</f>
        <v>-7.3277106115511659E-3</v>
      </c>
      <c r="I50" s="73">
        <f>'Financial Statements'!I50/'Financial Statements'!I$19</f>
        <v>-1.1649089165867689E-2</v>
      </c>
      <c r="J50" s="73">
        <f>'Financial Statements'!J50/'Financial Statements'!J$19</f>
        <v>-1.1091103214188963E-2</v>
      </c>
      <c r="K50" s="73">
        <f>'Financial Statements'!K50/'Financial Statements'!K$19</f>
        <v>-1.0138146167557932E-2</v>
      </c>
      <c r="L50" s="73">
        <f>'Financial Statements'!L50/'Financial Statements'!L$19</f>
        <v>-9.9000624609618983E-3</v>
      </c>
      <c r="M50" s="73">
        <f>'Financial Statements'!M50/'Financial Statements'!M$19</f>
        <v>-5.6878994526161283E-3</v>
      </c>
      <c r="N50" s="73">
        <f>'Financial Statements'!N50/'Financial Statements'!N$19</f>
        <v>-9.9207818168357154E-3</v>
      </c>
      <c r="O50" s="60"/>
      <c r="P50" s="73">
        <f>'Financial Statements'!P50/'Financial Statements'!P$19</f>
        <v>-9.9207818168357154E-3</v>
      </c>
      <c r="Q50" s="76"/>
    </row>
    <row r="51" spans="1:17" ht="12.75" customHeight="1" x14ac:dyDescent="0.2">
      <c r="A51" s="2" t="str">
        <f>'Language Index'!A66</f>
        <v>Merger &amp; Related Restruct. Charges</v>
      </c>
      <c r="B51" s="17"/>
      <c r="C51" s="17"/>
      <c r="D51" s="73">
        <f>'Financial Statements'!D51/'Financial Statements'!D$19</f>
        <v>-3.1391986782321353E-4</v>
      </c>
      <c r="E51" s="73">
        <f>'Financial Statements'!E51/'Financial Statements'!E$19</f>
        <v>-7.0294747511075509E-4</v>
      </c>
      <c r="F51" s="73">
        <f>'Financial Statements'!F51/'Financial Statements'!F$19</f>
        <v>0</v>
      </c>
      <c r="G51" s="73">
        <f>'Financial Statements'!G51/'Financial Statements'!G$19</f>
        <v>-1.4338649911390365E-3</v>
      </c>
      <c r="H51" s="73">
        <f>'Financial Statements'!H51/'Financial Statements'!H$19</f>
        <v>-1.9241253246961485E-3</v>
      </c>
      <c r="I51" s="73">
        <f>'Financial Statements'!I51/'Financial Statements'!I$19</f>
        <v>-1.693831895174177E-3</v>
      </c>
      <c r="J51" s="73">
        <f>'Financial Statements'!J51/'Financial Statements'!J$19</f>
        <v>-1.9600656542316701E-3</v>
      </c>
      <c r="K51" s="73">
        <f>'Financial Statements'!K51/'Financial Statements'!K$19</f>
        <v>-1.9894321364909602E-3</v>
      </c>
      <c r="L51" s="73">
        <f>'Financial Statements'!L51/'Financial Statements'!L$19</f>
        <v>-2.2329793878825732E-3</v>
      </c>
      <c r="M51" s="73">
        <f>'Financial Statements'!M51/'Financial Statements'!M$19</f>
        <v>-2.0488670071251644E-3</v>
      </c>
      <c r="N51" s="73">
        <f>'Financial Statements'!N51/'Financial Statements'!N$19</f>
        <v>-2.2654919671281559E-3</v>
      </c>
      <c r="O51" s="60"/>
      <c r="P51" s="73">
        <f>'Financial Statements'!P51/'Financial Statements'!P$19</f>
        <v>-2.2654919671281559E-3</v>
      </c>
      <c r="Q51" s="2"/>
    </row>
    <row r="52" spans="1:17" ht="12.75" customHeight="1" x14ac:dyDescent="0.2">
      <c r="A52" s="2" t="str">
        <f>'Language Index'!A67</f>
        <v>Impairment of Goodwill</v>
      </c>
      <c r="B52" s="17"/>
      <c r="C52" s="17"/>
      <c r="D52" s="73">
        <f>'Financial Statements'!D52/'Financial Statements'!D$19</f>
        <v>0</v>
      </c>
      <c r="E52" s="73">
        <f>'Financial Statements'!E52/'Financial Statements'!E$19</f>
        <v>0</v>
      </c>
      <c r="F52" s="73">
        <f>'Financial Statements'!F52/'Financial Statements'!F$19</f>
        <v>0</v>
      </c>
      <c r="G52" s="73">
        <f>'Financial Statements'!G52/'Financial Statements'!G$19</f>
        <v>0</v>
      </c>
      <c r="H52" s="73">
        <f>'Financial Statements'!H52/'Financial Statements'!H$19</f>
        <v>0</v>
      </c>
      <c r="I52" s="73">
        <f>'Financial Statements'!I52/'Financial Statements'!I$19</f>
        <v>0</v>
      </c>
      <c r="J52" s="73">
        <f>'Financial Statements'!J52/'Financial Statements'!J$19</f>
        <v>0</v>
      </c>
      <c r="K52" s="73">
        <f>'Financial Statements'!K52/'Financial Statements'!K$19</f>
        <v>0</v>
      </c>
      <c r="L52" s="73">
        <f>'Financial Statements'!L52/'Financial Statements'!L$19</f>
        <v>0</v>
      </c>
      <c r="M52" s="73">
        <f>'Financial Statements'!M52/'Financial Statements'!M$19</f>
        <v>0</v>
      </c>
      <c r="N52" s="73">
        <f>'Financial Statements'!N52/'Financial Statements'!N$19</f>
        <v>0</v>
      </c>
      <c r="O52" s="60"/>
      <c r="P52" s="73">
        <f>'Financial Statements'!P52/'Financial Statements'!P$19</f>
        <v>0</v>
      </c>
      <c r="Q52" s="2"/>
    </row>
    <row r="53" spans="1:17" ht="12.75" customHeight="1" x14ac:dyDescent="0.2">
      <c r="A53" s="2" t="str">
        <f>'Language Index'!A68</f>
        <v>Gain (Loss) On Sale Of Invest.</v>
      </c>
      <c r="B53" s="17"/>
      <c r="C53" s="17"/>
      <c r="D53" s="73">
        <f>'Financial Statements'!D53/'Financial Statements'!D$19</f>
        <v>1.2391573729863693E-3</v>
      </c>
      <c r="E53" s="73">
        <f>'Financial Statements'!E53/'Financial Statements'!E$19</f>
        <v>-3.1060469830475226E-4</v>
      </c>
      <c r="F53" s="73">
        <f>'Financial Statements'!F53/'Financial Statements'!F$19</f>
        <v>6.3045586808923378E-4</v>
      </c>
      <c r="G53" s="73">
        <f>'Financial Statements'!G53/'Financial Statements'!G$19</f>
        <v>8.6998550024166264E-4</v>
      </c>
      <c r="H53" s="73">
        <f>'Financial Statements'!H53/'Financial Statements'!H$19</f>
        <v>9.1395952923067057E-4</v>
      </c>
      <c r="I53" s="73">
        <f>'Financial Statements'!I53/'Financial Statements'!I$19</f>
        <v>8.9485458612975394E-4</v>
      </c>
      <c r="J53" s="73">
        <f>'Financial Statements'!J53/'Financial Statements'!J$19</f>
        <v>3.1870986247669437E-4</v>
      </c>
      <c r="K53" s="73">
        <f>'Financial Statements'!K53/'Financial Statements'!K$19</f>
        <v>-3.0239368474662591E-4</v>
      </c>
      <c r="L53" s="73">
        <f>'Financial Statements'!L53/'Financial Statements'!L$19</f>
        <v>0</v>
      </c>
      <c r="M53" s="73">
        <f>'Financial Statements'!M53/'Financial Statements'!M$19</f>
        <v>-3.058010458395768E-5</v>
      </c>
      <c r="N53" s="73">
        <f>'Financial Statements'!N53/'Financial Statements'!N$19</f>
        <v>-1.0364995928037314E-4</v>
      </c>
      <c r="O53" s="60"/>
      <c r="P53" s="73">
        <f>'Financial Statements'!P53/'Financial Statements'!P$19</f>
        <v>-1.0364995928037314E-4</v>
      </c>
      <c r="Q53" s="2"/>
    </row>
    <row r="54" spans="1:17" ht="12.75" customHeight="1" x14ac:dyDescent="0.2">
      <c r="A54" s="2" t="str">
        <f>'Language Index'!A69</f>
        <v>Gain (Loss) On Sale Of Assets</v>
      </c>
      <c r="B54" s="17"/>
      <c r="C54" s="17"/>
      <c r="D54" s="73">
        <f>'Financial Statements'!D54/'Financial Statements'!D$19</f>
        <v>2.1478727798430401E-4</v>
      </c>
      <c r="E54" s="73">
        <f>'Financial Statements'!E54/'Financial Statements'!E$19</f>
        <v>-4.0215134622615294E-3</v>
      </c>
      <c r="F54" s="73">
        <f>'Financial Statements'!F54/'Financial Statements'!F$19</f>
        <v>0</v>
      </c>
      <c r="G54" s="73">
        <f>'Financial Statements'!G54/'Financial Statements'!G$19</f>
        <v>4.5432576123731272E-3</v>
      </c>
      <c r="H54" s="73">
        <f>'Financial Statements'!H54/'Financial Statements'!H$19</f>
        <v>4.585832023859154E-3</v>
      </c>
      <c r="I54" s="73">
        <f>'Financial Statements'!I54/'Financial Statements'!I$19</f>
        <v>1.017897091722595E-2</v>
      </c>
      <c r="J54" s="73">
        <f>'Financial Statements'!J54/'Financial Statements'!J$19</f>
        <v>9.4338119293101517E-3</v>
      </c>
      <c r="K54" s="73">
        <f>'Financial Statements'!K54/'Financial Statements'!K$19</f>
        <v>5.7932263814616759E-3</v>
      </c>
      <c r="L54" s="73">
        <f>'Financial Statements'!L54/'Financial Statements'!L$19</f>
        <v>5.7151780137414112E-3</v>
      </c>
      <c r="M54" s="73">
        <f>'Financial Statements'!M54/'Financial Statements'!M$19</f>
        <v>1.9877067979572489E-4</v>
      </c>
      <c r="N54" s="73">
        <f>'Financial Statements'!N54/'Financial Statements'!N$19</f>
        <v>0</v>
      </c>
      <c r="O54" s="60"/>
      <c r="P54" s="73">
        <f>'Financial Statements'!P54/'Financial Statements'!P$19</f>
        <v>0</v>
      </c>
      <c r="Q54" s="2"/>
    </row>
    <row r="55" spans="1:17" ht="12.75" customHeight="1" x14ac:dyDescent="0.2">
      <c r="A55" s="2" t="str">
        <f>'Language Index'!A70</f>
        <v>Asset Writedown</v>
      </c>
      <c r="B55" s="17"/>
      <c r="C55" s="17"/>
      <c r="D55" s="73">
        <f>'Financial Statements'!D55/'Financial Statements'!D$19</f>
        <v>0</v>
      </c>
      <c r="E55" s="73">
        <f>'Financial Statements'!E55/'Financial Statements'!E$19</f>
        <v>0</v>
      </c>
      <c r="F55" s="73">
        <f>'Financial Statements'!F55/'Financial Statements'!F$19</f>
        <v>0</v>
      </c>
      <c r="G55" s="73">
        <f>'Financial Statements'!G55/'Financial Statements'!G$19</f>
        <v>0</v>
      </c>
      <c r="H55" s="73">
        <f>'Financial Statements'!H55/'Financial Statements'!H$19</f>
        <v>0</v>
      </c>
      <c r="I55" s="73">
        <f>'Financial Statements'!I55/'Financial Statements'!I$19</f>
        <v>0</v>
      </c>
      <c r="J55" s="73">
        <f>'Financial Statements'!J55/'Financial Statements'!J$19</f>
        <v>0</v>
      </c>
      <c r="K55" s="73">
        <f>'Financial Statements'!K55/'Financial Statements'!K$19</f>
        <v>0</v>
      </c>
      <c r="L55" s="73">
        <f>'Financial Statements'!L55/'Financial Statements'!L$19</f>
        <v>0</v>
      </c>
      <c r="M55" s="73">
        <f>'Financial Statements'!M55/'Financial Statements'!M$19</f>
        <v>0</v>
      </c>
      <c r="N55" s="73">
        <f>'Financial Statements'!N55/'Financial Statements'!N$19</f>
        <v>0</v>
      </c>
      <c r="O55" s="60"/>
      <c r="P55" s="73">
        <f>'Financial Statements'!P55/'Financial Statements'!P$19</f>
        <v>0</v>
      </c>
      <c r="Q55" s="2"/>
    </row>
    <row r="56" spans="1:17" ht="12.75" customHeight="1" x14ac:dyDescent="0.2">
      <c r="A56" s="2" t="str">
        <f>'Language Index'!A71</f>
        <v>In Process R &amp; D Exp.</v>
      </c>
      <c r="B56" s="17"/>
      <c r="C56" s="17"/>
      <c r="D56" s="73">
        <f>'Financial Statements'!D56/'Financial Statements'!D$19</f>
        <v>0</v>
      </c>
      <c r="E56" s="73">
        <f>'Financial Statements'!E56/'Financial Statements'!E$19</f>
        <v>0</v>
      </c>
      <c r="F56" s="73">
        <f>'Financial Statements'!F56/'Financial Statements'!F$19</f>
        <v>0</v>
      </c>
      <c r="G56" s="73">
        <f>'Financial Statements'!G56/'Financial Statements'!G$19</f>
        <v>0</v>
      </c>
      <c r="H56" s="73">
        <f>'Financial Statements'!H56/'Financial Statements'!H$19</f>
        <v>0</v>
      </c>
      <c r="I56" s="73">
        <f>'Financial Statements'!I56/'Financial Statements'!I$19</f>
        <v>0</v>
      </c>
      <c r="J56" s="73">
        <f>'Financial Statements'!J56/'Financial Statements'!J$19</f>
        <v>0</v>
      </c>
      <c r="K56" s="73">
        <f>'Financial Statements'!K56/'Financial Statements'!K$19</f>
        <v>0</v>
      </c>
      <c r="L56" s="73">
        <f>'Financial Statements'!L56/'Financial Statements'!L$19</f>
        <v>0</v>
      </c>
      <c r="M56" s="73">
        <f>'Financial Statements'!M56/'Financial Statements'!M$19</f>
        <v>0</v>
      </c>
      <c r="N56" s="73">
        <f>'Financial Statements'!N56/'Financial Statements'!N$19</f>
        <v>0</v>
      </c>
      <c r="O56" s="60"/>
      <c r="P56" s="73">
        <f>'Financial Statements'!P56/'Financial Statements'!P$19</f>
        <v>0</v>
      </c>
      <c r="Q56" s="2"/>
    </row>
    <row r="57" spans="1:17" ht="12.75" customHeight="1" x14ac:dyDescent="0.2">
      <c r="A57" s="2" t="str">
        <f>'Language Index'!A72</f>
        <v>Insurance Settlements</v>
      </c>
      <c r="B57" s="17"/>
      <c r="C57" s="17"/>
      <c r="D57" s="73">
        <f>'Financial Statements'!D57/'Financial Statements'!D$19</f>
        <v>0</v>
      </c>
      <c r="E57" s="73">
        <f>'Financial Statements'!E57/'Financial Statements'!E$19</f>
        <v>0</v>
      </c>
      <c r="F57" s="73">
        <f>'Financial Statements'!F57/'Financial Statements'!F$19</f>
        <v>0</v>
      </c>
      <c r="G57" s="73">
        <f>'Financial Statements'!G57/'Financial Statements'!G$19</f>
        <v>0</v>
      </c>
      <c r="H57" s="73">
        <f>'Financial Statements'!H57/'Financial Statements'!H$19</f>
        <v>0</v>
      </c>
      <c r="I57" s="73">
        <f>'Financial Statements'!I57/'Financial Statements'!I$19</f>
        <v>0</v>
      </c>
      <c r="J57" s="73">
        <f>'Financial Statements'!J57/'Financial Statements'!J$19</f>
        <v>0</v>
      </c>
      <c r="K57" s="73">
        <f>'Financial Statements'!K57/'Financial Statements'!K$19</f>
        <v>0</v>
      </c>
      <c r="L57" s="73">
        <f>'Financial Statements'!L57/'Financial Statements'!L$19</f>
        <v>0</v>
      </c>
      <c r="M57" s="73">
        <f>'Financial Statements'!M57/'Financial Statements'!M$19</f>
        <v>0</v>
      </c>
      <c r="N57" s="73">
        <f>'Financial Statements'!N57/'Financial Statements'!N$19</f>
        <v>0</v>
      </c>
      <c r="O57" s="60"/>
      <c r="P57" s="73">
        <f>'Financial Statements'!P57/'Financial Statements'!P$19</f>
        <v>0</v>
      </c>
      <c r="Q57" s="2"/>
    </row>
    <row r="58" spans="1:17" ht="12.75" customHeight="1" x14ac:dyDescent="0.2">
      <c r="A58" s="2" t="str">
        <f>'Language Index'!A73</f>
        <v>Legal Settlements</v>
      </c>
      <c r="B58" s="17"/>
      <c r="C58" s="17"/>
      <c r="D58" s="73">
        <f>'Financial Statements'!D58/'Financial Statements'!D$19</f>
        <v>0</v>
      </c>
      <c r="E58" s="73">
        <f>'Financial Statements'!E58/'Financial Statements'!E$19</f>
        <v>0</v>
      </c>
      <c r="F58" s="73">
        <f>'Financial Statements'!F58/'Financial Statements'!F$19</f>
        <v>0</v>
      </c>
      <c r="G58" s="73">
        <f>'Financial Statements'!G58/'Financial Statements'!G$19</f>
        <v>0</v>
      </c>
      <c r="H58" s="73">
        <f>'Financial Statements'!H58/'Financial Statements'!H$19</f>
        <v>0</v>
      </c>
      <c r="I58" s="73">
        <f>'Financial Statements'!I58/'Financial Statements'!I$19</f>
        <v>0</v>
      </c>
      <c r="J58" s="73">
        <f>'Financial Statements'!J58/'Financial Statements'!J$19</f>
        <v>0</v>
      </c>
      <c r="K58" s="73">
        <f>'Financial Statements'!K58/'Financial Statements'!K$19</f>
        <v>0</v>
      </c>
      <c r="L58" s="73">
        <f>'Financial Statements'!L58/'Financial Statements'!L$19</f>
        <v>0</v>
      </c>
      <c r="M58" s="73">
        <f>'Financial Statements'!M58/'Financial Statements'!M$19</f>
        <v>0</v>
      </c>
      <c r="N58" s="73">
        <f>'Financial Statements'!N58/'Financial Statements'!N$19</f>
        <v>0</v>
      </c>
      <c r="O58" s="60"/>
      <c r="P58" s="73">
        <f>'Financial Statements'!P58/'Financial Statements'!P$19</f>
        <v>0</v>
      </c>
      <c r="Q58" s="2"/>
    </row>
    <row r="59" spans="1:17" ht="12.75" customHeight="1" x14ac:dyDescent="0.2">
      <c r="A59" s="2" t="str">
        <f>'Language Index'!A74</f>
        <v>Other Unusual Items</v>
      </c>
      <c r="B59" s="17"/>
      <c r="C59" s="17"/>
      <c r="D59" s="77">
        <f>'Financial Statements'!D59/'Financial Statements'!D$19</f>
        <v>-9.7381247418422134E-2</v>
      </c>
      <c r="E59" s="77">
        <f>'Financial Statements'!E59/'Financial Statements'!E$19</f>
        <v>0</v>
      </c>
      <c r="F59" s="77">
        <f>'Financial Statements'!F59/'Financial Statements'!F$19</f>
        <v>0</v>
      </c>
      <c r="G59" s="77">
        <f>'Financial Statements'!G59/'Financial Statements'!G$19</f>
        <v>0</v>
      </c>
      <c r="H59" s="77">
        <f>'Financial Statements'!H59/'Financial Statements'!H$19</f>
        <v>0</v>
      </c>
      <c r="I59" s="77">
        <f>'Financial Statements'!I59/'Financial Statements'!I$19</f>
        <v>-4.3544263342921059E-2</v>
      </c>
      <c r="J59" s="77">
        <f>'Financial Statements'!J59/'Financial Statements'!J$19</f>
        <v>-4.9607190094497475E-2</v>
      </c>
      <c r="K59" s="77">
        <f>'Financial Statements'!K59/'Financial Statements'!K$19</f>
        <v>-4.9544817927170866E-2</v>
      </c>
      <c r="L59" s="77">
        <f>'Financial Statements'!L59/'Financial Statements'!L$19</f>
        <v>-4.8610243597751408E-2</v>
      </c>
      <c r="M59" s="77">
        <f>'Financial Statements'!M59/'Financial Statements'!M$19</f>
        <v>-5.9325402892877891E-3</v>
      </c>
      <c r="N59" s="77">
        <f>'Financial Statements'!N59/'Financial Statements'!N$19</f>
        <v>0</v>
      </c>
      <c r="O59" s="60"/>
      <c r="P59" s="77">
        <f>'Financial Statements'!P59/'Financial Statements'!P$19</f>
        <v>0</v>
      </c>
      <c r="Q59" s="2"/>
    </row>
    <row r="60" spans="1:17" ht="12.75" customHeight="1" x14ac:dyDescent="0.2">
      <c r="A60" s="20" t="str">
        <f>'Language Index'!A75</f>
        <v>EBT Incl Unusual Items</v>
      </c>
      <c r="B60" s="20"/>
      <c r="C60" s="20"/>
      <c r="D60" s="74">
        <f>'Financial Statements'!D60/'Financial Statements'!D$19</f>
        <v>3.0879801734820321E-2</v>
      </c>
      <c r="E60" s="74">
        <f>'Financial Statements'!E60/'Financial Statements'!E$19</f>
        <v>0.13476974383286197</v>
      </c>
      <c r="F60" s="74">
        <f>'Financial Statements'!F60/'Financial Statements'!F$19</f>
        <v>0.14047849983834465</v>
      </c>
      <c r="G60" s="74">
        <f>'Financial Statements'!G60/'Financial Statements'!G$19</f>
        <v>0.14024488480747543</v>
      </c>
      <c r="H60" s="74">
        <f>'Financial Statements'!H60/'Financial Statements'!H$19</f>
        <v>0.14310682102427605</v>
      </c>
      <c r="I60" s="74">
        <f>'Financial Statements'!I60/'Financial Statements'!I$19</f>
        <v>9.9872163630552888E-2</v>
      </c>
      <c r="J60" s="74">
        <f>'Financial Statements'!J60/'Financial Statements'!J$19</f>
        <v>9.2378053638869861E-2</v>
      </c>
      <c r="K60" s="74">
        <f>'Financial Statements'!K60/'Financial Statements'!K$19</f>
        <v>9.3598803157626684E-2</v>
      </c>
      <c r="L60" s="74">
        <f>'Financial Statements'!L60/'Financial Statements'!L$19</f>
        <v>9.7735790131168024E-2</v>
      </c>
      <c r="M60" s="74">
        <f>'Financial Statements'!M60/'Financial Statements'!M$19</f>
        <v>0.14511788630317116</v>
      </c>
      <c r="N60" s="74">
        <f>'Financial Statements'!N60/'Financial Statements'!N$19</f>
        <v>0.1529429184867106</v>
      </c>
      <c r="O60" s="75"/>
      <c r="P60" s="74">
        <f>'Financial Statements'!P60/'Financial Statements'!P$19</f>
        <v>0.1529429184867106</v>
      </c>
      <c r="Q60" s="76"/>
    </row>
    <row r="61" spans="1:17" ht="12.75" customHeight="1" x14ac:dyDescent="0.2">
      <c r="A61" s="16"/>
      <c r="B61" s="16"/>
      <c r="C61" s="16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60"/>
      <c r="P61" s="73"/>
      <c r="Q61" s="2"/>
    </row>
    <row r="62" spans="1:17" ht="12.75" customHeight="1" x14ac:dyDescent="0.2">
      <c r="A62" s="2" t="str">
        <f>'Language Index'!A76</f>
        <v>Income Tax Expense</v>
      </c>
      <c r="B62" s="17"/>
      <c r="C62" s="17"/>
      <c r="D62" s="73">
        <f>'Financial Statements'!D62/'Financial Statements'!D$19</f>
        <v>-4.9731515902519622E-3</v>
      </c>
      <c r="E62" s="73">
        <f>'Financial Statements'!E62/'Financial Statements'!E$19</f>
        <v>1.8734367592486634E-2</v>
      </c>
      <c r="F62" s="73">
        <f>'Financial Statements'!F62/'Financial Statements'!F$19</f>
        <v>1.9010669253152278E-2</v>
      </c>
      <c r="G62" s="73">
        <f>'Financial Statements'!G62/'Financial Statements'!G$19</f>
        <v>8.8609634283873043E-3</v>
      </c>
      <c r="H62" s="73">
        <f>'Financial Statements'!H62/'Financial Statements'!H$19</f>
        <v>8.3539107847224441E-3</v>
      </c>
      <c r="I62" s="73">
        <f>'Financial Statements'!I62/'Financial Statements'!I$19</f>
        <v>-1.9654841802492808E-3</v>
      </c>
      <c r="J62" s="73">
        <f>'Financial Statements'!J62/'Financial Statements'!J$19</f>
        <v>-3.4739375009959685E-3</v>
      </c>
      <c r="K62" s="73">
        <f>'Financial Statements'!K62/'Financial Statements'!K$19</f>
        <v>6.1592818945760122E-3</v>
      </c>
      <c r="L62" s="73">
        <f>'Financial Statements'!L62/'Financial Statements'!L$19</f>
        <v>6.2617114303560274E-3</v>
      </c>
      <c r="M62" s="73">
        <f>'Financial Statements'!M62/'Financial Statements'!M$19</f>
        <v>2.4035962202990733E-2</v>
      </c>
      <c r="N62" s="73">
        <f>'Financial Statements'!N62/'Financial Statements'!N$19</f>
        <v>-3.5833271636928998E-3</v>
      </c>
      <c r="O62" s="60"/>
      <c r="P62" s="73">
        <f>'Financial Statements'!P62/'Financial Statements'!P$19</f>
        <v>-3.5833271636928998E-3</v>
      </c>
      <c r="Q62" s="76"/>
    </row>
    <row r="63" spans="1:17" ht="12.75" customHeight="1" x14ac:dyDescent="0.2">
      <c r="A63" s="20" t="str">
        <f>'Language Index'!A77</f>
        <v>Earnings from Cont. Ops.</v>
      </c>
      <c r="B63" s="20"/>
      <c r="C63" s="20"/>
      <c r="D63" s="74">
        <f>'Financial Statements'!D63/'Financial Statements'!D$19</f>
        <v>3.5852953325072281E-2</v>
      </c>
      <c r="E63" s="74">
        <f>'Financial Statements'!E63/'Financial Statements'!E$19</f>
        <v>0.11603537624037534</v>
      </c>
      <c r="F63" s="74">
        <f>'Financial Statements'!F63/'Financial Statements'!F$19</f>
        <v>0.12146783058519237</v>
      </c>
      <c r="G63" s="74">
        <f>'Financial Statements'!G63/'Financial Statements'!G$19</f>
        <v>0.13138392137908814</v>
      </c>
      <c r="H63" s="74">
        <f>'Financial Statements'!H63/'Financial Statements'!H$19</f>
        <v>0.1347529102395536</v>
      </c>
      <c r="I63" s="74">
        <f>'Financial Statements'!I63/'Financial Statements'!I$19</f>
        <v>0.10183764781080218</v>
      </c>
      <c r="J63" s="74">
        <f>'Financial Statements'!J63/'Financial Statements'!J$19</f>
        <v>9.5851991139865825E-2</v>
      </c>
      <c r="K63" s="74">
        <f>'Financial Statements'!K63/'Financial Statements'!K$19</f>
        <v>8.7439521263050671E-2</v>
      </c>
      <c r="L63" s="74">
        <f>'Financial Statements'!L63/'Financial Statements'!L$19</f>
        <v>9.1474078700811992E-2</v>
      </c>
      <c r="M63" s="74">
        <f>'Financial Statements'!M63/'Financial Statements'!M$19</f>
        <v>0.12108192410018043</v>
      </c>
      <c r="N63" s="74">
        <f>'Financial Statements'!N63/'Financial Statements'!N$19</f>
        <v>0.15652624565040349</v>
      </c>
      <c r="O63" s="75"/>
      <c r="P63" s="74">
        <f>'Financial Statements'!P63/'Financial Statements'!P$19</f>
        <v>0.15652624565040349</v>
      </c>
      <c r="Q63" s="76"/>
    </row>
    <row r="64" spans="1:17" ht="12.75" customHeight="1" x14ac:dyDescent="0.2">
      <c r="A64" s="16"/>
      <c r="B64" s="16"/>
      <c r="C64" s="16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60"/>
      <c r="P64" s="73"/>
      <c r="Q64" s="2"/>
    </row>
    <row r="65" spans="1:17" ht="12.75" customHeight="1" x14ac:dyDescent="0.2">
      <c r="A65" s="2" t="str">
        <f>'Language Index'!A78</f>
        <v>Earnings of Discontinued Ops.</v>
      </c>
      <c r="B65" s="17"/>
      <c r="C65" s="17"/>
      <c r="D65" s="73">
        <f>'Financial Statements'!D65/'Financial Statements'!D$19</f>
        <v>-2.3957042544403141E-3</v>
      </c>
      <c r="E65" s="73">
        <f>'Financial Statements'!E65/'Financial Statements'!E$19</f>
        <v>-2.8444851318435208E-3</v>
      </c>
      <c r="F65" s="73">
        <f>'Financial Statements'!F65/'Financial Statements'!F$19</f>
        <v>-1.9398642095053346E-4</v>
      </c>
      <c r="G65" s="73">
        <f>'Financial Statements'!G65/'Financial Statements'!G$19</f>
        <v>4.0277106492669565E-4</v>
      </c>
      <c r="H65" s="73">
        <f>'Financial Statements'!H65/'Financial Statements'!H$19</f>
        <v>4.1689382035083218E-4</v>
      </c>
      <c r="I65" s="73">
        <f>'Financial Statements'!I65/'Financial Statements'!I$19</f>
        <v>3.8350910834132309E-4</v>
      </c>
      <c r="J65" s="73">
        <f>'Financial Statements'!J65/'Financial Statements'!J$19</f>
        <v>1.2748394499067774E-4</v>
      </c>
      <c r="K65" s="73">
        <f>'Financial Statements'!K65/'Financial Statements'!K$19</f>
        <v>-3.3422459893048126E-4</v>
      </c>
      <c r="L65" s="73">
        <f>'Financial Statements'!L65/'Financial Statements'!L$19</f>
        <v>-3.9038101186758274E-4</v>
      </c>
      <c r="M65" s="73">
        <f>'Financial Statements'!M65/'Financial Statements'!M$19</f>
        <v>-1.8348062750374607E-4</v>
      </c>
      <c r="N65" s="73">
        <f>'Financial Statements'!N65/'Financial Statements'!N$19</f>
        <v>3.2575701488117272E-4</v>
      </c>
      <c r="O65" s="60"/>
      <c r="P65" s="73">
        <f>'Financial Statements'!P65/'Financial Statements'!P$19</f>
        <v>3.2575701488117272E-4</v>
      </c>
      <c r="Q65" s="76"/>
    </row>
    <row r="66" spans="1:17" ht="12.75" customHeight="1" x14ac:dyDescent="0.2">
      <c r="A66" s="2" t="str">
        <f>'Language Index'!A79</f>
        <v>Extraord. Item &amp; Account. Change</v>
      </c>
      <c r="B66" s="17"/>
      <c r="C66" s="17"/>
      <c r="D66" s="73">
        <f>'Financial Statements'!D66/'Financial Statements'!D$19</f>
        <v>0</v>
      </c>
      <c r="E66" s="73">
        <f>'Financial Statements'!E66/'Financial Statements'!E$19</f>
        <v>0</v>
      </c>
      <c r="F66" s="73">
        <f>'Financial Statements'!F66/'Financial Statements'!F$19</f>
        <v>0</v>
      </c>
      <c r="G66" s="73">
        <f>'Financial Statements'!G66/'Financial Statements'!G$19</f>
        <v>0</v>
      </c>
      <c r="H66" s="73">
        <f>'Financial Statements'!H66/'Financial Statements'!H$19</f>
        <v>0</v>
      </c>
      <c r="I66" s="73">
        <f>'Financial Statements'!I66/'Financial Statements'!I$19</f>
        <v>0</v>
      </c>
      <c r="J66" s="73">
        <f>'Financial Statements'!J66/'Financial Statements'!J$19</f>
        <v>0</v>
      </c>
      <c r="K66" s="73">
        <f>'Financial Statements'!K66/'Financial Statements'!K$19</f>
        <v>0</v>
      </c>
      <c r="L66" s="73">
        <f>'Financial Statements'!L66/'Financial Statements'!L$19</f>
        <v>0</v>
      </c>
      <c r="M66" s="73">
        <f>'Financial Statements'!M66/'Financial Statements'!M$19</f>
        <v>0</v>
      </c>
      <c r="N66" s="73">
        <f>'Financial Statements'!N66/'Financial Statements'!N$19</f>
        <v>0</v>
      </c>
      <c r="O66" s="60"/>
      <c r="P66" s="73">
        <f>'Financial Statements'!P66/'Financial Statements'!P$19</f>
        <v>0</v>
      </c>
      <c r="Q66" s="2"/>
    </row>
    <row r="67" spans="1:17" ht="12.75" customHeight="1" x14ac:dyDescent="0.2">
      <c r="A67" s="20" t="str">
        <f>'Language Index'!A80</f>
        <v>Net Income to Company</v>
      </c>
      <c r="B67" s="20"/>
      <c r="C67" s="20"/>
      <c r="D67" s="80">
        <f>'Financial Statements'!D67/'Financial Statements'!D$19</f>
        <v>3.3457249070631967E-2</v>
      </c>
      <c r="E67" s="80">
        <f>'Financial Statements'!E67/'Financial Statements'!E$19</f>
        <v>0.11319089110853182</v>
      </c>
      <c r="F67" s="80">
        <f>'Financial Statements'!F67/'Financial Statements'!F$19</f>
        <v>0.12127384416424183</v>
      </c>
      <c r="G67" s="80">
        <f>'Financial Statements'!G67/'Financial Statements'!G$19</f>
        <v>0.13178669244401484</v>
      </c>
      <c r="H67" s="80">
        <f>'Financial Statements'!H67/'Financial Statements'!H$19</f>
        <v>0.13516980405990445</v>
      </c>
      <c r="I67" s="80">
        <f>'Financial Statements'!I67/'Financial Statements'!I$19</f>
        <v>0.10222115691914349</v>
      </c>
      <c r="J67" s="80">
        <f>'Financial Statements'!J67/'Financial Statements'!J$19</f>
        <v>9.5979475084856505E-2</v>
      </c>
      <c r="K67" s="80">
        <f>'Financial Statements'!K67/'Financial Statements'!K$19</f>
        <v>8.7105296664120188E-2</v>
      </c>
      <c r="L67" s="80">
        <f>'Financial Statements'!L67/'Financial Statements'!L$19</f>
        <v>9.1083697688944407E-2</v>
      </c>
      <c r="M67" s="80">
        <f>'Financial Statements'!M67/'Financial Statements'!M$19</f>
        <v>0.12089844347267667</v>
      </c>
      <c r="N67" s="80">
        <f>'Financial Statements'!N67/'Financial Statements'!N$19</f>
        <v>0.15685200266528468</v>
      </c>
      <c r="O67" s="75"/>
      <c r="P67" s="80">
        <f>'Financial Statements'!P67/'Financial Statements'!P$19</f>
        <v>0.15685200266528468</v>
      </c>
      <c r="Q67" s="76"/>
    </row>
    <row r="68" spans="1:17" ht="12.75" customHeight="1" x14ac:dyDescent="0.2">
      <c r="A68" s="20"/>
      <c r="B68" s="20"/>
      <c r="C68" s="20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5"/>
      <c r="P68" s="78"/>
      <c r="Q68" s="76"/>
    </row>
    <row r="69" spans="1:17" ht="12.75" customHeight="1" x14ac:dyDescent="0.2">
      <c r="A69" s="2" t="str">
        <f>'Language Index'!A81</f>
        <v>Minority Int. in Earnings</v>
      </c>
      <c r="B69" s="17"/>
      <c r="C69" s="17"/>
      <c r="D69" s="73">
        <f>'Financial Statements'!D69/'Financial Statements'!D$19</f>
        <v>0</v>
      </c>
      <c r="E69" s="73">
        <f>'Financial Statements'!E69/'Financial Statements'!E$19</f>
        <v>0</v>
      </c>
      <c r="F69" s="73">
        <f>'Financial Statements'!F69/'Financial Statements'!F$19</f>
        <v>0</v>
      </c>
      <c r="G69" s="73">
        <f>'Financial Statements'!G69/'Financial Statements'!G$19</f>
        <v>0</v>
      </c>
      <c r="H69" s="73">
        <f>'Financial Statements'!H69/'Financial Statements'!H$19</f>
        <v>0</v>
      </c>
      <c r="I69" s="73">
        <f>'Financial Statements'!I69/'Financial Statements'!I$19</f>
        <v>0</v>
      </c>
      <c r="J69" s="73">
        <f>'Financial Statements'!J69/'Financial Statements'!J$19</f>
        <v>0</v>
      </c>
      <c r="K69" s="73">
        <f>'Financial Statements'!K69/'Financial Statements'!K$19</f>
        <v>0</v>
      </c>
      <c r="L69" s="73">
        <f>'Financial Statements'!L69/'Financial Statements'!L$19</f>
        <v>0</v>
      </c>
      <c r="M69" s="73">
        <f>'Financial Statements'!M69/'Financial Statements'!M$19</f>
        <v>0</v>
      </c>
      <c r="N69" s="73">
        <f>'Financial Statements'!N69/'Financial Statements'!N$19</f>
        <v>0</v>
      </c>
      <c r="O69" s="60"/>
      <c r="P69" s="73">
        <f>'Financial Statements'!P69/'Financial Statements'!P$19</f>
        <v>0</v>
      </c>
      <c r="Q69" s="2"/>
    </row>
    <row r="70" spans="1:17" ht="12.75" customHeight="1" thickBot="1" x14ac:dyDescent="0.25">
      <c r="A70" s="20" t="str">
        <f>'Language Index'!A82</f>
        <v>Net Income to Parent</v>
      </c>
      <c r="B70" s="17"/>
      <c r="C70" s="17"/>
      <c r="D70" s="79">
        <f>'Financial Statements'!D70/'Financial Statements'!D$19</f>
        <v>3.3457249070631967E-2</v>
      </c>
      <c r="E70" s="79">
        <f>'Financial Statements'!E70/'Financial Statements'!E$19</f>
        <v>0.11319089110853182</v>
      </c>
      <c r="F70" s="79">
        <f>'Financial Statements'!F70/'Financial Statements'!F$19</f>
        <v>0.12127384416424183</v>
      </c>
      <c r="G70" s="79">
        <f>'Financial Statements'!G70/'Financial Statements'!G$19</f>
        <v>0.13178669244401484</v>
      </c>
      <c r="H70" s="79">
        <f>'Financial Statements'!H70/'Financial Statements'!H$19</f>
        <v>0.13516980405990445</v>
      </c>
      <c r="I70" s="79">
        <f>'Financial Statements'!I70/'Financial Statements'!I$19</f>
        <v>0.10222115691914349</v>
      </c>
      <c r="J70" s="79">
        <f>'Financial Statements'!J70/'Financial Statements'!J$19</f>
        <v>9.5979475084856505E-2</v>
      </c>
      <c r="K70" s="79">
        <f>'Financial Statements'!K70/'Financial Statements'!K$19</f>
        <v>8.7105296664120188E-2</v>
      </c>
      <c r="L70" s="79">
        <f>'Financial Statements'!L70/'Financial Statements'!L$19</f>
        <v>9.1083697688944407E-2</v>
      </c>
      <c r="M70" s="79">
        <f>'Financial Statements'!M70/'Financial Statements'!M$19</f>
        <v>0.12089844347267667</v>
      </c>
      <c r="N70" s="79">
        <f>'Financial Statements'!N70/'Financial Statements'!N$19</f>
        <v>0.15685200266528468</v>
      </c>
      <c r="O70" s="60"/>
      <c r="P70" s="79">
        <f>'Financial Statements'!P70/'Financial Statements'!P$19</f>
        <v>0.15685200266528468</v>
      </c>
      <c r="Q70" s="2"/>
    </row>
    <row r="71" spans="1:17" ht="12.75" customHeight="1" thickTop="1" x14ac:dyDescent="0.2">
      <c r="A71" s="16"/>
      <c r="B71" s="16"/>
      <c r="C71" s="16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60"/>
      <c r="P71" s="73"/>
      <c r="Q71" s="2"/>
    </row>
    <row r="72" spans="1:17" ht="12.75" customHeight="1" x14ac:dyDescent="0.2">
      <c r="A72" s="2" t="str">
        <f>'Language Index'!A83</f>
        <v>Pref. Dividends and Other Adj.</v>
      </c>
      <c r="B72" s="17"/>
      <c r="C72" s="17"/>
      <c r="D72" s="73">
        <f>'Financial Statements'!D72/'Financial Statements'!D$19</f>
        <v>0</v>
      </c>
      <c r="E72" s="73">
        <f>'Financial Statements'!E72/'Financial Statements'!E$19</f>
        <v>0</v>
      </c>
      <c r="F72" s="73">
        <f>'Financial Statements'!F72/'Financial Statements'!F$19</f>
        <v>0</v>
      </c>
      <c r="G72" s="73">
        <f>'Financial Statements'!G72/'Financial Statements'!G$19</f>
        <v>0</v>
      </c>
      <c r="H72" s="73">
        <f>'Financial Statements'!H72/'Financial Statements'!H$19</f>
        <v>0</v>
      </c>
      <c r="I72" s="73">
        <f>'Financial Statements'!I72/'Financial Statements'!I$19</f>
        <v>0</v>
      </c>
      <c r="J72" s="73">
        <f>'Financial Statements'!J72/'Financial Statements'!J$19</f>
        <v>0</v>
      </c>
      <c r="K72" s="73">
        <f>'Financial Statements'!K72/'Financial Statements'!K$19</f>
        <v>0</v>
      </c>
      <c r="L72" s="73">
        <f>'Financial Statements'!L72/'Financial Statements'!L$19</f>
        <v>0</v>
      </c>
      <c r="M72" s="73">
        <f>'Financial Statements'!M72/'Financial Statements'!M$19</f>
        <v>0</v>
      </c>
      <c r="N72" s="73">
        <f>'Financial Statements'!N72/'Financial Statements'!N$19</f>
        <v>0</v>
      </c>
      <c r="O72" s="60"/>
      <c r="P72" s="73">
        <f>'Financial Statements'!P72/'Financial Statements'!P$19</f>
        <v>0</v>
      </c>
      <c r="Q72" s="76"/>
    </row>
    <row r="73" spans="1:17" ht="12.75" customHeight="1" x14ac:dyDescent="0.2">
      <c r="A73" s="16"/>
      <c r="B73" s="16"/>
      <c r="C73" s="16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60"/>
      <c r="P73" s="73"/>
      <c r="Q73" s="76"/>
    </row>
    <row r="74" spans="1:17" ht="12.75" customHeight="1" x14ac:dyDescent="0.2">
      <c r="A74" s="20" t="str">
        <f>'Language Index'!A84</f>
        <v>NI to Common Incl Extra Items</v>
      </c>
      <c r="B74" s="20"/>
      <c r="C74" s="20"/>
      <c r="D74" s="78">
        <f>'Financial Statements'!D74/'Financial Statements'!D$19</f>
        <v>3.3457249070631967E-2</v>
      </c>
      <c r="E74" s="78">
        <f>'Financial Statements'!E74/'Financial Statements'!E$19</f>
        <v>0.11319089110853182</v>
      </c>
      <c r="F74" s="78">
        <f>'Financial Statements'!F74/'Financial Statements'!F$19</f>
        <v>0.12127384416424183</v>
      </c>
      <c r="G74" s="78">
        <f>'Financial Statements'!G74/'Financial Statements'!G$19</f>
        <v>0.13178669244401484</v>
      </c>
      <c r="H74" s="78">
        <f>'Financial Statements'!H74/'Financial Statements'!H$19</f>
        <v>0.13516980405990445</v>
      </c>
      <c r="I74" s="78">
        <f>'Financial Statements'!I74/'Financial Statements'!I$19</f>
        <v>0.10222115691914349</v>
      </c>
      <c r="J74" s="78">
        <f>'Financial Statements'!J74/'Financial Statements'!J$19</f>
        <v>9.5979475084856505E-2</v>
      </c>
      <c r="K74" s="78">
        <f>'Financial Statements'!K74/'Financial Statements'!K$19</f>
        <v>8.7105296664120188E-2</v>
      </c>
      <c r="L74" s="78">
        <f>'Financial Statements'!L74/'Financial Statements'!L$19</f>
        <v>9.1083697688944407E-2</v>
      </c>
      <c r="M74" s="78">
        <f>'Financial Statements'!M74/'Financial Statements'!M$19</f>
        <v>0.12089844347267667</v>
      </c>
      <c r="N74" s="78">
        <f>'Financial Statements'!N74/'Financial Statements'!N$19</f>
        <v>0.15685200266528468</v>
      </c>
      <c r="O74" s="75"/>
      <c r="P74" s="78">
        <f>'Financial Statements'!P74/'Financial Statements'!P$19</f>
        <v>0.15685200266528468</v>
      </c>
      <c r="Q74" s="76"/>
    </row>
    <row r="75" spans="1:17" ht="12.75" customHeight="1" x14ac:dyDescent="0.2">
      <c r="A75" s="20" t="str">
        <f>'Language Index'!A85</f>
        <v>NI to Common Excl Extra Items</v>
      </c>
      <c r="B75" s="20"/>
      <c r="C75" s="20"/>
      <c r="D75" s="78">
        <f>'Financial Statements'!D75/'Financial Statements'!D$19</f>
        <v>3.5852953325072281E-2</v>
      </c>
      <c r="E75" s="78">
        <f>'Financial Statements'!E75/'Financial Statements'!E$19</f>
        <v>0.11603537624037534</v>
      </c>
      <c r="F75" s="78">
        <f>'Financial Statements'!F75/'Financial Statements'!F$19</f>
        <v>0.12146783058519237</v>
      </c>
      <c r="G75" s="78">
        <f>'Financial Statements'!G75/'Financial Statements'!G$19</f>
        <v>0.13138392137908814</v>
      </c>
      <c r="H75" s="78">
        <f>'Financial Statements'!H75/'Financial Statements'!H$19</f>
        <v>0.1347529102395536</v>
      </c>
      <c r="I75" s="78">
        <f>'Financial Statements'!I75/'Financial Statements'!I$19</f>
        <v>0.10183764781080218</v>
      </c>
      <c r="J75" s="78">
        <f>'Financial Statements'!J75/'Financial Statements'!J$19</f>
        <v>9.5851991139865825E-2</v>
      </c>
      <c r="K75" s="78">
        <f>'Financial Statements'!K75/'Financial Statements'!K$19</f>
        <v>8.7439521263050671E-2</v>
      </c>
      <c r="L75" s="78">
        <f>'Financial Statements'!L75/'Financial Statements'!L$19</f>
        <v>9.1474078700811992E-2</v>
      </c>
      <c r="M75" s="78">
        <f>'Financial Statements'!M75/'Financial Statements'!M$19</f>
        <v>0.12108192410018043</v>
      </c>
      <c r="N75" s="78">
        <f>'Financial Statements'!N75/'Financial Statements'!N$19</f>
        <v>0.15652624565040349</v>
      </c>
      <c r="O75" s="75"/>
      <c r="P75" s="78">
        <f>'Financial Statements'!P75/'Financial Statements'!P$19</f>
        <v>0.15652624565040349</v>
      </c>
      <c r="Q75" s="76"/>
    </row>
    <row r="76" spans="1:17" ht="12.75" customHeight="1" x14ac:dyDescent="0.2">
      <c r="A76" s="28"/>
      <c r="B76" s="28"/>
      <c r="C76" s="28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</row>
    <row r="77" spans="1:17" ht="12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2"/>
    </row>
    <row r="78" spans="1:17" ht="12.75" customHeight="1" x14ac:dyDescent="0.2">
      <c r="A78" s="9" t="str">
        <f>UPPER('Language Index'!A30)</f>
        <v>BALANCE SHEET</v>
      </c>
      <c r="B78" s="1"/>
      <c r="C78" s="1"/>
      <c r="D78" s="14" t="str">
        <f>D9</f>
        <v>Last Twelve Months Ended,</v>
      </c>
      <c r="E78" s="14"/>
      <c r="F78" s="15"/>
      <c r="G78" s="15"/>
      <c r="H78" s="15"/>
      <c r="I78" s="15"/>
      <c r="J78" s="15"/>
      <c r="K78" s="15"/>
      <c r="L78" s="15"/>
      <c r="M78" s="15"/>
      <c r="N78" s="15"/>
      <c r="O78" s="4"/>
      <c r="P78" s="14" t="str">
        <f>'Language Index'!A14</f>
        <v>LTM</v>
      </c>
      <c r="Q78" s="2"/>
    </row>
    <row r="79" spans="1:17" ht="12.75" customHeight="1" x14ac:dyDescent="0.2">
      <c r="A79" s="2"/>
      <c r="B79" s="2"/>
      <c r="C79" s="2"/>
      <c r="D79" s="72">
        <f>D$10</f>
        <v>45107</v>
      </c>
      <c r="E79" s="72">
        <f t="shared" ref="E79:P79" si="0">E$10</f>
        <v>45199</v>
      </c>
      <c r="F79" s="72">
        <f t="shared" si="0"/>
        <v>45291</v>
      </c>
      <c r="G79" s="72">
        <f t="shared" si="0"/>
        <v>45382</v>
      </c>
      <c r="H79" s="72">
        <f t="shared" si="0"/>
        <v>45473</v>
      </c>
      <c r="I79" s="72">
        <f t="shared" si="0"/>
        <v>45565</v>
      </c>
      <c r="J79" s="72">
        <f t="shared" si="0"/>
        <v>45657</v>
      </c>
      <c r="K79" s="72">
        <f t="shared" si="0"/>
        <v>45747</v>
      </c>
      <c r="L79" s="72">
        <f t="shared" si="0"/>
        <v>45838</v>
      </c>
      <c r="M79" s="72">
        <f t="shared" si="0"/>
        <v>45930</v>
      </c>
      <c r="N79" s="72">
        <f t="shared" si="0"/>
        <v>46022</v>
      </c>
      <c r="O79" s="82"/>
      <c r="P79" s="72">
        <f t="shared" si="0"/>
        <v>46022</v>
      </c>
      <c r="Q79" s="2"/>
    </row>
    <row r="80" spans="1:17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2"/>
    </row>
    <row r="81" spans="1:17" ht="12.75" customHeight="1" x14ac:dyDescent="0.2">
      <c r="A81" s="9" t="str">
        <f>'Language Index'!A300</f>
        <v>ASSETS</v>
      </c>
      <c r="B81" s="44"/>
      <c r="C81" s="4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2.75" customHeight="1" x14ac:dyDescent="0.2">
      <c r="A82" s="2" t="str">
        <f>'Language Index'!A301</f>
        <v>Cash And Equivalents</v>
      </c>
      <c r="B82" s="17"/>
      <c r="C82" s="17"/>
      <c r="D82" s="73">
        <f>'Financial Statements'!D335/'Financial Statements'!D$369</f>
        <v>7.10520145522755E-2</v>
      </c>
      <c r="E82" s="73">
        <f>'Financial Statements'!E335/'Financial Statements'!E$369</f>
        <v>5.6116176027095364E-2</v>
      </c>
      <c r="F82" s="73">
        <f>'Financial Statements'!F335/'Financial Statements'!F$369</f>
        <v>9.6627502014921512E-2</v>
      </c>
      <c r="G82" s="73">
        <f>'Financial Statements'!G335/'Financial Statements'!G$369</f>
        <v>0.10645991441214851</v>
      </c>
      <c r="H82" s="73">
        <f>'Financial Statements'!H335/'Financial Statements'!H$369</f>
        <v>9.122287968441814E-2</v>
      </c>
      <c r="I82" s="73">
        <f>'Financial Statements'!I335/'Financial Statements'!I$369</f>
        <v>9.8236550815474291E-2</v>
      </c>
      <c r="J82" s="73">
        <f>'Financial Statements'!J335/'Financial Statements'!J$369</f>
        <v>0.10167304537998907</v>
      </c>
      <c r="K82" s="73">
        <f>'Financial Statements'!K335/'Financial Statements'!K$369</f>
        <v>7.5754975389072332E-2</v>
      </c>
      <c r="L82" s="73">
        <f>'Financial Statements'!L335/'Financial Statements'!L$369</f>
        <v>8.037823468048591E-2</v>
      </c>
      <c r="M82" s="73">
        <f>'Financial Statements'!M335/'Financial Statements'!M$369</f>
        <v>7.9070752911586203E-2</v>
      </c>
      <c r="N82" s="73">
        <f>'Financial Statements'!N335/'Financial Statements'!N$369</f>
        <v>8.9458783249934157E-2</v>
      </c>
      <c r="O82" s="60"/>
      <c r="P82" s="73">
        <f>'Financial Statements'!P335/'Financial Statements'!P$369</f>
        <v>8.9458783249934157E-2</v>
      </c>
      <c r="Q82" s="60"/>
    </row>
    <row r="83" spans="1:17" ht="12.75" customHeight="1" x14ac:dyDescent="0.2">
      <c r="A83" s="2" t="str">
        <f>'Language Index'!A302</f>
        <v>Short Term Investments</v>
      </c>
      <c r="B83" s="17"/>
      <c r="C83" s="17"/>
      <c r="D83" s="73">
        <f>'Financial Statements'!D336/'Financial Statements'!D$369</f>
        <v>5.2218768199798808E-2</v>
      </c>
      <c r="E83" s="73">
        <f>'Financial Statements'!E336/'Financial Statements'!E$369</f>
        <v>2.8773362408270893E-2</v>
      </c>
      <c r="F83" s="73">
        <f>'Financial Statements'!F336/'Financial Statements'!F$369</f>
        <v>2.7580393519716652E-3</v>
      </c>
      <c r="G83" s="73">
        <f>'Financial Statements'!G336/'Financial Statements'!G$369</f>
        <v>3.2893729632788749E-2</v>
      </c>
      <c r="H83" s="73">
        <f>'Financial Statements'!H336/'Financial Statements'!H$369</f>
        <v>1.1064789910943756E-2</v>
      </c>
      <c r="I83" s="73">
        <f>'Financial Statements'!I336/'Financial Statements'!I$369</f>
        <v>3.759146636494242E-3</v>
      </c>
      <c r="J83" s="73">
        <f>'Financial Statements'!J336/'Financial Statements'!J$369</f>
        <v>4.6947330052852197E-3</v>
      </c>
      <c r="K83" s="73">
        <f>'Financial Statements'!K336/'Financial Statements'!K$369</f>
        <v>4.4141775419278217E-2</v>
      </c>
      <c r="L83" s="73">
        <f>'Financial Statements'!L336/'Financial Statements'!L$369</f>
        <v>2.3582461217484942E-2</v>
      </c>
      <c r="M83" s="73">
        <f>'Financial Statements'!M336/'Financial Statements'!M$369</f>
        <v>2.2458855049483296E-2</v>
      </c>
      <c r="N83" s="73">
        <f>'Financial Statements'!N336/'Financial Statements'!N$369</f>
        <v>5.4648406636818537E-3</v>
      </c>
      <c r="O83" s="60"/>
      <c r="P83" s="73">
        <f>'Financial Statements'!P336/'Financial Statements'!P$369</f>
        <v>5.4648406636818537E-3</v>
      </c>
      <c r="Q83" s="60"/>
    </row>
    <row r="84" spans="1:17" ht="12.75" customHeight="1" x14ac:dyDescent="0.2">
      <c r="A84" s="2" t="str">
        <f>'Language Index'!A303</f>
        <v>Trading Asset Securities</v>
      </c>
      <c r="B84" s="17"/>
      <c r="C84" s="17"/>
      <c r="D84" s="73">
        <f>'Financial Statements'!D337/'Financial Statements'!D$369</f>
        <v>0</v>
      </c>
      <c r="E84" s="73">
        <f>'Financial Statements'!E337/'Financial Statements'!E$369</f>
        <v>0</v>
      </c>
      <c r="F84" s="73">
        <f>'Financial Statements'!F337/'Financial Statements'!F$369</f>
        <v>0</v>
      </c>
      <c r="G84" s="73">
        <f>'Financial Statements'!G337/'Financial Statements'!G$369</f>
        <v>0</v>
      </c>
      <c r="H84" s="73">
        <f>'Financial Statements'!H337/'Financial Statements'!H$369</f>
        <v>0</v>
      </c>
      <c r="I84" s="73">
        <f>'Financial Statements'!I337/'Financial Statements'!I$369</f>
        <v>0</v>
      </c>
      <c r="J84" s="73">
        <f>'Financial Statements'!J337/'Financial Statements'!J$369</f>
        <v>0</v>
      </c>
      <c r="K84" s="73">
        <f>'Financial Statements'!K337/'Financial Statements'!K$369</f>
        <v>0</v>
      </c>
      <c r="L84" s="73">
        <f>'Financial Statements'!L337/'Financial Statements'!L$369</f>
        <v>0</v>
      </c>
      <c r="M84" s="73">
        <f>'Financial Statements'!M337/'Financial Statements'!M$369</f>
        <v>0</v>
      </c>
      <c r="N84" s="73">
        <f>'Financial Statements'!N337/'Financial Statements'!N$369</f>
        <v>0</v>
      </c>
      <c r="O84" s="60"/>
      <c r="P84" s="73">
        <f>'Financial Statements'!P337/'Financial Statements'!P$369</f>
        <v>0</v>
      </c>
      <c r="Q84" s="60"/>
    </row>
    <row r="85" spans="1:17" ht="12.75" customHeight="1" x14ac:dyDescent="0.2">
      <c r="A85" s="20" t="str">
        <f>'Language Index'!A304</f>
        <v>Total Cash &amp; ST Investments</v>
      </c>
      <c r="B85" s="20"/>
      <c r="C85" s="20"/>
      <c r="D85" s="74">
        <f>'Financial Statements'!D338/'Financial Statements'!D$369</f>
        <v>0.1232707827520743</v>
      </c>
      <c r="E85" s="74">
        <f>'Financial Statements'!E338/'Financial Statements'!E$369</f>
        <v>8.4889538435366257E-2</v>
      </c>
      <c r="F85" s="74">
        <f>'Financial Statements'!F338/'Financial Statements'!F$369</f>
        <v>9.9385541366893176E-2</v>
      </c>
      <c r="G85" s="74">
        <f>'Financial Statements'!G338/'Financial Statements'!G$369</f>
        <v>0.13935364404493727</v>
      </c>
      <c r="H85" s="74">
        <f>'Financial Statements'!H338/'Financial Statements'!H$369</f>
        <v>0.1022876695953619</v>
      </c>
      <c r="I85" s="74">
        <f>'Financial Statements'!I338/'Financial Statements'!I$369</f>
        <v>0.10199569745196853</v>
      </c>
      <c r="J85" s="74">
        <f>'Financial Statements'!J338/'Financial Statements'!J$369</f>
        <v>0.10636777838527428</v>
      </c>
      <c r="K85" s="74">
        <f>'Financial Statements'!K338/'Financial Statements'!K$369</f>
        <v>0.11989675080835055</v>
      </c>
      <c r="L85" s="74">
        <f>'Financial Statements'!L338/'Financial Statements'!L$369</f>
        <v>0.10396069589797086</v>
      </c>
      <c r="M85" s="74">
        <f>'Financial Statements'!M338/'Financial Statements'!M$369</f>
        <v>0.1015296079610695</v>
      </c>
      <c r="N85" s="74">
        <f>'Financial Statements'!N338/'Financial Statements'!N$369</f>
        <v>9.4923623913616015E-2</v>
      </c>
      <c r="O85" s="75"/>
      <c r="P85" s="74">
        <f>'Financial Statements'!P338/'Financial Statements'!P$369</f>
        <v>9.4923623913616015E-2</v>
      </c>
      <c r="Q85" s="75"/>
    </row>
    <row r="86" spans="1:17" ht="12.75" customHeight="1" x14ac:dyDescent="0.2">
      <c r="A86" s="16"/>
      <c r="B86" s="16"/>
      <c r="C86" s="16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60"/>
      <c r="P86" s="73"/>
      <c r="Q86" s="60"/>
    </row>
    <row r="87" spans="1:17" ht="12.75" customHeight="1" x14ac:dyDescent="0.2">
      <c r="A87" s="2" t="str">
        <f>'Language Index'!A305</f>
        <v>Accounts Receivable</v>
      </c>
      <c r="B87" s="17"/>
      <c r="C87" s="17"/>
      <c r="D87" s="73">
        <f>'Financial Statements'!D340/'Financial Statements'!D$369</f>
        <v>4.6288942842231853E-2</v>
      </c>
      <c r="E87" s="73">
        <f>'Financial Statements'!E340/'Financial Statements'!E$369</f>
        <v>4.4725914584638225E-2</v>
      </c>
      <c r="F87" s="73">
        <f>'Financial Statements'!F340/'Financial Statements'!F$369</f>
        <v>5.7075886750319799E-2</v>
      </c>
      <c r="G87" s="73">
        <f>'Financial Statements'!G340/'Financial Statements'!G$369</f>
        <v>4.7882539057658803E-2</v>
      </c>
      <c r="H87" s="73">
        <f>'Financial Statements'!H340/'Financial Statements'!H$369</f>
        <v>4.7135556750941367E-2</v>
      </c>
      <c r="I87" s="73">
        <f>'Financial Statements'!I340/'Financial Statements'!I$369</f>
        <v>4.438026187480925E-2</v>
      </c>
      <c r="J87" s="73">
        <f>'Financial Statements'!J340/'Financial Statements'!J$369</f>
        <v>5.2757426644796795E-2</v>
      </c>
      <c r="K87" s="73">
        <f>'Financial Statements'!K340/'Financial Statements'!K$369</f>
        <v>4.3400358351582721E-2</v>
      </c>
      <c r="L87" s="73">
        <f>'Financial Statements'!L340/'Financial Statements'!L$369</f>
        <v>4.3537369182622743E-2</v>
      </c>
      <c r="M87" s="73">
        <f>'Financial Statements'!M340/'Financial Statements'!M$369</f>
        <v>4.1452512439171085E-2</v>
      </c>
      <c r="N87" s="73">
        <f>'Financial Statements'!N340/'Financial Statements'!N$369</f>
        <v>5.6584145377929947E-2</v>
      </c>
      <c r="O87" s="60"/>
      <c r="P87" s="73">
        <f>'Financial Statements'!P340/'Financial Statements'!P$369</f>
        <v>5.6584145377929947E-2</v>
      </c>
      <c r="Q87" s="60"/>
    </row>
    <row r="88" spans="1:17" ht="12.75" customHeight="1" x14ac:dyDescent="0.2">
      <c r="A88" s="2" t="str">
        <f>'Language Index'!A306</f>
        <v>Other Receivables</v>
      </c>
      <c r="B88" s="17"/>
      <c r="C88" s="17"/>
      <c r="D88" s="73">
        <f>'Financial Statements'!D341/'Financial Statements'!D$369</f>
        <v>5.9903337795829455E-3</v>
      </c>
      <c r="E88" s="73">
        <f>'Financial Statements'!E341/'Financial Statements'!E$369</f>
        <v>5.6448681961939673E-3</v>
      </c>
      <c r="F88" s="73">
        <f>'Financial Statements'!F341/'Financial Statements'!F$369</f>
        <v>4.6509564407243367E-3</v>
      </c>
      <c r="G88" s="73">
        <f>'Financial Statements'!G341/'Financial Statements'!G$369</f>
        <v>5.0448716546741615E-3</v>
      </c>
      <c r="H88" s="73">
        <f>'Financial Statements'!H341/'Financial Statements'!H$369</f>
        <v>5.2372840834379293E-3</v>
      </c>
      <c r="I88" s="73">
        <f>'Financial Statements'!I341/'Financial Statements'!I$369</f>
        <v>6.870677911849872E-3</v>
      </c>
      <c r="J88" s="73">
        <f>'Financial Statements'!J341/'Financial Statements'!J$369</f>
        <v>6.9035903043557501E-3</v>
      </c>
      <c r="K88" s="73">
        <f>'Financial Statements'!K341/'Financial Statements'!K$369</f>
        <v>6.130420754185917E-3</v>
      </c>
      <c r="L88" s="73">
        <f>'Financial Statements'!L341/'Financial Statements'!L$369</f>
        <v>7.8204394790860454E-3</v>
      </c>
      <c r="M88" s="73">
        <f>'Financial Statements'!M341/'Financial Statements'!M$369</f>
        <v>7.928262890261906E-3</v>
      </c>
      <c r="N88" s="73">
        <f>'Financial Statements'!N341/'Financial Statements'!N$369</f>
        <v>6.926520937582302E-3</v>
      </c>
      <c r="O88" s="60"/>
      <c r="P88" s="73">
        <f>'Financial Statements'!P341/'Financial Statements'!P$369</f>
        <v>6.926520937582302E-3</v>
      </c>
      <c r="Q88" s="60"/>
    </row>
    <row r="89" spans="1:17" ht="12.75" customHeight="1" x14ac:dyDescent="0.2">
      <c r="A89" s="2" t="str">
        <f>'Language Index'!A307</f>
        <v>Notes Receivable</v>
      </c>
      <c r="B89" s="17"/>
      <c r="C89" s="17"/>
      <c r="D89" s="73">
        <f>'Financial Statements'!D342/'Financial Statements'!D$369</f>
        <v>0</v>
      </c>
      <c r="E89" s="73">
        <f>'Financial Statements'!E342/'Financial Statements'!E$369</f>
        <v>0</v>
      </c>
      <c r="F89" s="73">
        <f>'Financial Statements'!F342/'Financial Statements'!F$369</f>
        <v>0</v>
      </c>
      <c r="G89" s="73">
        <f>'Financial Statements'!G342/'Financial Statements'!G$369</f>
        <v>0</v>
      </c>
      <c r="H89" s="73">
        <f>'Financial Statements'!H342/'Financial Statements'!H$369</f>
        <v>0</v>
      </c>
      <c r="I89" s="73">
        <f>'Financial Statements'!I342/'Financial Statements'!I$369</f>
        <v>0</v>
      </c>
      <c r="J89" s="73">
        <f>'Financial Statements'!J342/'Financial Statements'!J$369</f>
        <v>0</v>
      </c>
      <c r="K89" s="73">
        <f>'Financial Statements'!K342/'Financial Statements'!K$369</f>
        <v>0</v>
      </c>
      <c r="L89" s="73">
        <f>'Financial Statements'!L342/'Financial Statements'!L$369</f>
        <v>0</v>
      </c>
      <c r="M89" s="73">
        <f>'Financial Statements'!M342/'Financial Statements'!M$369</f>
        <v>0</v>
      </c>
      <c r="N89" s="73">
        <f>'Financial Statements'!N342/'Financial Statements'!N$369</f>
        <v>0</v>
      </c>
      <c r="O89" s="60"/>
      <c r="P89" s="73">
        <f>'Financial Statements'!P342/'Financial Statements'!P$369</f>
        <v>0</v>
      </c>
      <c r="Q89" s="60"/>
    </row>
    <row r="90" spans="1:17" ht="12.75" customHeight="1" x14ac:dyDescent="0.2">
      <c r="A90" s="20" t="str">
        <f>'Language Index'!A308</f>
        <v>Total Receivables</v>
      </c>
      <c r="B90" s="20"/>
      <c r="C90" s="20"/>
      <c r="D90" s="74">
        <f>'Financial Statements'!D343/'Financial Statements'!D$369</f>
        <v>5.2279276621814801E-2</v>
      </c>
      <c r="E90" s="74">
        <f>'Financial Statements'!E343/'Financial Statements'!E$369</f>
        <v>5.0370782780832193E-2</v>
      </c>
      <c r="F90" s="74">
        <f>'Financial Statements'!F343/'Financial Statements'!F$369</f>
        <v>6.1726843191044135E-2</v>
      </c>
      <c r="G90" s="74">
        <f>'Financial Statements'!G343/'Financial Statements'!G$369</f>
        <v>5.2927410712332965E-2</v>
      </c>
      <c r="H90" s="74">
        <f>'Financial Statements'!H343/'Financial Statements'!H$369</f>
        <v>5.2372840834379299E-2</v>
      </c>
      <c r="I90" s="74">
        <f>'Financial Statements'!I343/'Financial Statements'!I$369</f>
        <v>5.1250939786659122E-2</v>
      </c>
      <c r="J90" s="74">
        <f>'Financial Statements'!J343/'Financial Statements'!J$369</f>
        <v>5.9661016949152545E-2</v>
      </c>
      <c r="K90" s="74">
        <f>'Financial Statements'!K343/'Financial Statements'!K$369</f>
        <v>4.9530779105768634E-2</v>
      </c>
      <c r="L90" s="74">
        <f>'Financial Statements'!L343/'Financial Statements'!L$369</f>
        <v>5.1357808661708783E-2</v>
      </c>
      <c r="M90" s="74">
        <f>'Financial Statements'!M343/'Financial Statements'!M$369</f>
        <v>4.938077532943299E-2</v>
      </c>
      <c r="N90" s="74">
        <f>'Financial Statements'!N343/'Financial Statements'!N$369</f>
        <v>6.3510666315512249E-2</v>
      </c>
      <c r="O90" s="75"/>
      <c r="P90" s="74">
        <f>'Financial Statements'!P343/'Financial Statements'!P$369</f>
        <v>6.3510666315512249E-2</v>
      </c>
      <c r="Q90" s="75"/>
    </row>
    <row r="91" spans="1:17" ht="12.75" customHeight="1" x14ac:dyDescent="0.2">
      <c r="A91" s="16"/>
      <c r="B91" s="16"/>
      <c r="C91" s="16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60"/>
      <c r="P91" s="73"/>
      <c r="Q91" s="60"/>
    </row>
    <row r="92" spans="1:17" ht="12.75" customHeight="1" x14ac:dyDescent="0.2">
      <c r="A92" s="2" t="str">
        <f>'Language Index'!A309</f>
        <v>Inventory</v>
      </c>
      <c r="B92" s="17"/>
      <c r="C92" s="17"/>
      <c r="D92" s="73">
        <f>'Financial Statements'!D345/'Financial Statements'!D$369</f>
        <v>1.1352892680750001E-2</v>
      </c>
      <c r="E92" s="73">
        <f>'Financial Statements'!E345/'Financial Statements'!E$369</f>
        <v>1.0810309230519404E-2</v>
      </c>
      <c r="F92" s="73">
        <f>'Financial Statements'!F345/'Financial Statements'!F$369</f>
        <v>8.5846747657884817E-3</v>
      </c>
      <c r="G92" s="73">
        <f>'Financial Statements'!G345/'Financial Statements'!G$369</f>
        <v>8.8358156726374027E-3</v>
      </c>
      <c r="H92" s="73">
        <f>'Financial Statements'!H345/'Financial Statements'!H$369</f>
        <v>9.2194130655669122E-3</v>
      </c>
      <c r="I92" s="73">
        <f>'Financial Statements'!I345/'Financial Statements'!I$369</f>
        <v>1.0183193264800244E-2</v>
      </c>
      <c r="J92" s="73">
        <f>'Financial Statements'!J345/'Financial Statements'!J$369</f>
        <v>9.3967559686531799E-3</v>
      </c>
      <c r="K92" s="73">
        <f>'Financial Statements'!K345/'Financial Statements'!K$369</f>
        <v>9.8237761469653385E-3</v>
      </c>
      <c r="L92" s="73">
        <f>'Financial Statements'!L345/'Financial Statements'!L$369</f>
        <v>8.4194232257630321E-3</v>
      </c>
      <c r="M92" s="73">
        <f>'Financial Statements'!M345/'Financial Statements'!M$369</f>
        <v>9.5480890152550707E-3</v>
      </c>
      <c r="N92" s="73">
        <f>'Financial Statements'!N345/'Financial Statements'!N$369</f>
        <v>8.0326573610745317E-3</v>
      </c>
      <c r="O92" s="60"/>
      <c r="P92" s="73">
        <f>'Financial Statements'!P345/'Financial Statements'!P$369</f>
        <v>8.0326573610745317E-3</v>
      </c>
      <c r="Q92" s="60"/>
    </row>
    <row r="93" spans="1:17" ht="12.75" customHeight="1" x14ac:dyDescent="0.2">
      <c r="A93" s="2" t="str">
        <f>'Language Index'!A310</f>
        <v>Prepaid Exp.</v>
      </c>
      <c r="B93" s="17"/>
      <c r="C93" s="17"/>
      <c r="D93" s="73">
        <f>'Financial Statements'!D346/'Financial Statements'!D$369</f>
        <v>1.4476639967325452E-2</v>
      </c>
      <c r="E93" s="73">
        <f>'Financial Statements'!E346/'Financial Statements'!E$369</f>
        <v>1.3122385382111182E-2</v>
      </c>
      <c r="F93" s="73">
        <f>'Financial Statements'!F346/'Financial Statements'!F$369</f>
        <v>1.3531399501630422E-2</v>
      </c>
      <c r="G93" s="73">
        <f>'Financial Statements'!G346/'Financial Statements'!G$369</f>
        <v>1.4208749790404537E-2</v>
      </c>
      <c r="H93" s="73">
        <f>'Financial Statements'!H346/'Financial Statements'!H$369</f>
        <v>1.3597513597513598E-2</v>
      </c>
      <c r="I93" s="73">
        <f>'Financial Statements'!I346/'Financial Statements'!I$369</f>
        <v>1.3041633479481014E-2</v>
      </c>
      <c r="J93" s="73">
        <f>'Financial Statements'!J346/'Financial Statements'!J$369</f>
        <v>1.1022416621104428E-2</v>
      </c>
      <c r="K93" s="73">
        <f>'Financial Statements'!K346/'Financial Statements'!K$369</f>
        <v>1.4011409584875092E-2</v>
      </c>
      <c r="L93" s="73">
        <f>'Financial Statements'!L346/'Financial Statements'!L$369</f>
        <v>1.3271864589292325E-2</v>
      </c>
      <c r="M93" s="73">
        <f>'Financial Statements'!M346/'Financial Statements'!M$369</f>
        <v>1.300645196566242E-2</v>
      </c>
      <c r="N93" s="73">
        <f>'Financial Statements'!N346/'Financial Statements'!N$369</f>
        <v>1.195680800632078E-2</v>
      </c>
      <c r="O93" s="60"/>
      <c r="P93" s="73">
        <f>'Financial Statements'!P346/'Financial Statements'!P$369</f>
        <v>1.195680800632078E-2</v>
      </c>
      <c r="Q93" s="60"/>
    </row>
    <row r="94" spans="1:17" ht="12.75" customHeight="1" x14ac:dyDescent="0.2">
      <c r="A94" s="2" t="str">
        <f>'Language Index'!A311</f>
        <v>Finance Div. Loans and Leases, ST</v>
      </c>
      <c r="B94" s="17"/>
      <c r="C94" s="17"/>
      <c r="D94" s="73">
        <f>'Financial Statements'!D347/'Financial Statements'!D$369</f>
        <v>4.2083607512120591E-2</v>
      </c>
      <c r="E94" s="73">
        <f>'Financial Statements'!E347/'Financial Statements'!E$369</f>
        <v>3.8910927072942525E-2</v>
      </c>
      <c r="F94" s="73">
        <f>'Financial Statements'!F347/'Financial Statements'!F$369</f>
        <v>4.5119453420190622E-2</v>
      </c>
      <c r="G94" s="73">
        <f>'Financial Statements'!G347/'Financial Statements'!G$369</f>
        <v>3.5554680722320639E-2</v>
      </c>
      <c r="H94" s="73">
        <f>'Financial Statements'!H347/'Financial Statements'!H$369</f>
        <v>3.7916143685374458E-2</v>
      </c>
      <c r="I94" s="73">
        <f>'Financial Statements'!I347/'Financial Statements'!I$369</f>
        <v>3.9124900438443043E-2</v>
      </c>
      <c r="J94" s="73">
        <f>'Financial Statements'!J347/'Financial Statements'!J$369</f>
        <v>4.5627847639876068E-2</v>
      </c>
      <c r="K94" s="73">
        <f>'Financial Statements'!K347/'Financial Statements'!K$369</f>
        <v>3.5203580769838053E-2</v>
      </c>
      <c r="L94" s="73">
        <f>'Financial Statements'!L347/'Financial Statements'!L$369</f>
        <v>3.7594642797052193E-2</v>
      </c>
      <c r="M94" s="73">
        <f>'Financial Statements'!M347/'Financial Statements'!M$369</f>
        <v>3.5239761605336539E-2</v>
      </c>
      <c r="N94" s="73">
        <f>'Financial Statements'!N347/'Financial Statements'!N$369</f>
        <v>4.8353963655517515E-2</v>
      </c>
      <c r="O94" s="60"/>
      <c r="P94" s="73">
        <f>'Financial Statements'!P347/'Financial Statements'!P$369</f>
        <v>4.8353963655517515E-2</v>
      </c>
      <c r="Q94" s="60"/>
    </row>
    <row r="95" spans="1:17" ht="12.75" customHeight="1" x14ac:dyDescent="0.2">
      <c r="A95" s="2" t="str">
        <f>'Language Index'!A312</f>
        <v>Finance Div. Other Curr. Assets</v>
      </c>
      <c r="B95" s="17"/>
      <c r="C95" s="17"/>
      <c r="D95" s="73">
        <f>'Financial Statements'!D348/'Financial Statements'!D$369</f>
        <v>6.5424731304788483E-3</v>
      </c>
      <c r="E95" s="73">
        <f>'Financial Statements'!E348/'Financial Statements'!E$369</f>
        <v>4.5854888223877018E-3</v>
      </c>
      <c r="F95" s="73">
        <f>'Financial Statements'!F348/'Financial Statements'!F$369</f>
        <v>5.1167915055345646E-3</v>
      </c>
      <c r="G95" s="73">
        <f>'Financial Statements'!G348/'Financial Statements'!G$369</f>
        <v>4.6949383607083235E-3</v>
      </c>
      <c r="H95" s="73">
        <f>'Financial Statements'!H348/'Financial Statements'!H$369</f>
        <v>5.4016496324188635E-3</v>
      </c>
      <c r="I95" s="73">
        <f>'Financial Statements'!I348/'Financial Statements'!I$369</f>
        <v>3.788922055397167E-3</v>
      </c>
      <c r="J95" s="73">
        <f>'Financial Statements'!J348/'Financial Statements'!J$369</f>
        <v>6.5609622744669215E-3</v>
      </c>
      <c r="K95" s="73">
        <f>'Financial Statements'!K348/'Financial Statements'!K$369</f>
        <v>4.0366040352310404E-3</v>
      </c>
      <c r="L95" s="73">
        <f>'Financial Statements'!L348/'Financial Statements'!L$369</f>
        <v>5.0206952249554123E-3</v>
      </c>
      <c r="M95" s="73">
        <f>'Financial Statements'!M348/'Financial Statements'!M$369</f>
        <v>5.0918584941768274E-3</v>
      </c>
      <c r="N95" s="73">
        <f>'Financial Statements'!N348/'Financial Statements'!N$369</f>
        <v>7.4466684224387672E-3</v>
      </c>
      <c r="O95" s="60"/>
      <c r="P95" s="73">
        <f>'Financial Statements'!P348/'Financial Statements'!P$369</f>
        <v>7.4466684224387672E-3</v>
      </c>
      <c r="Q95" s="60"/>
    </row>
    <row r="96" spans="1:17" ht="12.75" customHeight="1" x14ac:dyDescent="0.2">
      <c r="A96" s="2" t="str">
        <f>'Language Index'!A313</f>
        <v>Loans Held For Sale</v>
      </c>
      <c r="B96" s="17"/>
      <c r="C96" s="17"/>
      <c r="D96" s="73">
        <f>'Financial Statements'!D349/'Financial Statements'!D$369</f>
        <v>0</v>
      </c>
      <c r="E96" s="73">
        <f>'Financial Statements'!E349/'Financial Statements'!E$369</f>
        <v>0</v>
      </c>
      <c r="F96" s="73">
        <f>'Financial Statements'!F349/'Financial Statements'!F$369</f>
        <v>0</v>
      </c>
      <c r="G96" s="73">
        <f>'Financial Statements'!G349/'Financial Statements'!G$369</f>
        <v>0</v>
      </c>
      <c r="H96" s="73">
        <f>'Financial Statements'!H349/'Financial Statements'!H$369</f>
        <v>0</v>
      </c>
      <c r="I96" s="73">
        <f>'Financial Statements'!I349/'Financial Statements'!I$369</f>
        <v>0</v>
      </c>
      <c r="J96" s="73">
        <f>'Financial Statements'!J349/'Financial Statements'!J$369</f>
        <v>0</v>
      </c>
      <c r="K96" s="73">
        <f>'Financial Statements'!K349/'Financial Statements'!K$369</f>
        <v>0</v>
      </c>
      <c r="L96" s="73">
        <f>'Financial Statements'!L349/'Financial Statements'!L$369</f>
        <v>0</v>
      </c>
      <c r="M96" s="73">
        <f>'Financial Statements'!M349/'Financial Statements'!M$369</f>
        <v>0</v>
      </c>
      <c r="N96" s="73">
        <f>'Financial Statements'!N349/'Financial Statements'!N$369</f>
        <v>0</v>
      </c>
      <c r="O96" s="60"/>
      <c r="P96" s="73">
        <f>'Financial Statements'!P349/'Financial Statements'!P$369</f>
        <v>0</v>
      </c>
      <c r="Q96" s="60"/>
    </row>
    <row r="97" spans="1:17" ht="12.75" customHeight="1" x14ac:dyDescent="0.2">
      <c r="A97" s="2" t="str">
        <f>'Language Index'!A314</f>
        <v>Deferred Tax Assets, Curr.</v>
      </c>
      <c r="B97" s="17"/>
      <c r="C97" s="17"/>
      <c r="D97" s="73">
        <f>'Financial Statements'!D350/'Financial Statements'!D$369</f>
        <v>0</v>
      </c>
      <c r="E97" s="73">
        <f>'Financial Statements'!E350/'Financial Statements'!E$369</f>
        <v>0</v>
      </c>
      <c r="F97" s="73">
        <f>'Financial Statements'!F350/'Financial Statements'!F$369</f>
        <v>0</v>
      </c>
      <c r="G97" s="73">
        <f>'Financial Statements'!G350/'Financial Statements'!G$369</f>
        <v>0</v>
      </c>
      <c r="H97" s="73">
        <f>'Financial Statements'!H350/'Financial Statements'!H$369</f>
        <v>0</v>
      </c>
      <c r="I97" s="73">
        <f>'Financial Statements'!I350/'Financial Statements'!I$369</f>
        <v>0</v>
      </c>
      <c r="J97" s="73">
        <f>'Financial Statements'!J350/'Financial Statements'!J$369</f>
        <v>0</v>
      </c>
      <c r="K97" s="73">
        <f>'Financial Statements'!K350/'Financial Statements'!K$369</f>
        <v>0</v>
      </c>
      <c r="L97" s="73">
        <f>'Financial Statements'!L350/'Financial Statements'!L$369</f>
        <v>0</v>
      </c>
      <c r="M97" s="73">
        <f>'Financial Statements'!M350/'Financial Statements'!M$369</f>
        <v>0</v>
      </c>
      <c r="N97" s="73">
        <f>'Financial Statements'!N350/'Financial Statements'!N$369</f>
        <v>0</v>
      </c>
      <c r="O97" s="60"/>
      <c r="P97" s="73">
        <f>'Financial Statements'!P350/'Financial Statements'!P$369</f>
        <v>0</v>
      </c>
      <c r="Q97" s="60"/>
    </row>
    <row r="98" spans="1:17" ht="12.75" customHeight="1" x14ac:dyDescent="0.2">
      <c r="A98" s="2" t="str">
        <f>'Language Index'!A315</f>
        <v>Restricted Cash</v>
      </c>
      <c r="B98" s="17"/>
      <c r="C98" s="17"/>
      <c r="D98" s="73">
        <f>'Financial Statements'!D351/'Financial Statements'!D$369</f>
        <v>2.3447013531195874E-4</v>
      </c>
      <c r="E98" s="73">
        <f>'Financial Statements'!E351/'Financial Statements'!E$369</f>
        <v>1.4692122702422654E-4</v>
      </c>
      <c r="F98" s="73">
        <f>'Financial Statements'!F351/'Financial Statements'!F$369</f>
        <v>1.5527835493674255E-4</v>
      </c>
      <c r="G98" s="73">
        <f>'Financial Statements'!G351/'Financial Statements'!G$369</f>
        <v>1.1810248671347025E-3</v>
      </c>
      <c r="H98" s="73">
        <f>'Financial Statements'!H351/'Financial Statements'!H$369</f>
        <v>1.694459386767079E-2</v>
      </c>
      <c r="I98" s="73">
        <f>'Financial Statements'!I351/'Financial Statements'!I$369</f>
        <v>1.2654553033742994E-4</v>
      </c>
      <c r="J98" s="73">
        <f>'Financial Statements'!J351/'Financial Statements'!J$369</f>
        <v>1.5600510297065792E-3</v>
      </c>
      <c r="K98" s="73">
        <f>'Financial Statements'!K351/'Financial Statements'!K$369</f>
        <v>8.6498657897808009E-4</v>
      </c>
      <c r="L98" s="73">
        <f>'Financial Statements'!L351/'Financial Statements'!L$369</f>
        <v>5.5860281993471751E-4</v>
      </c>
      <c r="M98" s="73">
        <f>'Financial Statements'!M351/'Financial Statements'!M$369</f>
        <v>2.0504128164470446E-4</v>
      </c>
      <c r="N98" s="73">
        <f>'Financial Statements'!N351/'Financial Statements'!N$369</f>
        <v>3.5554385040821704E-4</v>
      </c>
      <c r="O98" s="60"/>
      <c r="P98" s="73">
        <f>'Financial Statements'!P351/'Financial Statements'!P$369</f>
        <v>3.5554385040821704E-4</v>
      </c>
      <c r="Q98" s="60"/>
    </row>
    <row r="99" spans="1:17" ht="12.75" customHeight="1" x14ac:dyDescent="0.2">
      <c r="A99" s="2" t="str">
        <f>'Language Index'!A316</f>
        <v>Other Current Assets</v>
      </c>
      <c r="B99" s="17"/>
      <c r="C99" s="17"/>
      <c r="D99" s="73">
        <f>'Financial Statements'!D352/'Financial Statements'!D$369</f>
        <v>1.0384757928494172E-2</v>
      </c>
      <c r="E99" s="73">
        <f>'Financial Statements'!E352/'Financial Statements'!E$369</f>
        <v>1.1397994138616311E-2</v>
      </c>
      <c r="F99" s="73">
        <f>'Financial Statements'!F352/'Financial Statements'!F$369</f>
        <v>9.7085942872353805E-3</v>
      </c>
      <c r="G99" s="73">
        <f>'Financial Statements'!G352/'Financial Statements'!G$369</f>
        <v>1.052715992680562E-2</v>
      </c>
      <c r="H99" s="73">
        <f>'Financial Statements'!H352/'Financial Statements'!H$369</f>
        <v>1.1042376426991811E-2</v>
      </c>
      <c r="I99" s="73">
        <f>'Financial Statements'!I352/'Financial Statements'!I$369</f>
        <v>7.8458228809206564E-3</v>
      </c>
      <c r="J99" s="73">
        <f>'Financial Statements'!J352/'Financial Statements'!J$369</f>
        <v>1.1175505740841991E-2</v>
      </c>
      <c r="K99" s="73">
        <f>'Financial Statements'!K352/'Financial Statements'!K$369</f>
        <v>9.2127935634014561E-3</v>
      </c>
      <c r="L99" s="73">
        <f>'Financial Statements'!L352/'Financial Statements'!L$369</f>
        <v>1.0344247400477841E-2</v>
      </c>
      <c r="M99" s="73">
        <f>'Financial Statements'!M352/'Financial Statements'!M$369</f>
        <v>9.7667997156760892E-3</v>
      </c>
      <c r="N99" s="73">
        <f>'Financial Statements'!N352/'Financial Statements'!N$369</f>
        <v>8.6647353173558064E-3</v>
      </c>
      <c r="O99" s="60"/>
      <c r="P99" s="73">
        <f>'Financial Statements'!P352/'Financial Statements'!P$369</f>
        <v>8.6647353173558064E-3</v>
      </c>
      <c r="Q99" s="60"/>
    </row>
    <row r="100" spans="1:17" ht="12.75" customHeight="1" x14ac:dyDescent="0.2">
      <c r="A100" s="20" t="str">
        <f>'Language Index'!A317</f>
        <v>Total Current Assets</v>
      </c>
      <c r="B100" s="20"/>
      <c r="C100" s="20"/>
      <c r="D100" s="74">
        <f>'Financial Statements'!D353/'Financial Statements'!D$369</f>
        <v>0.26062490072837013</v>
      </c>
      <c r="E100" s="74">
        <f>'Financial Statements'!E353/'Financial Statements'!E$369</f>
        <v>0.2142343470897998</v>
      </c>
      <c r="F100" s="74">
        <f>'Financial Statements'!F353/'Financial Statements'!F$369</f>
        <v>0.24332857639325353</v>
      </c>
      <c r="G100" s="74">
        <f>'Financial Statements'!G353/'Financial Statements'!G$369</f>
        <v>0.26728342409728145</v>
      </c>
      <c r="H100" s="74">
        <f>'Financial Statements'!H353/'Financial Statements'!H$369</f>
        <v>0.24878220070527762</v>
      </c>
      <c r="I100" s="74">
        <f>'Financial Statements'!I353/'Financial Statements'!I$369</f>
        <v>0.22735765488800722</v>
      </c>
      <c r="J100" s="74">
        <f>'Financial Statements'!J353/'Financial Statements'!J$369</f>
        <v>0.25137233460907599</v>
      </c>
      <c r="K100" s="74">
        <f>'Financial Statements'!K353/'Financial Statements'!K$369</f>
        <v>0.24258068059340826</v>
      </c>
      <c r="L100" s="74">
        <f>'Financial Statements'!L353/'Financial Statements'!L$369</f>
        <v>0.23052798061715515</v>
      </c>
      <c r="M100" s="74">
        <f>'Financial Statements'!M353/'Financial Statements'!M$369</f>
        <v>0.22376838536825414</v>
      </c>
      <c r="N100" s="74">
        <f>'Financial Statements'!N353/'Financial Statements'!N$369</f>
        <v>0.24324466684224388</v>
      </c>
      <c r="O100" s="75"/>
      <c r="P100" s="74">
        <f>'Financial Statements'!P353/'Financial Statements'!P$369</f>
        <v>0.24324466684224388</v>
      </c>
      <c r="Q100" s="75"/>
    </row>
    <row r="101" spans="1:17" ht="12.75" customHeight="1" x14ac:dyDescent="0.2">
      <c r="A101" s="16"/>
      <c r="B101" s="16"/>
      <c r="C101" s="16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60"/>
      <c r="P101" s="73"/>
      <c r="Q101" s="60"/>
    </row>
    <row r="102" spans="1:17" ht="12.75" customHeight="1" x14ac:dyDescent="0.2">
      <c r="A102" s="2" t="str">
        <f>'Language Index'!A318</f>
        <v>Gross Property, Plant &amp; Equipment</v>
      </c>
      <c r="B102" s="17"/>
      <c r="C102" s="17"/>
      <c r="D102" s="73">
        <f>'Financial Statements'!D355/'Financial Statements'!D$369</f>
        <v>0.16065742400520372</v>
      </c>
      <c r="E102" s="73">
        <f>'Financial Statements'!E355/'Financial Statements'!E$369</f>
        <v>0.16493067637893305</v>
      </c>
      <c r="F102" s="73">
        <f>'Financial Statements'!F355/'Financial Statements'!F$369</f>
        <v>0.15780717385999807</v>
      </c>
      <c r="G102" s="73">
        <f>'Financial Statements'!G355/'Financial Statements'!G$369</f>
        <v>0.15510064227339998</v>
      </c>
      <c r="H102" s="73">
        <f>'Financial Statements'!H355/'Financial Statements'!H$369</f>
        <v>0.15720070527762836</v>
      </c>
      <c r="I102" s="73">
        <f>'Financial Statements'!I355/'Financial Statements'!I$369</f>
        <v>0.15891885453963481</v>
      </c>
      <c r="J102" s="73">
        <f>'Financial Statements'!J355/'Financial Statements'!J$369</f>
        <v>0.15227264443229452</v>
      </c>
      <c r="K102" s="73">
        <f>'Financial Statements'!K355/'Financial Statements'!K$369</f>
        <v>0.14519417575703489</v>
      </c>
      <c r="L102" s="73">
        <f>'Financial Statements'!L355/'Financial Statements'!L$369</f>
        <v>0.14453006696503684</v>
      </c>
      <c r="M102" s="73">
        <f>'Financial Statements'!M355/'Financial Statements'!M$369</f>
        <v>0.1454494504893652</v>
      </c>
      <c r="N102" s="73">
        <f>'Financial Statements'!N355/'Financial Statements'!N$369</f>
        <v>0.13828680537266264</v>
      </c>
      <c r="O102" s="60"/>
      <c r="P102" s="73">
        <f>'Financial Statements'!P355/'Financial Statements'!P$369</f>
        <v>0.13828680537266264</v>
      </c>
      <c r="Q102" s="60"/>
    </row>
    <row r="103" spans="1:17" ht="12.75" customHeight="1" x14ac:dyDescent="0.2">
      <c r="A103" s="2" t="str">
        <f>'Language Index'!A319</f>
        <v>Accumulated Depreciation</v>
      </c>
      <c r="B103" s="17"/>
      <c r="C103" s="17"/>
      <c r="D103" s="73">
        <f>'Financial Statements'!D356/'Financial Statements'!D$369</f>
        <v>-9.9422900925022498E-2</v>
      </c>
      <c r="E103" s="73">
        <f>'Financial Statements'!E356/'Financial Statements'!E$369</f>
        <v>-9.9349680253013814E-2</v>
      </c>
      <c r="F103" s="73">
        <f>'Financial Statements'!F356/'Financial Statements'!F$369</f>
        <v>-9.3322291316982275E-2</v>
      </c>
      <c r="G103" s="73">
        <f>'Financial Statements'!G356/'Financial Statements'!G$369</f>
        <v>-9.0960785600244953E-2</v>
      </c>
      <c r="H103" s="73">
        <f>'Financial Statements'!H356/'Financial Statements'!H$369</f>
        <v>-9.1977466977466976E-2</v>
      </c>
      <c r="I103" s="73">
        <f>'Financial Statements'!I356/'Financial Statements'!I$369</f>
        <v>-9.2154921504551915E-2</v>
      </c>
      <c r="J103" s="73">
        <f>'Financial Statements'!J356/'Financial Statements'!J$369</f>
        <v>-8.7180608711499907E-2</v>
      </c>
      <c r="K103" s="73">
        <f>'Financial Statements'!K356/'Financial Statements'!K$369</f>
        <v>-8.2963196880556339E-2</v>
      </c>
      <c r="L103" s="73">
        <f>'Financial Statements'!L356/'Financial Statements'!L$369</f>
        <v>-8.2229027156173237E-2</v>
      </c>
      <c r="M103" s="73">
        <f>'Financial Statements'!M356/'Financial Statements'!M$369</f>
        <v>-8.3431297501230253E-2</v>
      </c>
      <c r="N103" s="73">
        <f>'Financial Statements'!N356/'Financial Statements'!N$369</f>
        <v>-7.8845140900711083E-2</v>
      </c>
      <c r="O103" s="60"/>
      <c r="P103" s="73">
        <f>'Financial Statements'!P356/'Financial Statements'!P$369</f>
        <v>-7.8845140900711083E-2</v>
      </c>
      <c r="Q103" s="60"/>
    </row>
    <row r="104" spans="1:17" ht="12.75" customHeight="1" x14ac:dyDescent="0.2">
      <c r="A104" s="20" t="str">
        <f>'Language Index'!A320</f>
        <v>Net Property, Plant &amp; Equipment</v>
      </c>
      <c r="B104" s="20"/>
      <c r="C104" s="20"/>
      <c r="D104" s="74">
        <f>'Financial Statements'!D357/'Financial Statements'!D$369</f>
        <v>6.1234523080181222E-2</v>
      </c>
      <c r="E104" s="74">
        <f>'Financial Statements'!E357/'Financial Statements'!E$369</f>
        <v>6.5580996125919222E-2</v>
      </c>
      <c r="F104" s="74">
        <f>'Financial Statements'!F357/'Financial Statements'!F$369</f>
        <v>6.4484882543015806E-2</v>
      </c>
      <c r="G104" s="74">
        <f>'Financial Statements'!G357/'Financial Statements'!G$369</f>
        <v>6.4139856673155013E-2</v>
      </c>
      <c r="H104" s="74">
        <f>'Financial Statements'!H357/'Financial Statements'!H$369</f>
        <v>6.5223238300161371E-2</v>
      </c>
      <c r="I104" s="74">
        <f>'Financial Statements'!I357/'Financial Statements'!I$369</f>
        <v>6.6763933035082892E-2</v>
      </c>
      <c r="J104" s="74">
        <f>'Financial Statements'!J357/'Financial Statements'!J$369</f>
        <v>6.5092035720794611E-2</v>
      </c>
      <c r="K104" s="74">
        <f>'Financial Statements'!K357/'Financial Statements'!K$369</f>
        <v>6.2230978876478542E-2</v>
      </c>
      <c r="L104" s="74">
        <f>'Financial Statements'!L357/'Financial Statements'!L$369</f>
        <v>6.2301039808863611E-2</v>
      </c>
      <c r="M104" s="74">
        <f>'Financial Statements'!M357/'Financial Statements'!M$369</f>
        <v>6.2018152988134942E-2</v>
      </c>
      <c r="N104" s="74">
        <f>'Financial Statements'!N357/'Financial Statements'!N$369</f>
        <v>5.9441664471951539E-2</v>
      </c>
      <c r="O104" s="75"/>
      <c r="P104" s="74">
        <f>'Financial Statements'!P357/'Financial Statements'!P$369</f>
        <v>5.9441664471951539E-2</v>
      </c>
      <c r="Q104" s="75"/>
    </row>
    <row r="105" spans="1:17" ht="12.75" customHeight="1" x14ac:dyDescent="0.2">
      <c r="A105" s="16"/>
      <c r="B105" s="16"/>
      <c r="C105" s="16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60"/>
      <c r="P105" s="73"/>
      <c r="Q105" s="60"/>
    </row>
    <row r="106" spans="1:17" ht="12.75" customHeight="1" x14ac:dyDescent="0.2">
      <c r="A106" s="2" t="str">
        <f>'Language Index'!A321</f>
        <v>Long-term Investments</v>
      </c>
      <c r="B106" s="16"/>
      <c r="C106" s="16"/>
      <c r="D106" s="73">
        <f>'Financial Statements'!D359/'Financial Statements'!D$369</f>
        <v>1.1927722689901901E-2</v>
      </c>
      <c r="E106" s="73">
        <f>'Financial Statements'!E359/'Financial Statements'!E$369</f>
        <v>1.2225392627647482E-2</v>
      </c>
      <c r="F106" s="73">
        <f>'Financial Statements'!F359/'Financial Statements'!F$369</f>
        <v>1.1749395523546853E-2</v>
      </c>
      <c r="G106" s="73">
        <f>'Financial Statements'!G359/'Financial Statements'!G$369</f>
        <v>1.1416573715635456E-2</v>
      </c>
      <c r="H106" s="73">
        <f>'Financial Statements'!H359/'Financial Statements'!H$369</f>
        <v>1.2940051401589863E-2</v>
      </c>
      <c r="I106" s="73">
        <f>'Financial Statements'!I359/'Financial Statements'!I$369</f>
        <v>1.3905120627665831E-2</v>
      </c>
      <c r="J106" s="73">
        <f>'Financial Statements'!J359/'Financial Statements'!J$369</f>
        <v>1.2327319117915072E-2</v>
      </c>
      <c r="K106" s="73">
        <f>'Financial Statements'!K359/'Financial Statements'!K$369</f>
        <v>1.1196770716771815E-2</v>
      </c>
      <c r="L106" s="73">
        <f>'Financial Statements'!L359/'Financial Statements'!L$369</f>
        <v>1.0451929871790557E-2</v>
      </c>
      <c r="M106" s="73">
        <f>'Financial Statements'!M359/'Financial Statements'!M$369</f>
        <v>9.896659194051069E-3</v>
      </c>
      <c r="N106" s="73">
        <f>'Financial Statements'!N359/'Financial Statements'!N$369</f>
        <v>1.1528838556755332E-2</v>
      </c>
      <c r="O106" s="60"/>
      <c r="P106" s="73">
        <f>'Financial Statements'!P359/'Financial Statements'!P$369</f>
        <v>1.1528838556755332E-2</v>
      </c>
      <c r="Q106" s="60"/>
    </row>
    <row r="107" spans="1:17" ht="12.75" customHeight="1" x14ac:dyDescent="0.2">
      <c r="A107" s="2" t="str">
        <f>'Language Index'!A322</f>
        <v>Goodwill</v>
      </c>
      <c r="B107" s="17"/>
      <c r="C107" s="17"/>
      <c r="D107" s="73">
        <f>'Financial Statements'!D360/'Financial Statements'!D$369</f>
        <v>0.42647092192144492</v>
      </c>
      <c r="E107" s="73">
        <f>'Financial Statements'!E360/'Financial Statements'!E$369</f>
        <v>0.46083776030188445</v>
      </c>
      <c r="F107" s="73">
        <f>'Financial Statements'!F360/'Financial Statements'!F$369</f>
        <v>0.44496861158968065</v>
      </c>
      <c r="G107" s="73">
        <f>'Financial Statements'!G360/'Financial Statements'!G$369</f>
        <v>0.43401934839504552</v>
      </c>
      <c r="H107" s="73">
        <f>'Financial Statements'!H360/'Financial Statements'!H$369</f>
        <v>0.44390652082959775</v>
      </c>
      <c r="I107" s="73">
        <f>'Financial Statements'!I360/'Financial Statements'!I$369</f>
        <v>0.45475997290436881</v>
      </c>
      <c r="J107" s="73">
        <f>'Financial Statements'!J360/'Financial Statements'!J$369</f>
        <v>0.44254419537087664</v>
      </c>
      <c r="K107" s="73">
        <f>'Financial Statements'!K360/'Financial Statements'!K$369</f>
        <v>0.45353443127132431</v>
      </c>
      <c r="L107" s="73">
        <f>'Financial Statements'!L360/'Financial Statements'!L$369</f>
        <v>0.45432580677726553</v>
      </c>
      <c r="M107" s="73">
        <f>'Financial Statements'!M360/'Financial Statements'!M$369</f>
        <v>0.46063207392421673</v>
      </c>
      <c r="N107" s="73">
        <f>'Financial Statements'!N360/'Financial Statements'!N$369</f>
        <v>0.44585857255728206</v>
      </c>
      <c r="O107" s="60"/>
      <c r="P107" s="73">
        <f>'Financial Statements'!P360/'Financial Statements'!P$369</f>
        <v>0.44585857255728206</v>
      </c>
      <c r="Q107" s="60"/>
    </row>
    <row r="108" spans="1:17" ht="12.75" customHeight="1" x14ac:dyDescent="0.2">
      <c r="A108" s="2" t="str">
        <f>'Language Index'!A323</f>
        <v>Other Intangibles</v>
      </c>
      <c r="B108" s="17"/>
      <c r="C108" s="17"/>
      <c r="D108" s="73">
        <f>'Financial Statements'!D361/'Financial Statements'!D$369</f>
        <v>7.9387049684978034E-2</v>
      </c>
      <c r="E108" s="73">
        <f>'Financial Statements'!E361/'Financial Statements'!E$369</f>
        <v>8.7209347283117203E-2</v>
      </c>
      <c r="F108" s="73">
        <f>'Financial Statements'!F361/'Financial Statements'!F$369</f>
        <v>8.1602472622947189E-2</v>
      </c>
      <c r="G108" s="73">
        <f>'Financial Statements'!G361/'Financial Statements'!G$369</f>
        <v>7.8370477294432417E-2</v>
      </c>
      <c r="H108" s="73">
        <f>'Financial Statements'!H361/'Financial Statements'!H$369</f>
        <v>7.6586874663797738E-2</v>
      </c>
      <c r="I108" s="73">
        <f>'Financial Statements'!I361/'Financial Statements'!I$369</f>
        <v>8.2552348908358705E-2</v>
      </c>
      <c r="J108" s="73">
        <f>'Financial Statements'!J361/'Financial Statements'!J$369</f>
        <v>7.7710953162019314E-2</v>
      </c>
      <c r="K108" s="73">
        <f>'Financial Statements'!K361/'Financial Statements'!K$369</f>
        <v>8.5070743545209285E-2</v>
      </c>
      <c r="L108" s="73">
        <f>'Financial Statements'!L361/'Financial Statements'!L$369</f>
        <v>8.2464582562169805E-2</v>
      </c>
      <c r="M108" s="73">
        <f>'Financial Statements'!M361/'Financial Statements'!M$369</f>
        <v>8.0164306413691294E-2</v>
      </c>
      <c r="N108" s="73">
        <f>'Financial Statements'!N361/'Financial Statements'!N$369</f>
        <v>7.4999999999999997E-2</v>
      </c>
      <c r="O108" s="60"/>
      <c r="P108" s="73">
        <f>'Financial Statements'!P361/'Financial Statements'!P$369</f>
        <v>7.4999999999999997E-2</v>
      </c>
      <c r="Q108" s="60"/>
    </row>
    <row r="109" spans="1:17" ht="12.75" customHeight="1" x14ac:dyDescent="0.2">
      <c r="A109" s="2" t="str">
        <f>'Language Index'!A324</f>
        <v>Finance Div. Loans and Leases, LT</v>
      </c>
      <c r="B109" s="17"/>
      <c r="C109" s="17"/>
      <c r="D109" s="73">
        <f>'Financial Statements'!D362/'Financial Statements'!D$369</f>
        <v>3.948930891818505E-2</v>
      </c>
      <c r="E109" s="73">
        <f>'Financial Statements'!E362/'Financial Statements'!E$369</f>
        <v>3.7031881906264254E-2</v>
      </c>
      <c r="F109" s="73">
        <f>'Financial Statements'!F362/'Financial Statements'!F$369</f>
        <v>4.2634999741202745E-2</v>
      </c>
      <c r="G109" s="73">
        <f>'Financial Statements'!G362/'Financial Statements'!G$369</f>
        <v>3.5919194570201721E-2</v>
      </c>
      <c r="H109" s="73">
        <f>'Financial Statements'!H362/'Financial Statements'!H$369</f>
        <v>4.0964377502839044E-2</v>
      </c>
      <c r="I109" s="73">
        <f>'Financial Statements'!I362/'Financial Statements'!I$369</f>
        <v>3.6705647652580414E-2</v>
      </c>
      <c r="J109" s="73">
        <f>'Financial Statements'!J362/'Financial Statements'!J$369</f>
        <v>3.9023145616912704E-2</v>
      </c>
      <c r="K109" s="73">
        <f>'Financial Statements'!K362/'Financial Statements'!K$369</f>
        <v>3.3775666417239322E-2</v>
      </c>
      <c r="L109" s="73">
        <f>'Financial Statements'!L362/'Financial Statements'!L$369</f>
        <v>4.1531783154423393E-2</v>
      </c>
      <c r="M109" s="73">
        <f>'Financial Statements'!M362/'Financial Statements'!M$369</f>
        <v>4.2771611351085349E-2</v>
      </c>
      <c r="N109" s="73">
        <f>'Financial Statements'!N362/'Financial Statements'!N$369</f>
        <v>5.0750592573084015E-2</v>
      </c>
      <c r="O109" s="60"/>
      <c r="P109" s="73">
        <f>'Financial Statements'!P362/'Financial Statements'!P$369</f>
        <v>5.0750592573084015E-2</v>
      </c>
      <c r="Q109" s="60"/>
    </row>
    <row r="110" spans="1:17" ht="12.75" customHeight="1" x14ac:dyDescent="0.2">
      <c r="A110" s="2" t="str">
        <f>'Language Index'!A325</f>
        <v>Finance Div. Other LT Assets</v>
      </c>
      <c r="B110" s="17"/>
      <c r="C110" s="17"/>
      <c r="D110" s="73">
        <f>'Financial Statements'!D363/'Financial Statements'!D$369</f>
        <v>0</v>
      </c>
      <c r="E110" s="73">
        <f>'Financial Statements'!E363/'Financial Statements'!E$369</f>
        <v>0</v>
      </c>
      <c r="F110" s="73">
        <f>'Financial Statements'!F363/'Financial Statements'!F$369</f>
        <v>0</v>
      </c>
      <c r="G110" s="73">
        <f>'Financial Statements'!G363/'Financial Statements'!G$369</f>
        <v>0</v>
      </c>
      <c r="H110" s="73">
        <f>'Financial Statements'!H363/'Financial Statements'!H$369</f>
        <v>0</v>
      </c>
      <c r="I110" s="73">
        <f>'Financial Statements'!I363/'Financial Statements'!I$369</f>
        <v>0</v>
      </c>
      <c r="J110" s="73">
        <f>'Financial Statements'!J363/'Financial Statements'!J$369</f>
        <v>0</v>
      </c>
      <c r="K110" s="73">
        <f>'Financial Statements'!K363/'Financial Statements'!K$369</f>
        <v>0</v>
      </c>
      <c r="L110" s="73">
        <f>'Financial Statements'!L363/'Financial Statements'!L$369</f>
        <v>0</v>
      </c>
      <c r="M110" s="73">
        <f>'Financial Statements'!M363/'Financial Statements'!M$369</f>
        <v>0</v>
      </c>
      <c r="N110" s="73">
        <f>'Financial Statements'!N363/'Financial Statements'!N$369</f>
        <v>0</v>
      </c>
      <c r="O110" s="60"/>
      <c r="P110" s="73">
        <f>'Financial Statements'!P363/'Financial Statements'!P$369</f>
        <v>0</v>
      </c>
      <c r="Q110" s="60"/>
    </row>
    <row r="111" spans="1:17" ht="12.75" customHeight="1" x14ac:dyDescent="0.2">
      <c r="A111" s="2" t="str">
        <f>'Language Index'!A326</f>
        <v>Accounts Receivable Long-Term</v>
      </c>
      <c r="B111" s="17"/>
      <c r="C111" s="17"/>
      <c r="D111" s="73">
        <f>'Financial Statements'!D364/'Financial Statements'!D$369</f>
        <v>0</v>
      </c>
      <c r="E111" s="73">
        <f>'Financial Statements'!E364/'Financial Statements'!E$369</f>
        <v>0</v>
      </c>
      <c r="F111" s="73">
        <f>'Financial Statements'!F364/'Financial Statements'!F$369</f>
        <v>0</v>
      </c>
      <c r="G111" s="73">
        <f>'Financial Statements'!G364/'Financial Statements'!G$369</f>
        <v>0</v>
      </c>
      <c r="H111" s="73">
        <f>'Financial Statements'!H364/'Financial Statements'!H$369</f>
        <v>0</v>
      </c>
      <c r="I111" s="73">
        <f>'Financial Statements'!I364/'Financial Statements'!I$369</f>
        <v>0</v>
      </c>
      <c r="J111" s="73">
        <f>'Financial Statements'!J364/'Financial Statements'!J$369</f>
        <v>0</v>
      </c>
      <c r="K111" s="73">
        <f>'Financial Statements'!K364/'Financial Statements'!K$369</f>
        <v>0</v>
      </c>
      <c r="L111" s="73">
        <f>'Financial Statements'!L364/'Financial Statements'!L$369</f>
        <v>0</v>
      </c>
      <c r="M111" s="73">
        <f>'Financial Statements'!M364/'Financial Statements'!M$369</f>
        <v>0</v>
      </c>
      <c r="N111" s="73">
        <f>'Financial Statements'!N364/'Financial Statements'!N$369</f>
        <v>0</v>
      </c>
      <c r="O111" s="60"/>
      <c r="P111" s="73">
        <f>'Financial Statements'!P364/'Financial Statements'!P$369</f>
        <v>0</v>
      </c>
      <c r="Q111" s="60"/>
    </row>
    <row r="112" spans="1:17" ht="12.75" customHeight="1" x14ac:dyDescent="0.2">
      <c r="A112" s="2" t="str">
        <f>'Language Index'!A327</f>
        <v>Loans Receivable Long-Term</v>
      </c>
      <c r="B112" s="17"/>
      <c r="C112" s="17"/>
      <c r="D112" s="73">
        <f>'Financial Statements'!D365/'Financial Statements'!D$369</f>
        <v>0</v>
      </c>
      <c r="E112" s="73">
        <f>'Financial Statements'!E365/'Financial Statements'!E$369</f>
        <v>0</v>
      </c>
      <c r="F112" s="73">
        <f>'Financial Statements'!F365/'Financial Statements'!F$369</f>
        <v>0</v>
      </c>
      <c r="G112" s="73">
        <f>'Financial Statements'!G365/'Financial Statements'!G$369</f>
        <v>7.2902769576216201E-4</v>
      </c>
      <c r="H112" s="73">
        <f>'Financial Statements'!H365/'Financial Statements'!H$369</f>
        <v>7.4711613173151635E-4</v>
      </c>
      <c r="I112" s="73">
        <f>'Financial Statements'!I365/'Financial Statements'!I$369</f>
        <v>7.4438547257311722E-4</v>
      </c>
      <c r="J112" s="73">
        <f>'Financial Statements'!J365/'Financial Statements'!J$369</f>
        <v>0</v>
      </c>
      <c r="K112" s="73">
        <f>'Financial Statements'!K365/'Financial Statements'!K$369</f>
        <v>6.8649728490323826E-4</v>
      </c>
      <c r="L112" s="73">
        <f>'Financial Statements'!L365/'Financial Statements'!L$369</f>
        <v>0</v>
      </c>
      <c r="M112" s="73">
        <f>'Financial Statements'!M365/'Financial Statements'!M$369</f>
        <v>0</v>
      </c>
      <c r="N112" s="73">
        <f>'Financial Statements'!N365/'Financial Statements'!N$369</f>
        <v>0</v>
      </c>
      <c r="O112" s="60"/>
      <c r="P112" s="73">
        <f>'Financial Statements'!P365/'Financial Statements'!P$369</f>
        <v>0</v>
      </c>
      <c r="Q112" s="60"/>
    </row>
    <row r="113" spans="1:17" ht="12.75" customHeight="1" x14ac:dyDescent="0.2">
      <c r="A113" s="2" t="str">
        <f>'Language Index'!A328</f>
        <v>Deferred Tax Assets, LT</v>
      </c>
      <c r="B113" s="17"/>
      <c r="C113" s="17"/>
      <c r="D113" s="73">
        <f>'Financial Statements'!D366/'Financial Statements'!D$369</f>
        <v>4.795292444767156E-2</v>
      </c>
      <c r="E113" s="73">
        <f>'Financial Statements'!E366/'Financial Statements'!E$369</f>
        <v>4.7695269909759433E-2</v>
      </c>
      <c r="F113" s="73">
        <f>'Financial Statements'!F366/'Financial Statements'!F$369</f>
        <v>4.9215844307569451E-2</v>
      </c>
      <c r="G113" s="73">
        <f>'Financial Statements'!G366/'Financial Statements'!G$369</f>
        <v>4.7131640531023776E-2</v>
      </c>
      <c r="H113" s="73">
        <f>'Financial Statements'!H366/'Financial Statements'!H$369</f>
        <v>4.765106688183611E-2</v>
      </c>
      <c r="I113" s="73">
        <f>'Financial Statements'!I366/'Financial Statements'!I$369</f>
        <v>5.1682683360751533E-2</v>
      </c>
      <c r="J113" s="73">
        <f>'Financial Statements'!J366/'Financial Statements'!J$369</f>
        <v>5.0869327501366871E-2</v>
      </c>
      <c r="K113" s="73">
        <f>'Financial Statements'!K366/'Financial Statements'!K$369</f>
        <v>5.213260381555191E-2</v>
      </c>
      <c r="L113" s="73">
        <f>'Financial Statements'!L366/'Financial Statements'!L$369</f>
        <v>5.7038059023454588E-2</v>
      </c>
      <c r="M113" s="73">
        <f>'Financial Statements'!M366/'Financial Statements'!M$369</f>
        <v>5.8129203346273715E-2</v>
      </c>
      <c r="N113" s="73">
        <f>'Financial Statements'!N366/'Financial Statements'!N$369</f>
        <v>5.6689491703976823E-2</v>
      </c>
      <c r="O113" s="60"/>
      <c r="P113" s="73">
        <f>'Financial Statements'!P366/'Financial Statements'!P$369</f>
        <v>5.6689491703976823E-2</v>
      </c>
      <c r="Q113" s="60"/>
    </row>
    <row r="114" spans="1:17" ht="12.75" customHeight="1" x14ac:dyDescent="0.2">
      <c r="A114" s="2" t="str">
        <f>'Language Index'!A329</f>
        <v>Deferred Charges, LT</v>
      </c>
      <c r="B114" s="17"/>
      <c r="C114" s="17"/>
      <c r="D114" s="73">
        <f>'Financial Statements'!D367/'Financial Statements'!D$369</f>
        <v>6.7845068185428056E-3</v>
      </c>
      <c r="E114" s="73">
        <f>'Financial Statements'!E367/'Financial Statements'!E$369</f>
        <v>6.3562762428375904E-3</v>
      </c>
      <c r="F114" s="73">
        <f>'Financial Statements'!F367/'Financial Statements'!F$369</f>
        <v>6.2259226122255828E-3</v>
      </c>
      <c r="G114" s="73">
        <f>'Financial Statements'!G367/'Financial Statements'!G$369</f>
        <v>5.9051243356735119E-3</v>
      </c>
      <c r="H114" s="73">
        <f>'Financial Statements'!H367/'Financial Statements'!H$369</f>
        <v>6.1263522801984337E-3</v>
      </c>
      <c r="I114" s="73">
        <f>'Financial Statements'!I367/'Financial Statements'!I$369</f>
        <v>5.8657575238761639E-3</v>
      </c>
      <c r="J114" s="73">
        <f>'Financial Statements'!J367/'Financial Statements'!J$369</f>
        <v>5.7444869691999269E-3</v>
      </c>
      <c r="K114" s="73">
        <f>'Financial Statements'!K367/'Financial Statements'!K$369</f>
        <v>5.2791641209059019E-3</v>
      </c>
      <c r="L114" s="73">
        <f>'Financial Statements'!L367/'Financial Statements'!L$369</f>
        <v>5.3504727933506076E-3</v>
      </c>
      <c r="M114" s="73">
        <f>'Financial Statements'!M367/'Financial Statements'!M$369</f>
        <v>5.2490568101044343E-3</v>
      </c>
      <c r="N114" s="73">
        <f>'Financial Statements'!N367/'Financial Statements'!N$369</f>
        <v>5.431919936792204E-3</v>
      </c>
      <c r="O114" s="60"/>
      <c r="P114" s="73">
        <f>'Financial Statements'!P367/'Financial Statements'!P$369</f>
        <v>5.431919936792204E-3</v>
      </c>
      <c r="Q114" s="60"/>
    </row>
    <row r="115" spans="1:17" ht="12.75" customHeight="1" x14ac:dyDescent="0.2">
      <c r="A115" s="2" t="str">
        <f>'Language Index'!A330</f>
        <v>Other Long-Term Assets</v>
      </c>
      <c r="B115" s="17"/>
      <c r="C115" s="17"/>
      <c r="D115" s="73">
        <f>'Financial Statements'!D368/'Financial Statements'!D$369</f>
        <v>6.6128141710724356E-2</v>
      </c>
      <c r="E115" s="73">
        <f>'Financial Statements'!E368/'Financial Statements'!E$369</f>
        <v>6.8828728512770554E-2</v>
      </c>
      <c r="F115" s="73">
        <f>'Financial Statements'!F368/'Financial Statements'!F$369</f>
        <v>5.5789294666558222E-2</v>
      </c>
      <c r="G115" s="73">
        <f>'Financial Statements'!G368/'Financial Statements'!G$369</f>
        <v>5.508533269178896E-2</v>
      </c>
      <c r="H115" s="73">
        <f>'Financial Statements'!H368/'Financial Statements'!H$369</f>
        <v>5.7072201302970534E-2</v>
      </c>
      <c r="I115" s="73">
        <f>'Financial Statements'!I368/'Financial Statements'!I$369</f>
        <v>5.9662495626735347E-2</v>
      </c>
      <c r="J115" s="73">
        <f>'Financial Statements'!J368/'Financial Statements'!J$369</f>
        <v>5.5316201931838893E-2</v>
      </c>
      <c r="K115" s="73">
        <f>'Financial Statements'!K368/'Financial Statements'!K$369</f>
        <v>5.3512463358207418E-2</v>
      </c>
      <c r="L115" s="73">
        <f>'Financial Statements'!L368/'Financial Statements'!L$369</f>
        <v>5.6008345391526736E-2</v>
      </c>
      <c r="M115" s="73">
        <f>'Financial Statements'!M368/'Financial Statements'!M$369</f>
        <v>5.737055060418831E-2</v>
      </c>
      <c r="N115" s="73">
        <f>'Financial Statements'!N368/'Financial Statements'!N$369</f>
        <v>5.2054253357914144E-2</v>
      </c>
      <c r="O115" s="60"/>
      <c r="P115" s="73">
        <f>'Financial Statements'!P368/'Financial Statements'!P$369</f>
        <v>5.2054253357914144E-2</v>
      </c>
      <c r="Q115" s="60"/>
    </row>
    <row r="116" spans="1:17" ht="12.75" customHeight="1" thickBot="1" x14ac:dyDescent="0.25">
      <c r="A116" s="250" t="str">
        <f>'Language Index'!A331</f>
        <v>Total Assets</v>
      </c>
      <c r="B116" s="45"/>
      <c r="C116" s="45"/>
      <c r="D116" s="79">
        <f>'Financial Statements'!D369/'Financial Statements'!D$369</f>
        <v>1</v>
      </c>
      <c r="E116" s="79">
        <f>'Financial Statements'!E369/'Financial Statements'!E$369</f>
        <v>1</v>
      </c>
      <c r="F116" s="79">
        <f>'Financial Statements'!F369/'Financial Statements'!F$369</f>
        <v>1</v>
      </c>
      <c r="G116" s="79">
        <f>'Financial Statements'!G369/'Financial Statements'!G$369</f>
        <v>1</v>
      </c>
      <c r="H116" s="79">
        <f>'Financial Statements'!H369/'Financial Statements'!H$369</f>
        <v>1</v>
      </c>
      <c r="I116" s="79">
        <f>'Financial Statements'!I369/'Financial Statements'!I$369</f>
        <v>1</v>
      </c>
      <c r="J116" s="79">
        <f>'Financial Statements'!J369/'Financial Statements'!J$369</f>
        <v>1</v>
      </c>
      <c r="K116" s="79">
        <f>'Financial Statements'!K369/'Financial Statements'!K$369</f>
        <v>1</v>
      </c>
      <c r="L116" s="79">
        <f>'Financial Statements'!L369/'Financial Statements'!L$369</f>
        <v>1</v>
      </c>
      <c r="M116" s="79">
        <f>'Financial Statements'!M369/'Financial Statements'!M$369</f>
        <v>1</v>
      </c>
      <c r="N116" s="79">
        <f>'Financial Statements'!N369/'Financial Statements'!N$369</f>
        <v>1</v>
      </c>
      <c r="O116" s="75"/>
      <c r="P116" s="79">
        <f>'Financial Statements'!P369/'Financial Statements'!P$369</f>
        <v>1</v>
      </c>
      <c r="Q116" s="75"/>
    </row>
    <row r="117" spans="1:17" ht="12.75" customHeight="1" thickTop="1" x14ac:dyDescent="0.2">
      <c r="A117" s="16"/>
      <c r="B117" s="16"/>
      <c r="C117" s="1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2"/>
    </row>
    <row r="118" spans="1:17" ht="12.75" customHeight="1" x14ac:dyDescent="0.2">
      <c r="A118" s="9" t="str">
        <f>'Language Index'!A332</f>
        <v>LIABILITIES</v>
      </c>
      <c r="B118" s="44"/>
      <c r="C118" s="44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2"/>
    </row>
    <row r="119" spans="1:17" ht="12.75" customHeight="1" x14ac:dyDescent="0.2">
      <c r="A119" s="2" t="str">
        <f>'Language Index'!A333</f>
        <v>Accounts Payable</v>
      </c>
      <c r="B119" s="17"/>
      <c r="C119" s="17"/>
      <c r="D119" s="73">
        <f>'Financial Statements'!D372/'Financial Statements'!D$412</f>
        <v>2.8227178870459033E-2</v>
      </c>
      <c r="E119" s="73">
        <f>'Financial Statements'!E372/'Financial Statements'!E$412</f>
        <v>2.5842670563945531E-2</v>
      </c>
      <c r="F119" s="73">
        <f>'Financial Statements'!F372/'Financial Statements'!F$412</f>
        <v>3.0552864885648581E-2</v>
      </c>
      <c r="G119" s="73">
        <f>'Financial Statements'!G372/'Financial Statements'!G$412</f>
        <v>2.6157513723946372E-2</v>
      </c>
      <c r="H119" s="73">
        <f>'Financial Statements'!H372/'Financial Statements'!H$412</f>
        <v>2.7127786743171359E-2</v>
      </c>
      <c r="I119" s="73">
        <f>'Financial Statements'!I372/'Financial Statements'!I$412</f>
        <v>2.437118037204386E-2</v>
      </c>
      <c r="J119" s="73">
        <f>'Financial Statements'!J372/'Financial Statements'!J$412</f>
        <v>2.9393110989611809E-2</v>
      </c>
      <c r="K119" s="73">
        <f>'Financial Statements'!K372/'Financial Statements'!K$412</f>
        <v>2.461092766378109E-2</v>
      </c>
      <c r="L119" s="73">
        <f>'Financial Statements'!L372/'Financial Statements'!L$412</f>
        <v>2.6745633812295992E-2</v>
      </c>
      <c r="M119" s="73">
        <f>'Financial Statements'!M372/'Financial Statements'!M$412</f>
        <v>2.6429821204002404E-2</v>
      </c>
      <c r="N119" s="73">
        <f>'Financial Statements'!N372/'Financial Statements'!N$412</f>
        <v>3.1314195417434819E-2</v>
      </c>
      <c r="O119" s="60"/>
      <c r="P119" s="73">
        <f>'Financial Statements'!P372/'Financial Statements'!P$412</f>
        <v>3.1314195417434819E-2</v>
      </c>
      <c r="Q119" s="76"/>
    </row>
    <row r="120" spans="1:17" ht="12.75" customHeight="1" x14ac:dyDescent="0.2">
      <c r="A120" s="2" t="str">
        <f>'Language Index'!A334</f>
        <v>Accrued Exp.</v>
      </c>
      <c r="B120" s="17"/>
      <c r="C120" s="17"/>
      <c r="D120" s="73">
        <f>'Financial Statements'!D373/'Financial Statements'!D$412</f>
        <v>4.9632033158615266E-2</v>
      </c>
      <c r="E120" s="73">
        <f>'Financial Statements'!E373/'Financial Statements'!E$412</f>
        <v>4.9450591937890982E-2</v>
      </c>
      <c r="F120" s="73">
        <f>'Financial Statements'!F373/'Financial Statements'!F$412</f>
        <v>4.974822723878114E-2</v>
      </c>
      <c r="G120" s="73">
        <f>'Financial Statements'!G373/'Financial Statements'!G$412</f>
        <v>4.8844855616064851E-2</v>
      </c>
      <c r="H120" s="73">
        <f>'Financial Statements'!H373/'Financial Statements'!H$412</f>
        <v>4.5925228617536312E-2</v>
      </c>
      <c r="I120" s="73">
        <f>'Financial Statements'!I373/'Financial Statements'!I$412</f>
        <v>4.8206403203835076E-2</v>
      </c>
      <c r="J120" s="73">
        <f>'Financial Statements'!J373/'Financial Statements'!J$412</f>
        <v>5.1408784399489704E-2</v>
      </c>
      <c r="K120" s="73">
        <f>'Financial Statements'!K373/'Financial Statements'!K$412</f>
        <v>4.7388907576870531E-2</v>
      </c>
      <c r="L120" s="73">
        <f>'Financial Statements'!L373/'Financial Statements'!L$412</f>
        <v>4.5267018878083251E-2</v>
      </c>
      <c r="M120" s="73">
        <f>'Financial Statements'!M373/'Financial Statements'!M$412</f>
        <v>4.5238941440209963E-2</v>
      </c>
      <c r="N120" s="73">
        <f>'Financial Statements'!N373/'Financial Statements'!N$412</f>
        <v>5.2515143534369237E-2</v>
      </c>
      <c r="O120" s="60"/>
      <c r="P120" s="73">
        <f>'Financial Statements'!P373/'Financial Statements'!P$412</f>
        <v>5.2515143534369237E-2</v>
      </c>
      <c r="Q120" s="2"/>
    </row>
    <row r="121" spans="1:17" ht="12.75" customHeight="1" x14ac:dyDescent="0.2">
      <c r="A121" s="2" t="str">
        <f>'Language Index'!A335</f>
        <v>Short-term Borrowings</v>
      </c>
      <c r="B121" s="17"/>
      <c r="C121" s="17"/>
      <c r="D121" s="73">
        <f>'Financial Statements'!D374/'Financial Statements'!D$412</f>
        <v>3.7817763759993347E-5</v>
      </c>
      <c r="E121" s="73">
        <f>'Financial Statements'!E374/'Financial Statements'!E$412</f>
        <v>1.0052505006920763E-4</v>
      </c>
      <c r="F121" s="73">
        <f>'Financial Statements'!F374/'Financial Statements'!F$412</f>
        <v>7.3942073779401221E-6</v>
      </c>
      <c r="G121" s="73">
        <f>'Financial Statements'!G374/'Financial Statements'!G$412</f>
        <v>1.458055391524324E-5</v>
      </c>
      <c r="H121" s="73">
        <f>'Financial Statements'!H374/'Financial Statements'!H$412</f>
        <v>7.4711613173151631E-6</v>
      </c>
      <c r="I121" s="73">
        <f>'Financial Statements'!I374/'Financial Statements'!I$412</f>
        <v>6.699469253158056E-5</v>
      </c>
      <c r="J121" s="73">
        <f>'Financial Statements'!J374/'Financial Statements'!J$412</f>
        <v>2.1869874248223073E-4</v>
      </c>
      <c r="K121" s="73">
        <f>'Financial Statements'!K374/'Financial Statements'!K$412</f>
        <v>6.8649728490323825E-6</v>
      </c>
      <c r="L121" s="73">
        <f>'Financial Statements'!L374/'Financial Statements'!L$412</f>
        <v>6.7301544570447892E-6</v>
      </c>
      <c r="M121" s="73">
        <f>'Financial Statements'!M374/'Financial Statements'!M$412</f>
        <v>6.8347093881568152E-6</v>
      </c>
      <c r="N121" s="73">
        <f>'Financial Statements'!N374/'Financial Statements'!N$412</f>
        <v>0</v>
      </c>
      <c r="O121" s="60"/>
      <c r="P121" s="73">
        <f>'Financial Statements'!P374/'Financial Statements'!P$412</f>
        <v>0</v>
      </c>
      <c r="Q121" s="2"/>
    </row>
    <row r="122" spans="1:17" ht="12.75" customHeight="1" x14ac:dyDescent="0.2">
      <c r="A122" s="2" t="str">
        <f>'Language Index'!A336</f>
        <v>Current Portion of Long Term Debt</v>
      </c>
      <c r="B122" s="17"/>
      <c r="C122" s="17"/>
      <c r="D122" s="73">
        <f>'Financial Statements'!D375/'Financial Statements'!D$412</f>
        <v>5.1280887658550975E-2</v>
      </c>
      <c r="E122" s="73">
        <f>'Financial Statements'!E375/'Financial Statements'!E$412</f>
        <v>4.9496988114846006E-2</v>
      </c>
      <c r="F122" s="73">
        <f>'Financial Statements'!F375/'Financial Statements'!F$412</f>
        <v>4.6613083310534528E-2</v>
      </c>
      <c r="G122" s="73">
        <f>'Financial Statements'!G375/'Financial Statements'!G$412</f>
        <v>3.9870524681232637E-2</v>
      </c>
      <c r="H122" s="73">
        <f>'Financial Statements'!H375/'Financial Statements'!H$412</f>
        <v>2.6903651903651904E-2</v>
      </c>
      <c r="I122" s="73">
        <f>'Financial Statements'!I375/'Financial Statements'!I$412</f>
        <v>2.6723438465374911E-2</v>
      </c>
      <c r="J122" s="73">
        <f>'Financial Statements'!J375/'Financial Statements'!J$412</f>
        <v>3.5436486240204117E-2</v>
      </c>
      <c r="K122" s="73">
        <f>'Financial Statements'!K375/'Financial Statements'!K$412</f>
        <v>4.7450692332511826E-2</v>
      </c>
      <c r="L122" s="73">
        <f>'Financial Statements'!L375/'Financial Statements'!L$412</f>
        <v>6.0194501463808593E-2</v>
      </c>
      <c r="M122" s="73">
        <f>'Financial Statements'!M375/'Financial Statements'!M$412</f>
        <v>5.4274427251353272E-2</v>
      </c>
      <c r="N122" s="73">
        <f>'Financial Statements'!N375/'Financial Statements'!N$412</f>
        <v>4.0459573347379513E-2</v>
      </c>
      <c r="O122" s="60"/>
      <c r="P122" s="73">
        <f>'Financial Statements'!P375/'Financial Statements'!P$412</f>
        <v>4.0459573347379513E-2</v>
      </c>
      <c r="Q122" s="2"/>
    </row>
    <row r="123" spans="1:17" ht="12.75" customHeight="1" x14ac:dyDescent="0.2">
      <c r="A123" s="2" t="str">
        <f>'Language Index'!A337</f>
        <v>Current Portion of Leases</v>
      </c>
      <c r="B123" s="17"/>
      <c r="C123" s="17"/>
      <c r="D123" s="73">
        <f>'Financial Statements'!D376/'Financial Statements'!D$412</f>
        <v>6.3685114171828788E-3</v>
      </c>
      <c r="E123" s="73">
        <f>'Financial Statements'!E376/'Financial Statements'!E$412</f>
        <v>6.240285800450043E-3</v>
      </c>
      <c r="F123" s="73">
        <f>'Financial Statements'!F376/'Financial Statements'!F$412</f>
        <v>6.9579491426416543E-3</v>
      </c>
      <c r="G123" s="73">
        <f>'Financial Statements'!G376/'Financial Statements'!G$412</f>
        <v>5.7155771347753501E-3</v>
      </c>
      <c r="H123" s="73">
        <f>'Financial Statements'!H376/'Financial Statements'!H$412</f>
        <v>5.6930249237941545E-3</v>
      </c>
      <c r="I123" s="73">
        <f>'Financial Statements'!I376/'Financial Statements'!I$412</f>
        <v>5.8806452333276266E-3</v>
      </c>
      <c r="J123" s="73">
        <f>'Financial Statements'!J376/'Financial Statements'!J$412</f>
        <v>7.0420995079278296E-3</v>
      </c>
      <c r="K123" s="73">
        <f>'Financial Statements'!K376/'Financial Statements'!K$412</f>
        <v>5.4782483335278406E-3</v>
      </c>
      <c r="L123" s="73">
        <f>'Financial Statements'!L376/'Financial Statements'!L$412</f>
        <v>5.5187266547767275E-3</v>
      </c>
      <c r="M123" s="73">
        <f>'Financial Statements'!M376/'Financial Statements'!M$412</f>
        <v>5.5156104762425504E-3</v>
      </c>
      <c r="N123" s="73">
        <f>'Financial Statements'!N376/'Financial Statements'!N$412</f>
        <v>7.1042928627864099E-3</v>
      </c>
      <c r="O123" s="60"/>
      <c r="P123" s="73">
        <f>'Financial Statements'!P376/'Financial Statements'!P$412</f>
        <v>7.1042928627864099E-3</v>
      </c>
      <c r="Q123" s="2"/>
    </row>
    <row r="124" spans="1:17" ht="12.75" customHeight="1" x14ac:dyDescent="0.2">
      <c r="A124" s="2" t="str">
        <f>'Language Index'!A338</f>
        <v>Finance Div. Debt Current</v>
      </c>
      <c r="B124" s="17"/>
      <c r="C124" s="17"/>
      <c r="D124" s="73">
        <f>'Financial Statements'!D377/'Financial Statements'!D$412</f>
        <v>0</v>
      </c>
      <c r="E124" s="73">
        <f>'Financial Statements'!E377/'Financial Statements'!E$412</f>
        <v>0</v>
      </c>
      <c r="F124" s="73">
        <f>'Financial Statements'!F377/'Financial Statements'!F$412</f>
        <v>0</v>
      </c>
      <c r="G124" s="73">
        <f>'Financial Statements'!G377/'Financial Statements'!G$412</f>
        <v>0</v>
      </c>
      <c r="H124" s="73">
        <f>'Financial Statements'!H377/'Financial Statements'!H$412</f>
        <v>0</v>
      </c>
      <c r="I124" s="73">
        <f>'Financial Statements'!I377/'Financial Statements'!I$412</f>
        <v>0</v>
      </c>
      <c r="J124" s="73">
        <f>'Financial Statements'!J377/'Financial Statements'!J$412</f>
        <v>0</v>
      </c>
      <c r="K124" s="73">
        <f>'Financial Statements'!K377/'Financial Statements'!K$412</f>
        <v>0</v>
      </c>
      <c r="L124" s="73">
        <f>'Financial Statements'!L377/'Financial Statements'!L$412</f>
        <v>0</v>
      </c>
      <c r="M124" s="73">
        <f>'Financial Statements'!M377/'Financial Statements'!M$412</f>
        <v>0</v>
      </c>
      <c r="N124" s="73">
        <f>'Financial Statements'!N377/'Financial Statements'!N$412</f>
        <v>0</v>
      </c>
      <c r="O124" s="60"/>
      <c r="P124" s="73">
        <f>'Financial Statements'!P377/'Financial Statements'!P$412</f>
        <v>0</v>
      </c>
      <c r="Q124" s="2"/>
    </row>
    <row r="125" spans="1:17" ht="12.75" customHeight="1" x14ac:dyDescent="0.2">
      <c r="A125" s="2" t="str">
        <f>'Language Index'!A339</f>
        <v>Finance Div. Other Curr. Liab.</v>
      </c>
      <c r="B125" s="17"/>
      <c r="C125" s="17"/>
      <c r="D125" s="73">
        <f>'Financial Statements'!D378/'Financial Statements'!D$412</f>
        <v>0</v>
      </c>
      <c r="E125" s="73">
        <f>'Financial Statements'!E378/'Financial Statements'!E$412</f>
        <v>0</v>
      </c>
      <c r="F125" s="73">
        <f>'Financial Statements'!F378/'Financial Statements'!F$412</f>
        <v>0</v>
      </c>
      <c r="G125" s="73">
        <f>'Financial Statements'!G378/'Financial Statements'!G$412</f>
        <v>0</v>
      </c>
      <c r="H125" s="73">
        <f>'Financial Statements'!H378/'Financial Statements'!H$412</f>
        <v>0</v>
      </c>
      <c r="I125" s="73">
        <f>'Financial Statements'!I378/'Financial Statements'!I$412</f>
        <v>0</v>
      </c>
      <c r="J125" s="73">
        <f>'Financial Statements'!J378/'Financial Statements'!J$412</f>
        <v>0</v>
      </c>
      <c r="K125" s="73">
        <f>'Financial Statements'!K378/'Financial Statements'!K$412</f>
        <v>0</v>
      </c>
      <c r="L125" s="73">
        <f>'Financial Statements'!L378/'Financial Statements'!L$412</f>
        <v>0</v>
      </c>
      <c r="M125" s="73">
        <f>'Financial Statements'!M378/'Financial Statements'!M$412</f>
        <v>0</v>
      </c>
      <c r="N125" s="73">
        <f>'Financial Statements'!N378/'Financial Statements'!N$412</f>
        <v>0</v>
      </c>
      <c r="O125" s="60"/>
      <c r="P125" s="73">
        <f>'Financial Statements'!P378/'Financial Statements'!P$412</f>
        <v>0</v>
      </c>
      <c r="Q125" s="2"/>
    </row>
    <row r="126" spans="1:17" ht="12.75" customHeight="1" x14ac:dyDescent="0.2">
      <c r="A126" s="2" t="str">
        <f>'Language Index'!A340</f>
        <v>Curr. Income Taxes Payable</v>
      </c>
      <c r="B126" s="17"/>
      <c r="C126" s="17"/>
      <c r="D126" s="73">
        <f>'Financial Statements'!D379/'Financial Statements'!D$412</f>
        <v>1.2147065719709861E-2</v>
      </c>
      <c r="E126" s="73">
        <f>'Financial Statements'!E379/'Financial Statements'!E$412</f>
        <v>1.2055273312145745E-2</v>
      </c>
      <c r="F126" s="73">
        <f>'Financial Statements'!F379/'Financial Statements'!F$412</f>
        <v>1.6784850747924077E-2</v>
      </c>
      <c r="G126" s="73">
        <f>'Financial Statements'!G379/'Financial Statements'!G$412</f>
        <v>1.246637359753297E-2</v>
      </c>
      <c r="H126" s="73">
        <f>'Financial Statements'!H379/'Financial Statements'!H$412</f>
        <v>1.2633733787579942E-2</v>
      </c>
      <c r="I126" s="73">
        <f>'Financial Statements'!I379/'Financial Statements'!I$412</f>
        <v>1.1791065885558177E-2</v>
      </c>
      <c r="J126" s="73">
        <f>'Financial Statements'!J379/'Financial Statements'!J$412</f>
        <v>1.4820484782212501E-2</v>
      </c>
      <c r="K126" s="73">
        <f>'Financial Statements'!K379/'Financial Statements'!K$412</f>
        <v>1.0798602291527936E-2</v>
      </c>
      <c r="L126" s="73">
        <f>'Financial Statements'!L379/'Financial Statements'!L$412</f>
        <v>1.1313389642292291E-2</v>
      </c>
      <c r="M126" s="73">
        <f>'Financial Statements'!M379/'Financial Statements'!M$412</f>
        <v>1.1366121712504784E-2</v>
      </c>
      <c r="N126" s="73">
        <f>'Financial Statements'!N379/'Financial Statements'!N$412</f>
        <v>1.5452989202001581E-2</v>
      </c>
      <c r="O126" s="60"/>
      <c r="P126" s="73">
        <f>'Financial Statements'!P379/'Financial Statements'!P$412</f>
        <v>1.5452989202001581E-2</v>
      </c>
      <c r="Q126" s="2"/>
    </row>
    <row r="127" spans="1:17" ht="12.75" customHeight="1" x14ac:dyDescent="0.2">
      <c r="A127" s="2" t="str">
        <f>'Language Index'!A341</f>
        <v>Unearned Revenue, Current</v>
      </c>
      <c r="B127" s="17"/>
      <c r="C127" s="17"/>
      <c r="D127" s="73">
        <f>'Financial Statements'!D380/'Financial Statements'!D$412</f>
        <v>9.6147882583407077E-2</v>
      </c>
      <c r="E127" s="73">
        <f>'Financial Statements'!E380/'Financial Statements'!E$412</f>
        <v>9.2150540128826716E-2</v>
      </c>
      <c r="F127" s="73">
        <f>'Financial Statements'!F380/'Financial Statements'!F$412</f>
        <v>9.9459483440672583E-2</v>
      </c>
      <c r="G127" s="73">
        <f>'Financial Statements'!G380/'Financial Statements'!G$412</f>
        <v>0.10243568153154138</v>
      </c>
      <c r="H127" s="73">
        <f>'Financial Statements'!H380/'Financial Statements'!H$412</f>
        <v>0.10192905385213077</v>
      </c>
      <c r="I127" s="73">
        <f>'Financial Statements'!I380/'Financial Statements'!I$412</f>
        <v>9.5891736576868961E-2</v>
      </c>
      <c r="J127" s="73">
        <f>'Financial Statements'!J380/'Financial Statements'!J$412</f>
        <v>0.10138144705667942</v>
      </c>
      <c r="K127" s="73">
        <f>'Financial Statements'!K380/'Financial Statements'!K$412</f>
        <v>0.10336589618788057</v>
      </c>
      <c r="L127" s="73">
        <f>'Financial Statements'!L380/'Financial Statements'!L$412</f>
        <v>0.10110038025372682</v>
      </c>
      <c r="M127" s="73">
        <f>'Financial Statements'!M380/'Financial Statements'!M$412</f>
        <v>9.485209688884029E-2</v>
      </c>
      <c r="N127" s="73">
        <f>'Financial Statements'!N380/'Financial Statements'!N$412</f>
        <v>0.10601132473005004</v>
      </c>
      <c r="O127" s="60"/>
      <c r="P127" s="73">
        <f>'Financial Statements'!P380/'Financial Statements'!P$412</f>
        <v>0.10601132473005004</v>
      </c>
      <c r="Q127" s="2"/>
    </row>
    <row r="128" spans="1:17" ht="12.75" customHeight="1" x14ac:dyDescent="0.2">
      <c r="A128" s="2" t="str">
        <f>'Language Index'!A342</f>
        <v>Def. Tax Liability, Curr.</v>
      </c>
      <c r="B128" s="17"/>
      <c r="C128" s="17"/>
      <c r="D128" s="73">
        <f>'Financial Statements'!D381/'Financial Statements'!D$412</f>
        <v>0</v>
      </c>
      <c r="E128" s="73">
        <f>'Financial Statements'!E381/'Financial Statements'!E$412</f>
        <v>0</v>
      </c>
      <c r="F128" s="73">
        <f>'Financial Statements'!F381/'Financial Statements'!F$412</f>
        <v>0</v>
      </c>
      <c r="G128" s="73">
        <f>'Financial Statements'!G381/'Financial Statements'!G$412</f>
        <v>0</v>
      </c>
      <c r="H128" s="73">
        <f>'Financial Statements'!H381/'Financial Statements'!H$412</f>
        <v>0</v>
      </c>
      <c r="I128" s="73">
        <f>'Financial Statements'!I381/'Financial Statements'!I$412</f>
        <v>0</v>
      </c>
      <c r="J128" s="73">
        <f>'Financial Statements'!J381/'Financial Statements'!J$412</f>
        <v>0</v>
      </c>
      <c r="K128" s="73">
        <f>'Financial Statements'!K381/'Financial Statements'!K$412</f>
        <v>0</v>
      </c>
      <c r="L128" s="73">
        <f>'Financial Statements'!L381/'Financial Statements'!L$412</f>
        <v>0</v>
      </c>
      <c r="M128" s="73">
        <f>'Financial Statements'!M381/'Financial Statements'!M$412</f>
        <v>0</v>
      </c>
      <c r="N128" s="73">
        <f>'Financial Statements'!N381/'Financial Statements'!N$412</f>
        <v>0</v>
      </c>
      <c r="O128" s="60"/>
      <c r="P128" s="73">
        <f>'Financial Statements'!P381/'Financial Statements'!P$412</f>
        <v>0</v>
      </c>
      <c r="Q128" s="2"/>
    </row>
    <row r="129" spans="1:17" ht="12.75" customHeight="1" x14ac:dyDescent="0.2">
      <c r="A129" s="2" t="str">
        <f>'Language Index'!A343</f>
        <v>Other Current Liabilities</v>
      </c>
      <c r="B129" s="17"/>
      <c r="C129" s="17"/>
      <c r="D129" s="73">
        <f>'Financial Statements'!D382/'Financial Statements'!D$412</f>
        <v>2.0724134540476354E-3</v>
      </c>
      <c r="E129" s="73">
        <f>'Financial Statements'!E382/'Financial Statements'!E$412</f>
        <v>1.3300237393772086E-3</v>
      </c>
      <c r="F129" s="73">
        <f>'Financial Statements'!F382/'Financial Statements'!F$412</f>
        <v>2.1812911764923361E-3</v>
      </c>
      <c r="G129" s="73">
        <f>'Financial Statements'!G382/'Financial Statements'!G$412</f>
        <v>6.7799575705881064E-4</v>
      </c>
      <c r="H129" s="73">
        <f>'Financial Statements'!H382/'Financial Statements'!H$412</f>
        <v>1.2850397465782081E-3</v>
      </c>
      <c r="I129" s="73">
        <f>'Financial Statements'!I382/'Financial Statements'!I$412</f>
        <v>1.8460759719813309E-3</v>
      </c>
      <c r="J129" s="73">
        <f>'Financial Statements'!J382/'Financial Statements'!J$412</f>
        <v>1.9026790595954074E-3</v>
      </c>
      <c r="K129" s="73">
        <f>'Financial Statements'!K382/'Financial Statements'!K$412</f>
        <v>1.9015974791819698E-3</v>
      </c>
      <c r="L129" s="73">
        <f>'Financial Statements'!L382/'Financial Statements'!L$412</f>
        <v>3.7554261870309923E-3</v>
      </c>
      <c r="M129" s="73">
        <f>'Financial Statements'!M382/'Financial Statements'!M$412</f>
        <v>2.5015036360653943E-3</v>
      </c>
      <c r="N129" s="73">
        <f>'Financial Statements'!N382/'Financial Statements'!N$412</f>
        <v>1.6723729259942059E-3</v>
      </c>
      <c r="O129" s="60"/>
      <c r="P129" s="73">
        <f>'Financial Statements'!P382/'Financial Statements'!P$412</f>
        <v>1.6723729259942059E-3</v>
      </c>
      <c r="Q129" s="2"/>
    </row>
    <row r="130" spans="1:17" ht="12.75" customHeight="1" x14ac:dyDescent="0.2">
      <c r="A130" s="20" t="str">
        <f>'Language Index'!A344</f>
        <v>Total Current Liabilities</v>
      </c>
      <c r="B130" s="20"/>
      <c r="C130" s="20"/>
      <c r="D130" s="74">
        <f>'Financial Statements'!D383/'Financial Statements'!D$412</f>
        <v>0.24591379062573271</v>
      </c>
      <c r="E130" s="74">
        <f>'Financial Statements'!E383/'Financial Statements'!E$412</f>
        <v>0.23666689864755144</v>
      </c>
      <c r="F130" s="74">
        <f>'Financial Statements'!F383/'Financial Statements'!F$412</f>
        <v>0.25230514415007282</v>
      </c>
      <c r="G130" s="74">
        <f>'Financial Statements'!G383/'Financial Statements'!G$412</f>
        <v>0.23618310259606762</v>
      </c>
      <c r="H130" s="74">
        <f>'Financial Statements'!H383/'Financial Statements'!H$412</f>
        <v>0.22150499073575997</v>
      </c>
      <c r="I130" s="74">
        <f>'Financial Statements'!I383/'Financial Statements'!I$412</f>
        <v>0.21477754040152153</v>
      </c>
      <c r="J130" s="74">
        <f>'Financial Statements'!J383/'Financial Statements'!J$412</f>
        <v>0.24160379077820301</v>
      </c>
      <c r="K130" s="74">
        <f>'Financial Statements'!K383/'Financial Statements'!K$412</f>
        <v>0.24100173683813081</v>
      </c>
      <c r="L130" s="74">
        <f>'Financial Statements'!L383/'Financial Statements'!L$412</f>
        <v>0.25390180704647169</v>
      </c>
      <c r="M130" s="74">
        <f>'Financial Statements'!M383/'Financial Statements'!M$412</f>
        <v>0.24018535731860682</v>
      </c>
      <c r="N130" s="74">
        <f>'Financial Statements'!N383/'Financial Statements'!N$412</f>
        <v>0.2545298920200158</v>
      </c>
      <c r="O130" s="75"/>
      <c r="P130" s="74">
        <f>'Financial Statements'!P383/'Financial Statements'!P$412</f>
        <v>0.2545298920200158</v>
      </c>
      <c r="Q130" s="76"/>
    </row>
    <row r="131" spans="1:17" ht="12.75" customHeight="1" x14ac:dyDescent="0.2">
      <c r="A131" s="16"/>
      <c r="B131" s="16"/>
      <c r="C131" s="16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60"/>
      <c r="P131" s="73"/>
      <c r="Q131" s="2"/>
    </row>
    <row r="132" spans="1:17" ht="12.75" customHeight="1" x14ac:dyDescent="0.2">
      <c r="A132" s="2" t="str">
        <f>'Language Index'!A345</f>
        <v>Long-Term Debt</v>
      </c>
      <c r="B132" s="16"/>
      <c r="C132" s="16"/>
      <c r="D132" s="73">
        <f>'Financial Statements'!D385/'Financial Statements'!D$412</f>
        <v>0.38137702041402888</v>
      </c>
      <c r="E132" s="73">
        <f>'Financial Statements'!E385/'Financial Statements'!E$412</f>
        <v>0.37522908112371539</v>
      </c>
      <c r="F132" s="73">
        <f>'Financial Statements'!F385/'Financial Statements'!F$412</f>
        <v>0.36780266339349754</v>
      </c>
      <c r="G132" s="73">
        <f>'Financial Statements'!G385/'Financial Statements'!G$412</f>
        <v>0.38877588959604575</v>
      </c>
      <c r="H132" s="73">
        <f>'Financial Statements'!H385/'Financial Statements'!H$412</f>
        <v>0.38929233160002391</v>
      </c>
      <c r="I132" s="73">
        <f>'Financial Statements'!I385/'Financial Statements'!I$412</f>
        <v>0.38783971892004554</v>
      </c>
      <c r="J132" s="73">
        <f>'Financial Statements'!J385/'Financial Statements'!J$412</f>
        <v>0.35779843265901223</v>
      </c>
      <c r="K132" s="73">
        <f>'Financial Statements'!K385/'Financial Statements'!K$412</f>
        <v>0.37990759746545205</v>
      </c>
      <c r="L132" s="73">
        <f>'Financial Statements'!L385/'Financial Statements'!L$412</f>
        <v>0.36369081670424336</v>
      </c>
      <c r="M132" s="73">
        <f>'Financial Statements'!M385/'Financial Statements'!M$412</f>
        <v>0.36925884411394827</v>
      </c>
      <c r="N132" s="73">
        <f>'Financial Statements'!N385/'Financial Statements'!N$412</f>
        <v>0.35529365288385567</v>
      </c>
      <c r="O132" s="60"/>
      <c r="P132" s="73">
        <f>'Financial Statements'!P385/'Financial Statements'!P$412</f>
        <v>0.35529365288385567</v>
      </c>
      <c r="Q132" s="76"/>
    </row>
    <row r="133" spans="1:17" ht="12.75" customHeight="1" x14ac:dyDescent="0.2">
      <c r="A133" s="2" t="str">
        <f>'Language Index'!A346</f>
        <v>Long-Term Leases</v>
      </c>
      <c r="B133" s="17"/>
      <c r="C133" s="17"/>
      <c r="D133" s="73">
        <f>'Financial Statements'!D386/'Financial Statements'!D$412</f>
        <v>1.7048247903005E-2</v>
      </c>
      <c r="E133" s="73">
        <f>'Financial Statements'!E386/'Financial Statements'!E$412</f>
        <v>2.1489162626332922E-2</v>
      </c>
      <c r="F133" s="73">
        <f>'Financial Statements'!F386/'Financial Statements'!F$412</f>
        <v>2.1790729142789539E-2</v>
      </c>
      <c r="G133" s="73">
        <f>'Financial Statements'!G386/'Financial Statements'!G$412</f>
        <v>2.3970430636659885E-2</v>
      </c>
      <c r="H133" s="73">
        <f>'Financial Statements'!H386/'Financial Statements'!H$412</f>
        <v>2.5170342478034787E-2</v>
      </c>
      <c r="I133" s="73">
        <f>'Financial Statements'!I386/'Financial Statements'!I$412</f>
        <v>2.7058411928032811E-2</v>
      </c>
      <c r="J133" s="73">
        <f>'Financial Statements'!J386/'Financial Statements'!J$412</f>
        <v>2.5208675050118461E-2</v>
      </c>
      <c r="K133" s="73">
        <f>'Financial Statements'!K386/'Financial Statements'!K$412</f>
        <v>2.5977057260738533E-2</v>
      </c>
      <c r="L133" s="73">
        <f>'Financial Statements'!L386/'Financial Statements'!L$412</f>
        <v>2.634855469933035E-2</v>
      </c>
      <c r="M133" s="73">
        <f>'Financial Statements'!M386/'Financial Statements'!M$412</f>
        <v>2.5924052709278802E-2</v>
      </c>
      <c r="N133" s="73">
        <f>'Financial Statements'!N386/'Financial Statements'!N$412</f>
        <v>2.2524361337898341E-2</v>
      </c>
      <c r="O133" s="60"/>
      <c r="P133" s="73">
        <f>'Financial Statements'!P386/'Financial Statements'!P$412</f>
        <v>2.2524361337898341E-2</v>
      </c>
      <c r="Q133" s="2"/>
    </row>
    <row r="134" spans="1:17" ht="12.75" customHeight="1" x14ac:dyDescent="0.2">
      <c r="A134" s="2" t="str">
        <f>'Language Index'!A347</f>
        <v>Finance Div. Debt Non-Curr.</v>
      </c>
      <c r="B134" s="17"/>
      <c r="C134" s="17"/>
      <c r="D134" s="73">
        <f>'Financial Statements'!D387/'Financial Statements'!D$412</f>
        <v>0</v>
      </c>
      <c r="E134" s="73">
        <f>'Financial Statements'!E387/'Financial Statements'!E$412</f>
        <v>0</v>
      </c>
      <c r="F134" s="73">
        <f>'Financial Statements'!F387/'Financial Statements'!F$412</f>
        <v>0</v>
      </c>
      <c r="G134" s="73">
        <f>'Financial Statements'!G387/'Financial Statements'!G$412</f>
        <v>0</v>
      </c>
      <c r="H134" s="73">
        <f>'Financial Statements'!H387/'Financial Statements'!H$412</f>
        <v>0</v>
      </c>
      <c r="I134" s="73">
        <f>'Financial Statements'!I387/'Financial Statements'!I$412</f>
        <v>0</v>
      </c>
      <c r="J134" s="73">
        <f>'Financial Statements'!J387/'Financial Statements'!J$412</f>
        <v>0</v>
      </c>
      <c r="K134" s="73">
        <f>'Financial Statements'!K387/'Financial Statements'!K$412</f>
        <v>0</v>
      </c>
      <c r="L134" s="73">
        <f>'Financial Statements'!L387/'Financial Statements'!L$412</f>
        <v>0</v>
      </c>
      <c r="M134" s="73">
        <f>'Financial Statements'!M387/'Financial Statements'!M$412</f>
        <v>0</v>
      </c>
      <c r="N134" s="73">
        <f>'Financial Statements'!N387/'Financial Statements'!N$412</f>
        <v>0</v>
      </c>
      <c r="O134" s="60"/>
      <c r="P134" s="73">
        <f>'Financial Statements'!P387/'Financial Statements'!P$412</f>
        <v>0</v>
      </c>
      <c r="Q134" s="2"/>
    </row>
    <row r="135" spans="1:17" ht="12.75" customHeight="1" x14ac:dyDescent="0.2">
      <c r="A135" s="2" t="str">
        <f>'Language Index'!A348</f>
        <v>Finance Div. Other Non-Curr. Liab.</v>
      </c>
      <c r="B135" s="17"/>
      <c r="C135" s="17"/>
      <c r="D135" s="73">
        <f>'Financial Statements'!D388/'Financial Statements'!D$412</f>
        <v>0</v>
      </c>
      <c r="E135" s="73">
        <f>'Financial Statements'!E388/'Financial Statements'!E$412</f>
        <v>0</v>
      </c>
      <c r="F135" s="73">
        <f>'Financial Statements'!F388/'Financial Statements'!F$412</f>
        <v>0</v>
      </c>
      <c r="G135" s="73">
        <f>'Financial Statements'!G388/'Financial Statements'!G$412</f>
        <v>0</v>
      </c>
      <c r="H135" s="73">
        <f>'Financial Statements'!H388/'Financial Statements'!H$412</f>
        <v>0</v>
      </c>
      <c r="I135" s="73">
        <f>'Financial Statements'!I388/'Financial Statements'!I$412</f>
        <v>0</v>
      </c>
      <c r="J135" s="73">
        <f>'Financial Statements'!J388/'Financial Statements'!J$412</f>
        <v>0</v>
      </c>
      <c r="K135" s="73">
        <f>'Financial Statements'!K388/'Financial Statements'!K$412</f>
        <v>0</v>
      </c>
      <c r="L135" s="73">
        <f>'Financial Statements'!L388/'Financial Statements'!L$412</f>
        <v>0</v>
      </c>
      <c r="M135" s="73">
        <f>'Financial Statements'!M388/'Financial Statements'!M$412</f>
        <v>0</v>
      </c>
      <c r="N135" s="73">
        <f>'Financial Statements'!N388/'Financial Statements'!N$412</f>
        <v>0</v>
      </c>
      <c r="O135" s="60"/>
      <c r="P135" s="73">
        <f>'Financial Statements'!P388/'Financial Statements'!P$412</f>
        <v>0</v>
      </c>
      <c r="Q135" s="2"/>
    </row>
    <row r="136" spans="1:17" ht="12.75" customHeight="1" x14ac:dyDescent="0.2">
      <c r="A136" s="2" t="str">
        <f>'Language Index'!A349</f>
        <v>Unearned Revenue, Non-Current</v>
      </c>
      <c r="B136" s="17"/>
      <c r="C136" s="17"/>
      <c r="D136" s="73">
        <f>'Financial Statements'!D389/'Financial Statements'!D$412</f>
        <v>2.4687436182523656E-2</v>
      </c>
      <c r="E136" s="73">
        <f>'Financial Statements'!E389/'Financial Statements'!E$412</f>
        <v>2.3855367651038888E-2</v>
      </c>
      <c r="F136" s="73">
        <f>'Financial Statements'!F389/'Financial Statements'!F$412</f>
        <v>2.6123734666262451E-2</v>
      </c>
      <c r="G136" s="73">
        <f>'Financial Statements'!G389/'Financial Statements'!G$412</f>
        <v>2.5428486028184212E-2</v>
      </c>
      <c r="H136" s="73">
        <f>'Financial Statements'!H389/'Financial Statements'!H$412</f>
        <v>2.6066881836112606E-2</v>
      </c>
      <c r="I136" s="73">
        <f>'Financial Statements'!I389/'Financial Statements'!I$412</f>
        <v>2.7289171424530478E-2</v>
      </c>
      <c r="J136" s="73">
        <f>'Financial Statements'!J389/'Financial Statements'!J$412</f>
        <v>2.640422817568799E-2</v>
      </c>
      <c r="K136" s="73">
        <f>'Financial Statements'!K389/'Financial Statements'!K$412</f>
        <v>2.6388955631680477E-2</v>
      </c>
      <c r="L136" s="73">
        <f>'Financial Statements'!L389/'Financial Statements'!L$412</f>
        <v>2.6335094390416262E-2</v>
      </c>
      <c r="M136" s="73">
        <f>'Financial Statements'!M389/'Financial Statements'!M$412</f>
        <v>2.6402482366449778E-2</v>
      </c>
      <c r="N136" s="73">
        <f>'Financial Statements'!N389/'Financial Statements'!N$412</f>
        <v>2.8120884909138794E-2</v>
      </c>
      <c r="O136" s="60"/>
      <c r="P136" s="73">
        <f>'Financial Statements'!P389/'Financial Statements'!P$412</f>
        <v>2.8120884909138794E-2</v>
      </c>
      <c r="Q136" s="2"/>
    </row>
    <row r="137" spans="1:17" ht="12.75" customHeight="1" x14ac:dyDescent="0.2">
      <c r="A137" s="2" t="str">
        <f>'Language Index'!A350</f>
        <v>Pension &amp; Other Post-Retire. Benefits</v>
      </c>
      <c r="B137" s="17"/>
      <c r="C137" s="17"/>
      <c r="D137" s="73">
        <f>'Financial Statements'!D390/'Financial Statements'!D$412</f>
        <v>7.0983942577507508E-2</v>
      </c>
      <c r="E137" s="73">
        <f>'Financial Statements'!E390/'Financial Statements'!E$412</f>
        <v>7.0290208086853642E-2</v>
      </c>
      <c r="F137" s="73">
        <f>'Financial Statements'!F390/'Financial Statements'!F$412</f>
        <v>7.9916593340776831E-2</v>
      </c>
      <c r="G137" s="73">
        <f>'Financial Statements'!G390/'Financial Statements'!G$412</f>
        <v>7.5971976175374906E-2</v>
      </c>
      <c r="H137" s="73">
        <f>'Financial Statements'!H390/'Financial Statements'!H$412</f>
        <v>7.6205845436614669E-2</v>
      </c>
      <c r="I137" s="73">
        <f>'Financial Statements'!I390/'Financial Statements'!I$412</f>
        <v>7.7162998086929335E-2</v>
      </c>
      <c r="J137" s="73">
        <f>'Financial Statements'!J390/'Financial Statements'!J$412</f>
        <v>6.8758884636413345E-2</v>
      </c>
      <c r="K137" s="73">
        <f>'Financial Statements'!K390/'Financial Statements'!K$412</f>
        <v>6.5464381088372797E-2</v>
      </c>
      <c r="L137" s="73">
        <f>'Financial Statements'!L390/'Financial Statements'!L$412</f>
        <v>6.6507386344516611E-2</v>
      </c>
      <c r="M137" s="73">
        <f>'Financial Statements'!M390/'Financial Statements'!M$412</f>
        <v>6.6535895893706606E-2</v>
      </c>
      <c r="N137" s="73">
        <f>'Financial Statements'!N390/'Financial Statements'!N$412</f>
        <v>5.9375823018172243E-2</v>
      </c>
      <c r="O137" s="60"/>
      <c r="P137" s="73">
        <f>'Financial Statements'!P390/'Financial Statements'!P$412</f>
        <v>5.9375823018172243E-2</v>
      </c>
      <c r="Q137" s="2"/>
    </row>
    <row r="138" spans="1:17" ht="12.75" customHeight="1" x14ac:dyDescent="0.2">
      <c r="A138" s="2" t="str">
        <f>'Language Index'!A351</f>
        <v>Def. Tax Liability, Non-Curr.</v>
      </c>
      <c r="B138" s="17"/>
      <c r="C138" s="17"/>
      <c r="D138" s="73">
        <f>'Financial Statements'!D391/'Financial Statements'!D$412</f>
        <v>0</v>
      </c>
      <c r="E138" s="73">
        <f>'Financial Statements'!E391/'Financial Statements'!E$412</f>
        <v>0</v>
      </c>
      <c r="F138" s="73">
        <f>'Financial Statements'!F391/'Financial Statements'!F$412</f>
        <v>8.4737616551193787E-3</v>
      </c>
      <c r="G138" s="73">
        <f>'Financial Statements'!G391/'Financial Statements'!G$412</f>
        <v>0</v>
      </c>
      <c r="H138" s="73">
        <f>'Financial Statements'!H391/'Financial Statements'!H$412</f>
        <v>0</v>
      </c>
      <c r="I138" s="73">
        <f>'Financial Statements'!I391/'Financial Statements'!I$412</f>
        <v>0</v>
      </c>
      <c r="J138" s="73">
        <f>'Financial Statements'!J391/'Financial Statements'!J$412</f>
        <v>5.9413158374339347E-3</v>
      </c>
      <c r="K138" s="73">
        <f>'Financial Statements'!K391/'Financial Statements'!K$412</f>
        <v>0</v>
      </c>
      <c r="L138" s="73">
        <f>'Financial Statements'!L391/'Financial Statements'!L$412</f>
        <v>0</v>
      </c>
      <c r="M138" s="73">
        <f>'Financial Statements'!M391/'Financial Statements'!M$412</f>
        <v>0</v>
      </c>
      <c r="N138" s="73">
        <f>'Financial Statements'!N391/'Financial Statements'!N$412</f>
        <v>5.1422175401632866E-3</v>
      </c>
      <c r="O138" s="60"/>
      <c r="P138" s="73">
        <f>'Financial Statements'!P391/'Financial Statements'!P$412</f>
        <v>5.1422175401632866E-3</v>
      </c>
      <c r="Q138" s="2"/>
    </row>
    <row r="139" spans="1:17" ht="12.75" customHeight="1" x14ac:dyDescent="0.2">
      <c r="A139" s="2" t="str">
        <f>'Language Index'!A352</f>
        <v>Other Non-Current Liabilities</v>
      </c>
      <c r="B139" s="17"/>
      <c r="C139" s="17"/>
      <c r="D139" s="73">
        <f>'Financial Statements'!D392/'Financial Statements'!D$412</f>
        <v>9.1541678957439893E-2</v>
      </c>
      <c r="E139" s="73">
        <f>'Financial Statements'!E392/'Financial Statements'!E$412</f>
        <v>9.3410969602771399E-2</v>
      </c>
      <c r="F139" s="73">
        <f>'Financial Statements'!F392/'Financial Statements'!F$412</f>
        <v>7.638216221412146E-2</v>
      </c>
      <c r="G139" s="73">
        <f>'Financial Statements'!G392/'Financial Statements'!G$412</f>
        <v>7.9566082715482364E-2</v>
      </c>
      <c r="H139" s="73">
        <f>'Financial Statements'!H392/'Financial Statements'!H$412</f>
        <v>8.1682206682206687E-2</v>
      </c>
      <c r="I139" s="73">
        <f>'Financial Statements'!I392/'Financial Statements'!I$412</f>
        <v>8.3274402816754634E-2</v>
      </c>
      <c r="J139" s="73">
        <f>'Financial Statements'!J392/'Financial Statements'!J$412</f>
        <v>7.4590851102606159E-2</v>
      </c>
      <c r="K139" s="73">
        <f>'Financial Statements'!K392/'Financial Statements'!K$412</f>
        <v>7.6235523488504597E-2</v>
      </c>
      <c r="L139" s="73">
        <f>'Financial Statements'!L392/'Financial Statements'!L$412</f>
        <v>7.7544839654070066E-2</v>
      </c>
      <c r="M139" s="73">
        <f>'Financial Statements'!M392/'Financial Statements'!M$412</f>
        <v>8.0389851823500461E-2</v>
      </c>
      <c r="N139" s="73">
        <f>'Financial Statements'!N392/'Financial Statements'!N$412</f>
        <v>5.9441664471951539E-2</v>
      </c>
      <c r="O139" s="60"/>
      <c r="P139" s="73">
        <f>'Financial Statements'!P392/'Financial Statements'!P$412</f>
        <v>5.9441664471951539E-2</v>
      </c>
      <c r="Q139" s="2"/>
    </row>
    <row r="140" spans="1:17" ht="12.75" customHeight="1" thickBot="1" x14ac:dyDescent="0.25">
      <c r="A140" s="20" t="str">
        <f>'Language Index'!A353</f>
        <v>Total Liabilities</v>
      </c>
      <c r="B140" s="45"/>
      <c r="C140" s="45"/>
      <c r="D140" s="79">
        <f>'Financial Statements'!D393/'Financial Statements'!D$412</f>
        <v>0.83155211666023765</v>
      </c>
      <c r="E140" s="79">
        <f>'Financial Statements'!E393/'Financial Statements'!E$412</f>
        <v>0.8209416877382637</v>
      </c>
      <c r="F140" s="79">
        <f>'Financial Statements'!F393/'Financial Statements'!F$412</f>
        <v>0.83279478856264</v>
      </c>
      <c r="G140" s="79">
        <f>'Financial Statements'!G393/'Financial Statements'!G$412</f>
        <v>0.82989596774781471</v>
      </c>
      <c r="H140" s="79">
        <f>'Financial Statements'!H393/'Financial Statements'!H$412</f>
        <v>0.81992259876875262</v>
      </c>
      <c r="I140" s="79">
        <f>'Financial Statements'!I393/'Financial Statements'!I$412</f>
        <v>0.81740224357781432</v>
      </c>
      <c r="J140" s="79">
        <f>'Financial Statements'!J393/'Financial Statements'!J$412</f>
        <v>0.80030617823947514</v>
      </c>
      <c r="K140" s="79">
        <f>'Financial Statements'!K393/'Financial Statements'!K$412</f>
        <v>0.81497525177287922</v>
      </c>
      <c r="L140" s="79">
        <f>'Financial Statements'!L393/'Financial Statements'!L$412</f>
        <v>0.81432849883904834</v>
      </c>
      <c r="M140" s="79">
        <f>'Financial Statements'!M393/'Financial Statements'!M$412</f>
        <v>0.80869648422549079</v>
      </c>
      <c r="N140" s="79">
        <f>'Financial Statements'!N393/'Financial Statements'!N$412</f>
        <v>0.7844284961811957</v>
      </c>
      <c r="O140" s="75"/>
      <c r="P140" s="79">
        <f>'Financial Statements'!P393/'Financial Statements'!P$412</f>
        <v>0.7844284961811957</v>
      </c>
      <c r="Q140" s="76"/>
    </row>
    <row r="141" spans="1:17" ht="12.75" customHeight="1" thickTop="1" x14ac:dyDescent="0.2">
      <c r="A141" s="45"/>
      <c r="B141" s="45"/>
      <c r="C141" s="45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5"/>
      <c r="P141" s="78"/>
      <c r="Q141" s="76"/>
    </row>
    <row r="142" spans="1:17" ht="12.75" customHeight="1" x14ac:dyDescent="0.2">
      <c r="A142" s="9" t="str">
        <f>'Language Index'!A354</f>
        <v>EQUITY</v>
      </c>
      <c r="B142" s="16"/>
      <c r="C142" s="16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60"/>
      <c r="P142" s="73"/>
      <c r="Q142" s="2"/>
    </row>
    <row r="143" spans="1:17" ht="12.75" customHeight="1" x14ac:dyDescent="0.2">
      <c r="A143" s="2" t="str">
        <f>'Language Index'!A355</f>
        <v>Pref. Stock, Redeemable</v>
      </c>
      <c r="B143" s="16"/>
      <c r="C143" s="16"/>
      <c r="D143" s="73">
        <f>'Financial Statements'!D396/'Financial Statements'!D$412</f>
        <v>0</v>
      </c>
      <c r="E143" s="73">
        <f>'Financial Statements'!E396/'Financial Statements'!E$412</f>
        <v>0</v>
      </c>
      <c r="F143" s="73">
        <f>'Financial Statements'!F396/'Financial Statements'!F$412</f>
        <v>0</v>
      </c>
      <c r="G143" s="73">
        <f>'Financial Statements'!G396/'Financial Statements'!G$412</f>
        <v>0</v>
      </c>
      <c r="H143" s="73">
        <f>'Financial Statements'!H396/'Financial Statements'!H$412</f>
        <v>0</v>
      </c>
      <c r="I143" s="73">
        <f>'Financial Statements'!I396/'Financial Statements'!I$412</f>
        <v>0</v>
      </c>
      <c r="J143" s="73">
        <f>'Financial Statements'!J396/'Financial Statements'!J$412</f>
        <v>0</v>
      </c>
      <c r="K143" s="73">
        <f>'Financial Statements'!K396/'Financial Statements'!K$412</f>
        <v>0</v>
      </c>
      <c r="L143" s="73">
        <f>'Financial Statements'!L396/'Financial Statements'!L$412</f>
        <v>0</v>
      </c>
      <c r="M143" s="73">
        <f>'Financial Statements'!M396/'Financial Statements'!M$412</f>
        <v>0</v>
      </c>
      <c r="N143" s="73">
        <f>'Financial Statements'!N396/'Financial Statements'!N$412</f>
        <v>0</v>
      </c>
      <c r="O143" s="60"/>
      <c r="P143" s="73">
        <f>'Financial Statements'!P396/'Financial Statements'!P$412</f>
        <v>0</v>
      </c>
      <c r="Q143" s="76"/>
    </row>
    <row r="144" spans="1:17" ht="12.75" customHeight="1" x14ac:dyDescent="0.2">
      <c r="A144" s="2" t="str">
        <f>'Language Index'!A356</f>
        <v>Pref. Stock, Non-Redeem.</v>
      </c>
      <c r="B144" s="16"/>
      <c r="C144" s="16"/>
      <c r="D144" s="73">
        <f>'Financial Statements'!D397/'Financial Statements'!D$412</f>
        <v>0</v>
      </c>
      <c r="E144" s="73">
        <f>'Financial Statements'!E397/'Financial Statements'!E$412</f>
        <v>0</v>
      </c>
      <c r="F144" s="73">
        <f>'Financial Statements'!F397/'Financial Statements'!F$412</f>
        <v>0</v>
      </c>
      <c r="G144" s="73">
        <f>'Financial Statements'!G397/'Financial Statements'!G$412</f>
        <v>0</v>
      </c>
      <c r="H144" s="73">
        <f>'Financial Statements'!H397/'Financial Statements'!H$412</f>
        <v>0</v>
      </c>
      <c r="I144" s="73">
        <f>'Financial Statements'!I397/'Financial Statements'!I$412</f>
        <v>0</v>
      </c>
      <c r="J144" s="73">
        <f>'Financial Statements'!J397/'Financial Statements'!J$412</f>
        <v>0</v>
      </c>
      <c r="K144" s="73">
        <f>'Financial Statements'!K397/'Financial Statements'!K$412</f>
        <v>0</v>
      </c>
      <c r="L144" s="73">
        <f>'Financial Statements'!L397/'Financial Statements'!L$412</f>
        <v>0</v>
      </c>
      <c r="M144" s="73">
        <f>'Financial Statements'!M397/'Financial Statements'!M$412</f>
        <v>0</v>
      </c>
      <c r="N144" s="73">
        <f>'Financial Statements'!N397/'Financial Statements'!N$412</f>
        <v>0</v>
      </c>
      <c r="O144" s="60"/>
      <c r="P144" s="73">
        <f>'Financial Statements'!P397/'Financial Statements'!P$412</f>
        <v>0</v>
      </c>
      <c r="Q144" s="2"/>
    </row>
    <row r="145" spans="1:17" ht="12.75" customHeight="1" x14ac:dyDescent="0.2">
      <c r="A145" s="2" t="str">
        <f>'Language Index'!A357</f>
        <v>Pref. Stock, Convertible</v>
      </c>
      <c r="B145" s="16"/>
      <c r="C145" s="16"/>
      <c r="D145" s="73">
        <f>'Financial Statements'!D398/'Financial Statements'!D$412</f>
        <v>0</v>
      </c>
      <c r="E145" s="73">
        <f>'Financial Statements'!E398/'Financial Statements'!E$412</f>
        <v>0</v>
      </c>
      <c r="F145" s="73">
        <f>'Financial Statements'!F398/'Financial Statements'!F$412</f>
        <v>0</v>
      </c>
      <c r="G145" s="73">
        <f>'Financial Statements'!G398/'Financial Statements'!G$412</f>
        <v>0</v>
      </c>
      <c r="H145" s="73">
        <f>'Financial Statements'!H398/'Financial Statements'!H$412</f>
        <v>0</v>
      </c>
      <c r="I145" s="73">
        <f>'Financial Statements'!I398/'Financial Statements'!I$412</f>
        <v>0</v>
      </c>
      <c r="J145" s="73">
        <f>'Financial Statements'!J398/'Financial Statements'!J$412</f>
        <v>0</v>
      </c>
      <c r="K145" s="73">
        <f>'Financial Statements'!K398/'Financial Statements'!K$412</f>
        <v>0</v>
      </c>
      <c r="L145" s="73">
        <f>'Financial Statements'!L398/'Financial Statements'!L$412</f>
        <v>0</v>
      </c>
      <c r="M145" s="73">
        <f>'Financial Statements'!M398/'Financial Statements'!M$412</f>
        <v>0</v>
      </c>
      <c r="N145" s="73">
        <f>'Financial Statements'!N398/'Financial Statements'!N$412</f>
        <v>0</v>
      </c>
      <c r="O145" s="60"/>
      <c r="P145" s="73">
        <f>'Financial Statements'!P398/'Financial Statements'!P$412</f>
        <v>0</v>
      </c>
      <c r="Q145" s="2"/>
    </row>
    <row r="146" spans="1:17" ht="12.75" customHeight="1" x14ac:dyDescent="0.2">
      <c r="A146" s="2" t="str">
        <f>'Language Index'!A358</f>
        <v>Pref. Stock, Other</v>
      </c>
      <c r="B146" s="16"/>
      <c r="C146" s="16"/>
      <c r="D146" s="73">
        <f>'Financial Statements'!D399/'Financial Statements'!D$412</f>
        <v>0</v>
      </c>
      <c r="E146" s="73">
        <f>'Financial Statements'!E399/'Financial Statements'!E$412</f>
        <v>0</v>
      </c>
      <c r="F146" s="73">
        <f>'Financial Statements'!F399/'Financial Statements'!F$412</f>
        <v>0</v>
      </c>
      <c r="G146" s="73">
        <f>'Financial Statements'!G399/'Financial Statements'!G$412</f>
        <v>0</v>
      </c>
      <c r="H146" s="73">
        <f>'Financial Statements'!H399/'Financial Statements'!H$412</f>
        <v>0</v>
      </c>
      <c r="I146" s="73">
        <f>'Financial Statements'!I399/'Financial Statements'!I$412</f>
        <v>0</v>
      </c>
      <c r="J146" s="73">
        <f>'Financial Statements'!J399/'Financial Statements'!J$412</f>
        <v>0</v>
      </c>
      <c r="K146" s="73">
        <f>'Financial Statements'!K399/'Financial Statements'!K$412</f>
        <v>0</v>
      </c>
      <c r="L146" s="73">
        <f>'Financial Statements'!L399/'Financial Statements'!L$412</f>
        <v>0</v>
      </c>
      <c r="M146" s="73">
        <f>'Financial Statements'!M399/'Financial Statements'!M$412</f>
        <v>0</v>
      </c>
      <c r="N146" s="73">
        <f>'Financial Statements'!N399/'Financial Statements'!N$412</f>
        <v>0</v>
      </c>
      <c r="O146" s="60"/>
      <c r="P146" s="73">
        <f>'Financial Statements'!P399/'Financial Statements'!P$412</f>
        <v>0</v>
      </c>
      <c r="Q146" s="2"/>
    </row>
    <row r="147" spans="1:17" ht="12.75" customHeight="1" x14ac:dyDescent="0.2">
      <c r="A147" s="20" t="str">
        <f>'Language Index'!A359</f>
        <v>Total Pref. Equity</v>
      </c>
      <c r="B147" s="1"/>
      <c r="C147" s="1"/>
      <c r="D147" s="80">
        <f>'Financial Statements'!D400/'Financial Statements'!D$412</f>
        <v>0</v>
      </c>
      <c r="E147" s="80">
        <f>'Financial Statements'!E400/'Financial Statements'!E$412</f>
        <v>0</v>
      </c>
      <c r="F147" s="80">
        <f>'Financial Statements'!F400/'Financial Statements'!F$412</f>
        <v>0</v>
      </c>
      <c r="G147" s="80">
        <f>'Financial Statements'!G400/'Financial Statements'!G$412</f>
        <v>0</v>
      </c>
      <c r="H147" s="80">
        <f>'Financial Statements'!H400/'Financial Statements'!H$412</f>
        <v>0</v>
      </c>
      <c r="I147" s="80">
        <f>'Financial Statements'!I400/'Financial Statements'!I$412</f>
        <v>0</v>
      </c>
      <c r="J147" s="80">
        <f>'Financial Statements'!J400/'Financial Statements'!J$412</f>
        <v>0</v>
      </c>
      <c r="K147" s="80">
        <f>'Financial Statements'!K400/'Financial Statements'!K$412</f>
        <v>0</v>
      </c>
      <c r="L147" s="80">
        <f>'Financial Statements'!L400/'Financial Statements'!L$412</f>
        <v>0</v>
      </c>
      <c r="M147" s="80">
        <f>'Financial Statements'!M400/'Financial Statements'!M$412</f>
        <v>0</v>
      </c>
      <c r="N147" s="80">
        <f>'Financial Statements'!N400/'Financial Statements'!N$412</f>
        <v>0</v>
      </c>
      <c r="O147" s="75"/>
      <c r="P147" s="80">
        <f>'Financial Statements'!P400/'Financial Statements'!P$412</f>
        <v>0</v>
      </c>
      <c r="Q147" s="47"/>
    </row>
    <row r="148" spans="1:17" ht="12.75" customHeight="1" x14ac:dyDescent="0.2">
      <c r="A148" s="16"/>
      <c r="B148" s="16"/>
      <c r="C148" s="16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60"/>
      <c r="P148" s="73"/>
      <c r="Q148" s="2"/>
    </row>
    <row r="149" spans="1:17" ht="12.75" customHeight="1" x14ac:dyDescent="0.2">
      <c r="A149" s="2" t="str">
        <f>'Language Index'!A360</f>
        <v>Common Stock</v>
      </c>
      <c r="B149" s="17"/>
      <c r="C149" s="17"/>
      <c r="D149" s="73">
        <f>'Financial Statements'!D402/'Financial Statements'!D$412</f>
        <v>0.44596976091609752</v>
      </c>
      <c r="E149" s="73">
        <f>'Financial Statements'!E402/'Financial Statements'!E$412</f>
        <v>0.45864940728883941</v>
      </c>
      <c r="F149" s="73">
        <f>'Financial Statements'!F402/'Financial Statements'!F$412</f>
        <v>0.44101271064248265</v>
      </c>
      <c r="G149" s="73">
        <f>'Financial Statements'!G402/'Financial Statements'!G$412</f>
        <v>0.43847370761615234</v>
      </c>
      <c r="H149" s="73">
        <f>'Financial Statements'!H402/'Financial Statements'!H$412</f>
        <v>0.45201273085888471</v>
      </c>
      <c r="I149" s="73">
        <f>'Financial Statements'!I402/'Financial Statements'!I$412</f>
        <v>0.45417190838103605</v>
      </c>
      <c r="J149" s="73">
        <f>'Financial Statements'!J402/'Financial Statements'!J$412</f>
        <v>0.44745762711864406</v>
      </c>
      <c r="K149" s="73">
        <f>'Financial Statements'!K402/'Financial Statements'!K$412</f>
        <v>0.42503106400214186</v>
      </c>
      <c r="L149" s="73">
        <f>'Financial Statements'!L402/'Financial Statements'!L$412</f>
        <v>0.41990779688393848</v>
      </c>
      <c r="M149" s="73">
        <f>'Financial Statements'!M402/'Financial Statements'!M$412</f>
        <v>0.42934960905462299</v>
      </c>
      <c r="N149" s="73">
        <f>'Financial Statements'!N402/'Financial Statements'!N$412</f>
        <v>0.41689491703976822</v>
      </c>
      <c r="O149" s="60"/>
      <c r="P149" s="73">
        <f>'Financial Statements'!P402/'Financial Statements'!P$412</f>
        <v>0.41689491703976822</v>
      </c>
      <c r="Q149" s="76"/>
    </row>
    <row r="150" spans="1:17" ht="12.75" customHeight="1" x14ac:dyDescent="0.2">
      <c r="A150" s="2" t="str">
        <f>'Language Index'!A361</f>
        <v>Additional Paid In Capital</v>
      </c>
      <c r="B150" s="17"/>
      <c r="C150" s="17"/>
      <c r="D150" s="73">
        <f>'Financial Statements'!D403/'Financial Statements'!D$412</f>
        <v>0</v>
      </c>
      <c r="E150" s="73">
        <f>'Financial Statements'!E403/'Financial Statements'!E$412</f>
        <v>0</v>
      </c>
      <c r="F150" s="73">
        <f>'Financial Statements'!F403/'Financial Statements'!F$412</f>
        <v>0</v>
      </c>
      <c r="G150" s="73">
        <f>'Financial Statements'!G403/'Financial Statements'!G$412</f>
        <v>0</v>
      </c>
      <c r="H150" s="73">
        <f>'Financial Statements'!H403/'Financial Statements'!H$412</f>
        <v>0</v>
      </c>
      <c r="I150" s="73">
        <f>'Financial Statements'!I403/'Financial Statements'!I$412</f>
        <v>0</v>
      </c>
      <c r="J150" s="73">
        <f>'Financial Statements'!J403/'Financial Statements'!J$412</f>
        <v>0</v>
      </c>
      <c r="K150" s="73">
        <f>'Financial Statements'!K403/'Financial Statements'!K$412</f>
        <v>0</v>
      </c>
      <c r="L150" s="73">
        <f>'Financial Statements'!L403/'Financial Statements'!L$412</f>
        <v>0</v>
      </c>
      <c r="M150" s="73">
        <f>'Financial Statements'!M403/'Financial Statements'!M$412</f>
        <v>0</v>
      </c>
      <c r="N150" s="73">
        <f>'Financial Statements'!N403/'Financial Statements'!N$412</f>
        <v>0</v>
      </c>
      <c r="O150" s="60"/>
      <c r="P150" s="73">
        <f>'Financial Statements'!P403/'Financial Statements'!P$412</f>
        <v>0</v>
      </c>
      <c r="Q150" s="2"/>
    </row>
    <row r="151" spans="1:17" ht="12.75" customHeight="1" x14ac:dyDescent="0.2">
      <c r="A151" s="2" t="str">
        <f>'Language Index'!A362</f>
        <v>Retained Earnings</v>
      </c>
      <c r="B151" s="17"/>
      <c r="C151" s="17"/>
      <c r="D151" s="73">
        <f>'Financial Statements'!D404/'Financial Statements'!D$412</f>
        <v>1.1293745698229372</v>
      </c>
      <c r="E151" s="73">
        <f>'Financial Statements'!E404/'Financial Statements'!E$412</f>
        <v>1.1560844719728427</v>
      </c>
      <c r="F151" s="73">
        <f>'Financial Statements'!F404/'Financial Statements'!F$412</f>
        <v>1.1185661153052699</v>
      </c>
      <c r="G151" s="73">
        <f>'Financial Statements'!G404/'Financial Statements'!G$412</f>
        <v>1.1034709008595236</v>
      </c>
      <c r="H151" s="73">
        <f>'Financial Statements'!H404/'Financial Statements'!H$412</f>
        <v>1.1330688542227003</v>
      </c>
      <c r="I151" s="73">
        <f>'Financial Statements'!I404/'Financial Statements'!I$412</f>
        <v>1.1150075555125467</v>
      </c>
      <c r="J151" s="73">
        <f>'Financial Statements'!J404/'Financial Statements'!J$412</f>
        <v>1.1019719336613814</v>
      </c>
      <c r="K151" s="73">
        <f>'Financial Statements'!K404/'Financial Statements'!K$412</f>
        <v>1.034572003267727</v>
      </c>
      <c r="L151" s="73">
        <f>'Financial Statements'!L404/'Financial Statements'!L$412</f>
        <v>1.0187232896994987</v>
      </c>
      <c r="M151" s="73">
        <f>'Financial Statements'!M404/'Financial Statements'!M$412</f>
        <v>1.0360120837661984</v>
      </c>
      <c r="N151" s="73">
        <f>'Financial Statements'!N404/'Financial Statements'!N$412</f>
        <v>1.02480905978404</v>
      </c>
      <c r="O151" s="60"/>
      <c r="P151" s="73">
        <f>'Financial Statements'!P404/'Financial Statements'!P$412</f>
        <v>1.02480905978404</v>
      </c>
      <c r="Q151" s="2"/>
    </row>
    <row r="152" spans="1:17" ht="12.75" customHeight="1" x14ac:dyDescent="0.2">
      <c r="A152" s="2" t="str">
        <f>'Language Index'!A363</f>
        <v>Treasury Stock</v>
      </c>
      <c r="B152" s="17"/>
      <c r="C152" s="17"/>
      <c r="D152" s="73">
        <f>'Financial Statements'!D405/'Financial Statements'!D$412</f>
        <v>-1.2826348392366862</v>
      </c>
      <c r="E152" s="73">
        <f>'Financial Statements'!E405/'Financial Statements'!E$412</f>
        <v>-1.3117745764415678</v>
      </c>
      <c r="F152" s="73">
        <f>'Financial Statements'!F405/'Financial Statements'!F$412</f>
        <v>-1.2542350322757152</v>
      </c>
      <c r="G152" s="73">
        <f>'Financial Statements'!G405/'Financial Statements'!G$412</f>
        <v>-1.2375901260488886</v>
      </c>
      <c r="H152" s="73">
        <f>'Financial Statements'!H405/'Financial Statements'!H$412</f>
        <v>-1.2687152590998745</v>
      </c>
      <c r="I152" s="73">
        <f>'Financial Statements'!I405/'Financial Statements'!I$412</f>
        <v>-1.2649714528171268</v>
      </c>
      <c r="J152" s="73">
        <f>'Financial Statements'!J405/'Financial Statements'!J$412</f>
        <v>-1.2390595954073265</v>
      </c>
      <c r="K152" s="73">
        <f>'Financial Statements'!K405/'Financial Statements'!K$412</f>
        <v>-1.1681437799913501</v>
      </c>
      <c r="L152" s="73">
        <f>'Financial Statements'!L405/'Financial Statements'!L$412</f>
        <v>-1.1455328599791366</v>
      </c>
      <c r="M152" s="73">
        <f>'Financial Statements'!M405/'Financial Statements'!M$412</f>
        <v>-1.165399967193395</v>
      </c>
      <c r="N152" s="73">
        <f>'Financial Statements'!N405/'Financial Statements'!N$412</f>
        <v>-1.1232881222017381</v>
      </c>
      <c r="O152" s="60"/>
      <c r="P152" s="73">
        <f>'Financial Statements'!P405/'Financial Statements'!P$412</f>
        <v>-1.1232881222017381</v>
      </c>
      <c r="Q152" s="2"/>
    </row>
    <row r="153" spans="1:17" ht="12.75" customHeight="1" x14ac:dyDescent="0.2">
      <c r="A153" s="2" t="str">
        <f>'Language Index'!A364</f>
        <v>Comprehensive Inc. and Other</v>
      </c>
      <c r="B153" s="17"/>
      <c r="C153" s="17"/>
      <c r="D153" s="73">
        <f>'Financial Statements'!D406/'Financial Statements'!D$412</f>
        <v>-0.12479105685522604</v>
      </c>
      <c r="E153" s="73">
        <f>'Financial Statements'!E406/'Financial Statements'!E$412</f>
        <v>-0.12448094277031573</v>
      </c>
      <c r="F153" s="73">
        <f>'Financial Statements'!F406/'Financial Statements'!F$412</f>
        <v>-0.13873011882491257</v>
      </c>
      <c r="G153" s="73">
        <f>'Financial Statements'!G406/'Financial Statements'!G$412</f>
        <v>-0.13477535011555089</v>
      </c>
      <c r="H153" s="73">
        <f>'Financial Statements'!H406/'Financial Statements'!H$412</f>
        <v>-0.13686420417189649</v>
      </c>
      <c r="I153" s="73">
        <f>'Financial Statements'!I406/'Financial Statements'!I$412</f>
        <v>-0.12222065074178012</v>
      </c>
      <c r="J153" s="73">
        <f>'Financial Statements'!J406/'Financial Statements'!J$412</f>
        <v>-0.11130308000728996</v>
      </c>
      <c r="K153" s="73">
        <f>'Financial Statements'!K406/'Financial Statements'!K$412</f>
        <v>-0.10692881709652838</v>
      </c>
      <c r="L153" s="73">
        <f>'Financial Statements'!L406/'Financial Statements'!L$412</f>
        <v>-0.10795840764545546</v>
      </c>
      <c r="M153" s="73">
        <f>'Financial Statements'!M406/'Financial Statements'!M$412</f>
        <v>-0.10923916015091038</v>
      </c>
      <c r="N153" s="73">
        <f>'Financial Statements'!N406/'Financial Statements'!N$412</f>
        <v>-0.10345667632341322</v>
      </c>
      <c r="O153" s="60"/>
      <c r="P153" s="73">
        <f>'Financial Statements'!P406/'Financial Statements'!P$412</f>
        <v>-0.10345667632341322</v>
      </c>
      <c r="Q153" s="2"/>
    </row>
    <row r="154" spans="1:17" ht="12.75" customHeight="1" x14ac:dyDescent="0.2">
      <c r="A154" s="20" t="str">
        <f>'Language Index'!A365</f>
        <v>Total Common Equity</v>
      </c>
      <c r="B154" s="20"/>
      <c r="C154" s="20"/>
      <c r="D154" s="74">
        <f>'Financial Statements'!D407/'Financial Statements'!D$412</f>
        <v>0.16791843464712244</v>
      </c>
      <c r="E154" s="74">
        <f>'Financial Statements'!E407/'Financial Statements'!E$412</f>
        <v>0.17847836004979856</v>
      </c>
      <c r="F154" s="74">
        <f>'Financial Statements'!F407/'Financial Statements'!F$412</f>
        <v>0.16661367484712475</v>
      </c>
      <c r="G154" s="74">
        <f>'Financial Statements'!G407/'Financial Statements'!G$412</f>
        <v>0.1695791323112365</v>
      </c>
      <c r="H154" s="74">
        <f>'Financial Statements'!H407/'Financial Statements'!H$412</f>
        <v>0.17950212180981412</v>
      </c>
      <c r="I154" s="74">
        <f>'Financial Statements'!I407/'Financial Statements'!I$412</f>
        <v>0.18198736033467572</v>
      </c>
      <c r="J154" s="74">
        <f>'Financial Statements'!J407/'Financial Statements'!J$412</f>
        <v>0.19906688536540915</v>
      </c>
      <c r="K154" s="74">
        <f>'Financial Statements'!K407/'Financial Statements'!K$412</f>
        <v>0.18453047018199042</v>
      </c>
      <c r="L154" s="74">
        <f>'Financial Statements'!L407/'Financial Statements'!L$412</f>
        <v>0.1851398189588451</v>
      </c>
      <c r="M154" s="74">
        <f>'Financial Statements'!M407/'Financial Statements'!M$412</f>
        <v>0.19072256547651595</v>
      </c>
      <c r="N154" s="74">
        <f>'Financial Statements'!N407/'Financial Statements'!N$412</f>
        <v>0.21495917829865682</v>
      </c>
      <c r="O154" s="75"/>
      <c r="P154" s="74">
        <f>'Financial Statements'!P407/'Financial Statements'!P$412</f>
        <v>0.21495917829865682</v>
      </c>
      <c r="Q154" s="76"/>
    </row>
    <row r="155" spans="1:17" ht="12.75" customHeight="1" x14ac:dyDescent="0.2">
      <c r="A155" s="20"/>
      <c r="B155" s="20"/>
      <c r="C155" s="20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5"/>
      <c r="P155" s="78"/>
      <c r="Q155" s="76"/>
    </row>
    <row r="156" spans="1:17" ht="12.75" customHeight="1" x14ac:dyDescent="0.2">
      <c r="A156" s="2" t="str">
        <f>'Language Index'!A366</f>
        <v>Minority Interest</v>
      </c>
      <c r="B156" s="16"/>
      <c r="C156" s="16"/>
      <c r="D156" s="73">
        <f>'Financial Statements'!D409/'Financial Statements'!D$412</f>
        <v>5.2944869263990676E-4</v>
      </c>
      <c r="E156" s="73">
        <f>'Financial Statements'!E409/'Financial Statements'!E$412</f>
        <v>5.7995221193773636E-4</v>
      </c>
      <c r="F156" s="73">
        <f>'Financial Statements'!F409/'Financial Statements'!F$412</f>
        <v>5.915365902352097E-4</v>
      </c>
      <c r="G156" s="73">
        <f>'Financial Statements'!G409/'Financial Statements'!G$412</f>
        <v>5.2489994094875663E-4</v>
      </c>
      <c r="H156" s="73">
        <f>'Financial Statements'!H409/'Financial Statements'!H$412</f>
        <v>5.7527942143326756E-4</v>
      </c>
      <c r="I156" s="73">
        <f>'Financial Statements'!I409/'Financial Statements'!I$412</f>
        <v>6.1039608750995612E-4</v>
      </c>
      <c r="J156" s="73">
        <f>'Financial Statements'!J409/'Financial Statements'!J$412</f>
        <v>6.2693639511572803E-4</v>
      </c>
      <c r="K156" s="73">
        <f>'Financial Statements'!K409/'Financial Statements'!K$412</f>
        <v>4.9427804513033156E-4</v>
      </c>
      <c r="L156" s="73">
        <f>'Financial Statements'!L409/'Financial Statements'!L$412</f>
        <v>5.3168220210653833E-4</v>
      </c>
      <c r="M156" s="73">
        <f>'Financial Statements'!M409/'Financial Statements'!M$412</f>
        <v>5.8095029799332934E-4</v>
      </c>
      <c r="N156" s="73">
        <f>'Financial Statements'!N409/'Financial Statements'!N$412</f>
        <v>6.1232552014748481E-4</v>
      </c>
      <c r="O156" s="60"/>
      <c r="P156" s="73">
        <f>'Financial Statements'!P409/'Financial Statements'!P$412</f>
        <v>6.1232552014748481E-4</v>
      </c>
      <c r="Q156" s="2"/>
    </row>
    <row r="157" spans="1:17" ht="12.75" customHeight="1" x14ac:dyDescent="0.2">
      <c r="A157" s="9" t="str">
        <f>'Language Index'!A367</f>
        <v>Total Equity</v>
      </c>
      <c r="B157" s="45"/>
      <c r="C157" s="45"/>
      <c r="D157" s="74">
        <f>'Financial Statements'!D410/'Financial Statements'!D$412</f>
        <v>0.16844788333976235</v>
      </c>
      <c r="E157" s="74">
        <f>'Financial Statements'!E410/'Financial Statements'!E$412</f>
        <v>0.1790583122617363</v>
      </c>
      <c r="F157" s="74">
        <f>'Financial Statements'!F410/'Financial Statements'!F$412</f>
        <v>0.16720521143735997</v>
      </c>
      <c r="G157" s="74">
        <f>'Financial Statements'!G410/'Financial Statements'!G$412</f>
        <v>0.17010403225218526</v>
      </c>
      <c r="H157" s="74">
        <f>'Financial Statements'!H410/'Financial Statements'!H$412</f>
        <v>0.18007740123124738</v>
      </c>
      <c r="I157" s="74">
        <f>'Financial Statements'!I410/'Financial Statements'!I$412</f>
        <v>0.18259775642218568</v>
      </c>
      <c r="J157" s="74">
        <f>'Financial Statements'!J410/'Financial Statements'!J$412</f>
        <v>0.19969382176052489</v>
      </c>
      <c r="K157" s="74">
        <f>'Financial Statements'!K410/'Financial Statements'!K$412</f>
        <v>0.18502474822712076</v>
      </c>
      <c r="L157" s="74">
        <f>'Financial Statements'!L410/'Financial Statements'!L$412</f>
        <v>0.18567150116095166</v>
      </c>
      <c r="M157" s="74">
        <f>'Financial Statements'!M410/'Financial Statements'!M$412</f>
        <v>0.19130351577450927</v>
      </c>
      <c r="N157" s="74">
        <f>'Financial Statements'!N410/'Financial Statements'!N$412</f>
        <v>0.21557150381880433</v>
      </c>
      <c r="O157" s="75"/>
      <c r="P157" s="74">
        <f>'Financial Statements'!P410/'Financial Statements'!P$412</f>
        <v>0.21557150381880433</v>
      </c>
      <c r="Q157" s="76"/>
    </row>
    <row r="158" spans="1:17" ht="12.75" customHeight="1" x14ac:dyDescent="0.2">
      <c r="A158" s="16"/>
      <c r="B158" s="16"/>
      <c r="C158" s="16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60"/>
      <c r="P158" s="73"/>
      <c r="Q158" s="76"/>
    </row>
    <row r="159" spans="1:17" ht="12.75" customHeight="1" thickBot="1" x14ac:dyDescent="0.25">
      <c r="A159" s="45" t="str">
        <f>'Language Index'!A368</f>
        <v>Total Liabilities And Equity</v>
      </c>
      <c r="B159" s="45"/>
      <c r="C159" s="45"/>
      <c r="D159" s="79">
        <f>'Financial Statements'!D412/'Financial Statements'!D$412</f>
        <v>1</v>
      </c>
      <c r="E159" s="79">
        <f>'Financial Statements'!E412/'Financial Statements'!E$412</f>
        <v>1</v>
      </c>
      <c r="F159" s="79">
        <f>'Financial Statements'!F412/'Financial Statements'!F$412</f>
        <v>1</v>
      </c>
      <c r="G159" s="79">
        <f>'Financial Statements'!G412/'Financial Statements'!G$412</f>
        <v>1</v>
      </c>
      <c r="H159" s="79">
        <f>'Financial Statements'!H412/'Financial Statements'!H$412</f>
        <v>1</v>
      </c>
      <c r="I159" s="79">
        <f>'Financial Statements'!I412/'Financial Statements'!I$412</f>
        <v>1</v>
      </c>
      <c r="J159" s="79">
        <f>'Financial Statements'!J412/'Financial Statements'!J$412</f>
        <v>1</v>
      </c>
      <c r="K159" s="79">
        <f>'Financial Statements'!K412/'Financial Statements'!K$412</f>
        <v>1</v>
      </c>
      <c r="L159" s="79">
        <f>'Financial Statements'!L412/'Financial Statements'!L$412</f>
        <v>1</v>
      </c>
      <c r="M159" s="79">
        <f>'Financial Statements'!M412/'Financial Statements'!M$412</f>
        <v>1</v>
      </c>
      <c r="N159" s="79">
        <f>'Financial Statements'!N412/'Financial Statements'!N$412</f>
        <v>1</v>
      </c>
      <c r="O159" s="75"/>
      <c r="P159" s="79">
        <f>'Financial Statements'!P412/'Financial Statements'!P$412</f>
        <v>1</v>
      </c>
      <c r="Q159" s="76"/>
    </row>
    <row r="160" spans="1:17" ht="12.75" customHeight="1" thickTop="1" x14ac:dyDescent="0.2">
      <c r="A160" s="83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2"/>
    </row>
    <row r="161" spans="1:17" ht="12.75" customHeight="1" x14ac:dyDescent="0.2">
      <c r="A161" s="212" t="str">
        <f>'Language Index'!A770</f>
        <v>Source: S&amp;P Capital IQ</v>
      </c>
      <c r="B161" s="2"/>
      <c r="C161" s="2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2"/>
    </row>
    <row r="162" spans="1:17" ht="26.25" customHeight="1" x14ac:dyDescent="0.2">
      <c r="A162" s="270" t="str">
        <f>'Language Index'!A771</f>
        <v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v>
      </c>
      <c r="B162" s="270"/>
      <c r="C162" s="270"/>
      <c r="D162" s="270"/>
      <c r="E162" s="270"/>
      <c r="F162" s="270"/>
      <c r="G162" s="270"/>
      <c r="H162" s="270"/>
      <c r="I162" s="270"/>
      <c r="J162" s="270"/>
      <c r="K162" s="270"/>
      <c r="L162" s="270"/>
      <c r="M162" s="270"/>
      <c r="N162" s="270"/>
      <c r="O162" s="270"/>
      <c r="P162" s="270"/>
      <c r="Q162" s="2"/>
    </row>
    <row r="163" spans="1:17" ht="12.75" customHeight="1" x14ac:dyDescent="0.2">
      <c r="A163" s="2"/>
      <c r="B163" s="2"/>
      <c r="C163" s="2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2"/>
    </row>
  </sheetData>
  <mergeCells count="1">
    <mergeCell ref="A162:P162"/>
  </mergeCells>
  <phoneticPr fontId="6" type="noConversion"/>
  <printOptions horizontalCentered="1"/>
  <pageMargins left="0" right="0" top="0" bottom="0" header="0.5" footer="0.5"/>
  <pageSetup scale="5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V25"/>
  <sheetViews>
    <sheetView showGridLines="0" topLeftCell="EU1" zoomScale="85" zoomScaleNormal="85" zoomScaleSheetLayoutView="85" workbookViewId="0"/>
  </sheetViews>
  <sheetFormatPr defaultRowHeight="12.75" x14ac:dyDescent="0.2"/>
  <cols>
    <col min="1" max="1" width="9" customWidth="1"/>
    <col min="2" max="2" width="1.7109375" customWidth="1"/>
    <col min="3" max="3" width="32" customWidth="1"/>
    <col min="4" max="4" width="2.42578125" customWidth="1"/>
    <col min="5" max="5" width="12.28515625" customWidth="1"/>
    <col min="6" max="6" width="1.7109375" customWidth="1"/>
    <col min="7" max="7" width="12.28515625" customWidth="1"/>
    <col min="8" max="8" width="4.28515625" customWidth="1"/>
    <col min="9" max="9" width="13" customWidth="1"/>
    <col min="10" max="10" width="1.7109375" customWidth="1"/>
    <col min="11" max="11" width="10.42578125" customWidth="1"/>
    <col min="12" max="12" width="1.7109375" customWidth="1"/>
    <col min="13" max="13" width="11" customWidth="1"/>
    <col min="14" max="14" width="1.7109375" customWidth="1"/>
    <col min="15" max="15" width="10.7109375" customWidth="1"/>
    <col min="16" max="16" width="1.7109375" customWidth="1"/>
    <col min="17" max="17" width="10.7109375" customWidth="1"/>
    <col min="18" max="18" width="4.28515625" customWidth="1"/>
    <col min="19" max="19" width="11.42578125" customWidth="1"/>
    <col min="20" max="20" width="1.7109375" customWidth="1"/>
    <col min="21" max="21" width="13.140625" customWidth="1"/>
    <col min="22" max="22" width="1.7109375" customWidth="1"/>
    <col min="23" max="23" width="10" customWidth="1"/>
    <col min="24" max="24" width="1.7109375" customWidth="1"/>
    <col min="25" max="25" width="10.5703125" customWidth="1"/>
    <col min="26" max="26" width="1.7109375" customWidth="1"/>
    <col min="27" max="27" width="10.5703125" customWidth="1"/>
    <col min="28" max="28" width="1.7109375" customWidth="1"/>
    <col min="29" max="29" width="10.140625" customWidth="1"/>
    <col min="30" max="30" width="1.7109375" customWidth="1"/>
    <col min="31" max="31" width="11.7109375" customWidth="1"/>
    <col min="32" max="32" width="3.28515625" customWidth="1"/>
    <col min="33" max="33" width="10.140625" customWidth="1"/>
    <col min="34" max="34" width="1.7109375" customWidth="1"/>
    <col min="35" max="35" width="11" customWidth="1"/>
    <col min="36" max="36" width="1.7109375" customWidth="1"/>
    <col min="37" max="37" width="10.7109375" customWidth="1"/>
    <col min="38" max="38" width="1.7109375" customWidth="1"/>
    <col min="39" max="39" width="10.5703125" customWidth="1"/>
    <col min="40" max="40" width="4" customWidth="1"/>
    <col min="41" max="41" width="10.28515625" customWidth="1"/>
    <col min="42" max="42" width="1.7109375" customWidth="1"/>
    <col min="43" max="43" width="10" customWidth="1"/>
    <col min="44" max="44" width="1.7109375" customWidth="1"/>
    <col min="45" max="45" width="10.28515625" customWidth="1"/>
    <col min="46" max="46" width="1.7109375" customWidth="1"/>
    <col min="47" max="47" width="9.85546875" customWidth="1"/>
    <col min="48" max="48" width="3.28515625" customWidth="1"/>
    <col min="49" max="49" width="10.28515625" customWidth="1"/>
    <col min="50" max="50" width="1.7109375" customWidth="1"/>
    <col min="51" max="51" width="10.5703125" customWidth="1"/>
    <col min="52" max="52" width="1.7109375" customWidth="1"/>
    <col min="53" max="53" width="10.42578125" customWidth="1"/>
    <col min="54" max="54" width="1.7109375" customWidth="1"/>
    <col min="55" max="55" width="9.85546875" customWidth="1"/>
    <col min="56" max="56" width="3.28515625" customWidth="1"/>
    <col min="57" max="57" width="8.5703125" customWidth="1"/>
    <col min="58" max="58" width="1.7109375" customWidth="1"/>
    <col min="59" max="59" width="8.85546875" customWidth="1"/>
    <col min="60" max="60" width="1.7109375" customWidth="1"/>
    <col min="61" max="61" width="8.7109375" customWidth="1"/>
    <col min="62" max="62" width="1.7109375" customWidth="1"/>
    <col min="63" max="63" width="7.85546875" customWidth="1"/>
    <col min="64" max="64" width="3.42578125" customWidth="1"/>
    <col min="65" max="65" width="8.28515625" customWidth="1"/>
    <col min="66" max="66" width="1.7109375" customWidth="1"/>
    <col min="68" max="68" width="1.7109375" customWidth="1"/>
    <col min="69" max="69" width="10.28515625" customWidth="1"/>
    <col min="70" max="70" width="1.7109375" customWidth="1"/>
    <col min="72" max="72" width="3.5703125" customWidth="1"/>
    <col min="73" max="73" width="10" customWidth="1"/>
    <col min="74" max="74" width="1.7109375" customWidth="1"/>
    <col min="75" max="75" width="10.140625" customWidth="1"/>
    <col min="76" max="76" width="1.7109375" customWidth="1"/>
    <col min="77" max="77" width="9.5703125" customWidth="1"/>
    <col min="78" max="78" width="1.7109375" customWidth="1"/>
    <col min="79" max="79" width="10.28515625" customWidth="1"/>
    <col min="80" max="80" width="1.7109375" customWidth="1"/>
    <col min="81" max="81" width="8.5703125" customWidth="1"/>
    <col min="82" max="82" width="1.7109375" customWidth="1"/>
    <col min="83" max="83" width="8.5703125" customWidth="1"/>
    <col min="84" max="84" width="3.28515625" customWidth="1"/>
    <col min="85" max="85" width="10.7109375" customWidth="1"/>
    <col min="86" max="86" width="1.7109375" customWidth="1"/>
    <col min="87" max="87" width="10.7109375" customWidth="1"/>
    <col min="88" max="88" width="1.7109375" customWidth="1"/>
    <col min="89" max="89" width="10.7109375" customWidth="1"/>
    <col min="90" max="90" width="1.7109375" customWidth="1"/>
    <col min="91" max="91" width="10.7109375" customWidth="1"/>
    <col min="92" max="92" width="1.7109375" customWidth="1"/>
    <col min="93" max="93" width="10.7109375" customWidth="1"/>
    <col min="94" max="94" width="1.7109375" customWidth="1"/>
    <col min="95" max="95" width="10.7109375" customWidth="1"/>
    <col min="96" max="96" width="1.7109375" customWidth="1"/>
    <col min="97" max="97" width="10.7109375" customWidth="1"/>
    <col min="98" max="98" width="1.7109375" customWidth="1"/>
    <col min="99" max="99" width="10.7109375" customWidth="1"/>
    <col min="100" max="100" width="1.7109375" customWidth="1"/>
    <col min="101" max="101" width="10.7109375" customWidth="1"/>
    <col min="102" max="102" width="1.7109375" customWidth="1"/>
    <col min="103" max="103" width="10.7109375" customWidth="1"/>
    <col min="104" max="104" width="1.7109375" customWidth="1"/>
    <col min="105" max="105" width="10.7109375" customWidth="1"/>
    <col min="106" max="106" width="1.7109375" customWidth="1"/>
    <col min="107" max="107" width="12.7109375" customWidth="1"/>
    <col min="108" max="108" width="3.28515625" customWidth="1"/>
    <col min="109" max="109" width="11.7109375" customWidth="1"/>
    <col min="110" max="110" width="1.7109375" customWidth="1"/>
    <col min="111" max="111" width="11.7109375" customWidth="1"/>
    <col min="112" max="112" width="1.7109375" customWidth="1"/>
    <col min="113" max="113" width="11.7109375" customWidth="1"/>
    <col min="114" max="114" width="1.7109375" customWidth="1"/>
    <col min="115" max="115" width="10.7109375" customWidth="1"/>
    <col min="116" max="116" width="1.7109375" customWidth="1"/>
    <col min="117" max="117" width="11.7109375" customWidth="1"/>
    <col min="118" max="118" width="1.7109375" customWidth="1"/>
    <col min="119" max="119" width="11.7109375" customWidth="1"/>
    <col min="120" max="120" width="1.7109375" customWidth="1"/>
    <col min="121" max="121" width="10.7109375" customWidth="1"/>
    <col min="122" max="122" width="1.7109375" customWidth="1"/>
    <col min="123" max="123" width="11.7109375" customWidth="1"/>
    <col min="124" max="124" width="1.7109375" customWidth="1"/>
    <col min="125" max="125" width="11.7109375" customWidth="1"/>
    <col min="126" max="126" width="1.7109375" customWidth="1"/>
    <col min="127" max="127" width="11.7109375" customWidth="1"/>
    <col min="128" max="128" width="1.7109375" customWidth="1"/>
    <col min="129" max="129" width="11" customWidth="1"/>
    <col min="130" max="130" width="1.7109375" customWidth="1"/>
    <col min="131" max="131" width="10.7109375" customWidth="1"/>
    <col min="132" max="132" width="3.28515625" customWidth="1"/>
    <col min="133" max="133" width="14" bestFit="1" customWidth="1"/>
    <col min="134" max="134" width="2.42578125" customWidth="1"/>
    <col min="135" max="135" width="14" bestFit="1" customWidth="1"/>
    <col min="136" max="136" width="2.140625" customWidth="1"/>
    <col min="137" max="137" width="14" bestFit="1" customWidth="1"/>
    <col min="138" max="138" width="2.42578125" customWidth="1"/>
    <col min="139" max="139" width="12.7109375" customWidth="1"/>
    <col min="140" max="140" width="2.42578125" customWidth="1"/>
    <col min="141" max="141" width="18" customWidth="1"/>
    <col min="142" max="142" width="2.42578125" customWidth="1"/>
    <col min="143" max="143" width="14.85546875" customWidth="1"/>
    <col min="144" max="144" width="2.42578125" customWidth="1"/>
    <col min="145" max="145" width="13.5703125" customWidth="1"/>
    <col min="146" max="146" width="5.42578125" customWidth="1"/>
    <col min="147" max="147" width="11.28515625" customWidth="1"/>
    <col min="148" max="148" width="1.7109375" customWidth="1"/>
    <col min="149" max="149" width="10.5703125" customWidth="1"/>
    <col min="150" max="150" width="1.7109375" customWidth="1"/>
    <col min="151" max="151" width="9.85546875" customWidth="1"/>
    <col min="152" max="152" width="3.28515625" customWidth="1"/>
    <col min="153" max="153" width="12.7109375" customWidth="1"/>
    <col min="154" max="154" width="1.7109375" customWidth="1"/>
    <col min="155" max="155" width="13.42578125" customWidth="1"/>
    <col min="156" max="156" width="1.7109375" customWidth="1"/>
    <col min="157" max="157" width="13.85546875" customWidth="1"/>
    <col min="158" max="158" width="1.7109375" customWidth="1"/>
    <col min="159" max="159" width="12.85546875" customWidth="1"/>
    <col min="160" max="160" width="1.7109375" customWidth="1"/>
    <col min="161" max="161" width="17.28515625" bestFit="1" customWidth="1"/>
    <col min="162" max="162" width="1.7109375" customWidth="1"/>
    <col min="163" max="163" width="16.42578125" bestFit="1" customWidth="1"/>
    <col min="164" max="164" width="4.7109375" customWidth="1"/>
    <col min="165" max="165" width="13" customWidth="1"/>
    <col min="166" max="166" width="2.140625" customWidth="1"/>
    <col min="167" max="167" width="12.85546875" customWidth="1"/>
    <col min="168" max="168" width="2.42578125" customWidth="1"/>
    <col min="169" max="169" width="11" customWidth="1"/>
    <col min="170" max="170" width="2.42578125" customWidth="1"/>
    <col min="171" max="171" width="10.85546875" customWidth="1"/>
    <col min="172" max="172" width="3.28515625" customWidth="1"/>
    <col min="174" max="174" width="10.140625" bestFit="1" customWidth="1"/>
  </cols>
  <sheetData>
    <row r="1" spans="1:256" s="95" customFormat="1" ht="32.1" customHeight="1" x14ac:dyDescent="0.4">
      <c r="A1" s="61" t="str">
        <f>'Language Index'!A807</f>
        <v>COMPARABLE COMPANY ANALYSIS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141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1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2"/>
      <c r="BT1" s="142"/>
      <c r="BU1" s="142"/>
      <c r="BV1" s="142"/>
      <c r="BW1" s="142"/>
      <c r="BX1" s="142"/>
      <c r="BY1" s="142"/>
      <c r="BZ1" s="142"/>
      <c r="CA1" s="142"/>
      <c r="CB1" s="142"/>
      <c r="CC1" s="142"/>
      <c r="CD1" s="142"/>
      <c r="CE1" s="142"/>
      <c r="CF1" s="142"/>
      <c r="CG1" s="141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2"/>
      <c r="CX1" s="142"/>
      <c r="CY1" s="142"/>
      <c r="CZ1" s="142"/>
      <c r="DA1" s="142"/>
      <c r="DB1" s="142"/>
      <c r="DC1" s="142"/>
      <c r="DD1" s="142"/>
      <c r="DE1" s="141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2"/>
      <c r="DR1" s="142"/>
      <c r="DS1" s="142"/>
      <c r="DT1" s="142"/>
      <c r="DU1" s="142"/>
      <c r="DV1" s="142"/>
      <c r="DW1" s="142"/>
      <c r="DX1" s="142"/>
      <c r="DY1" s="142"/>
      <c r="DZ1" s="142"/>
      <c r="EA1" s="142"/>
      <c r="EB1" s="142"/>
      <c r="EC1" s="141"/>
      <c r="ED1" s="142"/>
      <c r="EE1" s="142"/>
      <c r="EF1" s="142"/>
      <c r="EG1" s="142"/>
      <c r="EH1" s="142"/>
      <c r="EI1" s="142"/>
      <c r="EJ1" s="142"/>
      <c r="EK1" s="142"/>
      <c r="EL1" s="142"/>
      <c r="EM1" s="142"/>
      <c r="EN1" s="142"/>
      <c r="EO1" s="142"/>
      <c r="EP1" s="142"/>
      <c r="EQ1" s="142"/>
      <c r="ER1" s="142"/>
      <c r="ES1" s="142"/>
      <c r="ET1" s="142"/>
      <c r="EU1" s="142"/>
      <c r="EV1" s="142"/>
      <c r="EW1" s="141"/>
      <c r="EX1" s="142"/>
      <c r="EY1" s="142"/>
      <c r="EZ1" s="142"/>
      <c r="FA1" s="142"/>
      <c r="FB1" s="142"/>
      <c r="FC1" s="142"/>
      <c r="FD1" s="142"/>
      <c r="FE1" s="142"/>
      <c r="FF1" s="142"/>
      <c r="FG1" s="142"/>
      <c r="FH1" s="142"/>
      <c r="FI1" s="142"/>
      <c r="FJ1" s="142"/>
      <c r="FK1" s="142"/>
      <c r="FL1" s="142"/>
      <c r="FM1" s="142"/>
      <c r="FN1" s="142"/>
      <c r="FO1" s="142"/>
      <c r="FP1" s="142"/>
      <c r="FQ1" s="2"/>
      <c r="FR1" s="2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 s="2" customFormat="1" ht="4.5" customHeight="1" x14ac:dyDescent="0.2">
      <c r="A2" s="9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 s="9" customFormat="1" x14ac:dyDescent="0.2">
      <c r="A3" s="96" t="str">
        <f>"("&amp;'Language Index'!A772&amp;" "&amp;Ccy&amp;" "&amp;'Language Index'!A773&amp;")"</f>
        <v>(In USD millions, except per share data)</v>
      </c>
      <c r="E3" s="14" t="str">
        <f>'Language Index'!A776</f>
        <v>Dates</v>
      </c>
      <c r="F3" s="14"/>
      <c r="G3" s="14"/>
      <c r="I3" s="14" t="str">
        <f>'Language Index'!A777</f>
        <v>Trading Data</v>
      </c>
      <c r="J3" s="14"/>
      <c r="K3" s="14"/>
      <c r="L3" s="14"/>
      <c r="M3" s="14"/>
      <c r="N3" s="14"/>
      <c r="O3" s="14"/>
      <c r="P3" s="14"/>
      <c r="Q3" s="14"/>
      <c r="S3" s="14" t="str">
        <f>'Language Index'!A785</f>
        <v>EV Calculation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G3" s="14" t="str">
        <f>'Language Index'!A796</f>
        <v>Financial Data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E3" s="14" t="str">
        <f>'Language Index'!A795</f>
        <v>Trading Multiples</v>
      </c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G3" s="14" t="str">
        <f>'Language Index'!A802</f>
        <v>Margin Analysis (%)</v>
      </c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E3" s="14" t="str">
        <f>'Language Index'!A805</f>
        <v>LTM Growth Rates (%)</v>
      </c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C3" s="14" t="str">
        <f>'Language Index'!A817</f>
        <v>Leverage and Coverage</v>
      </c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Q3" s="14" t="str">
        <f>'Language Index'!A818</f>
        <v>LTM Profitability (%)</v>
      </c>
      <c r="ER3" s="14"/>
      <c r="ES3" s="14"/>
      <c r="ET3" s="14"/>
      <c r="EU3" s="14"/>
      <c r="EW3" s="14" t="str">
        <f>PROPER('Language Index'!A738)</f>
        <v>Short-Term Liquidity</v>
      </c>
      <c r="EX3" s="14"/>
      <c r="EY3" s="14"/>
      <c r="EZ3" s="14"/>
      <c r="FA3" s="14"/>
      <c r="FB3" s="14"/>
      <c r="FC3" s="14"/>
      <c r="FD3" s="14"/>
      <c r="FE3" s="14"/>
      <c r="FF3" s="14"/>
      <c r="FG3" s="14"/>
      <c r="FI3" s="14" t="str">
        <f>PROPER('Language Index'!A733)</f>
        <v>Asset Turnover</v>
      </c>
      <c r="FJ3" s="14"/>
      <c r="FK3" s="14"/>
      <c r="FL3" s="14"/>
      <c r="FM3" s="14"/>
      <c r="FN3" s="14"/>
      <c r="FO3" s="14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 s="9" customFormat="1" x14ac:dyDescent="0.2">
      <c r="I4" s="97" t="str">
        <f>'Language Index'!A778</f>
        <v>Stock Price</v>
      </c>
      <c r="K4" s="97" t="str">
        <f>'Language Index'!A779</f>
        <v>52-Week</v>
      </c>
      <c r="M4" s="97" t="str">
        <f>'Language Index'!A779</f>
        <v>52-Week</v>
      </c>
      <c r="O4" s="97" t="str">
        <f>'Language Index'!A782</f>
        <v>% of</v>
      </c>
      <c r="Q4" s="97" t="str">
        <f>'Language Index'!A782</f>
        <v>% of</v>
      </c>
      <c r="AG4" s="98" t="str">
        <f>'Language Index'!A792</f>
        <v>Total Revenue</v>
      </c>
      <c r="AH4" s="98"/>
      <c r="AI4" s="98"/>
      <c r="AJ4" s="98"/>
      <c r="AK4" s="98"/>
      <c r="AL4" s="98"/>
      <c r="AM4" s="98"/>
      <c r="AO4" s="98" t="str">
        <f>'Language Index'!A105</f>
        <v>EBITDA</v>
      </c>
      <c r="AP4" s="98"/>
      <c r="AQ4" s="98"/>
      <c r="AR4" s="98"/>
      <c r="AS4" s="98"/>
      <c r="AT4" s="98"/>
      <c r="AU4" s="98"/>
      <c r="AW4" s="98" t="str">
        <f>'Language Index'!A89</f>
        <v>Diluted EPS</v>
      </c>
      <c r="AX4" s="98"/>
      <c r="AY4" s="98"/>
      <c r="AZ4" s="98"/>
      <c r="BA4" s="98"/>
      <c r="BB4" s="98"/>
      <c r="BC4" s="98"/>
      <c r="BE4" s="98" t="str">
        <f>'Language Index'!A793</f>
        <v>TEV/Total Revenue</v>
      </c>
      <c r="BF4" s="98"/>
      <c r="BG4" s="98"/>
      <c r="BH4" s="98"/>
      <c r="BI4" s="98"/>
      <c r="BJ4" s="98"/>
      <c r="BK4" s="98"/>
      <c r="BM4" s="98" t="str">
        <f>'Language Index'!A794</f>
        <v>TEV/EBITDA</v>
      </c>
      <c r="BN4" s="98"/>
      <c r="BO4" s="98"/>
      <c r="BP4" s="98"/>
      <c r="BQ4" s="98"/>
      <c r="BR4" s="98"/>
      <c r="BS4" s="98"/>
      <c r="BU4" s="98" t="str">
        <f>'Language Index'!A797</f>
        <v>PE</v>
      </c>
      <c r="BV4" s="98"/>
      <c r="BW4" s="98"/>
      <c r="BX4" s="98"/>
      <c r="BY4" s="98"/>
      <c r="BZ4" s="98"/>
      <c r="CA4" s="98"/>
      <c r="CB4" s="99"/>
      <c r="CC4" s="97" t="str">
        <f>'Language Index'!A798</f>
        <v>Price /</v>
      </c>
      <c r="CE4" s="97" t="str">
        <f>'Language Index'!A798</f>
        <v>Price /</v>
      </c>
      <c r="CG4" s="100" t="str">
        <f>'Language Index'!A801</f>
        <v>Gross Margin</v>
      </c>
      <c r="CH4" s="100"/>
      <c r="CI4" s="100"/>
      <c r="CJ4" s="100"/>
      <c r="CK4" s="100"/>
      <c r="CL4" s="100"/>
      <c r="CM4" s="100"/>
      <c r="CO4" s="100" t="str">
        <f>'Language Index'!A803</f>
        <v>EBITDA Margin</v>
      </c>
      <c r="CP4" s="100"/>
      <c r="CQ4" s="100"/>
      <c r="CR4" s="100"/>
      <c r="CS4" s="100"/>
      <c r="CT4" s="100"/>
      <c r="CU4" s="100"/>
      <c r="CW4" s="100" t="str">
        <f>'Language Index'!A804</f>
        <v>Net Income Margin</v>
      </c>
      <c r="CX4" s="100"/>
      <c r="CY4" s="100"/>
      <c r="CZ4" s="100"/>
      <c r="DA4" s="100"/>
      <c r="DB4" s="100"/>
      <c r="DC4" s="100"/>
      <c r="DE4" s="100" t="str">
        <f>'Language Index'!A792</f>
        <v>Total Revenue</v>
      </c>
      <c r="DF4" s="100"/>
      <c r="DG4" s="100"/>
      <c r="DH4" s="100"/>
      <c r="DI4" s="100"/>
      <c r="DJ4" s="100"/>
      <c r="DK4" s="100"/>
      <c r="DM4" s="100" t="str">
        <f>'Language Index'!A105</f>
        <v>EBITDA</v>
      </c>
      <c r="DN4" s="100"/>
      <c r="DO4" s="100"/>
      <c r="DP4" s="100"/>
      <c r="DQ4" s="100"/>
      <c r="DR4" s="100"/>
      <c r="DS4" s="100"/>
      <c r="DU4" s="100" t="str">
        <f>'Language Index'!A806</f>
        <v>EPS</v>
      </c>
      <c r="DV4" s="100"/>
      <c r="DW4" s="100"/>
      <c r="DX4" s="100"/>
      <c r="DY4" s="100"/>
      <c r="DZ4" s="100"/>
      <c r="EA4" s="100"/>
      <c r="EC4" s="97" t="str">
        <f>'Language Index'!A808</f>
        <v>Total Debt/</v>
      </c>
      <c r="ED4" s="97"/>
      <c r="EE4" s="97" t="str">
        <f>'Language Index'!A810</f>
        <v>Net Debt/</v>
      </c>
      <c r="EF4" s="97"/>
      <c r="EG4" s="97" t="str">
        <f>'Language Index'!A811</f>
        <v>(Debt+Pref)/</v>
      </c>
      <c r="EH4" s="97"/>
      <c r="EI4" s="97" t="str">
        <f>'Language Index'!A812</f>
        <v>EBITDA/</v>
      </c>
      <c r="EJ4" s="97"/>
      <c r="EK4" s="97" t="str">
        <f>'Language Index'!A814</f>
        <v>(EBITDA-Capex)/</v>
      </c>
      <c r="EL4" s="97"/>
      <c r="EM4" s="97" t="str">
        <f>'Language Index'!A808</f>
        <v>Total Debt/</v>
      </c>
      <c r="EO4" s="97" t="str">
        <f>'Language Index'!A808</f>
        <v>Total Debt/</v>
      </c>
      <c r="EQ4" s="101"/>
      <c r="ES4" s="101"/>
      <c r="EU4" s="101"/>
      <c r="EW4" s="97" t="str">
        <f>'Language Index'!A27</f>
        <v>Current</v>
      </c>
      <c r="EX4" s="97"/>
      <c r="EY4" s="97" t="str">
        <f>'Language Index'!A823</f>
        <v>Quick</v>
      </c>
      <c r="EZ4" s="97"/>
      <c r="FA4" s="97" t="str">
        <f>'Language Index'!A824</f>
        <v>Avg.</v>
      </c>
      <c r="FB4" s="97"/>
      <c r="FC4" s="97" t="str">
        <f>'Language Index'!A824</f>
        <v>Avg.</v>
      </c>
      <c r="FD4" s="97"/>
      <c r="FE4" s="97" t="str">
        <f>'Language Index'!A824</f>
        <v>Avg.</v>
      </c>
      <c r="FF4" s="97"/>
      <c r="FG4" s="97" t="str">
        <f>'Language Index'!A824</f>
        <v>Avg.</v>
      </c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 s="9" customFormat="1" x14ac:dyDescent="0.2">
      <c r="A5" s="143" t="str">
        <f>'Language Index'!A8</f>
        <v>Ticker</v>
      </c>
      <c r="C5" s="143" t="str">
        <f>'Language Index'!A774</f>
        <v>Name</v>
      </c>
      <c r="E5" s="102" t="str">
        <f>'Language Index'!A866</f>
        <v>FYE</v>
      </c>
      <c r="G5" s="102" t="str">
        <f>'Language Index'!A14</f>
        <v>LTM</v>
      </c>
      <c r="I5" s="103">
        <f>'Financial Statements'!F2</f>
        <v>46087</v>
      </c>
      <c r="K5" s="102" t="str">
        <f>'Language Index'!A780</f>
        <v>High</v>
      </c>
      <c r="M5" s="102" t="str">
        <f>'Language Index'!A781</f>
        <v>Low</v>
      </c>
      <c r="O5" s="102" t="str">
        <f>'Language Index'!A783</f>
        <v>52W High</v>
      </c>
      <c r="Q5" s="102" t="str">
        <f>'Language Index'!A784</f>
        <v>52W Low</v>
      </c>
      <c r="S5" s="102" t="str">
        <f>'Language Index'!A786</f>
        <v>Shares Out</v>
      </c>
      <c r="U5" s="102" t="str">
        <f>'Language Index'!A787</f>
        <v>Market Cap</v>
      </c>
      <c r="W5" s="102" t="str">
        <f>'Language Index'!A788</f>
        <v>Cash</v>
      </c>
      <c r="Y5" s="102" t="str">
        <f>'Language Index'!A402</f>
        <v>Total Debt</v>
      </c>
      <c r="AA5" s="102" t="str">
        <f>'Language Index'!A789</f>
        <v>Pref. Stock</v>
      </c>
      <c r="AC5" s="102" t="str">
        <f>'Language Index'!A790</f>
        <v>Minority Int.</v>
      </c>
      <c r="AE5" s="102" t="str">
        <f>'Language Index'!A791</f>
        <v>TEV</v>
      </c>
      <c r="AF5" s="97"/>
      <c r="AG5" s="104" t="str">
        <f>'Language Index'!A858</f>
        <v>FY</v>
      </c>
      <c r="AH5" s="97"/>
      <c r="AI5" s="104" t="str">
        <f>'Language Index'!A14</f>
        <v>LTM</v>
      </c>
      <c r="AJ5" s="97"/>
      <c r="AK5" s="104" t="str">
        <f>'Language Index'!A859</f>
        <v>CY+1</v>
      </c>
      <c r="AL5" s="97"/>
      <c r="AM5" s="104" t="str">
        <f>'Language Index'!A860</f>
        <v>CY+2</v>
      </c>
      <c r="AN5" s="97"/>
      <c r="AO5" s="104" t="str">
        <f>'Language Index'!A858</f>
        <v>FY</v>
      </c>
      <c r="AP5" s="97"/>
      <c r="AQ5" s="104" t="str">
        <f>'Language Index'!A14</f>
        <v>LTM</v>
      </c>
      <c r="AR5" s="97"/>
      <c r="AS5" s="104" t="str">
        <f>'Language Index'!A859</f>
        <v>CY+1</v>
      </c>
      <c r="AT5" s="97"/>
      <c r="AU5" s="104" t="str">
        <f>'Language Index'!A860</f>
        <v>CY+2</v>
      </c>
      <c r="AV5" s="97"/>
      <c r="AW5" s="102" t="str">
        <f>'Language Index'!A858</f>
        <v>FY</v>
      </c>
      <c r="AX5" s="97"/>
      <c r="AY5" s="102" t="str">
        <f>'Language Index'!A14</f>
        <v>LTM</v>
      </c>
      <c r="AZ5" s="97"/>
      <c r="BA5" s="102" t="str">
        <f>'Language Index'!A859</f>
        <v>CY+1</v>
      </c>
      <c r="BB5" s="97"/>
      <c r="BC5" s="102" t="str">
        <f>'Language Index'!A860</f>
        <v>CY+2</v>
      </c>
      <c r="BD5" s="97"/>
      <c r="BE5" s="102" t="str">
        <f>'Language Index'!A858</f>
        <v>FY</v>
      </c>
      <c r="BF5" s="97"/>
      <c r="BG5" s="102" t="str">
        <f>'Language Index'!A14</f>
        <v>LTM</v>
      </c>
      <c r="BH5" s="97"/>
      <c r="BI5" s="102" t="str">
        <f>'Language Index'!A859</f>
        <v>CY+1</v>
      </c>
      <c r="BJ5" s="97"/>
      <c r="BK5" s="102" t="str">
        <f>'Language Index'!A860</f>
        <v>CY+2</v>
      </c>
      <c r="BL5" s="97"/>
      <c r="BM5" s="102" t="str">
        <f>'Language Index'!A858</f>
        <v>FY</v>
      </c>
      <c r="BN5" s="97"/>
      <c r="BO5" s="102" t="str">
        <f>'Language Index'!A14</f>
        <v>LTM</v>
      </c>
      <c r="BP5" s="97"/>
      <c r="BQ5" s="102" t="str">
        <f>'Language Index'!A859</f>
        <v>CY+1</v>
      </c>
      <c r="BR5" s="97"/>
      <c r="BS5" s="102" t="str">
        <f>'Language Index'!A860</f>
        <v>CY+2</v>
      </c>
      <c r="BT5" s="97"/>
      <c r="BU5" s="102" t="str">
        <f>'Language Index'!A858</f>
        <v>FY</v>
      </c>
      <c r="BV5" s="97"/>
      <c r="BW5" s="102" t="str">
        <f>'Language Index'!A14</f>
        <v>LTM</v>
      </c>
      <c r="BX5" s="97"/>
      <c r="BY5" s="102" t="str">
        <f>'Language Index'!A859</f>
        <v>CY+1</v>
      </c>
      <c r="BZ5" s="97"/>
      <c r="CA5" s="102" t="str">
        <f>'Language Index'!A860</f>
        <v>CY+2</v>
      </c>
      <c r="CB5" s="97"/>
      <c r="CC5" s="105" t="str">
        <f>'Language Index'!A799</f>
        <v>BV</v>
      </c>
      <c r="CD5" s="106"/>
      <c r="CE5" s="98" t="str">
        <f>'Language Index'!A800</f>
        <v>Tangible BV</v>
      </c>
      <c r="CF5" s="97"/>
      <c r="CG5" s="104" t="str">
        <f>'Language Index'!A861</f>
        <v>FY-2</v>
      </c>
      <c r="CH5" s="97"/>
      <c r="CI5" s="104" t="str">
        <f>'Language Index'!A862</f>
        <v>FY-1</v>
      </c>
      <c r="CJ5" s="97"/>
      <c r="CK5" s="104" t="str">
        <f>'Language Index'!A858</f>
        <v>FY</v>
      </c>
      <c r="CL5" s="97"/>
      <c r="CM5" s="104" t="str">
        <f>'Language Index'!A14</f>
        <v>LTM</v>
      </c>
      <c r="CN5" s="97"/>
      <c r="CO5" s="102" t="str">
        <f>'Language Index'!A861</f>
        <v>FY-2</v>
      </c>
      <c r="CP5" s="97"/>
      <c r="CQ5" s="102" t="str">
        <f>'Language Index'!A862</f>
        <v>FY-1</v>
      </c>
      <c r="CR5" s="97"/>
      <c r="CS5" s="102" t="str">
        <f>'Language Index'!A858</f>
        <v>FY</v>
      </c>
      <c r="CT5" s="97"/>
      <c r="CU5" s="102" t="str">
        <f>'Language Index'!A14</f>
        <v>LTM</v>
      </c>
      <c r="CV5" s="97"/>
      <c r="CW5" s="102" t="str">
        <f>'Language Index'!A861</f>
        <v>FY-2</v>
      </c>
      <c r="CX5" s="97"/>
      <c r="CY5" s="102" t="str">
        <f>'Language Index'!A862</f>
        <v>FY-1</v>
      </c>
      <c r="CZ5" s="97"/>
      <c r="DA5" s="102" t="str">
        <f>'Language Index'!A858</f>
        <v>FY</v>
      </c>
      <c r="DB5" s="97"/>
      <c r="DC5" s="102" t="str">
        <f>'Language Index'!A14</f>
        <v>LTM</v>
      </c>
      <c r="DD5" s="97"/>
      <c r="DE5" s="102" t="str">
        <f>'Language Index'!A863</f>
        <v>5-Yr CAGR</v>
      </c>
      <c r="DF5" s="97"/>
      <c r="DG5" s="102" t="str">
        <f>'Language Index'!A864</f>
        <v>3-Yr CAGR</v>
      </c>
      <c r="DH5" s="97"/>
      <c r="DI5" s="102" t="str">
        <f>'Language Index'!A858</f>
        <v>FY</v>
      </c>
      <c r="DJ5" s="97"/>
      <c r="DK5" s="102" t="str">
        <f>'Language Index'!A14</f>
        <v>LTM</v>
      </c>
      <c r="DL5" s="97"/>
      <c r="DM5" s="102" t="str">
        <f>'Language Index'!A863</f>
        <v>5-Yr CAGR</v>
      </c>
      <c r="DN5" s="97"/>
      <c r="DO5" s="102" t="str">
        <f>'Language Index'!A864</f>
        <v>3-Yr CAGR</v>
      </c>
      <c r="DP5" s="97"/>
      <c r="DQ5" s="102" t="str">
        <f>'Language Index'!A858</f>
        <v>FY</v>
      </c>
      <c r="DR5" s="97"/>
      <c r="DS5" s="102" t="str">
        <f>'Language Index'!A14</f>
        <v>LTM</v>
      </c>
      <c r="DT5" s="97"/>
      <c r="DU5" s="102" t="str">
        <f>'Language Index'!A863</f>
        <v>5-Yr CAGR</v>
      </c>
      <c r="DV5" s="97"/>
      <c r="DW5" s="102" t="str">
        <f>'Language Index'!A864</f>
        <v>3-Yr CAGR</v>
      </c>
      <c r="DX5" s="97"/>
      <c r="DY5" s="102" t="str">
        <f>'Language Index'!A858</f>
        <v>FY</v>
      </c>
      <c r="DZ5" s="97"/>
      <c r="EA5" s="102" t="str">
        <f>'Language Index'!A14</f>
        <v>LTM</v>
      </c>
      <c r="EB5" s="97"/>
      <c r="EC5" s="102" t="str">
        <f>'Language Index'!A809</f>
        <v>LTM EBITDA</v>
      </c>
      <c r="ED5" s="97"/>
      <c r="EE5" s="102" t="str">
        <f>'Language Index'!A809</f>
        <v>LTM EBITDA</v>
      </c>
      <c r="EF5" s="97"/>
      <c r="EG5" s="102" t="str">
        <f>'Language Index'!A809</f>
        <v>LTM EBITDA</v>
      </c>
      <c r="EH5" s="97"/>
      <c r="EI5" s="102" t="str">
        <f>'Language Index'!A813</f>
        <v>Interest</v>
      </c>
      <c r="EJ5" s="97"/>
      <c r="EK5" s="102" t="str">
        <f>'Language Index'!A813</f>
        <v>Interest</v>
      </c>
      <c r="EL5" s="97"/>
      <c r="EM5" s="102" t="str">
        <f>'Language Index'!A815</f>
        <v>Total Equity (%)</v>
      </c>
      <c r="EN5" s="97"/>
      <c r="EO5" s="102" t="str">
        <f>'Language Index'!A816</f>
        <v>Total Cap. (%)</v>
      </c>
      <c r="EP5" s="97"/>
      <c r="EQ5" s="102" t="str">
        <f>'Language Index'!A819</f>
        <v>ROE</v>
      </c>
      <c r="ER5" s="97"/>
      <c r="ES5" s="102" t="str">
        <f>'Language Index'!A820</f>
        <v>ROA</v>
      </c>
      <c r="ET5" s="97"/>
      <c r="EU5" s="102" t="str">
        <f>'Language Index'!A821</f>
        <v>ROIC</v>
      </c>
      <c r="EV5" s="97"/>
      <c r="EW5" s="102" t="str">
        <f>'Language Index'!A822</f>
        <v>Ratio</v>
      </c>
      <c r="EX5" s="97"/>
      <c r="EY5" s="102" t="str">
        <f>'Language Index'!A822</f>
        <v>Ratio</v>
      </c>
      <c r="EZ5" s="97"/>
      <c r="FA5" s="102" t="str">
        <f>'Language Index'!A825</f>
        <v>Days Sales Out.</v>
      </c>
      <c r="FB5" s="97"/>
      <c r="FC5" s="102" t="str">
        <f>'Language Index'!A826</f>
        <v>Days Inv. Out.</v>
      </c>
      <c r="FD5" s="97"/>
      <c r="FE5" s="102" t="str">
        <f>'Language Index'!A827</f>
        <v>Days Payable Out.</v>
      </c>
      <c r="FF5" s="97"/>
      <c r="FG5" s="102" t="str">
        <f>'Language Index'!A828</f>
        <v>Cash Conv. Cycle</v>
      </c>
      <c r="FH5" s="97"/>
      <c r="FI5" s="102" t="str">
        <f>'Language Index'!A331</f>
        <v>Total Assets</v>
      </c>
      <c r="FJ5" s="97"/>
      <c r="FK5" s="102" t="str">
        <f>'Language Index'!A829</f>
        <v>Fixed Assets</v>
      </c>
      <c r="FL5" s="97"/>
      <c r="FM5" s="102" t="str">
        <f>'Language Index'!A830</f>
        <v>A/R</v>
      </c>
      <c r="FN5" s="97"/>
      <c r="FO5" s="102" t="str">
        <f>'Language Index'!A309</f>
        <v>Inventory</v>
      </c>
      <c r="FP5" s="97"/>
      <c r="FQ5" s="97"/>
      <c r="FR5" s="97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2" customFormat="1" ht="4.5" customHeight="1" x14ac:dyDescent="0.2">
      <c r="A6" s="107"/>
      <c r="C6" s="107"/>
      <c r="E6" s="107"/>
      <c r="G6" s="107"/>
      <c r="I6" s="108"/>
      <c r="K6" s="107"/>
      <c r="M6" s="107"/>
      <c r="O6" s="107"/>
      <c r="Q6" s="107"/>
      <c r="S6" s="107"/>
      <c r="U6" s="107"/>
      <c r="W6" s="107"/>
      <c r="Y6" s="107"/>
      <c r="AA6" s="107"/>
      <c r="AC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7"/>
      <c r="BZ6" s="107"/>
      <c r="CA6" s="107"/>
      <c r="CB6" s="107"/>
      <c r="CC6" s="109"/>
      <c r="CD6" s="110"/>
      <c r="CE6" s="110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  <c r="DC6" s="107"/>
      <c r="DD6" s="107"/>
      <c r="DE6" s="107"/>
      <c r="DF6" s="107"/>
      <c r="DG6" s="107"/>
      <c r="DH6" s="107"/>
      <c r="DI6" s="107"/>
      <c r="DJ6" s="107"/>
      <c r="DK6" s="107"/>
      <c r="DL6" s="107"/>
      <c r="DM6" s="107"/>
      <c r="DN6" s="107"/>
      <c r="DO6" s="107"/>
      <c r="DP6" s="107"/>
      <c r="DQ6" s="107"/>
      <c r="DR6" s="107"/>
      <c r="DS6" s="107"/>
      <c r="DT6" s="107"/>
      <c r="DU6" s="107"/>
      <c r="DV6" s="107"/>
      <c r="DW6" s="107"/>
      <c r="DX6" s="107"/>
      <c r="DY6" s="107"/>
      <c r="DZ6" s="107"/>
      <c r="EA6" s="107"/>
      <c r="EB6" s="107"/>
      <c r="EC6" s="107"/>
      <c r="ED6" s="107"/>
      <c r="EE6" s="107"/>
      <c r="EF6" s="107"/>
      <c r="EG6" s="107"/>
      <c r="EH6" s="107"/>
      <c r="EI6" s="107"/>
      <c r="EJ6" s="107"/>
      <c r="EK6" s="107"/>
      <c r="EL6" s="107"/>
      <c r="EM6" s="107"/>
      <c r="EN6" s="107"/>
      <c r="EO6" s="107"/>
      <c r="EP6" s="107"/>
      <c r="EQ6" s="107"/>
      <c r="ER6" s="107"/>
      <c r="ES6" s="107"/>
      <c r="ET6" s="107"/>
      <c r="EU6" s="107"/>
      <c r="EV6" s="107"/>
      <c r="EW6" s="107"/>
      <c r="EX6" s="107"/>
      <c r="EY6" s="107"/>
      <c r="EZ6" s="107"/>
      <c r="FA6" s="107"/>
      <c r="FB6" s="107"/>
      <c r="FC6" s="107"/>
      <c r="FD6" s="107"/>
      <c r="FE6" s="107"/>
      <c r="FF6" s="107"/>
      <c r="FG6" s="107"/>
      <c r="FH6" s="107"/>
      <c r="FI6" s="107"/>
      <c r="FJ6" s="107"/>
      <c r="FK6" s="107"/>
      <c r="FL6" s="107"/>
      <c r="FM6" s="107"/>
      <c r="FN6" s="107"/>
      <c r="FO6" s="107"/>
      <c r="FP6" s="107"/>
      <c r="FQ6" s="107"/>
      <c r="FR6" s="107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39" customFormat="1" x14ac:dyDescent="0.2">
      <c r="A7" s="111" t="str">
        <f>_xll.ciqfunctions.udf.CIQ($A$21,"IQ_QUICK_COMP",1)</f>
        <v>NYSE:ORCL</v>
      </c>
      <c r="C7" s="111" t="str">
        <f>_xll.ciqfunctions.udf.CIQ($A7, "IQ_COMPANY_NAME")</f>
        <v>Oracle Corporation</v>
      </c>
      <c r="E7" s="35">
        <f>_xll.ciqfunctions.udf.CIQ($A7,"IQ_PERIODDATE",IQ_FY,$I$5)</f>
        <v>45808</v>
      </c>
      <c r="F7" s="35"/>
      <c r="G7" s="35">
        <f>_xll.ciqfunctions.udf.CIQ($A7,"IQ_PERIODDATE",IQ_LTM,$I$5)</f>
        <v>45991</v>
      </c>
      <c r="I7" s="29">
        <f>_xll.ciqfunctions.udf.CIQ($A7, "IQ_LASTSALEPRICE",$I$5,Ccy,Conv)</f>
        <v>154.05000000000001</v>
      </c>
      <c r="J7" s="29"/>
      <c r="K7" s="29">
        <f>_xll.ciqfunctions.udf.CIQ($A7, "IQ_YEARHIGH",$I$5,Ccy,Conv)</f>
        <v>345.72</v>
      </c>
      <c r="L7" s="29"/>
      <c r="M7" s="29">
        <f>_xll.ciqfunctions.udf.CIQ($A7, "IQ_YEARLOW",$I$5,Ccy,Conv)</f>
        <v>118.86</v>
      </c>
      <c r="O7" s="112">
        <f t="shared" ref="O7:O14" si="0">IF(ISERROR(I7/K7), "NA", I7/K7)</f>
        <v>0.44559180839986118</v>
      </c>
      <c r="P7" s="112"/>
      <c r="Q7" s="112">
        <f t="shared" ref="Q7:Q14" si="1">IF(ISERROR(I7/M7), "NA", I7/M7)</f>
        <v>1.2960625946491673</v>
      </c>
      <c r="S7" s="18">
        <f>_xll.ciqfunctions.udf.CIQ($A7, "IQ_SHARESOUTSTANDING",$I$5)</f>
        <v>2874.0909999999999</v>
      </c>
      <c r="U7" s="60">
        <f t="shared" ref="U7:U14" si="2">IF(ISERROR(S7*I7), "NA", S7*I7)</f>
        <v>442753.71854999999</v>
      </c>
      <c r="W7" s="18">
        <f>_xll.ciqfunctions.udf.CIQ($A7, "IQ_CASH_ST_INVEST",IQ_FQ,$I$5,,"F",Ccy,Conv)</f>
        <v>19766</v>
      </c>
      <c r="X7" s="18"/>
      <c r="Y7" s="18">
        <f>_xll.ciqfunctions.udf.CIQ($A7, "IQ_TOTAL_DEBT",IQ_FQ,$I$5,,"F",Ccy,Conv)</f>
        <v>131730</v>
      </c>
      <c r="Z7" s="18"/>
      <c r="AA7" s="18">
        <f>_xll.ciqfunctions.udf.CIQ($A7, "IQ_PREF_EQUITY",IQ_FQ,$I$5,,"F",Ccy,Conv)</f>
        <v>0</v>
      </c>
      <c r="AB7" s="18"/>
      <c r="AC7" s="18">
        <f>_xll.ciqfunctions.udf.CIQ($A7, "IQ_MINORITY_INTEREST_TOTAL",IQ_FQ,$I$5,,"F",Ccy,Conv)</f>
        <v>506</v>
      </c>
      <c r="AD7" s="60"/>
      <c r="AE7" s="60">
        <f>IF(ISERROR(U7-W7+Y7+AA7+AC7), "NA", U7-W7+Y7+AA7+AC7)</f>
        <v>555223.71854999999</v>
      </c>
      <c r="AF7" s="60"/>
      <c r="AG7" s="18">
        <f>_xll.ciqfunctions.udf.CIQ($A7, "IQ_TOTAL_REV", IQ_FY,$I$5,,,Ccy,Conv)</f>
        <v>57399</v>
      </c>
      <c r="AH7" s="18"/>
      <c r="AI7" s="18">
        <f>_xll.ciqfunctions.udf.CIQ($A7, "IQ_TOTAL_REV", IQ_LTM,$I$5,,,Ccy,Conv)</f>
        <v>61016</v>
      </c>
      <c r="AJ7" s="18"/>
      <c r="AK7" s="18">
        <f>_xll.ciqfunctions.udf.CIQ($A7, "IQ_REVENUE_EST", IQ_CY+ 1,$I$5,,,Ccy,Conv)</f>
        <v>75597.413499999995</v>
      </c>
      <c r="AL7" s="18"/>
      <c r="AM7" s="18">
        <f>_xll.ciqfunctions.udf.CIQ($A7, "IQ_REVENUE_EST", IQ_CY+ 2,$I$5,,,Ccy,Conv)</f>
        <v>104360.1338</v>
      </c>
      <c r="AN7" s="60"/>
      <c r="AO7" s="18">
        <f>_xll.ciqfunctions.udf.CIQ($A7, "IQ_EBITDA", IQ_FY,$I$5,,,Ccy,Conv)</f>
        <v>23486</v>
      </c>
      <c r="AP7" s="18"/>
      <c r="AQ7" s="18">
        <f>_xll.ciqfunctions.udf.CIQ($A7, "IQ_EBITDA", IQ_LTM,$I$5,,,Ccy,Conv)</f>
        <v>26266</v>
      </c>
      <c r="AR7" s="18"/>
      <c r="AS7" s="18">
        <f>_xll.ciqfunctions.udf.CIQ($A7, "IQ_EBITDA_EST", IQ_CY+ 1,$I$5,,,Ccy,Conv)</f>
        <v>39941.455699999999</v>
      </c>
      <c r="AT7" s="18"/>
      <c r="AU7" s="18">
        <f>_xll.ciqfunctions.udf.CIQ($A7, "IQ_EBITDA_EST", IQ_CY+ 2,$I$5,,,Ccy,Conv)</f>
        <v>54027.374300000003</v>
      </c>
      <c r="AW7" s="29">
        <f>_xll.ciqfunctions.udf.CIQ($A7, "IQ_DILUT_EPS_EXCL", IQ_FY,$I$5,,,Ccy,Conv)</f>
        <v>4.34</v>
      </c>
      <c r="AX7" s="29"/>
      <c r="AY7" s="29">
        <f>_xll.ciqfunctions.udf.CIQ($A7, "IQ_DILUT_EPS_EXCL", IQ_LTM,$I$5,,,Ccy,Conv)</f>
        <v>5.3266799999999996</v>
      </c>
      <c r="AZ7" s="29"/>
      <c r="BA7" s="29">
        <f>_xll.ciqfunctions.udf.CIQ($A7, "IQ_EPS_EST", IQ_CY+ 1,$I$5,,,Ccy,Conv)</f>
        <v>7.1585000000000001</v>
      </c>
      <c r="BB7" s="29"/>
      <c r="BC7" s="29">
        <f>_xll.ciqfunctions.udf.CIQ($A7, "IQ_EPS_EST", IQ_CY+ 2,$I$5,,,Ccy,Conv)</f>
        <v>8.8358000000000008</v>
      </c>
      <c r="BE7" s="55">
        <f>_xll.ciqfunctions.udf.CIQ($A7, "IQ_TEV_TOTAL_REV",IQ_LTM,$FR7)</f>
        <v>9.9684299999999997</v>
      </c>
      <c r="BF7" s="55"/>
      <c r="BG7" s="55">
        <f>_xll.ciqfunctions.udf.CIQ($A7, "IQ_TEV_TOTAL_REV",IQ_LTM,$I$5)</f>
        <v>9.1344999999999992</v>
      </c>
      <c r="BH7" s="113"/>
      <c r="BI7" s="113">
        <f t="shared" ref="BI7:BI14" si="3">IF(ISERROR($AE7/AK7), "NA", $AE7/AK7)</f>
        <v>7.3444803577836701</v>
      </c>
      <c r="BJ7" s="113"/>
      <c r="BK7" s="113">
        <f t="shared" ref="BK7:BK14" si="4">IF(ISERROR($AE7/AM7), "NA", $AE7/AM7)</f>
        <v>5.3202664497733716</v>
      </c>
      <c r="BL7" s="113"/>
      <c r="BM7" s="55">
        <f>_xll.ciqfunctions.udf.CIQ($A7, "IQ_TEV_EBITDA",IQ_LTM,$FR7)</f>
        <v>23.05809</v>
      </c>
      <c r="BN7" s="55"/>
      <c r="BO7" s="55">
        <f>_xll.ciqfunctions.udf.CIQ($A7, "IQ_TEV_EBITDA",IQ_LTM,$I$5)</f>
        <v>19.611899999999999</v>
      </c>
      <c r="BP7" s="55"/>
      <c r="BQ7" s="55">
        <f>_xll.ciqfunctions.udf.CIQ($A7, "IQ_TEV_EBITDA_FWD",IQ_CY+1,$I$5)</f>
        <v>13.954190000000001</v>
      </c>
      <c r="BR7" s="55"/>
      <c r="BS7" s="55">
        <f>_xll.ciqfunctions.udf.CIQ($A7, "IQ_TEV_EBITDA_FWD",IQ_CY+2,$I$5)</f>
        <v>10.316079999999999</v>
      </c>
      <c r="BT7" s="113"/>
      <c r="BU7" s="55">
        <f>_xll.ciqfunctions.udf.CIQ($A7, "IQ_PE_EXCL",IQ_LTM,$FR7)</f>
        <v>38.868549999999999</v>
      </c>
      <c r="BV7" s="55"/>
      <c r="BW7" s="55">
        <f>_xll.ciqfunctions.udf.CIQ($A7, "IQ_PE_EXCL",IQ_LTM,$I$5)</f>
        <v>29.0594</v>
      </c>
      <c r="BX7" s="55"/>
      <c r="BY7" s="55">
        <f>_xll.ciqfunctions.udf.CIQ($A7, "IQ_PE_EXCL_FWD",IQ_CY+1,$I$5)</f>
        <v>21.623249999999999</v>
      </c>
      <c r="BZ7" s="55"/>
      <c r="CA7" s="55">
        <f>_xll.ciqfunctions.udf.CIQ($A7, "IQ_PE_EXCL_FWD",IQ_CY+2,$I$5)</f>
        <v>17.5185</v>
      </c>
      <c r="CC7" s="55">
        <f>_xll.ciqfunctions.udf.CIQ($A7, "IQ_PBV",IQ_LTM,$I$5,)</f>
        <v>14.84797</v>
      </c>
      <c r="CD7" s="55"/>
      <c r="CE7" s="55" t="str">
        <f>_xll.ciqfunctions.udf.CIQ($A7, "IQ_PTBV",IQ_LTM,$I$5,)</f>
        <v>NM</v>
      </c>
      <c r="CG7" s="18">
        <f>_xll.ciqfunctions.udf.CIQ($A7, "IQ_GROSS_MARGIN", IQ_FY- 2,$I$5)</f>
        <v>72.846999999999994</v>
      </c>
      <c r="CH7" s="18"/>
      <c r="CI7" s="18">
        <f>_xll.ciqfunctions.udf.CIQ($A7, "IQ_GROSS_MARGIN", IQ_FY- 1,$I$5,)</f>
        <v>71.407200000000003</v>
      </c>
      <c r="CJ7" s="18"/>
      <c r="CK7" s="18">
        <f>_xll.ciqfunctions.udf.CIQ($A7, "IQ_GROSS_MARGIN", IQ_FY,$I$5,)</f>
        <v>70.509900000000002</v>
      </c>
      <c r="CL7" s="18"/>
      <c r="CM7" s="18">
        <f>_xll.ciqfunctions.udf.CIQ($A7, "IQ_GROSS_MARGIN", IQ_LTM,$I$5,)</f>
        <v>68.542599999999993</v>
      </c>
      <c r="CN7" s="60"/>
      <c r="CO7" s="18">
        <f>_xll.ciqfunctions.udf.CIQ($A7, "IQ_EBITDA_MARGIN", IQ_FY- 2,$I$5,)</f>
        <v>39.592399999999998</v>
      </c>
      <c r="CP7" s="18"/>
      <c r="CQ7" s="18">
        <f>_xll.ciqfunctions.udf.CIQ($A7, "IQ_EBITDA_MARGIN", IQ_FY- 1,$I$5,)</f>
        <v>40.080399999999997</v>
      </c>
      <c r="CR7" s="18"/>
      <c r="CS7" s="18">
        <f>_xll.ciqfunctions.udf.CIQ($A7, "IQ_EBITDA_MARGIN", IQ_FY,$I$5,)</f>
        <v>40.917000000000002</v>
      </c>
      <c r="CT7" s="18"/>
      <c r="CU7" s="18">
        <f>_xll.ciqfunctions.udf.CIQ($A7, "IQ_EBITDA_MARGIN", IQ_LTM,$I$5,)</f>
        <v>43.047699999999999</v>
      </c>
      <c r="CV7" s="60"/>
      <c r="CW7" s="18">
        <f>_xll.ciqfunctions.udf.CIQ($A7, "IQ_NI_MARGIN", IQ_FY- 2,$I$5,)</f>
        <v>17.021599999999999</v>
      </c>
      <c r="CX7" s="18"/>
      <c r="CY7" s="18">
        <f>_xll.ciqfunctions.udf.CIQ($A7, "IQ_NI_MARGIN", IQ_FY- 1,$I$5,)</f>
        <v>19.763500000000001</v>
      </c>
      <c r="CZ7" s="18"/>
      <c r="DA7" s="18">
        <f>_xll.ciqfunctions.udf.CIQ($A7, "IQ_NI_MARGIN", IQ_FY,$I$5,)</f>
        <v>21.678000000000001</v>
      </c>
      <c r="DB7" s="18"/>
      <c r="DC7" s="18">
        <f>_xll.ciqfunctions.udf.CIQ($A7, "IQ_NI_MARGIN", IQ_LTM,$I$5,)</f>
        <v>25.280200000000001</v>
      </c>
      <c r="DE7" s="18">
        <f>_xll.ciqfunctions.udf.CIQ($A7, "IQ_TOTAL_REV_5YR_ANN_CAGR",IQ_LTM,$I$5,)</f>
        <v>9.1396999999999995</v>
      </c>
      <c r="DF7" s="18"/>
      <c r="DG7" s="18">
        <f>_xll.ciqfunctions.udf.CIQ($A7, "IQ_TOTAL_REV_3YR_ANN_CAGR",IQ_LTM,$I$5,)</f>
        <v>9.8160000000000007</v>
      </c>
      <c r="DH7" s="18"/>
      <c r="DI7" s="18">
        <f>_xll.ciqfunctions.udf.CIQ($A7, "IQ_TOTAL_REV_1YR_ANN_GROWTH", IQ_FY,$I$5,)</f>
        <v>8.3796999999999997</v>
      </c>
      <c r="DJ7" s="18"/>
      <c r="DK7" s="18">
        <f>_xll.ciqfunctions.udf.CIQ($A7, "IQ_TOTAL_REV_1YR_ANN_GROWTH",IQ_LTM,$I$5,)</f>
        <v>11.073399999999999</v>
      </c>
      <c r="DL7" s="60"/>
      <c r="DM7" s="18">
        <f>_xll.ciqfunctions.udf.CIQ($A7, "IQ_EBITDA_5YR_ANN_CAGR",IQ_LTM,$I$5,)</f>
        <v>8.7830999999999992</v>
      </c>
      <c r="DN7" s="18"/>
      <c r="DO7" s="18">
        <f>_xll.ciqfunctions.udf.CIQ($A7, "IQ_EBITDA_3YR_ANN_CAGR",IQ_LTM,$I$5,)</f>
        <v>12.6477</v>
      </c>
      <c r="DP7" s="18"/>
      <c r="DQ7" s="18">
        <f>_xll.ciqfunctions.udf.CIQ($A7, "IQ_EBITDA_1YR_ANN_GROWTH", IQ_FY,$I$5,)</f>
        <v>10.642099999999999</v>
      </c>
      <c r="DR7" s="18"/>
      <c r="DS7" s="18">
        <f>_xll.ciqfunctions.udf.CIQ($A7, "IQ_EBITDA_1YR_ANN_GROWTH",IQ_LTM,$I$5,)</f>
        <v>21.0303</v>
      </c>
      <c r="DT7" s="60"/>
      <c r="DU7" s="18">
        <f>_xll.ciqfunctions.udf.CIQ($A7, "IQ_EPS_5YR_ANN_CAGR",IQ_LTM,$I$5,)</f>
        <v>10.0108</v>
      </c>
      <c r="DV7" s="18"/>
      <c r="DW7" s="18">
        <f>_xll.ciqfunctions.udf.CIQ($A7, "IQ_EPS_3YR_ANN_CAGR",IQ_LTM,$I$5,)</f>
        <v>18.499500000000001</v>
      </c>
      <c r="DX7" s="18"/>
      <c r="DY7" s="18">
        <f>_xll.ciqfunctions.udf.CIQ($A7, "IQ_EPS_1YR_ANN_GROWTH", IQ_FY,$I$5,)</f>
        <v>16.981100000000001</v>
      </c>
      <c r="DZ7" s="18"/>
      <c r="EA7" s="18">
        <f>_xll.ciqfunctions.udf.CIQ($A7, "IQ_EPS_1YR_ANN_GROWTH", IQ_LTM,$I$5,)</f>
        <v>30.211200000000002</v>
      </c>
      <c r="EC7" s="55">
        <f>_xll.ciqfunctions.udf.CIQ($A7, "IQ_TOTAL_DEBT_EBITDA",IQ_LTM,$I$5,)</f>
        <v>4.6352799999999998</v>
      </c>
      <c r="ED7" s="55"/>
      <c r="EE7" s="55">
        <f>_xll.ciqfunctions.udf.CIQ($A7, "IQ_NET_DEBT_EBITDA",IQ_LTM,$I$5,)</f>
        <v>3.9397600000000002</v>
      </c>
      <c r="EF7" s="55"/>
      <c r="EG7" s="113">
        <f t="shared" ref="EG7:EG14" si="5">IF(ISERROR((Y7+AA7)/AQ7), "NA", (Y7+AA7)/AQ7)</f>
        <v>5.0152288129140334</v>
      </c>
      <c r="EH7" s="55"/>
      <c r="EI7" s="55">
        <f>_xll.ciqfunctions.udf.CIQ($A7, "IQ_EBITDA_INT",IQ_LTM,$I$5,)</f>
        <v>7.3815600000000003</v>
      </c>
      <c r="EJ7" s="55"/>
      <c r="EK7" s="55" t="str">
        <f>_xll.ciqfunctions.udf.CIQ($A7, "IQ_EBITDA_CAPEX_INT",IQ_LTM,$I$5,)</f>
        <v>NM</v>
      </c>
      <c r="EL7" s="59"/>
      <c r="EM7" s="18">
        <f>_xll.ciqfunctions.udf.CIQ($A7, "IQ_TOTAL_DEBT_EQUITY",IQ_FQ,$I$5,)</f>
        <v>432.51139999999998</v>
      </c>
      <c r="EN7" s="18"/>
      <c r="EO7" s="18">
        <f>_xll.ciqfunctions.udf.CIQ($A7, "IQ_TOTAL_DEBT_CAPITAL",IQ_FQ,$I$5,)</f>
        <v>81.221000000000004</v>
      </c>
      <c r="EQ7" s="18">
        <f>_xll.ciqfunctions.udf.CIQ($A7, "IQ_RETURN_EQUITY",IQ_LTM,$I$5)</f>
        <v>69.026399999999995</v>
      </c>
      <c r="ER7" s="18"/>
      <c r="ES7" s="18">
        <f>_xll.ciqfunctions.udf.CIQ($A7, "IQ_RETURN_ASSETS",IQ_LTM,$I$5)</f>
        <v>6.8640999999999996</v>
      </c>
      <c r="ET7" s="18"/>
      <c r="EU7" s="18">
        <f>_xll.ciqfunctions.udf.CIQ($A7, "IQ_RETURN_INVESTED_CAPITAL",IQ_LTM,$I$5)</f>
        <v>7.2870999999999997</v>
      </c>
      <c r="EW7" s="55">
        <f>_xll.ciqfunctions.udf.CIQ($A7, "IQ_CURRENT_RATIO",IQ_FQ,$I$5,)</f>
        <v>0.90927000000000002</v>
      </c>
      <c r="EX7" s="55"/>
      <c r="EY7" s="55">
        <f>_xll.ciqfunctions.udf.CIQ($A7, "IQ_QUICK_RATIO",IQ_FQ,$I$5,)</f>
        <v>0.77275000000000005</v>
      </c>
      <c r="EZ7" s="59"/>
      <c r="FA7" s="18">
        <f>_xll.ciqfunctions.udf.CIQ($A7, "IQ_DAYS_SALES_OUT",IQ_LTM,$I$5,)</f>
        <v>52.692500000000003</v>
      </c>
      <c r="FB7" s="18"/>
      <c r="FC7" s="18">
        <f>_xll.ciqfunctions.udf.CIQ($A7, "IQ_DAYS_INVENTORY_OUT",IQ_LTM,$I$5,)</f>
        <v>0</v>
      </c>
      <c r="FD7" s="18"/>
      <c r="FE7" s="18">
        <f>_xll.ciqfunctions.udf.CIQ($A7, "IQ_DAYS_PAYABLE_OUT",IQ_LTM,$I$5,)</f>
        <v>121.88518000000001</v>
      </c>
      <c r="FF7" s="18"/>
      <c r="FG7" s="18">
        <f>_xll.ciqfunctions.udf.CIQ($A7, "IQ_CASH_CONVERSION",IQ_LTM,$I$5,)</f>
        <v>0</v>
      </c>
      <c r="FH7" s="59"/>
      <c r="FI7" s="55">
        <f>_xll.ciqfunctions.udf.CIQ($A7, "IQ_ASSET_TURNS",IQ_LTM,$I$5,)</f>
        <v>0.34523999999999999</v>
      </c>
      <c r="FJ7" s="55"/>
      <c r="FK7" s="55">
        <f>_xll.ciqfunctions.udf.CIQ($A7, "IQ_FIXED_ASSET_TURNS",IQ_LTM,$I$5,)</f>
        <v>1.29399</v>
      </c>
      <c r="FL7" s="55"/>
      <c r="FM7" s="55">
        <f>_xll.ciqfunctions.udf.CIQ($A7, "IQ_AR_TURNS",IQ_LTM,$I$5,)</f>
        <v>6.9269499999999997</v>
      </c>
      <c r="FN7" s="55"/>
      <c r="FO7" s="55">
        <f>_xll.ciqfunctions.udf.CIQ($A7, "IQ_INVENTORY_TURNS",IQ_LTM,$I$5,)</f>
        <v>0</v>
      </c>
      <c r="FR7" s="114">
        <f>_xll.ciqfunctions.udf.CIQ($A7,"IQ_PERIODDATE",IQ_FY,$I$5)</f>
        <v>45808</v>
      </c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 s="2" customFormat="1" x14ac:dyDescent="0.2">
      <c r="A8" s="111" t="str">
        <f>_xll.ciqfunctions.udf.CIQ($A$21,"IQ_QUICK_COMP",2)</f>
        <v>NYSE:ACN</v>
      </c>
      <c r="C8" s="111" t="str">
        <f>_xll.ciqfunctions.udf.CIQ($A8, "IQ_COMPANY_NAME")</f>
        <v>Accenture plc</v>
      </c>
      <c r="D8" s="39"/>
      <c r="E8" s="35">
        <f>_xll.ciqfunctions.udf.CIQ($A8,"IQ_PERIODDATE",IQ_FY,$I$5)</f>
        <v>45900</v>
      </c>
      <c r="F8" s="35"/>
      <c r="G8" s="35">
        <f>_xll.ciqfunctions.udf.CIQ($A8,"IQ_PERIODDATE",IQ_LTM,$I$5)</f>
        <v>45991</v>
      </c>
      <c r="H8" s="39"/>
      <c r="I8" s="29">
        <f>_xll.ciqfunctions.udf.CIQ($A8, "IQ_LASTSALEPRICE",$I$5,Ccy,Conv)</f>
        <v>217.23500000000001</v>
      </c>
      <c r="J8" s="29"/>
      <c r="K8" s="29">
        <f>_xll.ciqfunctions.udf.CIQ($A8, "IQ_YEARHIGH",$I$5,Ccy,Conv)</f>
        <v>347.1</v>
      </c>
      <c r="L8" s="29"/>
      <c r="M8" s="29">
        <f>_xll.ciqfunctions.udf.CIQ($A8, "IQ_YEARLOW",$I$5,Ccy,Conv)</f>
        <v>188.73</v>
      </c>
      <c r="N8" s="39"/>
      <c r="O8" s="112">
        <f t="shared" si="0"/>
        <v>0.62585710169979836</v>
      </c>
      <c r="P8" s="112"/>
      <c r="Q8" s="112">
        <f t="shared" si="1"/>
        <v>1.1510358713506068</v>
      </c>
      <c r="R8" s="39"/>
      <c r="S8" s="18">
        <f>_xll.ciqfunctions.udf.CIQ($A8, "IQ_SHARESOUTSTANDING",$I$5)</f>
        <v>615.30674999999997</v>
      </c>
      <c r="T8" s="39"/>
      <c r="U8" s="60">
        <f t="shared" si="2"/>
        <v>133666.16183624999</v>
      </c>
      <c r="V8" s="60"/>
      <c r="W8" s="18">
        <f>_xll.ciqfunctions.udf.CIQ($A8, "IQ_CASH_ST_INVEST",IQ_FQ,$I$5,,"F",Ccy,Conv)</f>
        <v>9655.3109999999997</v>
      </c>
      <c r="X8" s="18"/>
      <c r="Y8" s="18">
        <f>_xll.ciqfunctions.udf.CIQ($A8, "IQ_TOTAL_DEBT",IQ_FQ,$I$5,,"F",Ccy,Conv)</f>
        <v>8201.9989999999998</v>
      </c>
      <c r="Z8" s="18"/>
      <c r="AA8" s="18">
        <f>_xll.ciqfunctions.udf.CIQ($A8, "IQ_PREF_EQUITY",IQ_FQ,$I$5,,"F",Ccy,Conv)</f>
        <v>0</v>
      </c>
      <c r="AB8" s="18"/>
      <c r="AC8" s="18">
        <f>_xll.ciqfunctions.udf.CIQ($A8, "IQ_MINORITY_INTEREST_TOTAL",IQ_FQ,$I$5,,"F",Ccy,Conv)</f>
        <v>1054.779</v>
      </c>
      <c r="AD8" s="60"/>
      <c r="AE8" s="60">
        <f t="shared" ref="AE8:AE14" si="6">IF(ISERROR(U8-W8+Y8+AA8+AC8), "NA",U8-W8+Y8+AA8+AC8)</f>
        <v>133267.62883624999</v>
      </c>
      <c r="AF8" s="60"/>
      <c r="AG8" s="18">
        <f>_xll.ciqfunctions.udf.CIQ($A8, "IQ_TOTAL_REV", IQ_FY,$I$5,,,Ccy,Conv)</f>
        <v>69672.976999999999</v>
      </c>
      <c r="AH8" s="18"/>
      <c r="AI8" s="18">
        <f>_xll.ciqfunctions.udf.CIQ($A8, "IQ_TOTAL_REV", IQ_LTM,$I$5,,,Ccy,Conv)</f>
        <v>70725.557000000001</v>
      </c>
      <c r="AJ8" s="18"/>
      <c r="AK8" s="18">
        <f>_xll.ciqfunctions.udf.CIQ($A8, "IQ_REVENUE_EST", IQ_CY+ 1,$I$5,,,Ccy,Conv)</f>
        <v>74809.909199999995</v>
      </c>
      <c r="AL8" s="18"/>
      <c r="AM8" s="18">
        <f>_xll.ciqfunctions.udf.CIQ($A8, "IQ_REVENUE_EST", IQ_CY+ 2,$I$5,,,Ccy,Conv)</f>
        <v>78999.724100000007</v>
      </c>
      <c r="AN8" s="60"/>
      <c r="AO8" s="18">
        <f>_xll.ciqfunctions.udf.CIQ($A8, "IQ_EBITDA", IQ_FY,$I$5,,,Ccy,Conv)</f>
        <v>12222.531999999999</v>
      </c>
      <c r="AP8" s="18"/>
      <c r="AQ8" s="18">
        <f>_xll.ciqfunctions.udf.CIQ($A8, "IQ_EBITDA", IQ_LTM,$I$5,,,Ccy,Conv)</f>
        <v>12458.011</v>
      </c>
      <c r="AR8" s="18"/>
      <c r="AS8" s="18">
        <f>_xll.ciqfunctions.udf.CIQ($A8, "IQ_EBITDA_EST", IQ_CY+ 1,$I$5,,,Ccy,Conv)</f>
        <v>16924.040099999998</v>
      </c>
      <c r="AT8" s="18"/>
      <c r="AU8" s="18">
        <f>_xll.ciqfunctions.udf.CIQ($A8, "IQ_EBITDA_EST", IQ_CY+ 2,$I$5,,,Ccy,Conv)</f>
        <v>15234.7019</v>
      </c>
      <c r="AV8" s="60"/>
      <c r="AW8" s="29">
        <f>_xll.ciqfunctions.udf.CIQ($A8, "IQ_DILUT_EPS_EXCL", IQ_FY,$I$5,,,Ccy,Conv)</f>
        <v>12.152509999999999</v>
      </c>
      <c r="AX8" s="29"/>
      <c r="AY8" s="29">
        <f>_xll.ciqfunctions.udf.CIQ($A8, "IQ_DILUT_EPS_EXCL", IQ_LTM,$I$5,,,Ccy,Conv)</f>
        <v>12.087059999999999</v>
      </c>
      <c r="AZ8" s="29"/>
      <c r="BA8" s="29">
        <f>_xll.ciqfunctions.udf.CIQ($A8, "IQ_EPS_EST", IQ_CY+ 1,$I$5,,,Ccy,Conv)</f>
        <v>13.9649</v>
      </c>
      <c r="BB8" s="29"/>
      <c r="BC8" s="29">
        <f>_xll.ciqfunctions.udf.CIQ($A8, "IQ_EPS_EST", IQ_CY+ 2,$I$5,,,Ccy,Conv)</f>
        <v>15.3034</v>
      </c>
      <c r="BD8" s="39"/>
      <c r="BE8" s="55">
        <f>_xll.ciqfunctions.udf.CIQ($A8, "IQ_TEV_TOTAL_REV",IQ_LTM,$FR8)</f>
        <v>2.3574700000000002</v>
      </c>
      <c r="BF8" s="55"/>
      <c r="BG8" s="55">
        <f>_xll.ciqfunctions.udf.CIQ($A8, "IQ_TEV_TOTAL_REV",IQ_LTM,$I$5)</f>
        <v>1.85615</v>
      </c>
      <c r="BH8" s="60"/>
      <c r="BI8" s="113">
        <f t="shared" si="3"/>
        <v>1.7814167970711827</v>
      </c>
      <c r="BJ8" s="113"/>
      <c r="BK8" s="113">
        <f t="shared" si="4"/>
        <v>1.6869379020559134</v>
      </c>
      <c r="BL8" s="60"/>
      <c r="BM8" s="55">
        <f>_xll.ciqfunctions.udf.CIQ($A8, "IQ_TEV_EBITDA",IQ_LTM,$FR8)</f>
        <v>12.722759999999999</v>
      </c>
      <c r="BN8" s="55"/>
      <c r="BO8" s="55">
        <f>_xll.ciqfunctions.udf.CIQ($A8, "IQ_TEV_EBITDA",IQ_LTM,$I$5)</f>
        <v>9.7836700000000008</v>
      </c>
      <c r="BP8" s="55"/>
      <c r="BQ8" s="55">
        <f>_xll.ciqfunctions.udf.CIQ($A8, "IQ_TEV_EBITDA_FWD",IQ_CY+1,$I$5)</f>
        <v>7.7568400000000004</v>
      </c>
      <c r="BR8" s="55"/>
      <c r="BS8" s="55">
        <f>_xll.ciqfunctions.udf.CIQ($A8, "IQ_TEV_EBITDA_FWD",IQ_CY+2,$I$5)</f>
        <v>8.6169799999999999</v>
      </c>
      <c r="BT8" s="60"/>
      <c r="BU8" s="55">
        <f>_xll.ciqfunctions.udf.CIQ($A8, "IQ_PE_EXCL",IQ_LTM,$FR8)</f>
        <v>20.693249999999999</v>
      </c>
      <c r="BV8" s="55"/>
      <c r="BW8" s="55">
        <f>_xll.ciqfunctions.udf.CIQ($A8, "IQ_PE_EXCL",IQ_LTM,$I$5)</f>
        <v>17.704889999999999</v>
      </c>
      <c r="BX8" s="55"/>
      <c r="BY8" s="55">
        <f>_xll.ciqfunctions.udf.CIQ($A8, "IQ_PE_EXCL_FWD",IQ_CY+1,$I$5)</f>
        <v>15.32413</v>
      </c>
      <c r="BZ8" s="55"/>
      <c r="CA8" s="55">
        <f>_xll.ciqfunctions.udf.CIQ($A8, "IQ_PE_EXCL_FWD",IQ_CY+2,$I$5)</f>
        <v>13.98382</v>
      </c>
      <c r="CB8" s="60"/>
      <c r="CC8" s="55">
        <f>_xll.ciqfunctions.udf.CIQ($A8, "IQ_PBV",IQ_LTM,$I$5,)</f>
        <v>4.2661699999999998</v>
      </c>
      <c r="CD8" s="55"/>
      <c r="CE8" s="55">
        <f>_xll.ciqfunctions.udf.CIQ($A8, "IQ_PTBV",IQ_LTM,$I$5,)</f>
        <v>22.265989999999999</v>
      </c>
      <c r="CF8" s="39"/>
      <c r="CG8" s="18">
        <f>_xll.ciqfunctions.udf.CIQ($A8, "IQ_GROSS_MARGIN", IQ_FY- 2,$I$5,)</f>
        <v>32.336599999999997</v>
      </c>
      <c r="CH8" s="18"/>
      <c r="CI8" s="18">
        <f>_xll.ciqfunctions.udf.CIQ($A8, "IQ_GROSS_MARGIN", IQ_FY- 1,$I$5,)</f>
        <v>32.609299999999998</v>
      </c>
      <c r="CJ8" s="18"/>
      <c r="CK8" s="18">
        <f>_xll.ciqfunctions.udf.CIQ($A8, "IQ_GROSS_MARGIN", IQ_FY,$I$5,)</f>
        <v>31.913900000000002</v>
      </c>
      <c r="CL8" s="18"/>
      <c r="CM8" s="18">
        <f>_xll.ciqfunctions.udf.CIQ($A8, "IQ_GROSS_MARGIN", IQ_LTM,$I$5,)</f>
        <v>31.9682</v>
      </c>
      <c r="CN8" s="60"/>
      <c r="CO8" s="18">
        <f>_xll.ciqfunctions.udf.CIQ($A8, "IQ_EBITDA_MARGIN", IQ_FY- 2,$I$5,)</f>
        <v>17.055599999999998</v>
      </c>
      <c r="CP8" s="18"/>
      <c r="CQ8" s="18">
        <f>_xll.ciqfunctions.udf.CIQ($A8, "IQ_EBITDA_MARGIN", IQ_FY- 1,$I$5,)</f>
        <v>17.023</v>
      </c>
      <c r="CR8" s="18"/>
      <c r="CS8" s="18">
        <f>_xll.ciqfunctions.udf.CIQ($A8, "IQ_EBITDA_MARGIN", IQ_FY,$I$5,)</f>
        <v>17.5427</v>
      </c>
      <c r="CT8" s="18"/>
      <c r="CU8" s="18">
        <f>_xll.ciqfunctions.udf.CIQ($A8, "IQ_EBITDA_MARGIN", IQ_LTM,$I$5,)</f>
        <v>17.6145</v>
      </c>
      <c r="CV8" s="60"/>
      <c r="CW8" s="18">
        <f>_xll.ciqfunctions.udf.CIQ($A8, "IQ_NI_MARGIN", IQ_FY- 2,$I$5,)</f>
        <v>10.718</v>
      </c>
      <c r="CX8" s="18"/>
      <c r="CY8" s="18">
        <f>_xll.ciqfunctions.udf.CIQ($A8, "IQ_NI_MARGIN", IQ_FY- 1,$I$5,)</f>
        <v>11.1944</v>
      </c>
      <c r="CZ8" s="18"/>
      <c r="DA8" s="18">
        <f>_xll.ciqfunctions.udf.CIQ($A8, "IQ_NI_MARGIN", IQ_FY,$I$5,)</f>
        <v>11.0206</v>
      </c>
      <c r="DB8" s="18"/>
      <c r="DC8" s="18">
        <f>_xll.ciqfunctions.udf.CIQ($A8, "IQ_NI_MARGIN", IQ_LTM,$I$5,)</f>
        <v>10.7614</v>
      </c>
      <c r="DD8" s="39"/>
      <c r="DE8" s="18">
        <f>_xll.ciqfunctions.udf.CIQ($A8, "IQ_TOTAL_REV_5YR_ANN_CAGR",IQ_LTM,$I$5,)</f>
        <v>9.5960999999999999</v>
      </c>
      <c r="DF8" s="18"/>
      <c r="DG8" s="18">
        <f>_xll.ciqfunctions.udf.CIQ($A8, "IQ_TOTAL_REV_3YR_ANN_CAGR",IQ_LTM,$I$5,)</f>
        <v>4.2759</v>
      </c>
      <c r="DH8" s="18"/>
      <c r="DI8" s="18">
        <f>_xll.ciqfunctions.udf.CIQ($A8, "IQ_TOTAL_REV_1YR_ANN_GROWTH", IQ_FY,$I$5,)</f>
        <v>7.3601999999999999</v>
      </c>
      <c r="DJ8" s="18"/>
      <c r="DK8" s="18">
        <f>_xll.ciqfunctions.udf.CIQ($A8, "IQ_TOTAL_REV_1YR_ANN_GROWTH",IQ_LTM,$I$5,)</f>
        <v>6.5758000000000001</v>
      </c>
      <c r="DL8" s="60"/>
      <c r="DM8" s="18">
        <f>_xll.ciqfunctions.udf.CIQ($A8, "IQ_EBITDA_5YR_ANN_CAGR",IQ_LTM,$I$5,)</f>
        <v>10.946899999999999</v>
      </c>
      <c r="DN8" s="18"/>
      <c r="DO8" s="18">
        <f>_xll.ciqfunctions.udf.CIQ($A8, "IQ_EBITDA_3YR_ANN_CAGR",IQ_LTM,$I$5,)</f>
        <v>3.3348</v>
      </c>
      <c r="DP8" s="18"/>
      <c r="DQ8" s="18">
        <f>_xll.ciqfunctions.udf.CIQ($A8, "IQ_EBITDA_1YR_ANN_GROWTH", IQ_FY,$I$5,)</f>
        <v>10.637600000000001</v>
      </c>
      <c r="DR8" s="18"/>
      <c r="DS8" s="18">
        <f>_xll.ciqfunctions.udf.CIQ($A8, "IQ_EBITDA_1YR_ANN_GROWTH",IQ_LTM,$I$5,)</f>
        <v>9.8617000000000008</v>
      </c>
      <c r="DT8" s="60"/>
      <c r="DU8" s="18">
        <f>_xll.ciqfunctions.udf.CIQ($A8, "IQ_EPS_5YR_ANN_CAGR",IQ_LTM,$I$5,)</f>
        <v>8.2712000000000003</v>
      </c>
      <c r="DV8" s="18"/>
      <c r="DW8" s="18">
        <f>_xll.ciqfunctions.udf.CIQ($A8, "IQ_EPS_3YR_ANN_CAGR",IQ_LTM,$I$5,)</f>
        <v>3.1703000000000001</v>
      </c>
      <c r="DX8" s="18"/>
      <c r="DY8" s="18">
        <f>_xll.ciqfunctions.udf.CIQ($A8, "IQ_EPS_1YR_ANN_GROWTH", IQ_FY,$I$5,)</f>
        <v>6.2744999999999997</v>
      </c>
      <c r="DZ8" s="18"/>
      <c r="EA8" s="18">
        <f>_xll.ciqfunctions.udf.CIQ($A8, "IQ_EPS_1YR_ANN_GROWTH", IQ_LTM,$I$5,)</f>
        <v>1.3298000000000001</v>
      </c>
      <c r="EB8" s="39"/>
      <c r="EC8" s="55">
        <f>_xll.ciqfunctions.udf.CIQ($A8, "IQ_TOTAL_DEBT_EBITDA",IQ_LTM,$I$5,)</f>
        <v>0.61126999999999998</v>
      </c>
      <c r="ED8" s="55"/>
      <c r="EE8" s="55" t="str">
        <f>_xll.ciqfunctions.udf.CIQ($A8, "IQ_NET_DEBT_EBITDA",IQ_LTM,$I$5,)</f>
        <v>NM</v>
      </c>
      <c r="EF8" s="18"/>
      <c r="EG8" s="116">
        <f t="shared" si="5"/>
        <v>0.65837146876816854</v>
      </c>
      <c r="EH8" s="18"/>
      <c r="EI8" s="55">
        <f>_xll.ciqfunctions.udf.CIQ($A8, "IQ_EBITDA_INT",IQ_LTM,$I$5,)</f>
        <v>50.84919</v>
      </c>
      <c r="EJ8" s="55"/>
      <c r="EK8" s="55">
        <f>_xll.ciqfunctions.udf.CIQ($A8, "IQ_EBITDA_CAPEX_INT",IQ_LTM,$I$5,)</f>
        <v>48.558669999999999</v>
      </c>
      <c r="EL8" s="59"/>
      <c r="EM8" s="18">
        <f>_xll.ciqfunctions.udf.CIQ($A8, "IQ_TOTAL_DEBT_EQUITY",IQ_FQ,$I$5,)</f>
        <v>25.6936</v>
      </c>
      <c r="EN8" s="18"/>
      <c r="EO8" s="18">
        <f>_xll.ciqfunctions.udf.CIQ($A8, "IQ_TOTAL_DEBT_CAPITAL",IQ_FQ,$I$5,)</f>
        <v>20.441400000000002</v>
      </c>
      <c r="EP8" s="39"/>
      <c r="EQ8" s="18">
        <f>_xll.ciqfunctions.udf.CIQ($A8, "IQ_RETURN_EQUITY",IQ_LTM,$I$5)</f>
        <v>25.016100000000002</v>
      </c>
      <c r="ER8" s="18"/>
      <c r="ES8" s="18">
        <f>_xll.ciqfunctions.udf.CIQ($A8, "IQ_RETURN_ASSETS",IQ_LTM,$I$5)</f>
        <v>11.125400000000001</v>
      </c>
      <c r="ET8" s="18"/>
      <c r="EU8" s="18">
        <f>_xll.ciqfunctions.udf.CIQ($A8, "IQ_RETURN_INVESTED_CAPITAL",IQ_LTM,$I$5)</f>
        <v>9.7743000000000002</v>
      </c>
      <c r="EV8" s="39"/>
      <c r="EW8" s="55">
        <f>_xll.ciqfunctions.udf.CIQ($A8, "IQ_CURRENT_RATIO",IQ_FQ,$I$5,)</f>
        <v>1.4106300000000001</v>
      </c>
      <c r="EX8" s="55"/>
      <c r="EY8" s="55">
        <f>_xll.ciqfunctions.udf.CIQ($A8, "IQ_QUICK_RATIO",IQ_FQ,$I$5,)</f>
        <v>1.2897700000000001</v>
      </c>
      <c r="EZ8" s="59"/>
      <c r="FA8" s="18">
        <f>_xll.ciqfunctions.udf.CIQ($A8, "IQ_DAYS_SALES_OUT",IQ_LTM,$I$5,)</f>
        <v>78.911910000000006</v>
      </c>
      <c r="FB8" s="18"/>
      <c r="FC8" s="18">
        <f>_xll.ciqfunctions.udf.CIQ($A8, "IQ_DAYS_INVENTORY_OUT",IQ_LTM,$I$5,)</f>
        <v>0</v>
      </c>
      <c r="FD8" s="18"/>
      <c r="FE8" s="18">
        <f>_xll.ciqfunctions.udf.CIQ($A8, "IQ_DAYS_PAYABLE_OUT",IQ_LTM,$I$5,)</f>
        <v>21.053570000000001</v>
      </c>
      <c r="FF8" s="18"/>
      <c r="FG8" s="18">
        <f>_xll.ciqfunctions.udf.CIQ($A8, "IQ_CASH_CONVERSION",IQ_LTM,$I$5,)</f>
        <v>0</v>
      </c>
      <c r="FH8" s="59"/>
      <c r="FI8" s="55">
        <f>_xll.ciqfunctions.udf.CIQ($A8, "IQ_ASSET_TURNS",IQ_LTM,$I$5,)</f>
        <v>1.1355500000000001</v>
      </c>
      <c r="FJ8" s="55"/>
      <c r="FK8" s="55">
        <f>_xll.ciqfunctions.udf.CIQ($A8, "IQ_FIXED_ASSET_TURNS",IQ_LTM,$I$5,)</f>
        <v>16.652640000000002</v>
      </c>
      <c r="FL8" s="55"/>
      <c r="FM8" s="55">
        <f>_xll.ciqfunctions.udf.CIQ($A8, "IQ_AR_TURNS",IQ_LTM,$I$5,)</f>
        <v>4.6254099999999996</v>
      </c>
      <c r="FN8" s="55"/>
      <c r="FO8" s="55">
        <f>_xll.ciqfunctions.udf.CIQ($A8, "IQ_INVENTORY_TURNS",IQ_LTM,$I$5,)</f>
        <v>0</v>
      </c>
      <c r="FR8" s="114">
        <f>_xll.ciqfunctions.udf.CIQ($A8,"IQ_PERIODDATE",IQ_FY,$I$5)</f>
        <v>45900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 s="2" customFormat="1" x14ac:dyDescent="0.2">
      <c r="A9" s="111" t="str">
        <f>_xll.ciqfunctions.udf.CIQ($A$21,"IQ_QUICK_COMP",3)</f>
        <v>NYSE:HPE</v>
      </c>
      <c r="C9" s="111" t="str">
        <f>_xll.ciqfunctions.udf.CIQ($A9, "IQ_COMPANY_NAME")</f>
        <v>Hewlett Packard Enterprise Company</v>
      </c>
      <c r="D9" s="39"/>
      <c r="E9" s="35">
        <f>_xll.ciqfunctions.udf.CIQ($A9,"IQ_PERIODDATE",IQ_FY,$I$5)</f>
        <v>45961</v>
      </c>
      <c r="F9" s="35"/>
      <c r="G9" s="35">
        <f>_xll.ciqfunctions.udf.CIQ($A9,"IQ_PERIODDATE",IQ_LTM,$I$5)</f>
        <v>45961</v>
      </c>
      <c r="H9" s="39"/>
      <c r="I9" s="29">
        <f>_xll.ciqfunctions.udf.CIQ($A9, "IQ_LASTSALEPRICE",$I$5,Ccy,Conv)</f>
        <v>21.035</v>
      </c>
      <c r="J9" s="29"/>
      <c r="K9" s="29">
        <f>_xll.ciqfunctions.udf.CIQ($A9, "IQ_YEARHIGH",$I$5,Ccy,Conv)</f>
        <v>26.44</v>
      </c>
      <c r="L9" s="29"/>
      <c r="M9" s="29">
        <f>_xll.ciqfunctions.udf.CIQ($A9, "IQ_YEARLOW",$I$5,Ccy,Conv)</f>
        <v>11.965</v>
      </c>
      <c r="N9" s="39"/>
      <c r="O9" s="112">
        <f t="shared" si="0"/>
        <v>0.79557488653555219</v>
      </c>
      <c r="P9" s="112"/>
      <c r="Q9" s="112">
        <f t="shared" si="1"/>
        <v>1.7580442958629336</v>
      </c>
      <c r="R9" s="39"/>
      <c r="S9" s="18">
        <f>_xll.ciqfunctions.udf.CIQ($A9, "IQ_SHARESOUTSTANDING",$I$5)</f>
        <v>1328.80844</v>
      </c>
      <c r="T9" s="39"/>
      <c r="U9" s="60">
        <f t="shared" si="2"/>
        <v>27951.485535399999</v>
      </c>
      <c r="V9" s="60"/>
      <c r="W9" s="18">
        <f>_xll.ciqfunctions.udf.CIQ($A9, "IQ_CASH_ST_INVEST",IQ_FQ,$I$5,,"F",Ccy,Conv)</f>
        <v>5046</v>
      </c>
      <c r="X9" s="18"/>
      <c r="Y9" s="18">
        <f>_xll.ciqfunctions.udf.CIQ($A9, "IQ_TOTAL_DEBT",IQ_FQ,$I$5,,"F",Ccy,Conv)</f>
        <v>24077</v>
      </c>
      <c r="Z9" s="18"/>
      <c r="AA9" s="18">
        <f>_xll.ciqfunctions.udf.CIQ($A9, "IQ_PREF_EQUITY",IQ_FQ,$I$5,,"F",Ccy,Conv)</f>
        <v>0</v>
      </c>
      <c r="AB9" s="18"/>
      <c r="AC9" s="18">
        <f>_xll.ciqfunctions.udf.CIQ($A9, "IQ_MINORITY_INTEREST_TOTAL",IQ_FQ,$I$5,,"F",Ccy,Conv)</f>
        <v>66</v>
      </c>
      <c r="AD9" s="60"/>
      <c r="AE9" s="60">
        <f t="shared" si="6"/>
        <v>47048.485535400003</v>
      </c>
      <c r="AF9" s="60"/>
      <c r="AG9" s="18">
        <f>_xll.ciqfunctions.udf.CIQ($A9, "IQ_TOTAL_REV", IQ_FY,$I$5,,,Ccy,Conv)</f>
        <v>34296</v>
      </c>
      <c r="AH9" s="18"/>
      <c r="AI9" s="18">
        <f>_xll.ciqfunctions.udf.CIQ($A9, "IQ_TOTAL_REV", IQ_LTM,$I$5,,,Ccy,Conv)</f>
        <v>34296</v>
      </c>
      <c r="AJ9" s="18"/>
      <c r="AK9" s="18">
        <f>_xll.ciqfunctions.udf.CIQ($A9, "IQ_REVENUE_EST", IQ_CY+ 1,$I$5,,,Ccy,Conv)</f>
        <v>35789.7068</v>
      </c>
      <c r="AL9" s="18"/>
      <c r="AM9" s="18">
        <f>_xll.ciqfunctions.udf.CIQ($A9, "IQ_REVENUE_EST", IQ_CY+ 2,$I$5,,,Ccy,Conv)</f>
        <v>41663.544500000004</v>
      </c>
      <c r="AN9" s="60"/>
      <c r="AO9" s="18">
        <f>_xll.ciqfunctions.udf.CIQ($A9, "IQ_EBITDA", IQ_FY,$I$5,,,Ccy,Conv)</f>
        <v>4491</v>
      </c>
      <c r="AP9" s="18"/>
      <c r="AQ9" s="18">
        <f>_xll.ciqfunctions.udf.CIQ($A9, "IQ_EBITDA", IQ_LTM,$I$5,,,Ccy,Conv)</f>
        <v>4491</v>
      </c>
      <c r="AR9" s="18"/>
      <c r="AS9" s="18">
        <f>_xll.ciqfunctions.udf.CIQ($A9, "IQ_EBITDA_EST", IQ_CY+ 1,$I$5,,,Ccy,Conv)</f>
        <v>5903.0706</v>
      </c>
      <c r="AT9" s="18"/>
      <c r="AU9" s="18">
        <f>_xll.ciqfunctions.udf.CIQ($A9, "IQ_EBITDA_EST", IQ_CY+ 2,$I$5,,,Ccy,Conv)</f>
        <v>6996.4390999999996</v>
      </c>
      <c r="AV9" s="60"/>
      <c r="AW9" s="29">
        <f>_xll.ciqfunctions.udf.CIQ($A9, "IQ_DILUT_EPS_EXCL", IQ_FY,$I$5,,,Ccy,Conv)</f>
        <v>-4.4560000000000002E-2</v>
      </c>
      <c r="AX9" s="29"/>
      <c r="AY9" s="29">
        <f>_xll.ciqfunctions.udf.CIQ($A9, "IQ_DILUT_EPS_EXCL", IQ_LTM,$I$5,,,Ccy,Conv)</f>
        <v>-4.4560000000000002E-2</v>
      </c>
      <c r="AZ9" s="29"/>
      <c r="BA9" s="29">
        <f>_xll.ciqfunctions.udf.CIQ($A9, "IQ_EPS_EST", IQ_CY+ 1,$I$5,,,Ccy,Conv)</f>
        <v>2.0268999999999999</v>
      </c>
      <c r="BB9" s="29"/>
      <c r="BC9" s="29">
        <f>_xll.ciqfunctions.udf.CIQ($A9, "IQ_EPS_EST", IQ_CY+ 2,$I$5,,,Ccy,Conv)</f>
        <v>2.4075000000000002</v>
      </c>
      <c r="BD9" s="39"/>
      <c r="BE9" s="55">
        <f>_xll.ciqfunctions.udf.CIQ($A9, "IQ_TEV_TOTAL_REV",IQ_LTM,$FR9)</f>
        <v>1.5753900000000001</v>
      </c>
      <c r="BF9" s="55"/>
      <c r="BG9" s="55">
        <f>_xll.ciqfunctions.udf.CIQ($A9, "IQ_TEV_TOTAL_REV",IQ_LTM,$I$5)</f>
        <v>1.38869</v>
      </c>
      <c r="BH9" s="60"/>
      <c r="BI9" s="113">
        <f t="shared" si="3"/>
        <v>1.3145814744534314</v>
      </c>
      <c r="BJ9" s="113"/>
      <c r="BK9" s="113">
        <f t="shared" si="4"/>
        <v>1.1292482696809436</v>
      </c>
      <c r="BL9" s="60"/>
      <c r="BM9" s="55">
        <f>_xll.ciqfunctions.udf.CIQ($A9, "IQ_TEV_EBITDA",IQ_LTM,$FR9)</f>
        <v>10.32006</v>
      </c>
      <c r="BN9" s="55"/>
      <c r="BO9" s="55">
        <f>_xll.ciqfunctions.udf.CIQ($A9, "IQ_TEV_EBITDA",IQ_LTM,$I$5)</f>
        <v>9.7595299999999998</v>
      </c>
      <c r="BP9" s="55"/>
      <c r="BQ9" s="55">
        <f>_xll.ciqfunctions.udf.CIQ($A9, "IQ_TEV_EBITDA_FWD",IQ_CY+1,$I$5)</f>
        <v>8.0680899999999998</v>
      </c>
      <c r="BR9" s="55"/>
      <c r="BS9" s="55">
        <f>_xll.ciqfunctions.udf.CIQ($A9, "IQ_TEV_EBITDA_FWD",IQ_CY+2,$I$5)</f>
        <v>6.8072499999999998</v>
      </c>
      <c r="BT9" s="60"/>
      <c r="BU9" s="55">
        <f>_xll.ciqfunctions.udf.CIQ($A9, "IQ_PE_EXCL",IQ_LTM,$FR9)</f>
        <v>28.360759999999999</v>
      </c>
      <c r="BV9" s="55"/>
      <c r="BW9" s="55" t="str">
        <f>_xll.ciqfunctions.udf.CIQ($A9, "IQ_PE_EXCL",IQ_LTM,$I$5)</f>
        <v>NM</v>
      </c>
      <c r="BX9" s="55"/>
      <c r="BY9" s="55">
        <f>_xll.ciqfunctions.udf.CIQ($A9, "IQ_PE_EXCL_FWD",IQ_CY+1,$I$5)</f>
        <v>10.59253</v>
      </c>
      <c r="BZ9" s="55"/>
      <c r="CA9" s="55">
        <f>_xll.ciqfunctions.udf.CIQ($A9, "IQ_PE_EXCL_FWD",IQ_CY+2,$I$5)</f>
        <v>8.9179600000000008</v>
      </c>
      <c r="CB9" s="60"/>
      <c r="CC9" s="55">
        <f>_xll.ciqfunctions.udf.CIQ($A9, "IQ_PBV",IQ_LTM,$I$5,)</f>
        <v>1.14646</v>
      </c>
      <c r="CD9" s="55"/>
      <c r="CE9" s="55" t="str">
        <f>_xll.ciqfunctions.udf.CIQ($A9, "IQ_PTBV",IQ_LTM,$I$5,)</f>
        <v>NM</v>
      </c>
      <c r="CF9" s="39"/>
      <c r="CG9" s="18">
        <f>_xll.ciqfunctions.udf.CIQ($A9, "IQ_GROSS_MARGIN", IQ_FY- 2,$I$5,)</f>
        <v>35.1432</v>
      </c>
      <c r="CH9" s="18"/>
      <c r="CI9" s="18">
        <f>_xll.ciqfunctions.udf.CIQ($A9, "IQ_GROSS_MARGIN", IQ_FY- 1,$I$5,)</f>
        <v>32.787799999999997</v>
      </c>
      <c r="CJ9" s="18"/>
      <c r="CK9" s="18">
        <f>_xll.ciqfunctions.udf.CIQ($A9, "IQ_GROSS_MARGIN", IQ_FY,$I$5,)</f>
        <v>30.257100000000001</v>
      </c>
      <c r="CL9" s="18"/>
      <c r="CM9" s="18">
        <f>_xll.ciqfunctions.udf.CIQ($A9, "IQ_GROSS_MARGIN", IQ_LTM,$I$5,)</f>
        <v>30.257100000000001</v>
      </c>
      <c r="CN9" s="60"/>
      <c r="CO9" s="18">
        <f>_xll.ciqfunctions.udf.CIQ($A9, "IQ_EBITDA_MARGIN", IQ_FY- 2,$I$5,)</f>
        <v>17.370799999999999</v>
      </c>
      <c r="CP9" s="18"/>
      <c r="CQ9" s="18">
        <f>_xll.ciqfunctions.udf.CIQ($A9, "IQ_EBITDA_MARGIN", IQ_FY- 1,$I$5,)</f>
        <v>16.792200000000001</v>
      </c>
      <c r="CR9" s="18"/>
      <c r="CS9" s="18">
        <f>_xll.ciqfunctions.udf.CIQ($A9, "IQ_EBITDA_MARGIN", IQ_FY,$I$5,)</f>
        <v>13.094799999999999</v>
      </c>
      <c r="CT9" s="18"/>
      <c r="CU9" s="18">
        <f>_xll.ciqfunctions.udf.CIQ($A9, "IQ_EBITDA_MARGIN", IQ_LTM,$I$5,)</f>
        <v>13.094799999999999</v>
      </c>
      <c r="CV9" s="60"/>
      <c r="CW9" s="18">
        <f>_xll.ciqfunctions.udf.CIQ($A9, "IQ_NI_MARGIN", IQ_FY- 2,$I$5,)</f>
        <v>6.9504000000000001</v>
      </c>
      <c r="CX9" s="18"/>
      <c r="CY9" s="18">
        <f>_xll.ciqfunctions.udf.CIQ($A9, "IQ_NI_MARGIN", IQ_FY- 1,$I$5,)</f>
        <v>8.5603999999999996</v>
      </c>
      <c r="CZ9" s="18"/>
      <c r="DA9" s="18">
        <f>_xll.ciqfunctions.udf.CIQ($A9, "IQ_NI_MARGIN", IQ_FY,$I$5,)</f>
        <v>0.16619999999999999</v>
      </c>
      <c r="DB9" s="18"/>
      <c r="DC9" s="18">
        <f>_xll.ciqfunctions.udf.CIQ($A9, "IQ_NI_MARGIN", IQ_LTM,$I$5,)</f>
        <v>0.16619999999999999</v>
      </c>
      <c r="DD9" s="39"/>
      <c r="DE9" s="18">
        <f>_xll.ciqfunctions.udf.CIQ($A9, "IQ_TOTAL_REV_5YR_ANN_CAGR",IQ_LTM,$I$5,)</f>
        <v>4.9141000000000004</v>
      </c>
      <c r="DF9" s="18"/>
      <c r="DG9" s="18">
        <f>_xll.ciqfunctions.udf.CIQ($A9, "IQ_TOTAL_REV_3YR_ANN_CAGR",IQ_LTM,$I$5,)</f>
        <v>6.3701999999999996</v>
      </c>
      <c r="DH9" s="18"/>
      <c r="DI9" s="18">
        <f>_xll.ciqfunctions.udf.CIQ($A9, "IQ_TOTAL_REV_1YR_ANN_GROWTH", IQ_FY,$I$5,)</f>
        <v>13.837999999999999</v>
      </c>
      <c r="DJ9" s="18"/>
      <c r="DK9" s="18">
        <f>_xll.ciqfunctions.udf.CIQ($A9, "IQ_TOTAL_REV_1YR_ANN_GROWTH",IQ_LTM,$I$5,)</f>
        <v>13.837999999999999</v>
      </c>
      <c r="DL9" s="60"/>
      <c r="DM9" s="18">
        <f>_xll.ciqfunctions.udf.CIQ($A9, "IQ_EBITDA_5YR_ANN_CAGR",IQ_LTM,$I$5,)</f>
        <v>1.0475000000000001</v>
      </c>
      <c r="DN9" s="18"/>
      <c r="DO9" s="18">
        <f>_xll.ciqfunctions.udf.CIQ($A9, "IQ_EBITDA_3YR_ANN_CAGR",IQ_LTM,$I$5,)</f>
        <v>-2.5844</v>
      </c>
      <c r="DP9" s="18"/>
      <c r="DQ9" s="18">
        <f>_xll.ciqfunctions.udf.CIQ($A9, "IQ_EBITDA_1YR_ANN_GROWTH", IQ_FY,$I$5,)</f>
        <v>-11.227600000000001</v>
      </c>
      <c r="DR9" s="18"/>
      <c r="DS9" s="18">
        <f>_xll.ciqfunctions.udf.CIQ($A9, "IQ_EBITDA_1YR_ANN_GROWTH",IQ_LTM,$I$5,)</f>
        <v>-11.227600000000001</v>
      </c>
      <c r="DT9" s="60"/>
      <c r="DU9" s="18" t="str">
        <f>_xll.ciqfunctions.udf.CIQ($A9, "IQ_EPS_5YR_ANN_CAGR",IQ_LTM,$I$5,)</f>
        <v>NM</v>
      </c>
      <c r="DV9" s="18"/>
      <c r="DW9" s="18" t="str">
        <f>_xll.ciqfunctions.udf.CIQ($A9, "IQ_EPS_3YR_ANN_CAGR",IQ_LTM,$I$5,)</f>
        <v>NM</v>
      </c>
      <c r="DX9" s="18"/>
      <c r="DY9" s="18" t="str">
        <f>_xll.ciqfunctions.udf.CIQ($A9, "IQ_EPS_1YR_ANN_GROWTH", IQ_FY,$I$5,)</f>
        <v>NM</v>
      </c>
      <c r="DZ9" s="18"/>
      <c r="EA9" s="18" t="str">
        <f>_xll.ciqfunctions.udf.CIQ($A9, "IQ_EPS_1YR_ANN_GROWTH", IQ_LTM,$I$5,)</f>
        <v>NM</v>
      </c>
      <c r="EB9" s="39"/>
      <c r="EC9" s="55">
        <f>_xll.ciqfunctions.udf.CIQ($A9, "IQ_TOTAL_DEBT_EBITDA",IQ_LTM,$I$5,)</f>
        <v>5.0149999999999997</v>
      </c>
      <c r="ED9" s="55"/>
      <c r="EE9" s="55">
        <f>_xll.ciqfunctions.udf.CIQ($A9, "IQ_NET_DEBT_EBITDA",IQ_LTM,$I$5,)</f>
        <v>3.9639700000000002</v>
      </c>
      <c r="EF9" s="18"/>
      <c r="EG9" s="116">
        <f t="shared" si="5"/>
        <v>5.3611667780004453</v>
      </c>
      <c r="EH9" s="18"/>
      <c r="EI9" s="55">
        <f>_xll.ciqfunctions.udf.CIQ($A9, "IQ_EBITDA_INT",IQ_LTM,$I$5,)</f>
        <v>8.0284300000000002</v>
      </c>
      <c r="EJ9" s="55"/>
      <c r="EK9" s="55">
        <f>_xll.ciqfunctions.udf.CIQ($A9, "IQ_EBITDA_CAPEX_INT",IQ_LTM,$I$5,)</f>
        <v>4.1956499999999997</v>
      </c>
      <c r="EL9" s="59"/>
      <c r="EM9" s="18">
        <f>_xll.ciqfunctions.udf.CIQ($A9, "IQ_TOTAL_DEBT_EQUITY",IQ_FQ,$I$5,)</f>
        <v>97.265000000000001</v>
      </c>
      <c r="EN9" s="18"/>
      <c r="EO9" s="18">
        <f>_xll.ciqfunctions.udf.CIQ($A9, "IQ_TOTAL_DEBT_CAPITAL",IQ_FQ,$I$5,)</f>
        <v>49.306699999999999</v>
      </c>
      <c r="EP9" s="39"/>
      <c r="EQ9" s="18">
        <f>_xll.ciqfunctions.udf.CIQ($A9, "IQ_RETURN_EQUITY",IQ_LTM,$I$5)</f>
        <v>0.2296</v>
      </c>
      <c r="ER9" s="18"/>
      <c r="ES9" s="18">
        <f>_xll.ciqfunctions.udf.CIQ($A9, "IQ_RETURN_ASSETS",IQ_LTM,$I$5)</f>
        <v>1.4897</v>
      </c>
      <c r="ET9" s="18"/>
      <c r="EU9" s="18">
        <f>_xll.ciqfunctions.udf.CIQ($A9, "IQ_RETURN_INVESTED_CAPITAL",IQ_LTM,$I$5)</f>
        <v>-1.5802</v>
      </c>
      <c r="EV9" s="39"/>
      <c r="EW9" s="55">
        <f>_xll.ciqfunctions.udf.CIQ($A9, "IQ_CURRENT_RATIO",IQ_FQ,$I$5,)</f>
        <v>1.01424</v>
      </c>
      <c r="EX9" s="55"/>
      <c r="EY9" s="55">
        <f>_xll.ciqfunctions.udf.CIQ($A9, "IQ_QUICK_RATIO",IQ_FQ,$I$5,)</f>
        <v>0.60419</v>
      </c>
      <c r="EZ9" s="59"/>
      <c r="FA9" s="18">
        <f>_xll.ciqfunctions.udf.CIQ($A9, "IQ_DAYS_SALES_OUT",IQ_LTM,$I$5,)</f>
        <v>48.116489999999999</v>
      </c>
      <c r="FB9" s="18"/>
      <c r="FC9" s="18">
        <f>_xll.ciqfunctions.udf.CIQ($A9, "IQ_DAYS_INVENTORY_OUT",IQ_LTM,$I$5,)</f>
        <v>110.36177000000001</v>
      </c>
      <c r="FD9" s="18"/>
      <c r="FE9" s="18">
        <f>_xll.ciqfunctions.udf.CIQ($A9, "IQ_DAYS_PAYABLE_OUT",IQ_LTM,$I$5,)</f>
        <v>156.18970999999999</v>
      </c>
      <c r="FF9" s="18"/>
      <c r="FG9" s="18">
        <f>_xll.ciqfunctions.udf.CIQ($A9, "IQ_CASH_CONVERSION",IQ_LTM,$I$5,)</f>
        <v>2.2885499999999999</v>
      </c>
      <c r="FH9" s="59"/>
      <c r="FI9" s="55">
        <f>_xll.ciqfunctions.udf.CIQ($A9, "IQ_ASSET_TURNS",IQ_LTM,$I$5,)</f>
        <v>0.46607999999999999</v>
      </c>
      <c r="FJ9" s="55"/>
      <c r="FK9" s="55">
        <f>_xll.ciqfunctions.udf.CIQ($A9, "IQ_FIXED_ASSET_TURNS",IQ_LTM,$I$5,)</f>
        <v>8.7736000000000001</v>
      </c>
      <c r="FL9" s="55"/>
      <c r="FM9" s="55">
        <f>_xll.ciqfunctions.udf.CIQ($A9, "IQ_AR_TURNS",IQ_LTM,$I$5,)</f>
        <v>7.58575</v>
      </c>
      <c r="FN9" s="55"/>
      <c r="FO9" s="55">
        <f>_xll.ciqfunctions.udf.CIQ($A9, "IQ_INVENTORY_TURNS",IQ_LTM,$I$5,)</f>
        <v>3.3073000000000001</v>
      </c>
      <c r="FR9" s="114">
        <f>_xll.ciqfunctions.udf.CIQ($A9,"IQ_PERIODDATE",IQ_FY,$I$5)</f>
        <v>45961</v>
      </c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 s="2" customFormat="1" x14ac:dyDescent="0.2">
      <c r="A10" s="111" t="str">
        <f>_xll.ciqfunctions.udf.CIQ($A$21,"IQ_QUICK_COMP",4)</f>
        <v>NasdaqGS:CTSH</v>
      </c>
      <c r="C10" s="111" t="str">
        <f>_xll.ciqfunctions.udf.CIQ($A10, "IQ_COMPANY_NAME")</f>
        <v>Cognizant Technology Solutions Corporation</v>
      </c>
      <c r="D10" s="39"/>
      <c r="E10" s="35">
        <f>_xll.ciqfunctions.udf.CIQ($A10,"IQ_PERIODDATE",IQ_FY,$I$5)</f>
        <v>46022</v>
      </c>
      <c r="F10" s="35"/>
      <c r="G10" s="35">
        <f>_xll.ciqfunctions.udf.CIQ($A10,"IQ_PERIODDATE",IQ_LTM,$I$5)</f>
        <v>46022</v>
      </c>
      <c r="H10" s="39"/>
      <c r="I10" s="29">
        <f>_xll.ciqfunctions.udf.CIQ($A10, "IQ_LASTSALEPRICE",$I$5,Ccy,Conv)</f>
        <v>66.13</v>
      </c>
      <c r="J10" s="29"/>
      <c r="K10" s="29">
        <f>_xll.ciqfunctions.udf.CIQ($A10, "IQ_YEARHIGH",$I$5,Ccy,Conv)</f>
        <v>87.03</v>
      </c>
      <c r="L10" s="29"/>
      <c r="M10" s="29">
        <f>_xll.ciqfunctions.udf.CIQ($A10, "IQ_YEARLOW",$I$5,Ccy,Conv)</f>
        <v>60.034999999999997</v>
      </c>
      <c r="N10" s="39"/>
      <c r="O10" s="112">
        <f t="shared" si="0"/>
        <v>0.75985292427898421</v>
      </c>
      <c r="P10" s="112"/>
      <c r="Q10" s="112">
        <f t="shared" si="1"/>
        <v>1.1015241109352878</v>
      </c>
      <c r="R10" s="39"/>
      <c r="S10" s="18">
        <f>_xll.ciqfunctions.udf.CIQ($A10, "IQ_SHARESOUTSTANDING",$I$5)</f>
        <v>478.24691999999999</v>
      </c>
      <c r="T10" s="39"/>
      <c r="U10" s="60">
        <f t="shared" si="2"/>
        <v>31626.468819599999</v>
      </c>
      <c r="V10" s="60"/>
      <c r="W10" s="18">
        <f>_xll.ciqfunctions.udf.CIQ($A10, "IQ_CASH_ST_INVEST",IQ_FQ,$I$5,,"F",Ccy,Conv)</f>
        <v>1914</v>
      </c>
      <c r="X10" s="18"/>
      <c r="Y10" s="18">
        <f>_xll.ciqfunctions.udf.CIQ($A10, "IQ_TOTAL_DEBT",IQ_FQ,$I$5,,"F",Ccy,Conv)</f>
        <v>1174</v>
      </c>
      <c r="Z10" s="18"/>
      <c r="AA10" s="18">
        <f>_xll.ciqfunctions.udf.CIQ($A10, "IQ_PREF_EQUITY",IQ_FQ,$I$5,,"F",Ccy,Conv)</f>
        <v>0</v>
      </c>
      <c r="AB10" s="18"/>
      <c r="AC10" s="18">
        <f>_xll.ciqfunctions.udf.CIQ($A10, "IQ_MINORITY_INTEREST_TOTAL",IQ_FQ,$I$5,,"F",Ccy,Conv)</f>
        <v>0</v>
      </c>
      <c r="AD10" s="60"/>
      <c r="AE10" s="60">
        <f t="shared" si="6"/>
        <v>30886.468819599999</v>
      </c>
      <c r="AF10" s="60"/>
      <c r="AG10" s="18">
        <f>_xll.ciqfunctions.udf.CIQ($A10, "IQ_TOTAL_REV", IQ_FY,$I$5,,,Ccy,Conv)</f>
        <v>21108</v>
      </c>
      <c r="AH10" s="18"/>
      <c r="AI10" s="18">
        <f>_xll.ciqfunctions.udf.CIQ($A10, "IQ_TOTAL_REV", IQ_LTM,$I$5,,,Ccy,Conv)</f>
        <v>21108</v>
      </c>
      <c r="AJ10" s="18"/>
      <c r="AK10" s="18">
        <f>_xll.ciqfunctions.udf.CIQ($A10, "IQ_REVENUE_EST", IQ_CY+ 1,$I$5,,,Ccy,Conv)</f>
        <v>22365.126499999998</v>
      </c>
      <c r="AL10" s="18"/>
      <c r="AM10" s="18">
        <f>_xll.ciqfunctions.udf.CIQ($A10, "IQ_REVENUE_EST", IQ_CY+ 2,$I$5,,,Ccy,Conv)</f>
        <v>23557.540669999998</v>
      </c>
      <c r="AN10" s="60"/>
      <c r="AO10" s="18">
        <f>_xll.ciqfunctions.udf.CIQ($A10, "IQ_EBITDA", IQ_FY,$I$5,,,Ccy,Conv)</f>
        <v>3834</v>
      </c>
      <c r="AP10" s="18"/>
      <c r="AQ10" s="18">
        <f>_xll.ciqfunctions.udf.CIQ($A10, "IQ_EBITDA", IQ_LTM,$I$5,,,Ccy,Conv)</f>
        <v>3834</v>
      </c>
      <c r="AR10" s="18"/>
      <c r="AS10" s="18">
        <f>_xll.ciqfunctions.udf.CIQ($A10, "IQ_EBITDA_EST", IQ_CY+ 1,$I$5,,,Ccy,Conv)</f>
        <v>4167.86571</v>
      </c>
      <c r="AT10" s="18"/>
      <c r="AU10" s="18">
        <f>_xll.ciqfunctions.udf.CIQ($A10, "IQ_EBITDA_EST", IQ_CY+ 2,$I$5,,,Ccy,Conv)</f>
        <v>4470.5351899999996</v>
      </c>
      <c r="AV10" s="60"/>
      <c r="AW10" s="29">
        <f>_xll.ciqfunctions.udf.CIQ($A10, "IQ_DILUT_EPS_EXCL", IQ_FY,$I$5,,,Ccy,Conv)</f>
        <v>4.5599999999999996</v>
      </c>
      <c r="AX10" s="29"/>
      <c r="AY10" s="29">
        <f>_xll.ciqfunctions.udf.CIQ($A10, "IQ_DILUT_EPS_EXCL", IQ_LTM,$I$5,,,Ccy,Conv)</f>
        <v>4.5599999999999996</v>
      </c>
      <c r="AZ10" s="29"/>
      <c r="BA10" s="29">
        <f>_xll.ciqfunctions.udf.CIQ($A10, "IQ_EPS_EST", IQ_CY+ 1,$I$5,,,Ccy,Conv)</f>
        <v>5.6590100000000003</v>
      </c>
      <c r="BB10" s="29"/>
      <c r="BC10" s="29">
        <f>_xll.ciqfunctions.udf.CIQ($A10, "IQ_EPS_EST", IQ_CY+ 2,$I$5,,,Ccy,Conv)</f>
        <v>6.1437799999999996</v>
      </c>
      <c r="BD10" s="39"/>
      <c r="BE10" s="55">
        <f>_xll.ciqfunctions.udf.CIQ($A10, "IQ_TEV_TOTAL_REV",IQ_LTM,$FR10)</f>
        <v>1.86391</v>
      </c>
      <c r="BF10" s="55"/>
      <c r="BG10" s="55">
        <f>_xll.ciqfunctions.udf.CIQ($A10, "IQ_TEV_TOTAL_REV",IQ_LTM,$I$5)</f>
        <v>1.45533</v>
      </c>
      <c r="BH10" s="60"/>
      <c r="BI10" s="113">
        <f t="shared" si="3"/>
        <v>1.3810102446592467</v>
      </c>
      <c r="BJ10" s="113"/>
      <c r="BK10" s="113">
        <f t="shared" si="4"/>
        <v>1.3111075240096359</v>
      </c>
      <c r="BL10" s="60"/>
      <c r="BM10" s="55">
        <f>_xll.ciqfunctions.udf.CIQ($A10, "IQ_TEV_EBITDA",IQ_LTM,$FR10)</f>
        <v>9.8544099999999997</v>
      </c>
      <c r="BN10" s="55"/>
      <c r="BO10" s="55">
        <f>_xll.ciqfunctions.udf.CIQ($A10, "IQ_TEV_EBITDA",IQ_LTM,$I$5)</f>
        <v>7.5737399999999999</v>
      </c>
      <c r="BP10" s="55"/>
      <c r="BQ10" s="55">
        <f>_xll.ciqfunctions.udf.CIQ($A10, "IQ_TEV_EBITDA_FWD",IQ_CY+1,$I$5)</f>
        <v>7.3704599999999996</v>
      </c>
      <c r="BR10" s="55"/>
      <c r="BS10" s="55">
        <f>_xll.ciqfunctions.udf.CIQ($A10, "IQ_TEV_EBITDA_FWD",IQ_CY+2,$I$5)</f>
        <v>6.8714599999999999</v>
      </c>
      <c r="BT10" s="60"/>
      <c r="BU10" s="55">
        <f>_xll.ciqfunctions.udf.CIQ($A10, "IQ_PE_EXCL",IQ_LTM,$FR10)</f>
        <v>19.211880000000001</v>
      </c>
      <c r="BV10" s="55"/>
      <c r="BW10" s="55">
        <f>_xll.ciqfunctions.udf.CIQ($A10, "IQ_PE_EXCL",IQ_LTM,$I$5)</f>
        <v>14.42544</v>
      </c>
      <c r="BX10" s="55"/>
      <c r="BY10" s="55">
        <f>_xll.ciqfunctions.udf.CIQ($A10, "IQ_PE_EXCL_FWD",IQ_CY+1,$I$5)</f>
        <v>11.623939999999999</v>
      </c>
      <c r="BZ10" s="55"/>
      <c r="CA10" s="55">
        <f>_xll.ciqfunctions.udf.CIQ($A10, "IQ_PE_EXCL_FWD",IQ_CY+2,$I$5)</f>
        <v>10.706759999999999</v>
      </c>
      <c r="CB10" s="60"/>
      <c r="CC10" s="55">
        <f>_xll.ciqfunctions.udf.CIQ($A10, "IQ_PBV",IQ_LTM,$I$5,)</f>
        <v>2.0984799999999999</v>
      </c>
      <c r="CD10" s="55"/>
      <c r="CE10" s="55">
        <f>_xll.ciqfunctions.udf.CIQ($A10, "IQ_PTBV",IQ_LTM,$I$5,)</f>
        <v>4.8534499999999996</v>
      </c>
      <c r="CF10" s="39"/>
      <c r="CG10" s="18">
        <f>_xll.ciqfunctions.udf.CIQ($A10, "IQ_GROSS_MARGIN", IQ_FY- 2,$I$5,)</f>
        <v>34.563099999999999</v>
      </c>
      <c r="CH10" s="18"/>
      <c r="CI10" s="18">
        <f>_xll.ciqfunctions.udf.CIQ($A10, "IQ_GROSS_MARGIN", IQ_FY- 1,$I$5,)</f>
        <v>34.343299999999999</v>
      </c>
      <c r="CJ10" s="18"/>
      <c r="CK10" s="18">
        <f>_xll.ciqfunctions.udf.CIQ($A10, "IQ_GROSS_MARGIN", IQ_FY,$I$5,)</f>
        <v>33.716999999999999</v>
      </c>
      <c r="CL10" s="18"/>
      <c r="CM10" s="18">
        <f>_xll.ciqfunctions.udf.CIQ($A10, "IQ_GROSS_MARGIN", IQ_LTM,$I$5,)</f>
        <v>33.716999999999999</v>
      </c>
      <c r="CN10" s="60"/>
      <c r="CO10" s="18">
        <f>_xll.ciqfunctions.udf.CIQ($A10, "IQ_EBITDA_MARGIN", IQ_FY- 2,$I$5,)</f>
        <v>17.568300000000001</v>
      </c>
      <c r="CP10" s="18"/>
      <c r="CQ10" s="18">
        <f>_xll.ciqfunctions.udf.CIQ($A10, "IQ_EBITDA_MARGIN", IQ_FY- 1,$I$5,)</f>
        <v>17.830300000000001</v>
      </c>
      <c r="CR10" s="18"/>
      <c r="CS10" s="18">
        <f>_xll.ciqfunctions.udf.CIQ($A10, "IQ_EBITDA_MARGIN", IQ_FY,$I$5,)</f>
        <v>18.163699999999999</v>
      </c>
      <c r="CT10" s="18"/>
      <c r="CU10" s="18">
        <f>_xll.ciqfunctions.udf.CIQ($A10, "IQ_EBITDA_MARGIN", IQ_LTM,$I$5,)</f>
        <v>18.163699999999999</v>
      </c>
      <c r="CV10" s="60"/>
      <c r="CW10" s="18">
        <f>_xll.ciqfunctions.udf.CIQ($A10, "IQ_NI_MARGIN", IQ_FY- 2,$I$5,)</f>
        <v>10.985300000000001</v>
      </c>
      <c r="CX10" s="18"/>
      <c r="CY10" s="18">
        <f>_xll.ciqfunctions.udf.CIQ($A10, "IQ_NI_MARGIN", IQ_FY- 1,$I$5,)</f>
        <v>11.3498</v>
      </c>
      <c r="CZ10" s="18"/>
      <c r="DA10" s="18">
        <f>_xll.ciqfunctions.udf.CIQ($A10, "IQ_NI_MARGIN", IQ_FY,$I$5,)</f>
        <v>10.5647</v>
      </c>
      <c r="DB10" s="18"/>
      <c r="DC10" s="18">
        <f>_xll.ciqfunctions.udf.CIQ($A10, "IQ_NI_MARGIN", IQ_LTM,$I$5,)</f>
        <v>10.5647</v>
      </c>
      <c r="DD10" s="39"/>
      <c r="DE10" s="18">
        <f>_xll.ciqfunctions.udf.CIQ($A10, "IQ_TOTAL_REV_5YR_ANN_CAGR",IQ_LTM,$I$5,)</f>
        <v>4.8567</v>
      </c>
      <c r="DF10" s="18"/>
      <c r="DG10" s="18">
        <f>_xll.ciqfunctions.udf.CIQ($A10, "IQ_TOTAL_REV_3YR_ANN_CAGR",IQ_LTM,$I$5,)</f>
        <v>2.8031000000000001</v>
      </c>
      <c r="DH10" s="18"/>
      <c r="DI10" s="18">
        <f>_xll.ciqfunctions.udf.CIQ($A10, "IQ_TOTAL_REV_1YR_ANN_GROWTH", IQ_FY,$I$5,)</f>
        <v>6.9516999999999998</v>
      </c>
      <c r="DJ10" s="18"/>
      <c r="DK10" s="18">
        <f>_xll.ciqfunctions.udf.CIQ($A10, "IQ_TOTAL_REV_1YR_ANN_GROWTH",IQ_LTM,$I$5,)</f>
        <v>6.9516999999999998</v>
      </c>
      <c r="DL10" s="60"/>
      <c r="DM10" s="18">
        <f>_xll.ciqfunctions.udf.CIQ($A10, "IQ_EBITDA_5YR_ANN_CAGR",IQ_LTM,$I$5,)</f>
        <v>6.0518000000000001</v>
      </c>
      <c r="DN10" s="18"/>
      <c r="DO10" s="18">
        <f>_xll.ciqfunctions.udf.CIQ($A10, "IQ_EBITDA_3YR_ANN_CAGR",IQ_LTM,$I$5,)</f>
        <v>3.0848</v>
      </c>
      <c r="DP10" s="18"/>
      <c r="DQ10" s="18">
        <f>_xll.ciqfunctions.udf.CIQ($A10, "IQ_EBITDA_1YR_ANN_GROWTH", IQ_FY,$I$5,)</f>
        <v>8.9513999999999996</v>
      </c>
      <c r="DR10" s="18"/>
      <c r="DS10" s="18">
        <f>_xll.ciqfunctions.udf.CIQ($A10, "IQ_EBITDA_1YR_ANN_GROWTH",IQ_LTM,$I$5,)</f>
        <v>8.9513999999999996</v>
      </c>
      <c r="DT10" s="60"/>
      <c r="DU10" s="18">
        <f>_xll.ciqfunctions.udf.CIQ($A10, "IQ_EPS_5YR_ANN_CAGR",IQ_LTM,$I$5,)</f>
        <v>12.1518</v>
      </c>
      <c r="DV10" s="18"/>
      <c r="DW10" s="18">
        <f>_xll.ciqfunctions.udf.CIQ($A10, "IQ_EPS_3YR_ANN_CAGR",IQ_LTM,$I$5,)</f>
        <v>1.1211</v>
      </c>
      <c r="DX10" s="18"/>
      <c r="DY10" s="18">
        <f>_xll.ciqfunctions.udf.CIQ($A10, "IQ_EPS_1YR_ANN_GROWTH", IQ_FY,$I$5,)</f>
        <v>1.1086</v>
      </c>
      <c r="DZ10" s="18"/>
      <c r="EA10" s="18">
        <f>_xll.ciqfunctions.udf.CIQ($A10, "IQ_EPS_1YR_ANN_GROWTH", IQ_LTM,$I$5,)</f>
        <v>1.1086</v>
      </c>
      <c r="EB10" s="39"/>
      <c r="EC10" s="55">
        <f>_xll.ciqfunctions.udf.CIQ($A10, "IQ_TOTAL_DEBT_EBITDA",IQ_LTM,$I$5,)</f>
        <v>0.29009000000000001</v>
      </c>
      <c r="ED10" s="55"/>
      <c r="EE10" s="55" t="str">
        <f>_xll.ciqfunctions.udf.CIQ($A10, "IQ_NET_DEBT_EBITDA",IQ_LTM,$I$5,)</f>
        <v>NM</v>
      </c>
      <c r="EF10" s="18"/>
      <c r="EG10" s="116">
        <f t="shared" si="5"/>
        <v>0.30620761606677099</v>
      </c>
      <c r="EH10" s="18"/>
      <c r="EI10" s="55">
        <f>_xll.ciqfunctions.udf.CIQ($A10, "IQ_EBITDA_INT",IQ_LTM,$I$5,)</f>
        <v>109.37838000000001</v>
      </c>
      <c r="EJ10" s="55"/>
      <c r="EK10" s="55">
        <f>_xll.ciqfunctions.udf.CIQ($A10, "IQ_EBITDA_CAPEX_INT",IQ_LTM,$I$5,)</f>
        <v>101.59459</v>
      </c>
      <c r="EL10" s="59"/>
      <c r="EM10" s="18">
        <f>_xll.ciqfunctions.udf.CIQ($A10, "IQ_TOTAL_DEBT_EQUITY",IQ_FQ,$I$5,)</f>
        <v>7.8188000000000004</v>
      </c>
      <c r="EN10" s="18"/>
      <c r="EO10" s="18">
        <f>_xll.ciqfunctions.udf.CIQ($A10, "IQ_TOTAL_DEBT_CAPITAL",IQ_FQ,$I$5,)</f>
        <v>7.2518000000000002</v>
      </c>
      <c r="EP10" s="39"/>
      <c r="EQ10" s="18">
        <f>_xll.ciqfunctions.udf.CIQ($A10, "IQ_RETURN_EQUITY",IQ_LTM,$I$5)</f>
        <v>15.158200000000001</v>
      </c>
      <c r="ER10" s="18"/>
      <c r="ES10" s="18">
        <f>_xll.ciqfunctions.udf.CIQ($A10, "IQ_RETURN_ASSETS",IQ_LTM,$I$5)</f>
        <v>10.2286</v>
      </c>
      <c r="ET10" s="18"/>
      <c r="EU10" s="18">
        <f>_xll.ciqfunctions.udf.CIQ($A10, "IQ_RETURN_INVESTED_CAPITAL",IQ_LTM,$I$5)</f>
        <v>10.093400000000001</v>
      </c>
      <c r="EV10" s="39"/>
      <c r="EW10" s="55">
        <f>_xll.ciqfunctions.udf.CIQ($A10, "IQ_CURRENT_RATIO",IQ_FQ,$I$5,)</f>
        <v>2.1366499999999999</v>
      </c>
      <c r="EX10" s="55"/>
      <c r="EY10" s="55">
        <f>_xll.ciqfunctions.udf.CIQ($A10, "IQ_QUICK_RATIO",IQ_FQ,$I$5,)</f>
        <v>1.73627</v>
      </c>
      <c r="EZ10" s="59"/>
      <c r="FA10" s="18">
        <f>_xll.ciqfunctions.udf.CIQ($A10, "IQ_DAYS_SALES_OUT",IQ_LTM,$I$5,)</f>
        <v>73.473770000000002</v>
      </c>
      <c r="FB10" s="18"/>
      <c r="FC10" s="18">
        <f>_xll.ciqfunctions.udf.CIQ($A10, "IQ_DAYS_INVENTORY_OUT",IQ_LTM,$I$5,)</f>
        <v>0</v>
      </c>
      <c r="FD10" s="18"/>
      <c r="FE10" s="18">
        <f>_xll.ciqfunctions.udf.CIQ($A10, "IQ_DAYS_PAYABLE_OUT",IQ_LTM,$I$5,)</f>
        <v>8.4523100000000007</v>
      </c>
      <c r="FF10" s="18"/>
      <c r="FG10" s="18">
        <f>_xll.ciqfunctions.udf.CIQ($A10, "IQ_CASH_CONVERSION",IQ_LTM,$I$5,)</f>
        <v>0</v>
      </c>
      <c r="FH10" s="59"/>
      <c r="FI10" s="55">
        <f>_xll.ciqfunctions.udf.CIQ($A10, "IQ_ASSET_TURNS",IQ_LTM,$I$5,)</f>
        <v>1.0383199999999999</v>
      </c>
      <c r="FJ10" s="55"/>
      <c r="FK10" s="55">
        <f>_xll.ciqfunctions.udf.CIQ($A10, "IQ_FIXED_ASSET_TURNS",IQ_LTM,$I$5,)</f>
        <v>13.832240000000001</v>
      </c>
      <c r="FL10" s="55"/>
      <c r="FM10" s="55">
        <f>_xll.ciqfunctions.udf.CIQ($A10, "IQ_AR_TURNS",IQ_LTM,$I$5,)</f>
        <v>4.9677600000000002</v>
      </c>
      <c r="FN10" s="55"/>
      <c r="FO10" s="55">
        <f>_xll.ciqfunctions.udf.CIQ($A10, "IQ_INVENTORY_TURNS",IQ_LTM,$I$5,)</f>
        <v>0</v>
      </c>
      <c r="FR10" s="114">
        <f>_xll.ciqfunctions.udf.CIQ($A10,"IQ_PERIODDATE",IQ_FY,$I$5)</f>
        <v>46022</v>
      </c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 s="2" customFormat="1" x14ac:dyDescent="0.2">
      <c r="A11" s="111" t="str">
        <f>_xll.ciqfunctions.udf.CIQ($A$21,"IQ_QUICK_COMP",5)</f>
        <v>NYSE:SNX</v>
      </c>
      <c r="C11" s="111" t="str">
        <f>_xll.ciqfunctions.udf.CIQ($A11, "IQ_COMPANY_NAME")</f>
        <v>TD SYNNEX Corporation</v>
      </c>
      <c r="D11" s="39"/>
      <c r="E11" s="35">
        <f>_xll.ciqfunctions.udf.CIQ($A11,"IQ_PERIODDATE",IQ_FY,$I$5)</f>
        <v>45991</v>
      </c>
      <c r="F11" s="35"/>
      <c r="G11" s="35">
        <f>_xll.ciqfunctions.udf.CIQ($A11,"IQ_PERIODDATE",IQ_LTM,$I$5)</f>
        <v>45991</v>
      </c>
      <c r="H11" s="39"/>
      <c r="I11" s="29">
        <f>_xll.ciqfunctions.udf.CIQ($A11, "IQ_LASTSALEPRICE",$I$5,Ccy,Conv)</f>
        <v>156.83000000000001</v>
      </c>
      <c r="J11" s="29"/>
      <c r="K11" s="29">
        <f>_xll.ciqfunctions.udf.CIQ($A11, "IQ_YEARHIGH",$I$5,Ccy,Conv)</f>
        <v>175.56</v>
      </c>
      <c r="L11" s="29"/>
      <c r="M11" s="29">
        <f>_xll.ciqfunctions.udf.CIQ($A11, "IQ_YEARLOW",$I$5,Ccy,Conv)</f>
        <v>92.23</v>
      </c>
      <c r="N11" s="39"/>
      <c r="O11" s="112">
        <f t="shared" si="0"/>
        <v>0.89331282752335395</v>
      </c>
      <c r="P11" s="112"/>
      <c r="Q11" s="112">
        <f t="shared" si="1"/>
        <v>1.7004228559037191</v>
      </c>
      <c r="R11" s="39"/>
      <c r="S11" s="18">
        <f>_xll.ciqfunctions.udf.CIQ($A11, "IQ_SHARESOUTSTANDING",$I$5)</f>
        <v>80.626390000000001</v>
      </c>
      <c r="T11" s="39"/>
      <c r="U11" s="60">
        <f t="shared" si="2"/>
        <v>12644.636743700001</v>
      </c>
      <c r="V11" s="60"/>
      <c r="W11" s="18">
        <f>_xll.ciqfunctions.udf.CIQ($A11, "IQ_CASH_ST_INVEST",IQ_FQ,$I$5,,"F",Ccy,Conv)</f>
        <v>2435.3890000000001</v>
      </c>
      <c r="X11" s="18"/>
      <c r="Y11" s="18">
        <f>_xll.ciqfunctions.udf.CIQ($A11, "IQ_TOTAL_DEBT",IQ_FQ,$I$5,,"F",Ccy,Conv)</f>
        <v>5081.982</v>
      </c>
      <c r="Z11" s="18"/>
      <c r="AA11" s="18">
        <f>_xll.ciqfunctions.udf.CIQ($A11, "IQ_PREF_EQUITY",IQ_FQ,$I$5,,"F",Ccy,Conv)</f>
        <v>0</v>
      </c>
      <c r="AB11" s="18"/>
      <c r="AC11" s="18">
        <f>_xll.ciqfunctions.udf.CIQ($A11, "IQ_MINORITY_INTEREST_TOTAL",IQ_FQ,$I$5,,"F",Ccy,Conv)</f>
        <v>0</v>
      </c>
      <c r="AD11" s="60"/>
      <c r="AE11" s="60">
        <f t="shared" si="6"/>
        <v>15291.229743700002</v>
      </c>
      <c r="AF11" s="60"/>
      <c r="AG11" s="18">
        <f>_xll.ciqfunctions.udf.CIQ($A11, "IQ_TOTAL_REV", IQ_FY,$I$5,,,Ccy,Conv)</f>
        <v>62508.086000000003</v>
      </c>
      <c r="AH11" s="18"/>
      <c r="AI11" s="18">
        <f>_xll.ciqfunctions.udf.CIQ($A11, "IQ_TOTAL_REV", IQ_LTM,$I$5,,,Ccy,Conv)</f>
        <v>62508.086000000003</v>
      </c>
      <c r="AJ11" s="18"/>
      <c r="AK11" s="18">
        <f>_xll.ciqfunctions.udf.CIQ($A11, "IQ_REVENUE_EST", IQ_CY+ 1,$I$5,,,Ccy,Conv)</f>
        <v>64946.647449999997</v>
      </c>
      <c r="AL11" s="18"/>
      <c r="AM11" s="18">
        <f>_xll.ciqfunctions.udf.CIQ($A11, "IQ_REVENUE_EST", IQ_CY+ 2,$I$5,,,Ccy,Conv)</f>
        <v>67648.673590000006</v>
      </c>
      <c r="AN11" s="60"/>
      <c r="AO11" s="18">
        <f>_xll.ciqfunctions.udf.CIQ($A11, "IQ_EBITDA", IQ_FY,$I$5,,,Ccy,Conv)</f>
        <v>1836.742</v>
      </c>
      <c r="AP11" s="18"/>
      <c r="AQ11" s="18">
        <f>_xll.ciqfunctions.udf.CIQ($A11, "IQ_EBITDA", IQ_LTM,$I$5,,,Ccy,Conv)</f>
        <v>1836.742</v>
      </c>
      <c r="AR11" s="18"/>
      <c r="AS11" s="18">
        <f>_xll.ciqfunctions.udf.CIQ($A11, "IQ_EBITDA_EST", IQ_CY+ 1,$I$5,,,Ccy,Conv)</f>
        <v>1994.58656</v>
      </c>
      <c r="AT11" s="18"/>
      <c r="AU11" s="18">
        <f>_xll.ciqfunctions.udf.CIQ($A11, "IQ_EBITDA_EST", IQ_CY+ 2,$I$5,,,Ccy,Conv)</f>
        <v>2107.7271000000001</v>
      </c>
      <c r="AV11" s="60"/>
      <c r="AW11" s="29">
        <f>_xll.ciqfunctions.udf.CIQ($A11, "IQ_DILUT_EPS_EXCL", IQ_FY,$I$5,,,Ccy,Conv)</f>
        <v>9.9501299999999997</v>
      </c>
      <c r="AX11" s="29"/>
      <c r="AY11" s="29">
        <f>_xll.ciqfunctions.udf.CIQ($A11, "IQ_DILUT_EPS_EXCL", IQ_LTM,$I$5,,,Ccy,Conv)</f>
        <v>9.9501299999999997</v>
      </c>
      <c r="AZ11" s="29"/>
      <c r="BA11" s="29">
        <f>_xll.ciqfunctions.udf.CIQ($A11, "IQ_EPS_EST", IQ_CY+ 1,$I$5,,,Ccy,Conv)</f>
        <v>14.618639999999999</v>
      </c>
      <c r="BB11" s="29"/>
      <c r="BC11" s="29">
        <f>_xll.ciqfunctions.udf.CIQ($A11, "IQ_EPS_EST", IQ_CY+ 2,$I$5,,,Ccy,Conv)</f>
        <v>16.088730000000002</v>
      </c>
      <c r="BD11" s="39"/>
      <c r="BE11" s="55">
        <f>_xll.ciqfunctions.udf.CIQ($A11, "IQ_TEV_TOTAL_REV",IQ_LTM,$FR11)</f>
        <v>0.26601000000000002</v>
      </c>
      <c r="BF11" s="55"/>
      <c r="BG11" s="55">
        <f>_xll.ciqfunctions.udf.CIQ($A11, "IQ_TEV_TOTAL_REV",IQ_LTM,$I$5)</f>
        <v>0.2462</v>
      </c>
      <c r="BH11" s="60"/>
      <c r="BI11" s="113">
        <f t="shared" si="3"/>
        <v>0.23544294192355578</v>
      </c>
      <c r="BJ11" s="113"/>
      <c r="BK11" s="113">
        <f t="shared" si="4"/>
        <v>0.22603887012443047</v>
      </c>
      <c r="BL11" s="60"/>
      <c r="BM11" s="55">
        <f>_xll.ciqfunctions.udf.CIQ($A11, "IQ_TEV_EBITDA",IQ_LTM,$FR11)</f>
        <v>8.5590200000000003</v>
      </c>
      <c r="BN11" s="55"/>
      <c r="BO11" s="55">
        <f>_xll.ciqfunctions.udf.CIQ($A11, "IQ_TEV_EBITDA",IQ_LTM,$I$5)</f>
        <v>7.7915200000000002</v>
      </c>
      <c r="BP11" s="55"/>
      <c r="BQ11" s="55">
        <f>_xll.ciqfunctions.udf.CIQ($A11, "IQ_TEV_EBITDA_FWD",IQ_CY+1,$I$5)</f>
        <v>7.7156799999999999</v>
      </c>
      <c r="BR11" s="55"/>
      <c r="BS11" s="55">
        <f>_xll.ciqfunctions.udf.CIQ($A11, "IQ_TEV_EBITDA_FWD",IQ_CY+2,$I$5)</f>
        <v>7.3015100000000004</v>
      </c>
      <c r="BT11" s="60"/>
      <c r="BU11" s="55">
        <f>_xll.ciqfunctions.udf.CIQ($A11, "IQ_PE_EXCL",IQ_LTM,$FR11)</f>
        <v>16.561969999999999</v>
      </c>
      <c r="BV11" s="55"/>
      <c r="BW11" s="55">
        <f>_xll.ciqfunctions.udf.CIQ($A11, "IQ_PE_EXCL",IQ_LTM,$I$5)</f>
        <v>15.884219999999999</v>
      </c>
      <c r="BX11" s="55"/>
      <c r="BY11" s="55">
        <f>_xll.ciqfunctions.udf.CIQ($A11, "IQ_PE_EXCL_FWD",IQ_CY+1,$I$5)</f>
        <v>10.811540000000001</v>
      </c>
      <c r="BZ11" s="55"/>
      <c r="CA11" s="55">
        <f>_xll.ciqfunctions.udf.CIQ($A11, "IQ_PE_EXCL_FWD",IQ_CY+2,$I$5)</f>
        <v>9.8236500000000007</v>
      </c>
      <c r="CB11" s="60"/>
      <c r="CC11" s="55">
        <f>_xll.ciqfunctions.udf.CIQ($A11, "IQ_PBV",IQ_LTM,$I$5,)</f>
        <v>1.49813</v>
      </c>
      <c r="CD11" s="55"/>
      <c r="CE11" s="55">
        <f>_xll.ciqfunctions.udf.CIQ($A11, "IQ_PTBV",IQ_LTM,$I$5,)</f>
        <v>21.971959999999999</v>
      </c>
      <c r="CF11" s="39"/>
      <c r="CG11" s="18">
        <f>_xll.ciqfunctions.udf.CIQ($A11, "IQ_GROSS_MARGIN", IQ_FY- 2,$I$5,)</f>
        <v>6.8747999999999996</v>
      </c>
      <c r="CH11" s="18"/>
      <c r="CI11" s="18">
        <f>_xll.ciqfunctions.udf.CIQ($A11, "IQ_GROSS_MARGIN", IQ_FY- 1,$I$5,)</f>
        <v>6.8110999999999997</v>
      </c>
      <c r="CJ11" s="18"/>
      <c r="CK11" s="18">
        <f>_xll.ciqfunctions.udf.CIQ($A11, "IQ_GROSS_MARGIN", IQ_FY,$I$5,)</f>
        <v>6.9893999999999998</v>
      </c>
      <c r="CL11" s="18"/>
      <c r="CM11" s="18">
        <f>_xll.ciqfunctions.udf.CIQ($A11, "IQ_GROSS_MARGIN", IQ_LTM,$I$5,)</f>
        <v>6.9893999999999998</v>
      </c>
      <c r="CN11" s="60"/>
      <c r="CO11" s="18">
        <f>_xll.ciqfunctions.udf.CIQ($A11, "IQ_EBITDA_MARGIN", IQ_FY- 2,$I$5,)</f>
        <v>2.9279000000000002</v>
      </c>
      <c r="CP11" s="18"/>
      <c r="CQ11" s="18">
        <f>_xll.ciqfunctions.udf.CIQ($A11, "IQ_EBITDA_MARGIN", IQ_FY- 1,$I$5,)</f>
        <v>2.8527999999999998</v>
      </c>
      <c r="CR11" s="18"/>
      <c r="CS11" s="18">
        <f>_xll.ciqfunctions.udf.CIQ($A11, "IQ_EBITDA_MARGIN", IQ_FY,$I$5,)</f>
        <v>2.9384000000000001</v>
      </c>
      <c r="CT11" s="18"/>
      <c r="CU11" s="18">
        <f>_xll.ciqfunctions.udf.CIQ($A11, "IQ_EBITDA_MARGIN", IQ_LTM,$I$5,)</f>
        <v>2.9384000000000001</v>
      </c>
      <c r="CV11" s="60"/>
      <c r="CW11" s="18">
        <f>_xll.ciqfunctions.udf.CIQ($A11, "IQ_NI_MARGIN", IQ_FY- 2,$I$5,)</f>
        <v>1.0891999999999999</v>
      </c>
      <c r="CX11" s="18"/>
      <c r="CY11" s="18">
        <f>_xll.ciqfunctions.udf.CIQ($A11, "IQ_NI_MARGIN", IQ_FY- 1,$I$5,)</f>
        <v>1.1788000000000001</v>
      </c>
      <c r="CZ11" s="18"/>
      <c r="DA11" s="18">
        <f>_xll.ciqfunctions.udf.CIQ($A11, "IQ_NI_MARGIN", IQ_FY,$I$5,)</f>
        <v>1.3240000000000001</v>
      </c>
      <c r="DB11" s="18"/>
      <c r="DC11" s="18">
        <f>_xll.ciqfunctions.udf.CIQ($A11, "IQ_NI_MARGIN", IQ_LTM,$I$5,)</f>
        <v>1.3240000000000001</v>
      </c>
      <c r="DD11" s="39"/>
      <c r="DE11" s="18">
        <f>_xll.ciqfunctions.udf.CIQ($A11, "IQ_TOTAL_REV_5YR_ANN_CAGR",IQ_LTM,$I$5,)</f>
        <v>25.626300000000001</v>
      </c>
      <c r="DF11" s="18"/>
      <c r="DG11" s="18">
        <f>_xll.ciqfunctions.udf.CIQ($A11, "IQ_TOTAL_REV_3YR_ANN_CAGR",IQ_LTM,$I$5,)</f>
        <v>8.7800000000000003E-2</v>
      </c>
      <c r="DH11" s="18"/>
      <c r="DI11" s="18">
        <f>_xll.ciqfunctions.udf.CIQ($A11, "IQ_TOTAL_REV_1YR_ANN_GROWTH", IQ_FY,$I$5,)</f>
        <v>6.9382999999999999</v>
      </c>
      <c r="DJ11" s="18"/>
      <c r="DK11" s="18">
        <f>_xll.ciqfunctions.udf.CIQ($A11, "IQ_TOTAL_REV_1YR_ANN_GROWTH",IQ_LTM,$I$5,)</f>
        <v>6.9382999999999999</v>
      </c>
      <c r="DL11" s="60"/>
      <c r="DM11" s="18">
        <f>_xll.ciqfunctions.udf.CIQ($A11, "IQ_EBITDA_5YR_ANN_CAGR",IQ_LTM,$I$5,)</f>
        <v>25.336500000000001</v>
      </c>
      <c r="DN11" s="18"/>
      <c r="DO11" s="18">
        <f>_xll.ciqfunctions.udf.CIQ($A11, "IQ_EBITDA_3YR_ANN_CAGR",IQ_LTM,$I$5,)</f>
        <v>1.8872</v>
      </c>
      <c r="DP11" s="18"/>
      <c r="DQ11" s="18">
        <f>_xll.ciqfunctions.udf.CIQ($A11, "IQ_EBITDA_1YR_ANN_GROWTH", IQ_FY,$I$5,)</f>
        <v>10.1456</v>
      </c>
      <c r="DR11" s="18"/>
      <c r="DS11" s="18">
        <f>_xll.ciqfunctions.udf.CIQ($A11, "IQ_EBITDA_1YR_ANN_GROWTH",IQ_LTM,$I$5,)</f>
        <v>10.1456</v>
      </c>
      <c r="DT11" s="60"/>
      <c r="DU11" s="18">
        <f>_xll.ciqfunctions.udf.CIQ($A11, "IQ_EPS_5YR_ANN_CAGR",IQ_LTM,$I$5,)</f>
        <v>9.1753999999999998</v>
      </c>
      <c r="DV11" s="18"/>
      <c r="DW11" s="18">
        <f>_xll.ciqfunctions.udf.CIQ($A11, "IQ_EPS_3YR_ANN_CAGR",IQ_LTM,$I$5,)</f>
        <v>13.674200000000001</v>
      </c>
      <c r="DX11" s="18"/>
      <c r="DY11" s="18">
        <f>_xll.ciqfunctions.udf.CIQ($A11, "IQ_EPS_1YR_ANN_GROWTH", IQ_FY,$I$5,)</f>
        <v>25.101800000000001</v>
      </c>
      <c r="DZ11" s="18"/>
      <c r="EA11" s="18">
        <f>_xll.ciqfunctions.udf.CIQ($A11, "IQ_EPS_1YR_ANN_GROWTH", IQ_LTM,$I$5,)</f>
        <v>25.101800000000001</v>
      </c>
      <c r="EB11" s="39"/>
      <c r="EC11" s="55">
        <f>_xll.ciqfunctions.udf.CIQ($A11, "IQ_TOTAL_DEBT_EBITDA",IQ_LTM,$I$5,)</f>
        <v>2.5729299999999999</v>
      </c>
      <c r="ED11" s="55"/>
      <c r="EE11" s="55">
        <f>_xll.ciqfunctions.udf.CIQ($A11, "IQ_NET_DEBT_EBITDA",IQ_LTM,$I$5,)</f>
        <v>1.3399300000000001</v>
      </c>
      <c r="EF11" s="18"/>
      <c r="EG11" s="116">
        <f t="shared" si="5"/>
        <v>2.766845860768687</v>
      </c>
      <c r="EH11" s="18"/>
      <c r="EI11" s="55">
        <f>_xll.ciqfunctions.udf.CIQ($A11, "IQ_EBITDA_INT",IQ_LTM,$I$5,)</f>
        <v>6.4966400000000002</v>
      </c>
      <c r="EJ11" s="55"/>
      <c r="EK11" s="55">
        <f>_xll.ciqfunctions.udf.CIQ($A11, "IQ_EBITDA_CAPEX_INT",IQ_LTM,$I$5,)</f>
        <v>6.0286499999999998</v>
      </c>
      <c r="EL11" s="59"/>
      <c r="EM11" s="18">
        <f>_xll.ciqfunctions.udf.CIQ($A11, "IQ_TOTAL_DEBT_EQUITY",IQ_FQ,$I$5,)</f>
        <v>60.1387</v>
      </c>
      <c r="EN11" s="18"/>
      <c r="EO11" s="18">
        <f>_xll.ciqfunctions.udf.CIQ($A11, "IQ_TOTAL_DEBT_CAPITAL",IQ_FQ,$I$5,)</f>
        <v>37.554099999999998</v>
      </c>
      <c r="EP11" s="39"/>
      <c r="EQ11" s="18">
        <f>_xll.ciqfunctions.udf.CIQ($A11, "IQ_RETURN_EQUITY",IQ_LTM,$I$5)</f>
        <v>10.040800000000001</v>
      </c>
      <c r="ER11" s="18"/>
      <c r="ES11" s="18">
        <f>_xll.ciqfunctions.udf.CIQ($A11, "IQ_RETURN_ASSETS",IQ_LTM,$I$5)</f>
        <v>2.7557</v>
      </c>
      <c r="ET11" s="18"/>
      <c r="EU11" s="18">
        <f>_xll.ciqfunctions.udf.CIQ($A11, "IQ_RETURN_INVESTED_CAPITAL",IQ_LTM,$I$5)</f>
        <v>5.2465999999999999</v>
      </c>
      <c r="EV11" s="39"/>
      <c r="EW11" s="55">
        <f>_xll.ciqfunctions.udf.CIQ($A11, "IQ_CURRENT_RATIO",IQ_FQ,$I$5,)</f>
        <v>1.20651</v>
      </c>
      <c r="EX11" s="55"/>
      <c r="EY11" s="55">
        <f>_xll.ciqfunctions.udf.CIQ($A11, "IQ_QUICK_RATIO",IQ_FQ,$I$5,)</f>
        <v>0.72114</v>
      </c>
      <c r="EZ11" s="59"/>
      <c r="FA11" s="18">
        <f>_xll.ciqfunctions.udf.CIQ($A11, "IQ_DAYS_SALES_OUT",IQ_LTM,$I$5,)</f>
        <v>64.375050000000002</v>
      </c>
      <c r="FB11" s="18"/>
      <c r="FC11" s="18">
        <f>_xll.ciqfunctions.udf.CIQ($A11, "IQ_DAYS_INVENTORY_OUT",IQ_LTM,$I$5,)</f>
        <v>55.847560000000001</v>
      </c>
      <c r="FD11" s="18"/>
      <c r="FE11" s="18">
        <f>_xll.ciqfunctions.udf.CIQ($A11, "IQ_DAYS_PAYABLE_OUT",IQ_LTM,$I$5,)</f>
        <v>100.56663</v>
      </c>
      <c r="FF11" s="18"/>
      <c r="FG11" s="18">
        <f>_xll.ciqfunctions.udf.CIQ($A11, "IQ_CASH_CONVERSION",IQ_LTM,$I$5,)</f>
        <v>19.65598</v>
      </c>
      <c r="FH11" s="59"/>
      <c r="FI11" s="55">
        <f>_xll.ciqfunctions.udf.CIQ($A11, "IQ_ASSET_TURNS",IQ_LTM,$I$5,)</f>
        <v>1.93747</v>
      </c>
      <c r="FJ11" s="55"/>
      <c r="FK11" s="55">
        <f>_xll.ciqfunctions.udf.CIQ($A11, "IQ_FIXED_ASSET_TURNS",IQ_LTM,$I$5,)</f>
        <v>66.977209999999999</v>
      </c>
      <c r="FL11" s="55"/>
      <c r="FM11" s="55">
        <f>_xll.ciqfunctions.udf.CIQ($A11, "IQ_AR_TURNS",IQ_LTM,$I$5,)</f>
        <v>5.6698700000000004</v>
      </c>
      <c r="FN11" s="55"/>
      <c r="FO11" s="55">
        <f>_xll.ciqfunctions.udf.CIQ($A11, "IQ_INVENTORY_TURNS",IQ_LTM,$I$5,)</f>
        <v>6.5356500000000004</v>
      </c>
      <c r="FR11" s="114">
        <f>_xll.ciqfunctions.udf.CIQ($A11,"IQ_PERIODDATE",IQ_FY,$I$5)</f>
        <v>45991</v>
      </c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 s="2" customFormat="1" x14ac:dyDescent="0.2">
      <c r="A12" s="111" t="str">
        <f>_xll.ciqfunctions.udf.CIQ($A$21,"IQ_QUICK_COMP",6)</f>
        <v>NasdaqGS:MSFT</v>
      </c>
      <c r="C12" s="111" t="str">
        <f>_xll.ciqfunctions.udf.CIQ($A12, "IQ_COMPANY_NAME")</f>
        <v>Microsoft Corporation</v>
      </c>
      <c r="D12" s="39"/>
      <c r="E12" s="35">
        <f>_xll.ciqfunctions.udf.CIQ($A12,"IQ_PERIODDATE",IQ_FY,$I$5)</f>
        <v>45838</v>
      </c>
      <c r="F12" s="35"/>
      <c r="G12" s="35">
        <f>_xll.ciqfunctions.udf.CIQ($A12,"IQ_PERIODDATE",IQ_LTM,$I$5)</f>
        <v>46022</v>
      </c>
      <c r="H12" s="39"/>
      <c r="I12" s="29">
        <f>_xll.ciqfunctions.udf.CIQ($A12, "IQ_LASTSALEPRICE",$I$5,Ccy,Conv)</f>
        <v>408.95499999999998</v>
      </c>
      <c r="J12" s="29"/>
      <c r="K12" s="29">
        <f>_xll.ciqfunctions.udf.CIQ($A12, "IQ_YEARHIGH",$I$5,Ccy,Conv)</f>
        <v>555.45000000000005</v>
      </c>
      <c r="L12" s="29"/>
      <c r="M12" s="29">
        <f>_xll.ciqfunctions.udf.CIQ($A12, "IQ_YEARLOW",$I$5,Ccy,Conv)</f>
        <v>344.79</v>
      </c>
      <c r="N12" s="39"/>
      <c r="O12" s="112">
        <f t="shared" si="0"/>
        <v>0.73625888918894578</v>
      </c>
      <c r="P12" s="112"/>
      <c r="Q12" s="112">
        <f t="shared" si="1"/>
        <v>1.1860987847675395</v>
      </c>
      <c r="R12" s="39"/>
      <c r="S12" s="18">
        <f>_xll.ciqfunctions.udf.CIQ($A12, "IQ_SHARESOUTSTANDING",$I$5)</f>
        <v>7425.6290799999997</v>
      </c>
      <c r="T12" s="39"/>
      <c r="U12" s="60">
        <f t="shared" si="2"/>
        <v>3036748.1404113998</v>
      </c>
      <c r="V12" s="60"/>
      <c r="W12" s="18">
        <f>_xll.ciqfunctions.udf.CIQ($A12, "IQ_CASH_ST_INVEST",IQ_FQ,$I$5,,"F",Ccy,Conv)</f>
        <v>89462</v>
      </c>
      <c r="X12" s="18"/>
      <c r="Y12" s="18">
        <f>_xll.ciqfunctions.udf.CIQ($A12, "IQ_TOTAL_DEBT",IQ_FQ,$I$5,,"F",Ccy,Conv)</f>
        <v>123278</v>
      </c>
      <c r="Z12" s="18"/>
      <c r="AA12" s="18">
        <f>_xll.ciqfunctions.udf.CIQ($A12, "IQ_PREF_EQUITY",IQ_FQ,$I$5,,"F",Ccy,Conv)</f>
        <v>0</v>
      </c>
      <c r="AB12" s="18"/>
      <c r="AC12" s="18">
        <f>_xll.ciqfunctions.udf.CIQ($A12, "IQ_MINORITY_INTEREST_TOTAL",IQ_FQ,$I$5,,"F",Ccy,Conv)</f>
        <v>0</v>
      </c>
      <c r="AD12" s="60"/>
      <c r="AE12" s="60">
        <f t="shared" si="6"/>
        <v>3070564.1404113998</v>
      </c>
      <c r="AF12" s="60"/>
      <c r="AG12" s="18">
        <f>_xll.ciqfunctions.udf.CIQ($A12, "IQ_TOTAL_REV", IQ_FY,$I$5,,,Ccy,Conv)</f>
        <v>281724</v>
      </c>
      <c r="AH12" s="18"/>
      <c r="AI12" s="18">
        <f>_xll.ciqfunctions.udf.CIQ($A12, "IQ_TOTAL_REV", IQ_LTM,$I$5,,,Ccy,Conv)</f>
        <v>305453</v>
      </c>
      <c r="AJ12" s="18"/>
      <c r="AK12" s="18">
        <f>_xll.ciqfunctions.udf.CIQ($A12, "IQ_REVENUE_EST", IQ_CY+ 1,$I$5,,,Ccy,Conv)</f>
        <v>351519.59169999999</v>
      </c>
      <c r="AL12" s="18"/>
      <c r="AM12" s="18">
        <f>_xll.ciqfunctions.udf.CIQ($A12, "IQ_REVENUE_EST", IQ_CY+ 2,$I$5,,,Ccy,Conv)</f>
        <v>406784.90330000001</v>
      </c>
      <c r="AN12" s="60"/>
      <c r="AO12" s="18">
        <f>_xll.ciqfunctions.udf.CIQ($A12, "IQ_EBITDA", IQ_FY,$I$5,,,Ccy,Conv)</f>
        <v>156528</v>
      </c>
      <c r="AP12" s="18"/>
      <c r="AQ12" s="18">
        <f>_xll.ciqfunctions.udf.CIQ($A12, "IQ_EBITDA", IQ_LTM,$I$5,,,Ccy,Conv)</f>
        <v>175259</v>
      </c>
      <c r="AR12" s="18"/>
      <c r="AS12" s="18">
        <f>_xll.ciqfunctions.udf.CIQ($A12, "IQ_EBITDA_EST", IQ_CY+ 1,$I$5,,,Ccy,Conv)</f>
        <v>213958.68210000001</v>
      </c>
      <c r="AT12" s="18"/>
      <c r="AU12" s="18">
        <f>_xll.ciqfunctions.udf.CIQ($A12, "IQ_EBITDA_EST", IQ_CY+ 2,$I$5,,,Ccy,Conv)</f>
        <v>251748.84599999999</v>
      </c>
      <c r="AV12" s="60"/>
      <c r="AW12" s="29">
        <f>_xll.ciqfunctions.udf.CIQ($A12, "IQ_DILUT_EPS_EXCL", IQ_FY,$I$5,,,Ccy,Conv)</f>
        <v>13.64</v>
      </c>
      <c r="AX12" s="29"/>
      <c r="AY12" s="29">
        <f>_xll.ciqfunctions.udf.CIQ($A12, "IQ_DILUT_EPS_EXCL", IQ_LTM,$I$5,,,Ccy,Conv)</f>
        <v>15.980549999999999</v>
      </c>
      <c r="AZ12" s="29"/>
      <c r="BA12" s="29">
        <f>_xll.ciqfunctions.udf.CIQ($A12, "IQ_EPS_EST", IQ_CY+ 1,$I$5,,,Ccy,Conv)</f>
        <v>17.552099999999999</v>
      </c>
      <c r="BB12" s="29"/>
      <c r="BC12" s="29">
        <f>_xll.ciqfunctions.udf.CIQ($A12, "IQ_EPS_EST", IQ_CY+ 2,$I$5,,,Ccy,Conv)</f>
        <v>20.302199999999999</v>
      </c>
      <c r="BD12" s="39"/>
      <c r="BE12" s="55">
        <f>_xll.ciqfunctions.udf.CIQ($A12, "IQ_TEV_TOTAL_REV",IQ_LTM,$FR12)</f>
        <v>13.786239999999999</v>
      </c>
      <c r="BF12" s="55"/>
      <c r="BG12" s="55">
        <f>_xll.ciqfunctions.udf.CIQ($A12, "IQ_TEV_TOTAL_REV",IQ_LTM,$I$5)</f>
        <v>10.094429999999999</v>
      </c>
      <c r="BH12" s="60"/>
      <c r="BI12" s="113">
        <f t="shared" si="3"/>
        <v>8.735115233724823</v>
      </c>
      <c r="BJ12" s="113"/>
      <c r="BK12" s="113">
        <f t="shared" si="4"/>
        <v>7.5483729005225344</v>
      </c>
      <c r="BL12" s="60"/>
      <c r="BM12" s="55">
        <f>_xll.ciqfunctions.udf.CIQ($A12, "IQ_TEV_EBITDA",IQ_LTM,$FR12)</f>
        <v>24.68516</v>
      </c>
      <c r="BN12" s="55"/>
      <c r="BO12" s="55">
        <f>_xll.ciqfunctions.udf.CIQ($A12, "IQ_TEV_EBITDA",IQ_LTM,$I$5)</f>
        <v>16.3841</v>
      </c>
      <c r="BP12" s="55"/>
      <c r="BQ12" s="55">
        <f>_xll.ciqfunctions.udf.CIQ($A12, "IQ_TEV_EBITDA_FWD",IQ_CY+1,$I$5)</f>
        <v>14.41107</v>
      </c>
      <c r="BR12" s="55"/>
      <c r="BS12" s="55">
        <f>_xll.ciqfunctions.udf.CIQ($A12, "IQ_TEV_EBITDA_FWD",IQ_CY+2,$I$5)</f>
        <v>12.247820000000001</v>
      </c>
      <c r="BT12" s="60"/>
      <c r="BU12" s="55">
        <f>_xll.ciqfunctions.udf.CIQ($A12, "IQ_PE_EXCL",IQ_LTM,$FR12)</f>
        <v>38.440739999999998</v>
      </c>
      <c r="BV12" s="55"/>
      <c r="BW12" s="55">
        <f>_xll.ciqfunctions.udf.CIQ($A12, "IQ_PE_EXCL",IQ_LTM,$I$5)</f>
        <v>25.69875</v>
      </c>
      <c r="BX12" s="55"/>
      <c r="BY12" s="55">
        <f>_xll.ciqfunctions.udf.CIQ($A12, "IQ_PE_EXCL_FWD",IQ_CY+1,$I$5)</f>
        <v>23.397770000000001</v>
      </c>
      <c r="BZ12" s="55"/>
      <c r="CA12" s="55">
        <f>_xll.ciqfunctions.udf.CIQ($A12, "IQ_PE_EXCL_FWD",IQ_CY+2,$I$5)</f>
        <v>20.228349999999999</v>
      </c>
      <c r="CB12" s="60"/>
      <c r="CC12" s="55">
        <f>_xll.ciqfunctions.udf.CIQ($A12, "IQ_PBV",IQ_LTM,$I$5,)</f>
        <v>7.8054199999999998</v>
      </c>
      <c r="CD12" s="55"/>
      <c r="CE12" s="55">
        <f>_xll.ciqfunctions.udf.CIQ($A12, "IQ_PTBV",IQ_LTM,$I$5,)</f>
        <v>12.156890000000001</v>
      </c>
      <c r="CF12" s="39"/>
      <c r="CG12" s="18">
        <f>_xll.ciqfunctions.udf.CIQ($A12, "IQ_GROSS_MARGIN", IQ_FY- 2,$I$5,)</f>
        <v>68.92</v>
      </c>
      <c r="CH12" s="18"/>
      <c r="CI12" s="18">
        <f>_xll.ciqfunctions.udf.CIQ($A12, "IQ_GROSS_MARGIN", IQ_FY- 1,$I$5,)</f>
        <v>69.764399999999995</v>
      </c>
      <c r="CJ12" s="18"/>
      <c r="CK12" s="18">
        <f>_xll.ciqfunctions.udf.CIQ($A12, "IQ_GROSS_MARGIN", IQ_FY,$I$5,)</f>
        <v>68.823700000000002</v>
      </c>
      <c r="CL12" s="18"/>
      <c r="CM12" s="18">
        <f>_xll.ciqfunctions.udf.CIQ($A12, "IQ_GROSS_MARGIN", IQ_LTM,$I$5,)</f>
        <v>68.586299999999994</v>
      </c>
      <c r="CN12" s="60"/>
      <c r="CO12" s="18">
        <f>_xll.ciqfunctions.udf.CIQ($A12, "IQ_EBITDA_MARGIN", IQ_FY- 2,$I$5,)</f>
        <v>48.143300000000004</v>
      </c>
      <c r="CP12" s="18"/>
      <c r="CQ12" s="18">
        <f>_xll.ciqfunctions.udf.CIQ($A12, "IQ_EBITDA_MARGIN", IQ_FY- 1,$I$5,)</f>
        <v>52.8035</v>
      </c>
      <c r="CR12" s="18"/>
      <c r="CS12" s="18">
        <f>_xll.ciqfunctions.udf.CIQ($A12, "IQ_EBITDA_MARGIN", IQ_FY,$I$5,)</f>
        <v>55.560699999999997</v>
      </c>
      <c r="CT12" s="18"/>
      <c r="CU12" s="18">
        <f>_xll.ciqfunctions.udf.CIQ($A12, "IQ_EBITDA_MARGIN", IQ_LTM,$I$5,)</f>
        <v>57.3767</v>
      </c>
      <c r="CV12" s="60"/>
      <c r="CW12" s="18">
        <f>_xll.ciqfunctions.udf.CIQ($A12, "IQ_NI_MARGIN", IQ_FY- 2,$I$5,)</f>
        <v>34.1462</v>
      </c>
      <c r="CX12" s="18"/>
      <c r="CY12" s="18">
        <f>_xll.ciqfunctions.udf.CIQ($A12, "IQ_NI_MARGIN", IQ_FY- 1,$I$5,)</f>
        <v>35.9559</v>
      </c>
      <c r="CZ12" s="18"/>
      <c r="DA12" s="18">
        <f>_xll.ciqfunctions.udf.CIQ($A12, "IQ_NI_MARGIN", IQ_FY,$I$5,)</f>
        <v>36.146000000000001</v>
      </c>
      <c r="DB12" s="18"/>
      <c r="DC12" s="18">
        <f>_xll.ciqfunctions.udf.CIQ($A12, "IQ_NI_MARGIN", IQ_LTM,$I$5,)</f>
        <v>39.0443</v>
      </c>
      <c r="DD12" s="39"/>
      <c r="DE12" s="18">
        <f>_xll.ciqfunctions.udf.CIQ($A12, "IQ_TOTAL_REV_5YR_ANN_CAGR",IQ_LTM,$I$5,)</f>
        <v>14.786099999999999</v>
      </c>
      <c r="DF12" s="18"/>
      <c r="DG12" s="18">
        <f>_xll.ciqfunctions.udf.CIQ($A12, "IQ_TOTAL_REV_3YR_ANN_CAGR",IQ_LTM,$I$5,)</f>
        <v>14.3856</v>
      </c>
      <c r="DH12" s="18"/>
      <c r="DI12" s="18">
        <f>_xll.ciqfunctions.udf.CIQ($A12, "IQ_TOTAL_REV_1YR_ANN_GROWTH", IQ_FY,$I$5,)</f>
        <v>14.9321</v>
      </c>
      <c r="DJ12" s="18"/>
      <c r="DK12" s="18">
        <f>_xll.ciqfunctions.udf.CIQ($A12, "IQ_TOTAL_REV_1YR_ANN_GROWTH",IQ_LTM,$I$5,)</f>
        <v>16.673200000000001</v>
      </c>
      <c r="DL12" s="60"/>
      <c r="DM12" s="18">
        <f>_xll.ciqfunctions.udf.CIQ($A12, "IQ_EBITDA_5YR_ANN_CAGR",IQ_LTM,$I$5,)</f>
        <v>19.5151</v>
      </c>
      <c r="DN12" s="18"/>
      <c r="DO12" s="18">
        <f>_xll.ciqfunctions.udf.CIQ($A12, "IQ_EBITDA_3YR_ANN_CAGR",IQ_LTM,$I$5,)</f>
        <v>21.672799999999999</v>
      </c>
      <c r="DP12" s="18"/>
      <c r="DQ12" s="18">
        <f>_xll.ciqfunctions.udf.CIQ($A12, "IQ_EBITDA_1YR_ANN_GROWTH", IQ_FY,$I$5,)</f>
        <v>20.933599999999998</v>
      </c>
      <c r="DR12" s="18"/>
      <c r="DS12" s="18">
        <f>_xll.ciqfunctions.udf.CIQ($A12, "IQ_EBITDA_1YR_ANN_GROWTH",IQ_LTM,$I$5,)</f>
        <v>24.534700000000001</v>
      </c>
      <c r="DT12" s="60"/>
      <c r="DU12" s="18">
        <f>_xll.ciqfunctions.udf.CIQ($A12, "IQ_EPS_5YR_ANN_CAGR",IQ_LTM,$I$5,)</f>
        <v>18.961600000000001</v>
      </c>
      <c r="DV12" s="18"/>
      <c r="DW12" s="18">
        <f>_xll.ciqfunctions.udf.CIQ($A12, "IQ_EPS_3YR_ANN_CAGR",IQ_LTM,$I$5,)</f>
        <v>21.102399999999999</v>
      </c>
      <c r="DX12" s="18"/>
      <c r="DY12" s="18">
        <f>_xll.ciqfunctions.udf.CIQ($A12, "IQ_EPS_1YR_ANN_GROWTH", IQ_FY,$I$5,)</f>
        <v>15.5932</v>
      </c>
      <c r="DZ12" s="18"/>
      <c r="EA12" s="18">
        <f>_xll.ciqfunctions.udf.CIQ($A12, "IQ_EPS_1YR_ANN_GROWTH", IQ_LTM,$I$5,)</f>
        <v>28.773099999999999</v>
      </c>
      <c r="EB12" s="39"/>
      <c r="EC12" s="55">
        <f>_xll.ciqfunctions.udf.CIQ($A12, "IQ_TOTAL_DEBT_EBITDA",IQ_LTM,$I$5,)</f>
        <v>0.67837000000000003</v>
      </c>
      <c r="ED12" s="55"/>
      <c r="EE12" s="55">
        <f>_xll.ciqfunctions.udf.CIQ($A12, "IQ_NET_DEBT_EBITDA",IQ_LTM,$I$5,)</f>
        <v>0.18608</v>
      </c>
      <c r="EF12" s="18"/>
      <c r="EG12" s="116">
        <f t="shared" si="5"/>
        <v>0.70340467536617235</v>
      </c>
      <c r="EH12" s="18"/>
      <c r="EI12" s="55">
        <f>_xll.ciqfunctions.udf.CIQ($A12, "IQ_EBITDA_INT",IQ_LTM,$I$5,)</f>
        <v>67.859219999999993</v>
      </c>
      <c r="EJ12" s="55"/>
      <c r="EK12" s="55">
        <f>_xll.ciqfunctions.udf.CIQ($A12, "IQ_EBITDA_CAPEX_INT",IQ_LTM,$I$5,)</f>
        <v>36.830840000000002</v>
      </c>
      <c r="EL12" s="59"/>
      <c r="EM12" s="18">
        <f>_xll.ciqfunctions.udf.CIQ($A12, "IQ_TOTAL_DEBT_EQUITY",IQ_FQ,$I$5,)</f>
        <v>31.538900000000002</v>
      </c>
      <c r="EN12" s="18"/>
      <c r="EO12" s="18">
        <f>_xll.ciqfunctions.udf.CIQ($A12, "IQ_TOTAL_DEBT_CAPITAL",IQ_FQ,$I$5,)</f>
        <v>23.976900000000001</v>
      </c>
      <c r="EP12" s="39"/>
      <c r="EQ12" s="18">
        <f>_xll.ciqfunctions.udf.CIQ($A12, "IQ_RETURN_EQUITY",IQ_LTM,$I$5)</f>
        <v>34.390700000000002</v>
      </c>
      <c r="ER12" s="18"/>
      <c r="ES12" s="18">
        <f>_xll.ciqfunctions.udf.CIQ($A12, "IQ_RETURN_ASSETS",IQ_LTM,$I$5)</f>
        <v>14.8598</v>
      </c>
      <c r="ET12" s="18"/>
      <c r="EU12" s="18">
        <f>_xll.ciqfunctions.udf.CIQ($A12, "IQ_RETURN_INVESTED_CAPITAL",IQ_LTM,$I$5)</f>
        <v>20.438600000000001</v>
      </c>
      <c r="EV12" s="39"/>
      <c r="EW12" s="55">
        <f>_xll.ciqfunctions.udf.CIQ($A12, "IQ_CURRENT_RATIO",IQ_FQ,$I$5,)</f>
        <v>1.38602</v>
      </c>
      <c r="EX12" s="55"/>
      <c r="EY12" s="55">
        <f>_xll.ciqfunctions.udf.CIQ($A12, "IQ_QUICK_RATIO",IQ_FQ,$I$5,)</f>
        <v>1.23916</v>
      </c>
      <c r="EZ12" s="59"/>
      <c r="FA12" s="18">
        <f>_xll.ciqfunctions.udf.CIQ($A12, "IQ_DAYS_SALES_OUT",IQ_LTM,$I$5,)</f>
        <v>62.569029999999998</v>
      </c>
      <c r="FB12" s="18"/>
      <c r="FC12" s="18">
        <f>_xll.ciqfunctions.udf.CIQ($A12, "IQ_DAYS_INVENTORY_OUT",IQ_LTM,$I$5,)</f>
        <v>3.7427100000000002</v>
      </c>
      <c r="FD12" s="18"/>
      <c r="FE12" s="18">
        <f>_xll.ciqfunctions.udf.CIQ($A12, "IQ_DAYS_PAYABLE_OUT",IQ_LTM,$I$5,)</f>
        <v>113.81722000000001</v>
      </c>
      <c r="FF12" s="18"/>
      <c r="FG12" s="18">
        <f>_xll.ciqfunctions.udf.CIQ($A12, "IQ_CASH_CONVERSION",IQ_LTM,$I$5,)</f>
        <v>-47.505479999999999</v>
      </c>
      <c r="FH12" s="59"/>
      <c r="FI12" s="55">
        <f>_xll.ciqfunctions.udf.CIQ($A12, "IQ_ASSET_TURNS",IQ_LTM,$I$5,)</f>
        <v>0.50943000000000005</v>
      </c>
      <c r="FJ12" s="55"/>
      <c r="FK12" s="55">
        <f>_xll.ciqfunctions.udf.CIQ($A12, "IQ_FIXED_ASSET_TURNS",IQ_LTM,$I$5,)</f>
        <v>1.28356</v>
      </c>
      <c r="FL12" s="55"/>
      <c r="FM12" s="55">
        <f>_xll.ciqfunctions.udf.CIQ($A12, "IQ_AR_TURNS",IQ_LTM,$I$5,)</f>
        <v>5.8335400000000002</v>
      </c>
      <c r="FN12" s="55"/>
      <c r="FO12" s="55">
        <f>_xll.ciqfunctions.udf.CIQ($A12, "IQ_INVENTORY_TURNS",IQ_LTM,$I$5,)</f>
        <v>97.514229999999998</v>
      </c>
      <c r="FR12" s="114">
        <f>_xll.ciqfunctions.udf.CIQ($A12,"IQ_PERIODDATE",IQ_FY,$I$5)</f>
        <v>45838</v>
      </c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 s="2" customFormat="1" x14ac:dyDescent="0.2">
      <c r="A13" s="111" t="str">
        <f>_xll.ciqfunctions.udf.CIQ($A$21,"IQ_QUICK_COMP",7)</f>
        <v>NYSE:EPAM</v>
      </c>
      <c r="C13" s="111" t="str">
        <f>_xll.ciqfunctions.udf.CIQ($A13, "IQ_COMPANY_NAME")</f>
        <v>EPAM Systems, Inc.</v>
      </c>
      <c r="D13" s="39"/>
      <c r="E13" s="35">
        <f>_xll.ciqfunctions.udf.CIQ($A13,"IQ_PERIODDATE",IQ_FY,$I$5)</f>
        <v>46022</v>
      </c>
      <c r="F13" s="35"/>
      <c r="G13" s="35">
        <f>_xll.ciqfunctions.udf.CIQ($A13,"IQ_PERIODDATE",IQ_LTM,$I$5)</f>
        <v>46022</v>
      </c>
      <c r="H13" s="39"/>
      <c r="I13" s="29">
        <f>_xll.ciqfunctions.udf.CIQ($A13, "IQ_LASTSALEPRICE",$I$5,Ccy,Conv)</f>
        <v>145.32</v>
      </c>
      <c r="J13" s="29"/>
      <c r="K13" s="29">
        <f>_xll.ciqfunctions.udf.CIQ($A13, "IQ_YEARHIGH",$I$5,Ccy,Conv)</f>
        <v>222.53</v>
      </c>
      <c r="L13" s="29"/>
      <c r="M13" s="29">
        <f>_xll.ciqfunctions.udf.CIQ($A13, "IQ_YEARLOW",$I$5,Ccy,Conv)</f>
        <v>125.57</v>
      </c>
      <c r="N13" s="39"/>
      <c r="O13" s="112">
        <f t="shared" si="0"/>
        <v>0.65303554576910972</v>
      </c>
      <c r="P13" s="112"/>
      <c r="Q13" s="112">
        <f t="shared" si="1"/>
        <v>1.1572827904754321</v>
      </c>
      <c r="R13" s="39"/>
      <c r="S13" s="18">
        <f>_xll.ciqfunctions.udf.CIQ($A13, "IQ_SHARESOUTSTANDING",$I$5)</f>
        <v>54.139969999999998</v>
      </c>
      <c r="T13" s="39"/>
      <c r="U13" s="60">
        <f t="shared" si="2"/>
        <v>7867.6204403999991</v>
      </c>
      <c r="V13" s="60"/>
      <c r="W13" s="18">
        <f>_xll.ciqfunctions.udf.CIQ($A13, "IQ_CASH_ST_INVEST",IQ_FQ,$I$5,,"F",Ccy,Conv)</f>
        <v>1296.077</v>
      </c>
      <c r="X13" s="18"/>
      <c r="Y13" s="18">
        <f>_xll.ciqfunctions.udf.CIQ($A13, "IQ_TOTAL_DEBT",IQ_FQ,$I$5,,"F",Ccy,Conv)</f>
        <v>143.70400000000001</v>
      </c>
      <c r="Z13" s="18"/>
      <c r="AA13" s="18">
        <f>_xll.ciqfunctions.udf.CIQ($A13, "IQ_PREF_EQUITY",IQ_FQ,$I$5,,"F",Ccy,Conv)</f>
        <v>0</v>
      </c>
      <c r="AB13" s="18"/>
      <c r="AC13" s="18">
        <f>_xll.ciqfunctions.udf.CIQ($A13, "IQ_MINORITY_INTEREST_TOTAL",IQ_FQ,$I$5,,"F",Ccy,Conv)</f>
        <v>0.58199999999999996</v>
      </c>
      <c r="AD13" s="60"/>
      <c r="AE13" s="60">
        <f t="shared" si="6"/>
        <v>6715.8294403999989</v>
      </c>
      <c r="AF13" s="60"/>
      <c r="AG13" s="18">
        <f>_xll.ciqfunctions.udf.CIQ($A13, "IQ_TOTAL_REV", IQ_FY,$I$5,,,Ccy,Conv)</f>
        <v>5457.0559999999996</v>
      </c>
      <c r="AH13" s="18"/>
      <c r="AI13" s="18">
        <f>_xll.ciqfunctions.udf.CIQ($A13, "IQ_TOTAL_REV", IQ_LTM,$I$5,,,Ccy,Conv)</f>
        <v>5457.0559999999996</v>
      </c>
      <c r="AJ13" s="18"/>
      <c r="AK13" s="18">
        <f>_xll.ciqfunctions.udf.CIQ($A13, "IQ_REVENUE_EST", IQ_CY+ 1,$I$5,,,Ccy,Conv)</f>
        <v>5808.3819800000001</v>
      </c>
      <c r="AL13" s="18"/>
      <c r="AM13" s="18">
        <f>_xll.ciqfunctions.udf.CIQ($A13, "IQ_REVENUE_EST", IQ_CY+ 2,$I$5,,,Ccy,Conv)</f>
        <v>6227.7048800000002</v>
      </c>
      <c r="AN13" s="60"/>
      <c r="AO13" s="18">
        <f>_xll.ciqfunctions.udf.CIQ($A13, "IQ_EBITDA", IQ_FY,$I$5,,,Ccy,Conv)</f>
        <v>707.23</v>
      </c>
      <c r="AP13" s="18"/>
      <c r="AQ13" s="18">
        <f>_xll.ciqfunctions.udf.CIQ($A13, "IQ_EBITDA", IQ_LTM,$I$5,,,Ccy,Conv)</f>
        <v>707.23</v>
      </c>
      <c r="AR13" s="18"/>
      <c r="AS13" s="18">
        <f>_xll.ciqfunctions.udf.CIQ($A13, "IQ_EBITDA_EST", IQ_CY+ 1,$I$5,,,Ccy,Conv)</f>
        <v>970.09995000000004</v>
      </c>
      <c r="AT13" s="18"/>
      <c r="AU13" s="18">
        <f>_xll.ciqfunctions.udf.CIQ($A13, "IQ_EBITDA_EST", IQ_CY+ 2,$I$5,,,Ccy,Conv)</f>
        <v>1069.9393500000001</v>
      </c>
      <c r="AV13" s="60"/>
      <c r="AW13" s="29">
        <f>_xll.ciqfunctions.udf.CIQ($A13, "IQ_DILUT_EPS_EXCL", IQ_FY,$I$5,,,Ccy,Conv)</f>
        <v>6.72</v>
      </c>
      <c r="AX13" s="29"/>
      <c r="AY13" s="29">
        <f>_xll.ciqfunctions.udf.CIQ($A13, "IQ_DILUT_EPS_EXCL", IQ_LTM,$I$5,,,Ccy,Conv)</f>
        <v>6.72</v>
      </c>
      <c r="AZ13" s="29"/>
      <c r="BA13" s="29">
        <f>_xll.ciqfunctions.udf.CIQ($A13, "IQ_EPS_EST", IQ_CY+ 1,$I$5,,,Ccy,Conv)</f>
        <v>12.7584</v>
      </c>
      <c r="BB13" s="29"/>
      <c r="BC13" s="29">
        <f>_xll.ciqfunctions.udf.CIQ($A13, "IQ_EPS_EST", IQ_CY+ 2,$I$5,,,Ccy,Conv)</f>
        <v>13.911820000000001</v>
      </c>
      <c r="BD13" s="39"/>
      <c r="BE13" s="55">
        <f>_xll.ciqfunctions.udf.CIQ($A13, "IQ_TEV_TOTAL_REV",IQ_LTM,$FR13)</f>
        <v>1.93187</v>
      </c>
      <c r="BF13" s="55"/>
      <c r="BG13" s="55">
        <f>_xll.ciqfunctions.udf.CIQ($A13, "IQ_TEV_TOTAL_REV",IQ_LTM,$I$5)</f>
        <v>1.22333</v>
      </c>
      <c r="BH13" s="60"/>
      <c r="BI13" s="113">
        <f t="shared" si="3"/>
        <v>1.1562306789609589</v>
      </c>
      <c r="BJ13" s="113"/>
      <c r="BK13" s="113">
        <f t="shared" si="4"/>
        <v>1.0783795266162322</v>
      </c>
      <c r="BL13" s="60"/>
      <c r="BM13" s="55">
        <f>_xll.ciqfunctions.udf.CIQ($A13, "IQ_TEV_EBITDA",IQ_LTM,$FR13)</f>
        <v>13.49123</v>
      </c>
      <c r="BN13" s="55"/>
      <c r="BO13" s="55">
        <f>_xll.ciqfunctions.udf.CIQ($A13, "IQ_TEV_EBITDA",IQ_LTM,$I$5)</f>
        <v>8.6461000000000006</v>
      </c>
      <c r="BP13" s="55"/>
      <c r="BQ13" s="55">
        <f>_xll.ciqfunctions.udf.CIQ($A13, "IQ_TEV_EBITDA_FWD",IQ_CY+1,$I$5)</f>
        <v>6.8815200000000001</v>
      </c>
      <c r="BR13" s="55"/>
      <c r="BS13" s="55">
        <f>_xll.ciqfunctions.udf.CIQ($A13, "IQ_TEV_EBITDA_FWD",IQ_CY+2,$I$5)</f>
        <v>6.2393900000000002</v>
      </c>
      <c r="BT13" s="60"/>
      <c r="BU13" s="55">
        <f>_xll.ciqfunctions.udf.CIQ($A13, "IQ_PE_EXCL",IQ_LTM,$FR13)</f>
        <v>31.27694</v>
      </c>
      <c r="BV13" s="55"/>
      <c r="BW13" s="55">
        <f>_xll.ciqfunctions.udf.CIQ($A13, "IQ_PE_EXCL",IQ_LTM,$I$5)</f>
        <v>21.514880000000002</v>
      </c>
      <c r="BX13" s="55"/>
      <c r="BY13" s="55">
        <f>_xll.ciqfunctions.udf.CIQ($A13, "IQ_PE_EXCL_FWD",IQ_CY+1,$I$5)</f>
        <v>11.332140000000001</v>
      </c>
      <c r="BZ13" s="55"/>
      <c r="CA13" s="55">
        <f>_xll.ciqfunctions.udf.CIQ($A13, "IQ_PE_EXCL_FWD",IQ_CY+2,$I$5)</f>
        <v>10.3926</v>
      </c>
      <c r="CB13" s="60"/>
      <c r="CC13" s="55">
        <f>_xll.ciqfunctions.udf.CIQ($A13, "IQ_PBV",IQ_LTM,$I$5,)</f>
        <v>2.1339299999999999</v>
      </c>
      <c r="CD13" s="55"/>
      <c r="CE13" s="55">
        <f>_xll.ciqfunctions.udf.CIQ($A13, "IQ_PTBV",IQ_LTM,$I$5,)</f>
        <v>3.80905</v>
      </c>
      <c r="CF13" s="39"/>
      <c r="CG13" s="18">
        <f>_xll.ciqfunctions.udf.CIQ($A13, "IQ_GROSS_MARGIN", IQ_FY- 2,$I$5,)</f>
        <v>31.013999999999999</v>
      </c>
      <c r="CH13" s="18"/>
      <c r="CI13" s="18">
        <f>_xll.ciqfunctions.udf.CIQ($A13, "IQ_GROSS_MARGIN", IQ_FY- 1,$I$5,)</f>
        <v>30.7288</v>
      </c>
      <c r="CJ13" s="18"/>
      <c r="CK13" s="18">
        <f>_xll.ciqfunctions.udf.CIQ($A13, "IQ_GROSS_MARGIN", IQ_FY,$I$5,)</f>
        <v>28.8767</v>
      </c>
      <c r="CL13" s="18"/>
      <c r="CM13" s="18">
        <f>_xll.ciqfunctions.udf.CIQ($A13, "IQ_GROSS_MARGIN", IQ_LTM,$I$5,)</f>
        <v>28.8767</v>
      </c>
      <c r="CN13" s="60"/>
      <c r="CO13" s="18">
        <f>_xll.ciqfunctions.udf.CIQ($A13, "IQ_EBITDA_MARGIN", IQ_FY- 2,$I$5,)</f>
        <v>13.910500000000001</v>
      </c>
      <c r="CP13" s="18"/>
      <c r="CQ13" s="18">
        <f>_xll.ciqfunctions.udf.CIQ($A13, "IQ_EBITDA_MARGIN", IQ_FY- 1,$I$5,)</f>
        <v>14.656000000000001</v>
      </c>
      <c r="CR13" s="18"/>
      <c r="CS13" s="18">
        <f>_xll.ciqfunctions.udf.CIQ($A13, "IQ_EBITDA_MARGIN", IQ_FY,$I$5,)</f>
        <v>12.959899999999999</v>
      </c>
      <c r="CT13" s="18"/>
      <c r="CU13" s="18">
        <f>_xll.ciqfunctions.udf.CIQ($A13, "IQ_EBITDA_MARGIN", IQ_LTM,$I$5,)</f>
        <v>12.959899999999999</v>
      </c>
      <c r="CV13" s="60"/>
      <c r="CW13" s="18">
        <f>_xll.ciqfunctions.udf.CIQ($A13, "IQ_NI_MARGIN", IQ_FY- 2,$I$5,)</f>
        <v>8.8919999999999995</v>
      </c>
      <c r="CX13" s="18"/>
      <c r="CY13" s="18">
        <f>_xll.ciqfunctions.udf.CIQ($A13, "IQ_NI_MARGIN", IQ_FY- 1,$I$5,)</f>
        <v>9.6136999999999997</v>
      </c>
      <c r="CZ13" s="18"/>
      <c r="DA13" s="18">
        <f>_xll.ciqfunctions.udf.CIQ($A13, "IQ_NI_MARGIN", IQ_FY,$I$5,)</f>
        <v>6.9208999999999996</v>
      </c>
      <c r="DB13" s="18"/>
      <c r="DC13" s="18">
        <f>_xll.ciqfunctions.udf.CIQ($A13, "IQ_NI_MARGIN", IQ_LTM,$I$5,)</f>
        <v>6.9208999999999996</v>
      </c>
      <c r="DD13" s="39"/>
      <c r="DE13" s="18">
        <f>_xll.ciqfunctions.udf.CIQ($A13, "IQ_TOTAL_REV_5YR_ANN_CAGR",IQ_LTM,$I$5,)</f>
        <v>15.4602</v>
      </c>
      <c r="DF13" s="18"/>
      <c r="DG13" s="18">
        <f>_xll.ciqfunctions.udf.CIQ($A13, "IQ_TOTAL_REV_3YR_ANN_CAGR",IQ_LTM,$I$5,)</f>
        <v>4.1908000000000003</v>
      </c>
      <c r="DH13" s="18"/>
      <c r="DI13" s="18">
        <f>_xll.ciqfunctions.udf.CIQ($A13, "IQ_TOTAL_REV_1YR_ANN_GROWTH", IQ_FY,$I$5,)</f>
        <v>15.4214</v>
      </c>
      <c r="DJ13" s="18"/>
      <c r="DK13" s="18">
        <f>_xll.ciqfunctions.udf.CIQ($A13, "IQ_TOTAL_REV_1YR_ANN_GROWTH",IQ_LTM,$I$5,)</f>
        <v>15.4214</v>
      </c>
      <c r="DL13" s="60"/>
      <c r="DM13" s="18">
        <f>_xll.ciqfunctions.udf.CIQ($A13, "IQ_EBITDA_5YR_ANN_CAGR",IQ_LTM,$I$5,)</f>
        <v>9.9002999999999997</v>
      </c>
      <c r="DN13" s="18"/>
      <c r="DO13" s="18">
        <f>_xll.ciqfunctions.udf.CIQ($A13, "IQ_EBITDA_3YR_ANN_CAGR",IQ_LTM,$I$5,)</f>
        <v>-3.9872999999999998</v>
      </c>
      <c r="DP13" s="18"/>
      <c r="DQ13" s="18">
        <f>_xll.ciqfunctions.udf.CIQ($A13, "IQ_EBITDA_1YR_ANN_GROWTH", IQ_FY,$I$5,)</f>
        <v>2.0638999999999998</v>
      </c>
      <c r="DR13" s="18"/>
      <c r="DS13" s="18">
        <f>_xll.ciqfunctions.udf.CIQ($A13, "IQ_EBITDA_1YR_ANN_GROWTH",IQ_LTM,$I$5,)</f>
        <v>2.0638999999999998</v>
      </c>
      <c r="DT13" s="60"/>
      <c r="DU13" s="18">
        <f>_xll.ciqfunctions.udf.CIQ($A13, "IQ_EPS_5YR_ANN_CAGR",IQ_LTM,$I$5,)</f>
        <v>3.7136999999999998</v>
      </c>
      <c r="DV13" s="18"/>
      <c r="DW13" s="18">
        <f>_xll.ciqfunctions.udf.CIQ($A13, "IQ_EPS_3YR_ANN_CAGR",IQ_LTM,$I$5,)</f>
        <v>-1.7706999999999999</v>
      </c>
      <c r="DX13" s="18"/>
      <c r="DY13" s="18">
        <f>_xll.ciqfunctions.udf.CIQ($A13, "IQ_EPS_1YR_ANN_GROWTH", IQ_FY,$I$5,)</f>
        <v>-14.2858</v>
      </c>
      <c r="DZ13" s="18"/>
      <c r="EA13" s="18">
        <f>_xll.ciqfunctions.udf.CIQ($A13, "IQ_EPS_1YR_ANN_GROWTH", IQ_LTM,$I$5,)</f>
        <v>-14.2858</v>
      </c>
      <c r="EB13" s="39"/>
      <c r="EC13" s="55">
        <f>_xll.ciqfunctions.udf.CIQ($A13, "IQ_TOTAL_DEBT_EBITDA",IQ_LTM,$I$5,)</f>
        <v>0.18612000000000001</v>
      </c>
      <c r="ED13" s="55"/>
      <c r="EE13" s="55" t="str">
        <f>_xll.ciqfunctions.udf.CIQ($A13, "IQ_NET_DEBT_EBITDA",IQ_LTM,$I$5,)</f>
        <v>NM</v>
      </c>
      <c r="EF13" s="18"/>
      <c r="EG13" s="116">
        <f t="shared" si="5"/>
        <v>0.2031927378646268</v>
      </c>
      <c r="EH13" s="18"/>
      <c r="EI13" s="55">
        <f>_xll.ciqfunctions.udf.CIQ($A13, "IQ_EBITDA_INT",IQ_LTM,$I$5,)</f>
        <v>0</v>
      </c>
      <c r="EJ13" s="55"/>
      <c r="EK13" s="55">
        <f>_xll.ciqfunctions.udf.CIQ($A13, "IQ_EBITDA_CAPEX_INT",IQ_LTM,$I$5,)</f>
        <v>0</v>
      </c>
      <c r="EL13" s="59"/>
      <c r="EM13" s="18">
        <f>_xll.ciqfunctions.udf.CIQ($A13, "IQ_TOTAL_DEBT_EQUITY",IQ_FQ,$I$5,)</f>
        <v>3.9073000000000002</v>
      </c>
      <c r="EN13" s="18"/>
      <c r="EO13" s="18">
        <f>_xll.ciqfunctions.udf.CIQ($A13, "IQ_TOTAL_DEBT_CAPITAL",IQ_FQ,$I$5,)</f>
        <v>3.7603</v>
      </c>
      <c r="EP13" s="39"/>
      <c r="EQ13" s="18">
        <f>_xll.ciqfunctions.udf.CIQ($A13, "IQ_RETURN_EQUITY",IQ_LTM,$I$5)</f>
        <v>10.3346</v>
      </c>
      <c r="ER13" s="18"/>
      <c r="ES13" s="18">
        <f>_xll.ciqfunctions.udf.CIQ($A13, "IQ_RETURN_ASSETS",IQ_LTM,$I$5)</f>
        <v>7.5454999999999997</v>
      </c>
      <c r="ET13" s="18"/>
      <c r="EU13" s="18">
        <f>_xll.ciqfunctions.udf.CIQ($A13, "IQ_RETURN_INVESTED_CAPITAL",IQ_LTM,$I$5)</f>
        <v>9.9181000000000008</v>
      </c>
      <c r="EV13" s="39"/>
      <c r="EW13" s="55">
        <f>_xll.ciqfunctions.udf.CIQ($A13, "IQ_CURRENT_RATIO",IQ_FQ,$I$5,)</f>
        <v>2.5936900000000001</v>
      </c>
      <c r="EX13" s="55"/>
      <c r="EY13" s="55">
        <f>_xll.ciqfunctions.udf.CIQ($A13, "IQ_QUICK_RATIO",IQ_FQ,$I$5,)</f>
        <v>2.4831300000000001</v>
      </c>
      <c r="EZ13" s="59"/>
      <c r="FA13" s="18">
        <f>_xll.ciqfunctions.udf.CIQ($A13, "IQ_DAYS_SALES_OUT",IQ_LTM,$I$5,)</f>
        <v>70.577129999999997</v>
      </c>
      <c r="FB13" s="18"/>
      <c r="FC13" s="18">
        <f>_xll.ciqfunctions.udf.CIQ($A13, "IQ_DAYS_INVENTORY_OUT",IQ_LTM,$I$5,)</f>
        <v>0</v>
      </c>
      <c r="FD13" s="18"/>
      <c r="FE13" s="18">
        <f>_xll.ciqfunctions.udf.CIQ($A13, "IQ_DAYS_PAYABLE_OUT",IQ_LTM,$I$5,)</f>
        <v>4.7033899999999997</v>
      </c>
      <c r="FF13" s="18"/>
      <c r="FG13" s="18">
        <f>_xll.ciqfunctions.udf.CIQ($A13, "IQ_CASH_CONVERSION",IQ_LTM,$I$5,)</f>
        <v>0</v>
      </c>
      <c r="FH13" s="59"/>
      <c r="FI13" s="55">
        <f>_xll.ciqfunctions.udf.CIQ($A13, "IQ_ASSET_TURNS",IQ_LTM,$I$5,)</f>
        <v>1.13069</v>
      </c>
      <c r="FJ13" s="55"/>
      <c r="FK13" s="55">
        <f>_xll.ciqfunctions.udf.CIQ($A13, "IQ_FIXED_ASSET_TURNS",IQ_LTM,$I$5,)</f>
        <v>16.70937</v>
      </c>
      <c r="FL13" s="55"/>
      <c r="FM13" s="55">
        <f>_xll.ciqfunctions.udf.CIQ($A13, "IQ_AR_TURNS",IQ_LTM,$I$5,)</f>
        <v>5.17164</v>
      </c>
      <c r="FN13" s="55"/>
      <c r="FO13" s="55">
        <f>_xll.ciqfunctions.udf.CIQ($A13, "IQ_INVENTORY_TURNS",IQ_LTM,$I$5,)</f>
        <v>0</v>
      </c>
      <c r="FR13" s="114">
        <f>_xll.ciqfunctions.udf.CIQ($A13,"IQ_PERIODDATE",IQ_FY,$I$5)</f>
        <v>46022</v>
      </c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 s="2" customFormat="1" x14ac:dyDescent="0.2">
      <c r="A14" s="111" t="str">
        <f>_xll.ciqfunctions.udf.CIQ($A$21,"IQ_QUICK_COMP",8)</f>
        <v>NasdaqGS:NTAP</v>
      </c>
      <c r="C14" s="111" t="str">
        <f>_xll.ciqfunctions.udf.CIQ($A14, "IQ_COMPANY_NAME")</f>
        <v>NetApp, Inc.</v>
      </c>
      <c r="D14" s="39"/>
      <c r="E14" s="35">
        <f>_xll.ciqfunctions.udf.CIQ($A14,"IQ_PERIODDATE",IQ_FY,$I$5)</f>
        <v>45772</v>
      </c>
      <c r="F14" s="35"/>
      <c r="G14" s="35">
        <f>_xll.ciqfunctions.udf.CIQ($A14,"IQ_PERIODDATE",IQ_LTM,$I$5)</f>
        <v>46045</v>
      </c>
      <c r="H14" s="39"/>
      <c r="I14" s="29">
        <f>_xll.ciqfunctions.udf.CIQ($A14, "IQ_LASTSALEPRICE",$I$5,Ccy,Conv)</f>
        <v>101.166</v>
      </c>
      <c r="J14" s="29"/>
      <c r="K14" s="29">
        <f>_xll.ciqfunctions.udf.CIQ($A14, "IQ_YEARHIGH",$I$5,Ccy,Conv)</f>
        <v>126.66</v>
      </c>
      <c r="L14" s="29"/>
      <c r="M14" s="29">
        <f>_xll.ciqfunctions.udf.CIQ($A14, "IQ_YEARLOW",$I$5,Ccy,Conv)</f>
        <v>71.837800000000001</v>
      </c>
      <c r="N14" s="39"/>
      <c r="O14" s="112">
        <f t="shared" si="0"/>
        <v>0.79872098531501656</v>
      </c>
      <c r="P14" s="112"/>
      <c r="Q14" s="112">
        <f t="shared" si="1"/>
        <v>1.408255820751749</v>
      </c>
      <c r="R14" s="39"/>
      <c r="S14" s="18">
        <f>_xll.ciqfunctions.udf.CIQ($A14, "IQ_SHARESOUTSTANDING",$I$5)</f>
        <v>197.3304</v>
      </c>
      <c r="T14" s="39"/>
      <c r="U14" s="60">
        <f t="shared" si="2"/>
        <v>19963.127246399999</v>
      </c>
      <c r="V14" s="60"/>
      <c r="W14" s="18">
        <f>_xll.ciqfunctions.udf.CIQ($A14, "IQ_CASH_ST_INVEST",IQ_FQ,$I$5,,"F",Ccy,Conv)</f>
        <v>3015</v>
      </c>
      <c r="X14" s="18"/>
      <c r="Y14" s="18">
        <f>_xll.ciqfunctions.udf.CIQ($A14, "IQ_TOTAL_DEBT",IQ_FQ,$I$5,,"F",Ccy,Conv)</f>
        <v>2734</v>
      </c>
      <c r="Z14" s="18"/>
      <c r="AA14" s="18">
        <f>_xll.ciqfunctions.udf.CIQ($A14, "IQ_PREF_EQUITY",IQ_FQ,$I$5,,"F",Ccy,Conv)</f>
        <v>0</v>
      </c>
      <c r="AB14" s="18"/>
      <c r="AC14" s="18">
        <f>_xll.ciqfunctions.udf.CIQ($A14, "IQ_MINORITY_INTEREST_TOTAL",IQ_FQ,$I$5,,"F",Ccy,Conv)</f>
        <v>0</v>
      </c>
      <c r="AD14" s="60"/>
      <c r="AE14" s="60">
        <f t="shared" si="6"/>
        <v>19682.127246399999</v>
      </c>
      <c r="AF14" s="60"/>
      <c r="AG14" s="18">
        <f>_xll.ciqfunctions.udf.CIQ($A14, "IQ_TOTAL_REV", IQ_FY,$I$5,,,Ccy,Conv)</f>
        <v>6572</v>
      </c>
      <c r="AH14" s="18"/>
      <c r="AI14" s="18">
        <f>_xll.ciqfunctions.udf.CIQ($A14, "IQ_TOTAL_REV", IQ_LTM,$I$5,,,Ccy,Conv)</f>
        <v>6709</v>
      </c>
      <c r="AJ14" s="18"/>
      <c r="AK14" s="18">
        <f>_xll.ciqfunctions.udf.CIQ($A14, "IQ_REVENUE_EST", IQ_CY+ 1,$I$5,,,Ccy,Conv)</f>
        <v>7110.9258</v>
      </c>
      <c r="AL14" s="18"/>
      <c r="AM14" s="18">
        <f>_xll.ciqfunctions.udf.CIQ($A14, "IQ_REVENUE_EST", IQ_CY+ 2,$I$5,,,Ccy,Conv)</f>
        <v>7385.1714000000002</v>
      </c>
      <c r="AN14" s="60"/>
      <c r="AO14" s="18">
        <f>_xll.ciqfunctions.udf.CIQ($A14, "IQ_EBITDA", IQ_FY,$I$5,,,Ccy,Conv)</f>
        <v>1640</v>
      </c>
      <c r="AP14" s="18"/>
      <c r="AQ14" s="18">
        <f>_xll.ciqfunctions.udf.CIQ($A14, "IQ_EBITDA", IQ_LTM,$I$5,,,Ccy,Conv)</f>
        <v>1751</v>
      </c>
      <c r="AR14" s="18"/>
      <c r="AS14" s="18">
        <f>_xll.ciqfunctions.udf.CIQ($A14, "IQ_EBITDA_EST", IQ_CY+ 1,$I$5,,,Ccy,Conv)</f>
        <v>2266.0628000000002</v>
      </c>
      <c r="AT14" s="18"/>
      <c r="AU14" s="18">
        <f>_xll.ciqfunctions.udf.CIQ($A14, "IQ_EBITDA_EST", IQ_CY+ 2,$I$5,,,Ccy,Conv)</f>
        <v>2354.9306000000001</v>
      </c>
      <c r="AV14" s="60"/>
      <c r="AW14" s="29">
        <f>_xll.ciqfunctions.udf.CIQ($A14, "IQ_DILUT_EPS_EXCL", IQ_FY,$I$5,,,Ccy,Conv)</f>
        <v>5.67</v>
      </c>
      <c r="AX14" s="29"/>
      <c r="AY14" s="29">
        <f>_xll.ciqfunctions.udf.CIQ($A14, "IQ_DILUT_EPS_EXCL", IQ_LTM,$I$5,,,Ccy,Conv)</f>
        <v>5.9673400000000001</v>
      </c>
      <c r="AZ14" s="29"/>
      <c r="BA14" s="29">
        <f>_xll.ciqfunctions.udf.CIQ($A14, "IQ_EPS_EST", IQ_CY+ 1,$I$5,,,Ccy,Conv)</f>
        <v>8.3858999999999995</v>
      </c>
      <c r="BB14" s="29"/>
      <c r="BC14" s="29">
        <f>_xll.ciqfunctions.udf.CIQ($A14, "IQ_EPS_EST", IQ_CY+ 2,$I$5,,,Ccy,Conv)</f>
        <v>8.6435999999999993</v>
      </c>
      <c r="BD14" s="39"/>
      <c r="BE14" s="55">
        <f>_xll.ciqfunctions.udf.CIQ($A14, "IQ_TEV_TOTAL_REV",IQ_LTM,$FR14)</f>
        <v>2.76179</v>
      </c>
      <c r="BF14" s="55"/>
      <c r="BG14" s="55">
        <f>_xll.ciqfunctions.udf.CIQ($A14, "IQ_TEV_TOTAL_REV",IQ_LTM,$I$5)</f>
        <v>2.9614600000000002</v>
      </c>
      <c r="BH14" s="60"/>
      <c r="BI14" s="113">
        <f t="shared" si="3"/>
        <v>2.7678712730204551</v>
      </c>
      <c r="BJ14" s="113"/>
      <c r="BK14" s="113">
        <f t="shared" si="4"/>
        <v>2.6650874001922285</v>
      </c>
      <c r="BL14" s="60"/>
      <c r="BM14" s="55">
        <f>_xll.ciqfunctions.udf.CIQ($A14, "IQ_TEV_EBITDA",IQ_LTM,$FR14)</f>
        <v>10.673249999999999</v>
      </c>
      <c r="BN14" s="55"/>
      <c r="BO14" s="55">
        <f>_xll.ciqfunctions.udf.CIQ($A14, "IQ_TEV_EBITDA",IQ_LTM,$I$5)</f>
        <v>10.93473</v>
      </c>
      <c r="BP14" s="55"/>
      <c r="BQ14" s="55">
        <f>_xll.ciqfunctions.udf.CIQ($A14, "IQ_TEV_EBITDA_FWD",IQ_CY+1,$I$5)</f>
        <v>8.7678100000000008</v>
      </c>
      <c r="BR14" s="55"/>
      <c r="BS14" s="55">
        <f>_xll.ciqfunctions.udf.CIQ($A14, "IQ_TEV_EBITDA_FWD",IQ_CY+2,$I$5)</f>
        <v>8.4369399999999999</v>
      </c>
      <c r="BT14" s="60"/>
      <c r="BU14" s="55">
        <f>_xll.ciqfunctions.udf.CIQ($A14, "IQ_PE_EXCL",IQ_LTM,$FR14)</f>
        <v>16.378769999999999</v>
      </c>
      <c r="BV14" s="55"/>
      <c r="BW14" s="55">
        <f>_xll.ciqfunctions.udf.CIQ($A14, "IQ_PE_EXCL",IQ_LTM,$I$5)</f>
        <v>17.11148</v>
      </c>
      <c r="BX14" s="55"/>
      <c r="BY14" s="55">
        <f>_xll.ciqfunctions.udf.CIQ($A14, "IQ_PE_EXCL_FWD",IQ_CY+1,$I$5)</f>
        <v>12.17639</v>
      </c>
      <c r="BZ14" s="55"/>
      <c r="CA14" s="55">
        <f>_xll.ciqfunctions.udf.CIQ($A14, "IQ_PE_EXCL_FWD",IQ_CY+2,$I$5)</f>
        <v>11.813359999999999</v>
      </c>
      <c r="CB14" s="60"/>
      <c r="CC14" s="55">
        <f>_xll.ciqfunctions.udf.CIQ($A14, "IQ_PBV",IQ_LTM,$I$5,)</f>
        <v>17.459230000000002</v>
      </c>
      <c r="CD14" s="55"/>
      <c r="CE14" s="55" t="str">
        <f>_xll.ciqfunctions.udf.CIQ($A14, "IQ_PTBV",IQ_LTM,$I$5,)</f>
        <v>NM</v>
      </c>
      <c r="CF14" s="39"/>
      <c r="CG14" s="18">
        <f>_xll.ciqfunctions.udf.CIQ($A14, "IQ_GROSS_MARGIN", IQ_FY- 2,$I$5,)</f>
        <v>66.1584</v>
      </c>
      <c r="CH14" s="18"/>
      <c r="CI14" s="18">
        <f>_xll.ciqfunctions.udf.CIQ($A14, "IQ_GROSS_MARGIN", IQ_FY- 1,$I$5,)</f>
        <v>70.724299999999999</v>
      </c>
      <c r="CJ14" s="18"/>
      <c r="CK14" s="18">
        <f>_xll.ciqfunctions.udf.CIQ($A14, "IQ_GROSS_MARGIN", IQ_FY,$I$5,)</f>
        <v>70.191699999999997</v>
      </c>
      <c r="CL14" s="18"/>
      <c r="CM14" s="18">
        <f>_xll.ciqfunctions.udf.CIQ($A14, "IQ_GROSS_MARGIN", IQ_LTM,$I$5,)</f>
        <v>70.457499999999996</v>
      </c>
      <c r="CN14" s="60"/>
      <c r="CO14" s="18">
        <f>_xll.ciqfunctions.udf.CIQ($A14, "IQ_EBITDA_MARGIN", IQ_FY- 2,$I$5,)</f>
        <v>21.455500000000001</v>
      </c>
      <c r="CP14" s="18"/>
      <c r="CQ14" s="18">
        <f>_xll.ciqfunctions.udf.CIQ($A14, "IQ_EBITDA_MARGIN", IQ_FY- 1,$I$5,)</f>
        <v>23.755500000000001</v>
      </c>
      <c r="CR14" s="18"/>
      <c r="CS14" s="18">
        <f>_xll.ciqfunctions.udf.CIQ($A14, "IQ_EBITDA_MARGIN", IQ_FY,$I$5,)</f>
        <v>24.9543</v>
      </c>
      <c r="CT14" s="18"/>
      <c r="CU14" s="18">
        <f>_xll.ciqfunctions.udf.CIQ($A14, "IQ_EBITDA_MARGIN", IQ_LTM,$I$5,)</f>
        <v>26.0992</v>
      </c>
      <c r="CV14" s="60"/>
      <c r="CW14" s="18">
        <f>_xll.ciqfunctions.udf.CIQ($A14, "IQ_NI_MARGIN", IQ_FY- 2,$I$5,)</f>
        <v>20.025099999999998</v>
      </c>
      <c r="CX14" s="18"/>
      <c r="CY14" s="18">
        <f>_xll.ciqfunctions.udf.CIQ($A14, "IQ_NI_MARGIN", IQ_FY- 1,$I$5,)</f>
        <v>15.730600000000001</v>
      </c>
      <c r="CZ14" s="18"/>
      <c r="DA14" s="18">
        <f>_xll.ciqfunctions.udf.CIQ($A14, "IQ_NI_MARGIN", IQ_FY,$I$5,)</f>
        <v>18.046199999999999</v>
      </c>
      <c r="DB14" s="18"/>
      <c r="DC14" s="18">
        <f>_xll.ciqfunctions.udf.CIQ($A14, "IQ_NI_MARGIN", IQ_LTM,$I$5,)</f>
        <v>18.065200000000001</v>
      </c>
      <c r="DD14" s="39"/>
      <c r="DE14" s="18">
        <f>_xll.ciqfunctions.udf.CIQ($A14, "IQ_TOTAL_REV_5YR_ANN_CAGR",IQ_LTM,$I$5,)</f>
        <v>3.7168000000000001</v>
      </c>
      <c r="DF14" s="18"/>
      <c r="DG14" s="18">
        <f>_xll.ciqfunctions.udf.CIQ($A14, "IQ_TOTAL_REV_3YR_ANN_CAGR",IQ_LTM,$I$5,)</f>
        <v>1.2634000000000001</v>
      </c>
      <c r="DH14" s="18"/>
      <c r="DI14" s="18">
        <f>_xll.ciqfunctions.udf.CIQ($A14, "IQ_TOTAL_REV_1YR_ANN_GROWTH", IQ_FY,$I$5,)</f>
        <v>4.8499999999999996</v>
      </c>
      <c r="DJ14" s="18"/>
      <c r="DK14" s="18">
        <f>_xll.ciqfunctions.udf.CIQ($A14, "IQ_TOTAL_REV_1YR_ANN_GROWTH",IQ_LTM,$I$5,)</f>
        <v>3.0884999999999998</v>
      </c>
      <c r="DL14" s="60"/>
      <c r="DM14" s="18">
        <f>_xll.ciqfunctions.udf.CIQ($A14, "IQ_EBITDA_5YR_ANN_CAGR",IQ_LTM,$I$5,)</f>
        <v>10.1469</v>
      </c>
      <c r="DN14" s="18"/>
      <c r="DO14" s="18">
        <f>_xll.ciqfunctions.udf.CIQ($A14, "IQ_EBITDA_3YR_ANN_CAGR",IQ_LTM,$I$5,)</f>
        <v>9.6001999999999992</v>
      </c>
      <c r="DP14" s="18"/>
      <c r="DQ14" s="18">
        <f>_xll.ciqfunctions.udf.CIQ($A14, "IQ_EBITDA_1YR_ANN_GROWTH", IQ_FY,$I$5,)</f>
        <v>10.141</v>
      </c>
      <c r="DR14" s="18"/>
      <c r="DS14" s="18">
        <f>_xll.ciqfunctions.udf.CIQ($A14, "IQ_EBITDA_1YR_ANN_GROWTH",IQ_LTM,$I$5,)</f>
        <v>8.1531000000000002</v>
      </c>
      <c r="DT14" s="60"/>
      <c r="DU14" s="18">
        <f>_xll.ciqfunctions.udf.CIQ($A14, "IQ_EPS_5YR_ANN_CAGR",IQ_LTM,$I$5,)</f>
        <v>17.724699999999999</v>
      </c>
      <c r="DV14" s="18"/>
      <c r="DW14" s="18">
        <f>_xll.ciqfunctions.udf.CIQ($A14, "IQ_EPS_3YR_ANN_CAGR",IQ_LTM,$I$5,)</f>
        <v>1.077</v>
      </c>
      <c r="DX14" s="18"/>
      <c r="DY14" s="18">
        <f>_xll.ciqfunctions.udf.CIQ($A14, "IQ_EPS_1YR_ANN_GROWTH", IQ_FY,$I$5,)</f>
        <v>22.462199999999999</v>
      </c>
      <c r="DZ14" s="18"/>
      <c r="EA14" s="18">
        <f>_xll.ciqfunctions.udf.CIQ($A14, "IQ_EPS_1YR_ANN_GROWTH", IQ_LTM,$I$5,)</f>
        <v>10.500400000000001</v>
      </c>
      <c r="EB14" s="39"/>
      <c r="EC14" s="55">
        <f>_xll.ciqfunctions.udf.CIQ($A14, "IQ_TOTAL_DEBT_EBITDA",IQ_LTM,$I$5,)</f>
        <v>1.50468</v>
      </c>
      <c r="ED14" s="55"/>
      <c r="EE14" s="55" t="str">
        <f>_xll.ciqfunctions.udf.CIQ($A14, "IQ_NET_DEBT_EBITDA",IQ_LTM,$I$5,)</f>
        <v>NM</v>
      </c>
      <c r="EF14" s="18"/>
      <c r="EG14" s="116">
        <f t="shared" si="5"/>
        <v>1.5613934894346089</v>
      </c>
      <c r="EH14" s="18"/>
      <c r="EI14" s="55">
        <f>_xll.ciqfunctions.udf.CIQ($A14, "IQ_EBITDA_INT",IQ_LTM,$I$5,)</f>
        <v>17.81373</v>
      </c>
      <c r="EJ14" s="55"/>
      <c r="EK14" s="55">
        <f>_xll.ciqfunctions.udf.CIQ($A14, "IQ_EBITDA_CAPEX_INT",IQ_LTM,$I$5,)</f>
        <v>16.01961</v>
      </c>
      <c r="EL14" s="59"/>
      <c r="EM14" s="18">
        <f>_xll.ciqfunctions.udf.CIQ($A14, "IQ_TOTAL_DEBT_EQUITY",IQ_FQ,$I$5,)</f>
        <v>236.0967</v>
      </c>
      <c r="EN14" s="18"/>
      <c r="EO14" s="18">
        <f>_xll.ciqfunctions.udf.CIQ($A14, "IQ_TOTAL_DEBT_CAPITAL",IQ_FQ,$I$5,)</f>
        <v>70.246600000000001</v>
      </c>
      <c r="EP14" s="39"/>
      <c r="EQ14" s="18">
        <f>_xll.ciqfunctions.udf.CIQ($A14, "IQ_RETURN_EQUITY",IQ_LTM,$I$5)</f>
        <v>112.587</v>
      </c>
      <c r="ER14" s="18"/>
      <c r="ES14" s="18">
        <f>_xll.ciqfunctions.udf.CIQ($A14, "IQ_RETURN_ASSETS",IQ_LTM,$I$5)</f>
        <v>10.271599999999999</v>
      </c>
      <c r="ET14" s="18"/>
      <c r="EU14" s="18">
        <f>_xll.ciqfunctions.udf.CIQ($A14, "IQ_RETURN_INVESTED_CAPITAL",IQ_LTM,$I$5)</f>
        <v>22.334299999999999</v>
      </c>
      <c r="EV14" s="39"/>
      <c r="EW14" s="55">
        <f>_xll.ciqfunctions.udf.CIQ($A14, "IQ_CURRENT_RATIO",IQ_FQ,$I$5,)</f>
        <v>1.39009</v>
      </c>
      <c r="EX14" s="55"/>
      <c r="EY14" s="55">
        <f>_xll.ciqfunctions.udf.CIQ($A14, "IQ_QUICK_RATIO",IQ_FQ,$I$5,)</f>
        <v>1.20451</v>
      </c>
      <c r="EZ14" s="59"/>
      <c r="FA14" s="18">
        <f>_xll.ciqfunctions.udf.CIQ($A14, "IQ_DAYS_SALES_OUT",IQ_LTM,$I$5,)</f>
        <v>60.006489999999999</v>
      </c>
      <c r="FB14" s="18"/>
      <c r="FC14" s="18">
        <f>_xll.ciqfunctions.udf.CIQ($A14, "IQ_DAYS_INVENTORY_OUT",IQ_LTM,$I$5,)</f>
        <v>34.618220000000001</v>
      </c>
      <c r="FD14" s="18"/>
      <c r="FE14" s="18">
        <f>_xll.ciqfunctions.udf.CIQ($A14, "IQ_DAYS_PAYABLE_OUT",IQ_LTM,$I$5,)</f>
        <v>84.560479999999998</v>
      </c>
      <c r="FF14" s="18"/>
      <c r="FG14" s="18">
        <f>_xll.ciqfunctions.udf.CIQ($A14, "IQ_CASH_CONVERSION",IQ_LTM,$I$5,)</f>
        <v>10.06424</v>
      </c>
      <c r="FH14" s="59"/>
      <c r="FI14" s="55">
        <f>_xll.ciqfunctions.udf.CIQ($A14, "IQ_ASSET_TURNS",IQ_LTM,$I$5,)</f>
        <v>0.7077</v>
      </c>
      <c r="FJ14" s="55"/>
      <c r="FK14" s="55">
        <f>_xll.ciqfunctions.udf.CIQ($A14, "IQ_FIXED_ASSET_TURNS",IQ_LTM,$I$5,)</f>
        <v>8.3032199999999996</v>
      </c>
      <c r="FL14" s="55"/>
      <c r="FM14" s="55">
        <f>_xll.ciqfunctions.udf.CIQ($A14, "IQ_AR_TURNS",IQ_LTM,$I$5,)</f>
        <v>6.0659999999999998</v>
      </c>
      <c r="FN14" s="55"/>
      <c r="FO14" s="55">
        <f>_xll.ciqfunctions.udf.CIQ($A14, "IQ_INVENTORY_TURNS",IQ_LTM,$I$5,)</f>
        <v>10.51459</v>
      </c>
      <c r="FR14" s="114">
        <f>_xll.ciqfunctions.udf.CIQ($A14,"IQ_PERIODDATE",IQ_FY,$I$5)</f>
        <v>45772</v>
      </c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 s="2" customFormat="1" x14ac:dyDescent="0.2">
      <c r="A15" s="53"/>
      <c r="U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W15" s="84"/>
      <c r="AX15" s="84"/>
      <c r="AY15" s="84"/>
      <c r="AZ15" s="84"/>
      <c r="BA15" s="84"/>
      <c r="BB15" s="84"/>
      <c r="BC15" s="84"/>
      <c r="EW15" s="34"/>
      <c r="EX15" s="34"/>
      <c r="EY15" s="34"/>
      <c r="FI15" s="34"/>
      <c r="FJ15" s="34"/>
      <c r="FK15" s="34"/>
      <c r="FL15" s="34"/>
      <c r="FM15" s="34"/>
      <c r="FN15" s="34"/>
      <c r="FO15" s="34"/>
      <c r="FR15" s="3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9" customFormat="1" x14ac:dyDescent="0.2">
      <c r="A16" s="6"/>
      <c r="F16" s="85"/>
      <c r="G16" s="86" t="str">
        <f>'Language Index'!A831</f>
        <v>Max</v>
      </c>
      <c r="H16" s="87"/>
      <c r="I16" s="117">
        <f t="shared" ref="I16:Q16" si="7">MAX(I7:I14)</f>
        <v>408.95499999999998</v>
      </c>
      <c r="J16" s="117"/>
      <c r="K16" s="117">
        <f t="shared" si="7"/>
        <v>555.45000000000005</v>
      </c>
      <c r="L16" s="117"/>
      <c r="M16" s="117">
        <f t="shared" si="7"/>
        <v>344.79</v>
      </c>
      <c r="N16" s="118"/>
      <c r="O16" s="119">
        <f t="shared" si="7"/>
        <v>0.89331282752335395</v>
      </c>
      <c r="P16" s="119"/>
      <c r="Q16" s="119">
        <f t="shared" si="7"/>
        <v>1.7580442958629336</v>
      </c>
      <c r="R16" s="118"/>
      <c r="S16" s="120">
        <f t="shared" ref="S16:AE16" si="8">MAX(S7:S14)</f>
        <v>7425.6290799999997</v>
      </c>
      <c r="T16" s="118"/>
      <c r="U16" s="120">
        <f t="shared" si="8"/>
        <v>3036748.1404113998</v>
      </c>
      <c r="V16" s="118"/>
      <c r="W16" s="120">
        <f t="shared" si="8"/>
        <v>89462</v>
      </c>
      <c r="X16" s="120"/>
      <c r="Y16" s="120">
        <f t="shared" si="8"/>
        <v>131730</v>
      </c>
      <c r="Z16" s="120"/>
      <c r="AA16" s="120">
        <f t="shared" si="8"/>
        <v>0</v>
      </c>
      <c r="AB16" s="120"/>
      <c r="AC16" s="120">
        <f t="shared" si="8"/>
        <v>1054.779</v>
      </c>
      <c r="AD16" s="120"/>
      <c r="AE16" s="121">
        <f t="shared" si="8"/>
        <v>3070564.1404113998</v>
      </c>
      <c r="AF16" s="75"/>
      <c r="AG16" s="196">
        <f t="shared" ref="AG16:AM16" si="9">MAX(AG7:AG14)</f>
        <v>281724</v>
      </c>
      <c r="AH16" s="120"/>
      <c r="AI16" s="120">
        <f t="shared" si="9"/>
        <v>305453</v>
      </c>
      <c r="AJ16" s="120"/>
      <c r="AK16" s="120">
        <f t="shared" si="9"/>
        <v>351519.59169999999</v>
      </c>
      <c r="AL16" s="120"/>
      <c r="AM16" s="120">
        <f t="shared" si="9"/>
        <v>406784.90330000001</v>
      </c>
      <c r="AN16" s="120"/>
      <c r="AO16" s="120">
        <f t="shared" ref="AO16:AU16" si="10">MAX(AO7:AO14)</f>
        <v>156528</v>
      </c>
      <c r="AP16" s="120"/>
      <c r="AQ16" s="120">
        <f t="shared" si="10"/>
        <v>175259</v>
      </c>
      <c r="AR16" s="120"/>
      <c r="AS16" s="120">
        <f t="shared" si="10"/>
        <v>213958.68210000001</v>
      </c>
      <c r="AT16" s="120"/>
      <c r="AU16" s="120">
        <f t="shared" si="10"/>
        <v>251748.84599999999</v>
      </c>
      <c r="AV16" s="118"/>
      <c r="AW16" s="122">
        <f t="shared" ref="AW16:BC16" si="11">MAX(AW7:AW14)</f>
        <v>13.64</v>
      </c>
      <c r="AX16" s="122"/>
      <c r="AY16" s="122">
        <f t="shared" si="11"/>
        <v>15.980549999999999</v>
      </c>
      <c r="AZ16" s="122"/>
      <c r="BA16" s="122">
        <f t="shared" si="11"/>
        <v>17.552099999999999</v>
      </c>
      <c r="BB16" s="122"/>
      <c r="BC16" s="123">
        <f t="shared" si="11"/>
        <v>20.302199999999999</v>
      </c>
      <c r="BD16" s="36"/>
      <c r="BE16" s="199">
        <f>MAX(BE7:BE14)</f>
        <v>13.786239999999999</v>
      </c>
      <c r="BF16" s="124"/>
      <c r="BG16" s="124">
        <f>MAX(BG7:BG14)</f>
        <v>10.094429999999999</v>
      </c>
      <c r="BH16" s="124"/>
      <c r="BI16" s="124">
        <f>MAX(BI7:BI14)</f>
        <v>8.735115233724823</v>
      </c>
      <c r="BJ16" s="124"/>
      <c r="BK16" s="124">
        <f>MAX(BK7:BK14)</f>
        <v>7.5483729005225344</v>
      </c>
      <c r="BL16" s="124"/>
      <c r="BM16" s="124">
        <f>MAX(BM7:BM14)</f>
        <v>24.68516</v>
      </c>
      <c r="BN16" s="124"/>
      <c r="BO16" s="124">
        <f>MAX(BO7:BO14)</f>
        <v>19.611899999999999</v>
      </c>
      <c r="BP16" s="118"/>
      <c r="BQ16" s="124">
        <f>MAX(BQ7:BQ14)</f>
        <v>14.41107</v>
      </c>
      <c r="BR16" s="124"/>
      <c r="BS16" s="124">
        <f>MAX(BS7:BS14)</f>
        <v>12.247820000000001</v>
      </c>
      <c r="BT16" s="124"/>
      <c r="BU16" s="124">
        <f>MAX(BU7:BU14)</f>
        <v>38.868549999999999</v>
      </c>
      <c r="BV16" s="124"/>
      <c r="BW16" s="124">
        <f>MAX(BW7:BW14)</f>
        <v>29.0594</v>
      </c>
      <c r="BX16" s="124"/>
      <c r="BY16" s="124">
        <f>MAX(BY7:BY14)</f>
        <v>23.397770000000001</v>
      </c>
      <c r="BZ16" s="124"/>
      <c r="CA16" s="124">
        <f>MAX(CA7:CA14)</f>
        <v>20.228349999999999</v>
      </c>
      <c r="CB16" s="118"/>
      <c r="CC16" s="124">
        <f>MAX(CC7:CC14)</f>
        <v>17.459230000000002</v>
      </c>
      <c r="CD16" s="124"/>
      <c r="CE16" s="125">
        <f>MAX(CE7:CE14)</f>
        <v>22.265989999999999</v>
      </c>
      <c r="CF16" s="36"/>
      <c r="CG16" s="196">
        <f>MAX(CG7:CG14)</f>
        <v>72.846999999999994</v>
      </c>
      <c r="CH16" s="120"/>
      <c r="CI16" s="120">
        <f>MAX(CI7:CI14)</f>
        <v>71.407200000000003</v>
      </c>
      <c r="CJ16" s="120"/>
      <c r="CK16" s="120">
        <f>MAX(CK7:CK14)</f>
        <v>70.509900000000002</v>
      </c>
      <c r="CL16" s="120"/>
      <c r="CM16" s="120">
        <f>MAX(CM7:CM14)</f>
        <v>70.457499999999996</v>
      </c>
      <c r="CN16" s="120"/>
      <c r="CO16" s="120">
        <f>MAX(CO7:CO14)</f>
        <v>48.143300000000004</v>
      </c>
      <c r="CP16" s="120"/>
      <c r="CQ16" s="120">
        <f>MAX(CQ7:CQ14)</f>
        <v>52.8035</v>
      </c>
      <c r="CR16" s="120"/>
      <c r="CS16" s="120">
        <f>MAX(CS7:CS14)</f>
        <v>55.560699999999997</v>
      </c>
      <c r="CT16" s="120"/>
      <c r="CU16" s="120">
        <f>MAX(CU7:CU14)</f>
        <v>57.3767</v>
      </c>
      <c r="CV16" s="120"/>
      <c r="CW16" s="120">
        <f>MAX(CW7:CW14)</f>
        <v>34.1462</v>
      </c>
      <c r="CX16" s="120"/>
      <c r="CY16" s="120">
        <f>MAX(CY7:CY14)</f>
        <v>35.9559</v>
      </c>
      <c r="CZ16" s="120"/>
      <c r="DA16" s="120">
        <f>MAX(DA7:DA14)</f>
        <v>36.146000000000001</v>
      </c>
      <c r="DB16" s="120"/>
      <c r="DC16" s="121">
        <f>MAX(DC7:DC14)</f>
        <v>39.0443</v>
      </c>
      <c r="DD16" s="36"/>
      <c r="DE16" s="196">
        <f>MAX(DE7:DE14)</f>
        <v>25.626300000000001</v>
      </c>
      <c r="DF16" s="120"/>
      <c r="DG16" s="120">
        <f>MAX(DG7:DG14)</f>
        <v>14.3856</v>
      </c>
      <c r="DH16" s="120"/>
      <c r="DI16" s="120">
        <f>MAX(DI7:DI14)</f>
        <v>15.4214</v>
      </c>
      <c r="DJ16" s="120"/>
      <c r="DK16" s="120">
        <f>MAX(DK7:DK14)</f>
        <v>16.673200000000001</v>
      </c>
      <c r="DL16" s="120"/>
      <c r="DM16" s="120">
        <f>MAX(DM7:DM14)</f>
        <v>25.336500000000001</v>
      </c>
      <c r="DN16" s="120"/>
      <c r="DO16" s="120">
        <f>MAX(DO7:DO14)</f>
        <v>21.672799999999999</v>
      </c>
      <c r="DP16" s="120"/>
      <c r="DQ16" s="120">
        <f>MAX(DQ7:DQ14)</f>
        <v>20.933599999999998</v>
      </c>
      <c r="DR16" s="120"/>
      <c r="DS16" s="120">
        <f>MAX(DS7:DS14)</f>
        <v>24.534700000000001</v>
      </c>
      <c r="DT16" s="120"/>
      <c r="DU16" s="120">
        <f>MAX(DU7:DU14)</f>
        <v>18.961600000000001</v>
      </c>
      <c r="DV16" s="120"/>
      <c r="DW16" s="120">
        <f>MAX(DW7:DW14)</f>
        <v>21.102399999999999</v>
      </c>
      <c r="DX16" s="120"/>
      <c r="DY16" s="120">
        <f>MAX(DY7:DY14)</f>
        <v>25.101800000000001</v>
      </c>
      <c r="DZ16" s="120"/>
      <c r="EA16" s="121">
        <f>MAX(EA7:EA14)</f>
        <v>30.211200000000002</v>
      </c>
      <c r="EB16" s="36"/>
      <c r="EC16" s="199">
        <f>MAX(EC7:EC14)</f>
        <v>5.0149999999999997</v>
      </c>
      <c r="ED16" s="124"/>
      <c r="EE16" s="124">
        <f>MAX(EE7:EE14)</f>
        <v>3.9639700000000002</v>
      </c>
      <c r="EF16" s="124"/>
      <c r="EG16" s="124">
        <f>MAX(EG7:EG14)</f>
        <v>5.3611667780004453</v>
      </c>
      <c r="EH16" s="124"/>
      <c r="EI16" s="124">
        <f>MAX(EI7:EI14)</f>
        <v>109.37838000000001</v>
      </c>
      <c r="EJ16" s="124"/>
      <c r="EK16" s="124">
        <f>MAX(EK7:EK14)</f>
        <v>101.59459</v>
      </c>
      <c r="EL16" s="118"/>
      <c r="EM16" s="120">
        <f>MAX(EM7:EM14)</f>
        <v>432.51139999999998</v>
      </c>
      <c r="EN16" s="120"/>
      <c r="EO16" s="120">
        <f>MAX(EO7:EO14)</f>
        <v>81.221000000000004</v>
      </c>
      <c r="EP16" s="118"/>
      <c r="EQ16" s="120">
        <f>MAX(EQ7:EQ14)</f>
        <v>112.587</v>
      </c>
      <c r="ER16" s="120"/>
      <c r="ES16" s="120">
        <f>MAX(ES7:ES14)</f>
        <v>14.8598</v>
      </c>
      <c r="ET16" s="120"/>
      <c r="EU16" s="121">
        <f>MAX(EU7:EU14)</f>
        <v>22.334299999999999</v>
      </c>
      <c r="EV16" s="36"/>
      <c r="EW16" s="199">
        <f>MAX(EW7:EW14)</f>
        <v>2.5936900000000001</v>
      </c>
      <c r="EX16" s="124"/>
      <c r="EY16" s="124">
        <f>MAX(EY7:EY14)</f>
        <v>2.4831300000000001</v>
      </c>
      <c r="EZ16" s="118"/>
      <c r="FA16" s="120">
        <f>MAX(FA7:FA14)</f>
        <v>78.911910000000006</v>
      </c>
      <c r="FB16" s="120"/>
      <c r="FC16" s="120">
        <f>MAX(FC7:FC14)</f>
        <v>110.36177000000001</v>
      </c>
      <c r="FD16" s="120"/>
      <c r="FE16" s="120">
        <f>MAX(FE7:FE14)</f>
        <v>156.18970999999999</v>
      </c>
      <c r="FF16" s="120"/>
      <c r="FG16" s="120">
        <f>MAX(FG7:FG14)</f>
        <v>19.65598</v>
      </c>
      <c r="FH16" s="118"/>
      <c r="FI16" s="124">
        <f>MAX(FI7:FI14)</f>
        <v>1.93747</v>
      </c>
      <c r="FJ16" s="124"/>
      <c r="FK16" s="124">
        <f>MAX(FK7:FK14)</f>
        <v>66.977209999999999</v>
      </c>
      <c r="FL16" s="124"/>
      <c r="FM16" s="124">
        <f>MAX(FM7:FM14)</f>
        <v>7.58575</v>
      </c>
      <c r="FN16" s="124"/>
      <c r="FO16" s="125">
        <f>MAX(FO7:FO14)</f>
        <v>97.514229999999998</v>
      </c>
      <c r="FR16" s="88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</row>
    <row r="17" spans="1:256" s="9" customFormat="1" x14ac:dyDescent="0.2">
      <c r="A17" s="6"/>
      <c r="F17" s="85"/>
      <c r="G17" s="89" t="str">
        <f>'Language Index'!A832</f>
        <v>Median</v>
      </c>
      <c r="H17" s="90"/>
      <c r="I17" s="126">
        <f>MEDIAN(I7:I14)</f>
        <v>149.685</v>
      </c>
      <c r="J17" s="126"/>
      <c r="K17" s="126">
        <f>MEDIAN(K7:K14)</f>
        <v>199.04500000000002</v>
      </c>
      <c r="L17" s="126"/>
      <c r="M17" s="126">
        <f>MEDIAN(M7:M14)</f>
        <v>105.545</v>
      </c>
      <c r="N17" s="127"/>
      <c r="O17" s="128">
        <f>MEDIAN(O7:O14)</f>
        <v>0.74805590673396494</v>
      </c>
      <c r="P17" s="128"/>
      <c r="Q17" s="128">
        <f>MEDIAN(Q7:Q14)</f>
        <v>1.2410806897083533</v>
      </c>
      <c r="R17" s="127"/>
      <c r="S17" s="129">
        <f>MEDIAN(S7:S14)</f>
        <v>546.77683500000001</v>
      </c>
      <c r="T17" s="127"/>
      <c r="U17" s="129">
        <f>MEDIAN(U7:U14)</f>
        <v>29788.977177499997</v>
      </c>
      <c r="V17" s="129"/>
      <c r="W17" s="129">
        <f>MEDIAN(W7:W14)</f>
        <v>4030.5</v>
      </c>
      <c r="X17" s="129"/>
      <c r="Y17" s="129">
        <f>MEDIAN(Y7:Y14)</f>
        <v>6641.9904999999999</v>
      </c>
      <c r="Z17" s="129"/>
      <c r="AA17" s="129">
        <f>MEDIAN(AA7:AA14)</f>
        <v>0</v>
      </c>
      <c r="AB17" s="129"/>
      <c r="AC17" s="129">
        <f>MEDIAN(AC7:AC14)</f>
        <v>0.29099999999999998</v>
      </c>
      <c r="AD17" s="129"/>
      <c r="AE17" s="130">
        <f>MEDIAN(AE7:AE14)</f>
        <v>38967.477177499997</v>
      </c>
      <c r="AF17" s="75"/>
      <c r="AG17" s="197">
        <f>MEDIAN(AG7:AG14)</f>
        <v>45847.5</v>
      </c>
      <c r="AH17" s="129"/>
      <c r="AI17" s="129">
        <f>MEDIAN(AI7:AI14)</f>
        <v>47656</v>
      </c>
      <c r="AJ17" s="129"/>
      <c r="AK17" s="129">
        <f>MEDIAN(AK7:AK14)</f>
        <v>50368.177125000002</v>
      </c>
      <c r="AL17" s="129"/>
      <c r="AM17" s="129">
        <f>MEDIAN(AM7:AM14)</f>
        <v>54656.109045000005</v>
      </c>
      <c r="AN17" s="129"/>
      <c r="AO17" s="129">
        <f>MEDIAN(AO7:AO14)</f>
        <v>4162.5</v>
      </c>
      <c r="AP17" s="129"/>
      <c r="AQ17" s="129">
        <f>MEDIAN(AQ7:AQ14)</f>
        <v>4162.5</v>
      </c>
      <c r="AR17" s="129"/>
      <c r="AS17" s="129">
        <f>MEDIAN(AS7:AS14)</f>
        <v>5035.4681550000005</v>
      </c>
      <c r="AT17" s="129"/>
      <c r="AU17" s="129">
        <f>MEDIAN(AU7:AU14)</f>
        <v>5733.4871449999991</v>
      </c>
      <c r="AV17" s="129"/>
      <c r="AW17" s="131">
        <f>MEDIAN(AW7:AW14)</f>
        <v>6.1950000000000003</v>
      </c>
      <c r="AX17" s="131"/>
      <c r="AY17" s="131">
        <f>MEDIAN(AY7:AY14)</f>
        <v>6.3436699999999995</v>
      </c>
      <c r="AZ17" s="131"/>
      <c r="BA17" s="131">
        <f>MEDIAN(BA7:BA14)</f>
        <v>10.572150000000001</v>
      </c>
      <c r="BB17" s="131"/>
      <c r="BC17" s="132">
        <f>MEDIAN(BC7:BC14)</f>
        <v>11.373810000000001</v>
      </c>
      <c r="BD17" s="36"/>
      <c r="BE17" s="197">
        <f>MEDIAN(BE7:BE14)</f>
        <v>2.1446700000000001</v>
      </c>
      <c r="BF17" s="129"/>
      <c r="BG17" s="129">
        <f>MEDIAN(BG7:BG14)</f>
        <v>1.65574</v>
      </c>
      <c r="BH17" s="129"/>
      <c r="BI17" s="129">
        <f>MEDIAN(BI7:BI14)</f>
        <v>1.5812135208652147</v>
      </c>
      <c r="BJ17" s="129"/>
      <c r="BK17" s="129">
        <f>MEDIAN(BK7:BK14)</f>
        <v>1.4990227130327747</v>
      </c>
      <c r="BL17" s="129"/>
      <c r="BM17" s="129">
        <f>MEDIAN(BM7:BM14)</f>
        <v>11.698004999999998</v>
      </c>
      <c r="BN17" s="129"/>
      <c r="BO17" s="129">
        <f>MEDIAN(BO7:BO14)</f>
        <v>9.7715999999999994</v>
      </c>
      <c r="BP17" s="129"/>
      <c r="BQ17" s="129">
        <f>MEDIAN(BQ7:BQ14)</f>
        <v>7.9124650000000001</v>
      </c>
      <c r="BR17" s="129"/>
      <c r="BS17" s="129">
        <f>MEDIAN(BS7:BS14)</f>
        <v>7.8692250000000001</v>
      </c>
      <c r="BT17" s="129"/>
      <c r="BU17" s="129">
        <f>MEDIAN(BU7:BU14)</f>
        <v>24.527004999999999</v>
      </c>
      <c r="BV17" s="129"/>
      <c r="BW17" s="129">
        <f>MEDIAN(BW7:BW14)</f>
        <v>17.704889999999999</v>
      </c>
      <c r="BX17" s="129"/>
      <c r="BY17" s="129">
        <f>MEDIAN(BY7:BY14)</f>
        <v>11.900164999999999</v>
      </c>
      <c r="BZ17" s="129"/>
      <c r="CA17" s="129">
        <f>MEDIAN(CA7:CA14)</f>
        <v>11.260059999999999</v>
      </c>
      <c r="CB17" s="129"/>
      <c r="CC17" s="129">
        <f>MEDIAN(CC7:CC14)</f>
        <v>3.2000500000000001</v>
      </c>
      <c r="CD17" s="129"/>
      <c r="CE17" s="130">
        <f>MEDIAN(CE7:CE14)</f>
        <v>12.156890000000001</v>
      </c>
      <c r="CF17" s="36"/>
      <c r="CG17" s="197">
        <f>MEDIAN(CG7:CG14)</f>
        <v>34.853149999999999</v>
      </c>
      <c r="CH17" s="129"/>
      <c r="CI17" s="129">
        <f>MEDIAN(CI7:CI14)</f>
        <v>33.565550000000002</v>
      </c>
      <c r="CJ17" s="129"/>
      <c r="CK17" s="129">
        <f>MEDIAN(CK7:CK14)</f>
        <v>32.815449999999998</v>
      </c>
      <c r="CL17" s="129"/>
      <c r="CM17" s="129">
        <f>MEDIAN(CM7:CM14)</f>
        <v>32.842599999999997</v>
      </c>
      <c r="CN17" s="129"/>
      <c r="CO17" s="129">
        <f>MEDIAN(CO7:CO14)</f>
        <v>17.469549999999998</v>
      </c>
      <c r="CP17" s="129"/>
      <c r="CQ17" s="129">
        <f>MEDIAN(CQ7:CQ14)</f>
        <v>17.426650000000002</v>
      </c>
      <c r="CR17" s="129"/>
      <c r="CS17" s="129">
        <f>MEDIAN(CS7:CS14)</f>
        <v>17.853200000000001</v>
      </c>
      <c r="CT17" s="129"/>
      <c r="CU17" s="129">
        <f>MEDIAN(CU7:CU14)</f>
        <v>17.889099999999999</v>
      </c>
      <c r="CV17" s="129"/>
      <c r="CW17" s="129">
        <f>MEDIAN(CW7:CW14)</f>
        <v>10.851649999999999</v>
      </c>
      <c r="CX17" s="129"/>
      <c r="CY17" s="129">
        <f>MEDIAN(CY7:CY14)</f>
        <v>11.2721</v>
      </c>
      <c r="CZ17" s="129"/>
      <c r="DA17" s="129">
        <f>MEDIAN(DA7:DA14)</f>
        <v>10.79265</v>
      </c>
      <c r="DB17" s="129"/>
      <c r="DC17" s="130">
        <f>MEDIAN(DC7:DC14)</f>
        <v>10.66305</v>
      </c>
      <c r="DD17" s="36"/>
      <c r="DE17" s="197">
        <f>MEDIAN(DE7:DE14)</f>
        <v>9.3678999999999988</v>
      </c>
      <c r="DF17" s="129"/>
      <c r="DG17" s="129">
        <f>MEDIAN(DG7:DG14)</f>
        <v>4.2333499999999997</v>
      </c>
      <c r="DH17" s="129"/>
      <c r="DI17" s="129">
        <f>MEDIAN(DI7:DI14)</f>
        <v>7.8699499999999993</v>
      </c>
      <c r="DJ17" s="129"/>
      <c r="DK17" s="129">
        <f>MEDIAN(DK7:DK14)</f>
        <v>9.0125499999999992</v>
      </c>
      <c r="DL17" s="129"/>
      <c r="DM17" s="129">
        <f>MEDIAN(DM7:DM14)</f>
        <v>10.0236</v>
      </c>
      <c r="DN17" s="129"/>
      <c r="DO17" s="129">
        <f>MEDIAN(DO7:DO14)</f>
        <v>3.2098</v>
      </c>
      <c r="DP17" s="129"/>
      <c r="DQ17" s="129">
        <f>MEDIAN(DQ7:DQ14)</f>
        <v>10.1433</v>
      </c>
      <c r="DR17" s="129"/>
      <c r="DS17" s="129">
        <f>MEDIAN(DS7:DS14)</f>
        <v>9.4065499999999993</v>
      </c>
      <c r="DT17" s="129"/>
      <c r="DU17" s="129">
        <f>MEDIAN(DU7:DU14)</f>
        <v>10.0108</v>
      </c>
      <c r="DV17" s="129"/>
      <c r="DW17" s="129">
        <f>MEDIAN(DW7:DW14)</f>
        <v>3.1703000000000001</v>
      </c>
      <c r="DX17" s="129"/>
      <c r="DY17" s="129">
        <f>MEDIAN(DY7:DY14)</f>
        <v>15.5932</v>
      </c>
      <c r="DZ17" s="129"/>
      <c r="EA17" s="130">
        <f>MEDIAN(EA7:EA14)</f>
        <v>10.500400000000001</v>
      </c>
      <c r="EB17" s="36"/>
      <c r="EC17" s="197">
        <f>MEDIAN(EC7:EC14)</f>
        <v>1.0915250000000001</v>
      </c>
      <c r="ED17" s="129"/>
      <c r="EE17" s="129">
        <f>MEDIAN(EE7:EE14)</f>
        <v>2.6398450000000002</v>
      </c>
      <c r="EF17" s="129"/>
      <c r="EG17" s="129">
        <f>MEDIAN(EG7:EG14)</f>
        <v>1.1323990824003907</v>
      </c>
      <c r="EH17" s="129"/>
      <c r="EI17" s="129">
        <f>MEDIAN(EI7:EI14)</f>
        <v>12.92108</v>
      </c>
      <c r="EJ17" s="129"/>
      <c r="EK17" s="129">
        <f>MEDIAN(EK7:EK14)</f>
        <v>16.01961</v>
      </c>
      <c r="EL17" s="127"/>
      <c r="EM17" s="129">
        <f>MEDIAN(EM7:EM14)</f>
        <v>45.838799999999999</v>
      </c>
      <c r="EN17" s="129"/>
      <c r="EO17" s="129">
        <f>MEDIAN(EO7:EO14)</f>
        <v>30.765499999999999</v>
      </c>
      <c r="EP17" s="127"/>
      <c r="EQ17" s="129">
        <f>MEDIAN(EQ7:EQ14)</f>
        <v>20.087150000000001</v>
      </c>
      <c r="ER17" s="129"/>
      <c r="ES17" s="129">
        <f>MEDIAN(ES7:ES14)</f>
        <v>8.8870500000000003</v>
      </c>
      <c r="ET17" s="129"/>
      <c r="EU17" s="130">
        <f>MEDIAN(EU7:EU14)</f>
        <v>9.8461999999999996</v>
      </c>
      <c r="EV17" s="36"/>
      <c r="EW17" s="197">
        <f>MEDIAN(EW7:EW14)</f>
        <v>1.388055</v>
      </c>
      <c r="EX17" s="129"/>
      <c r="EY17" s="129">
        <f>MEDIAN(EY7:EY14)</f>
        <v>1.221835</v>
      </c>
      <c r="EZ17" s="127"/>
      <c r="FA17" s="129">
        <f>MEDIAN(FA7:FA14)</f>
        <v>63.47204</v>
      </c>
      <c r="FB17" s="129"/>
      <c r="FC17" s="129">
        <f>MEDIAN(FC7:FC14)</f>
        <v>1.8713550000000001</v>
      </c>
      <c r="FD17" s="129"/>
      <c r="FE17" s="129">
        <f>MEDIAN(FE7:FE14)</f>
        <v>92.563555000000008</v>
      </c>
      <c r="FF17" s="129"/>
      <c r="FG17" s="129">
        <f>MEDIAN(FG7:FG14)</f>
        <v>0</v>
      </c>
      <c r="FH17" s="127"/>
      <c r="FI17" s="129">
        <f>MEDIAN(FI7:FI14)</f>
        <v>0.87300999999999995</v>
      </c>
      <c r="FJ17" s="129"/>
      <c r="FK17" s="129">
        <f>MEDIAN(FK7:FK14)</f>
        <v>11.30292</v>
      </c>
      <c r="FL17" s="129"/>
      <c r="FM17" s="129">
        <f>MEDIAN(FM7:FM14)</f>
        <v>5.7517050000000003</v>
      </c>
      <c r="FN17" s="129"/>
      <c r="FO17" s="130">
        <f>MEDIAN(FO7:FO14)</f>
        <v>1.6536500000000001</v>
      </c>
      <c r="FR17" s="88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9" customFormat="1" x14ac:dyDescent="0.2">
      <c r="A18" s="6"/>
      <c r="F18" s="85"/>
      <c r="G18" s="89" t="str">
        <f>'Language Index'!A833</f>
        <v>Min</v>
      </c>
      <c r="H18" s="90"/>
      <c r="I18" s="126">
        <f>MIN(I7:I14)</f>
        <v>21.035</v>
      </c>
      <c r="J18" s="126"/>
      <c r="K18" s="126">
        <f>MIN(K7:K14)</f>
        <v>26.44</v>
      </c>
      <c r="L18" s="126"/>
      <c r="M18" s="126">
        <f>MIN(M7:M14)</f>
        <v>11.965</v>
      </c>
      <c r="N18" s="127"/>
      <c r="O18" s="128">
        <f>MIN(O7:O14)</f>
        <v>0.44559180839986118</v>
      </c>
      <c r="P18" s="128"/>
      <c r="Q18" s="128">
        <f>MIN(Q7:Q14)</f>
        <v>1.1015241109352878</v>
      </c>
      <c r="R18" s="127"/>
      <c r="S18" s="129">
        <f>MIN(S7:S14)</f>
        <v>54.139969999999998</v>
      </c>
      <c r="T18" s="127"/>
      <c r="U18" s="129">
        <f>MIN(U7:U14)</f>
        <v>7867.6204403999991</v>
      </c>
      <c r="V18" s="129"/>
      <c r="W18" s="129">
        <f>MIN(W7:W14)</f>
        <v>1296.077</v>
      </c>
      <c r="X18" s="129"/>
      <c r="Y18" s="129">
        <f>MIN(Y7:Y14)</f>
        <v>143.70400000000001</v>
      </c>
      <c r="Z18" s="129"/>
      <c r="AA18" s="129">
        <f>MIN(AA7:AA14)</f>
        <v>0</v>
      </c>
      <c r="AB18" s="129"/>
      <c r="AC18" s="129">
        <f>MIN(AC7:AC14)</f>
        <v>0</v>
      </c>
      <c r="AD18" s="129"/>
      <c r="AE18" s="130">
        <f>MIN(AE7:AE14)</f>
        <v>6715.8294403999989</v>
      </c>
      <c r="AF18" s="75"/>
      <c r="AG18" s="197">
        <f>MIN(AG7:AG14)</f>
        <v>5457.0559999999996</v>
      </c>
      <c r="AH18" s="129"/>
      <c r="AI18" s="129">
        <f>MIN(AI7:AI14)</f>
        <v>5457.0559999999996</v>
      </c>
      <c r="AJ18" s="129"/>
      <c r="AK18" s="129">
        <f>MIN(AK7:AK14)</f>
        <v>5808.3819800000001</v>
      </c>
      <c r="AL18" s="129"/>
      <c r="AM18" s="129">
        <f>MIN(AM7:AM14)</f>
        <v>6227.7048800000002</v>
      </c>
      <c r="AN18" s="129"/>
      <c r="AO18" s="129">
        <f>MIN(AO7:AO14)</f>
        <v>707.23</v>
      </c>
      <c r="AP18" s="129"/>
      <c r="AQ18" s="129">
        <f>MIN(AQ7:AQ14)</f>
        <v>707.23</v>
      </c>
      <c r="AR18" s="129"/>
      <c r="AS18" s="129">
        <f>MIN(AS7:AS14)</f>
        <v>970.09995000000004</v>
      </c>
      <c r="AT18" s="129"/>
      <c r="AU18" s="129">
        <f>MIN(AU7:AU14)</f>
        <v>1069.9393500000001</v>
      </c>
      <c r="AV18" s="129"/>
      <c r="AW18" s="131">
        <f>MIN(AW7:AW14)</f>
        <v>-4.4560000000000002E-2</v>
      </c>
      <c r="AX18" s="131"/>
      <c r="AY18" s="131">
        <f>MIN(AY7:AY14)</f>
        <v>-4.4560000000000002E-2</v>
      </c>
      <c r="AZ18" s="131"/>
      <c r="BA18" s="131">
        <f>MIN(BA7:BA14)</f>
        <v>2.0268999999999999</v>
      </c>
      <c r="BB18" s="131"/>
      <c r="BC18" s="132">
        <f>MIN(BC7:BC14)</f>
        <v>2.4075000000000002</v>
      </c>
      <c r="BD18" s="36"/>
      <c r="BE18" s="197">
        <f>MIN(BE7:BE14)</f>
        <v>0.26601000000000002</v>
      </c>
      <c r="BF18" s="129"/>
      <c r="BG18" s="129">
        <f>MIN(BG7:BG14)</f>
        <v>0.2462</v>
      </c>
      <c r="BH18" s="129"/>
      <c r="BI18" s="129">
        <f>MIN(BI7:BI14)</f>
        <v>0.23544294192355578</v>
      </c>
      <c r="BJ18" s="129"/>
      <c r="BK18" s="129">
        <f>MIN(BK7:BK14)</f>
        <v>0.22603887012443047</v>
      </c>
      <c r="BL18" s="129"/>
      <c r="BM18" s="129">
        <f>MIN(BM7:BM14)</f>
        <v>8.5590200000000003</v>
      </c>
      <c r="BN18" s="129"/>
      <c r="BO18" s="129">
        <f>MIN(BO7:BO14)</f>
        <v>7.5737399999999999</v>
      </c>
      <c r="BP18" s="129"/>
      <c r="BQ18" s="129">
        <f>MIN(BQ7:BQ14)</f>
        <v>6.8815200000000001</v>
      </c>
      <c r="BR18" s="129"/>
      <c r="BS18" s="129">
        <f>MIN(BS7:BS14)</f>
        <v>6.2393900000000002</v>
      </c>
      <c r="BT18" s="129"/>
      <c r="BU18" s="129">
        <f>MIN(BU7:BU14)</f>
        <v>16.378769999999999</v>
      </c>
      <c r="BV18" s="129"/>
      <c r="BW18" s="129">
        <f>MIN(BW7:BW14)</f>
        <v>14.42544</v>
      </c>
      <c r="BX18" s="129"/>
      <c r="BY18" s="129">
        <f>MIN(BY7:BY14)</f>
        <v>10.59253</v>
      </c>
      <c r="BZ18" s="129"/>
      <c r="CA18" s="129">
        <f>MIN(CA7:CA14)</f>
        <v>8.9179600000000008</v>
      </c>
      <c r="CB18" s="129"/>
      <c r="CC18" s="129">
        <f>MIN(CC7:CC14)</f>
        <v>1.14646</v>
      </c>
      <c r="CD18" s="129"/>
      <c r="CE18" s="130">
        <f>MIN(CE7:CE14)</f>
        <v>3.80905</v>
      </c>
      <c r="CF18" s="36"/>
      <c r="CG18" s="197">
        <f>MIN(CG7:CG14)</f>
        <v>6.8747999999999996</v>
      </c>
      <c r="CH18" s="129"/>
      <c r="CI18" s="129">
        <f>MIN(CI7:CI14)</f>
        <v>6.8110999999999997</v>
      </c>
      <c r="CJ18" s="129"/>
      <c r="CK18" s="129">
        <f>MIN(CK7:CK14)</f>
        <v>6.9893999999999998</v>
      </c>
      <c r="CL18" s="129"/>
      <c r="CM18" s="129">
        <f>MIN(CM7:CM14)</f>
        <v>6.9893999999999998</v>
      </c>
      <c r="CN18" s="129"/>
      <c r="CO18" s="129">
        <f>MIN(CO7:CO14)</f>
        <v>2.9279000000000002</v>
      </c>
      <c r="CP18" s="129"/>
      <c r="CQ18" s="129">
        <f>MIN(CQ7:CQ14)</f>
        <v>2.8527999999999998</v>
      </c>
      <c r="CR18" s="129"/>
      <c r="CS18" s="129">
        <f>MIN(CS7:CS14)</f>
        <v>2.9384000000000001</v>
      </c>
      <c r="CT18" s="129"/>
      <c r="CU18" s="129">
        <f>MIN(CU7:CU14)</f>
        <v>2.9384000000000001</v>
      </c>
      <c r="CV18" s="129"/>
      <c r="CW18" s="129">
        <f>MIN(CW7:CW14)</f>
        <v>1.0891999999999999</v>
      </c>
      <c r="CX18" s="129"/>
      <c r="CY18" s="129">
        <f>MIN(CY7:CY14)</f>
        <v>1.1788000000000001</v>
      </c>
      <c r="CZ18" s="129"/>
      <c r="DA18" s="129">
        <f>MIN(DA7:DA14)</f>
        <v>0.16619999999999999</v>
      </c>
      <c r="DB18" s="129"/>
      <c r="DC18" s="130">
        <f>MIN(DC7:DC14)</f>
        <v>0.16619999999999999</v>
      </c>
      <c r="DD18" s="36"/>
      <c r="DE18" s="197">
        <f>MIN(DE7:DE14)</f>
        <v>3.7168000000000001</v>
      </c>
      <c r="DF18" s="129"/>
      <c r="DG18" s="129">
        <f>MIN(DG7:DG14)</f>
        <v>8.7800000000000003E-2</v>
      </c>
      <c r="DH18" s="129"/>
      <c r="DI18" s="129">
        <f>MIN(DI7:DI14)</f>
        <v>4.8499999999999996</v>
      </c>
      <c r="DJ18" s="129"/>
      <c r="DK18" s="129">
        <f>MIN(DK7:DK14)</f>
        <v>3.0884999999999998</v>
      </c>
      <c r="DL18" s="129"/>
      <c r="DM18" s="129">
        <f>MIN(DM7:DM14)</f>
        <v>1.0475000000000001</v>
      </c>
      <c r="DN18" s="129"/>
      <c r="DO18" s="129">
        <f>MIN(DO7:DO14)</f>
        <v>-3.9872999999999998</v>
      </c>
      <c r="DP18" s="129"/>
      <c r="DQ18" s="129">
        <f>MIN(DQ7:DQ14)</f>
        <v>-11.227600000000001</v>
      </c>
      <c r="DR18" s="129"/>
      <c r="DS18" s="129">
        <f>MIN(DS7:DS14)</f>
        <v>-11.227600000000001</v>
      </c>
      <c r="DT18" s="129"/>
      <c r="DU18" s="129">
        <f>MIN(DU7:DU14)</f>
        <v>3.7136999999999998</v>
      </c>
      <c r="DV18" s="129"/>
      <c r="DW18" s="129">
        <f>MIN(DW7:DW14)</f>
        <v>-1.7706999999999999</v>
      </c>
      <c r="DX18" s="129"/>
      <c r="DY18" s="129">
        <f>MIN(DY7:DY14)</f>
        <v>-14.2858</v>
      </c>
      <c r="DZ18" s="129"/>
      <c r="EA18" s="130">
        <f>MIN(EA7:EA14)</f>
        <v>-14.2858</v>
      </c>
      <c r="EB18" s="36"/>
      <c r="EC18" s="197">
        <f>MIN(EC7:EC14)</f>
        <v>0.18612000000000001</v>
      </c>
      <c r="ED18" s="129"/>
      <c r="EE18" s="129">
        <f>MIN(EE7:EE14)</f>
        <v>0.18608</v>
      </c>
      <c r="EF18" s="129"/>
      <c r="EG18" s="129">
        <f>MIN(EG7:EG14)</f>
        <v>0.2031927378646268</v>
      </c>
      <c r="EH18" s="129"/>
      <c r="EI18" s="129">
        <f>MIN(EI7:EI14)</f>
        <v>0</v>
      </c>
      <c r="EJ18" s="129"/>
      <c r="EK18" s="129">
        <f>MIN(EK7:EK14)</f>
        <v>0</v>
      </c>
      <c r="EL18" s="127"/>
      <c r="EM18" s="129">
        <f>MIN(EM7:EM14)</f>
        <v>3.9073000000000002</v>
      </c>
      <c r="EN18" s="129"/>
      <c r="EO18" s="129">
        <f>MIN(EO7:EO14)</f>
        <v>3.7603</v>
      </c>
      <c r="EP18" s="127"/>
      <c r="EQ18" s="129">
        <f>MIN(EQ7:EQ14)</f>
        <v>0.2296</v>
      </c>
      <c r="ER18" s="129"/>
      <c r="ES18" s="129">
        <f>MIN(ES7:ES14)</f>
        <v>1.4897</v>
      </c>
      <c r="ET18" s="129"/>
      <c r="EU18" s="130">
        <f>MIN(EU7:EU14)</f>
        <v>-1.5802</v>
      </c>
      <c r="EV18" s="36"/>
      <c r="EW18" s="197">
        <f>MIN(EW7:EW14)</f>
        <v>0.90927000000000002</v>
      </c>
      <c r="EX18" s="129"/>
      <c r="EY18" s="129">
        <f>MIN(EY7:EY14)</f>
        <v>0.60419</v>
      </c>
      <c r="EZ18" s="127"/>
      <c r="FA18" s="129">
        <f>MIN(FA7:FA14)</f>
        <v>48.116489999999999</v>
      </c>
      <c r="FB18" s="129"/>
      <c r="FC18" s="129">
        <f>MIN(FC7:FC14)</f>
        <v>0</v>
      </c>
      <c r="FD18" s="129"/>
      <c r="FE18" s="129">
        <f>MIN(FE7:FE14)</f>
        <v>4.7033899999999997</v>
      </c>
      <c r="FF18" s="129"/>
      <c r="FG18" s="129">
        <f>MIN(FG7:FG14)</f>
        <v>-47.505479999999999</v>
      </c>
      <c r="FH18" s="127"/>
      <c r="FI18" s="129">
        <f>MIN(FI7:FI14)</f>
        <v>0.34523999999999999</v>
      </c>
      <c r="FJ18" s="129"/>
      <c r="FK18" s="129">
        <f>MIN(FK7:FK14)</f>
        <v>1.28356</v>
      </c>
      <c r="FL18" s="129"/>
      <c r="FM18" s="129">
        <f>MIN(FM7:FM14)</f>
        <v>4.6254099999999996</v>
      </c>
      <c r="FN18" s="129"/>
      <c r="FO18" s="130">
        <f>MIN(FO7:FO14)</f>
        <v>0</v>
      </c>
      <c r="FR18" s="8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s="9" customFormat="1" x14ac:dyDescent="0.2">
      <c r="A19" s="6"/>
      <c r="F19" s="85"/>
      <c r="G19" s="91" t="str">
        <f>'Language Index'!A834</f>
        <v>Mean</v>
      </c>
      <c r="H19" s="92"/>
      <c r="I19" s="133">
        <f>AVERAGE(I7:I14)</f>
        <v>158.840125</v>
      </c>
      <c r="J19" s="133"/>
      <c r="K19" s="133">
        <f>AVERAGE(K7:K14)</f>
        <v>235.81125000000003</v>
      </c>
      <c r="L19" s="133"/>
      <c r="M19" s="133">
        <f>AVERAGE(M7:M14)</f>
        <v>126.75222499999998</v>
      </c>
      <c r="N19" s="134"/>
      <c r="O19" s="135">
        <f>AVERAGE(O7:O14)</f>
        <v>0.71352562108882778</v>
      </c>
      <c r="P19" s="135"/>
      <c r="Q19" s="135">
        <f>AVERAGE(Q7:Q14)</f>
        <v>1.3448408905870546</v>
      </c>
      <c r="R19" s="134"/>
      <c r="S19" s="136">
        <f>AVERAGE(S7:S14)</f>
        <v>1631.7723687499999</v>
      </c>
      <c r="T19" s="134"/>
      <c r="U19" s="136">
        <f>AVERAGE(U7:U14)</f>
        <v>464152.66994789371</v>
      </c>
      <c r="V19" s="136"/>
      <c r="W19" s="136">
        <f>AVERAGE(W7:W14)</f>
        <v>16573.722125</v>
      </c>
      <c r="X19" s="136"/>
      <c r="Y19" s="136">
        <f>AVERAGE(Y7:Y14)</f>
        <v>37052.585625000007</v>
      </c>
      <c r="Z19" s="136"/>
      <c r="AA19" s="136">
        <f>AVERAGE(AA7:AA14)</f>
        <v>0</v>
      </c>
      <c r="AB19" s="136"/>
      <c r="AC19" s="136">
        <f>AVERAGE(AC7:AC14)</f>
        <v>203.42012500000001</v>
      </c>
      <c r="AD19" s="136"/>
      <c r="AE19" s="137">
        <f>AVERAGE(AE7:AE14)</f>
        <v>484834.95357289369</v>
      </c>
      <c r="AF19" s="75"/>
      <c r="AG19" s="198">
        <f>AVERAGE(AG7:AG14)</f>
        <v>67342.139875000008</v>
      </c>
      <c r="AH19" s="136"/>
      <c r="AI19" s="136">
        <f>AVERAGE(AI7:AI14)</f>
        <v>70909.087375000003</v>
      </c>
      <c r="AJ19" s="136"/>
      <c r="AK19" s="136">
        <f>AVERAGE(AK7:AK14)</f>
        <v>79743.462866249989</v>
      </c>
      <c r="AL19" s="136"/>
      <c r="AM19" s="136">
        <f>AVERAGE(AM7:AM14)</f>
        <v>92078.424529999989</v>
      </c>
      <c r="AN19" s="136"/>
      <c r="AO19" s="136">
        <f>AVERAGE(AO7:AO14)</f>
        <v>25593.188000000002</v>
      </c>
      <c r="AP19" s="136"/>
      <c r="AQ19" s="136">
        <f>AVERAGE(AQ7:AQ14)</f>
        <v>28325.372875000001</v>
      </c>
      <c r="AR19" s="136"/>
      <c r="AS19" s="136">
        <f>AVERAGE(AS7:AS14)</f>
        <v>35765.732940000002</v>
      </c>
      <c r="AT19" s="136"/>
      <c r="AU19" s="136">
        <f>AVERAGE(AU7:AU14)</f>
        <v>42251.311692499999</v>
      </c>
      <c r="AV19" s="136"/>
      <c r="AW19" s="138">
        <f>AVERAGE(AW7:AW14)</f>
        <v>7.1235099999999996</v>
      </c>
      <c r="AX19" s="138"/>
      <c r="AY19" s="138">
        <f>AVERAGE(AY7:AY14)</f>
        <v>7.5683999999999996</v>
      </c>
      <c r="AZ19" s="138"/>
      <c r="BA19" s="138">
        <f>AVERAGE(BA7:BA14)</f>
        <v>10.265543749999999</v>
      </c>
      <c r="BB19" s="138"/>
      <c r="BC19" s="139">
        <f>AVERAGE(BC7:BC14)</f>
        <v>11.45460375</v>
      </c>
      <c r="BD19" s="36"/>
      <c r="BE19" s="198">
        <f>AVERAGE(BE7:BE14)</f>
        <v>4.3138887500000003</v>
      </c>
      <c r="BF19" s="136"/>
      <c r="BG19" s="136">
        <f>AVERAGE(BG7:BG14)</f>
        <v>3.5450112499999999</v>
      </c>
      <c r="BH19" s="136"/>
      <c r="BI19" s="136">
        <f>AVERAGE(BI7:BI14)</f>
        <v>3.0895186251996654</v>
      </c>
      <c r="BJ19" s="136"/>
      <c r="BK19" s="136">
        <f>AVERAGE(BK7:BK14)</f>
        <v>2.6206798553719111</v>
      </c>
      <c r="BL19" s="136"/>
      <c r="BM19" s="136">
        <f>AVERAGE(BM7:BM14)</f>
        <v>14.1704975</v>
      </c>
      <c r="BN19" s="136"/>
      <c r="BO19" s="136">
        <f>AVERAGE(BO7:BO14)</f>
        <v>11.310661250000001</v>
      </c>
      <c r="BP19" s="136"/>
      <c r="BQ19" s="136">
        <f>AVERAGE(BQ7:BQ14)</f>
        <v>9.3657074999999992</v>
      </c>
      <c r="BR19" s="136"/>
      <c r="BS19" s="136">
        <f>AVERAGE(BS7:BS14)</f>
        <v>8.3546787500000015</v>
      </c>
      <c r="BT19" s="136"/>
      <c r="BU19" s="136">
        <f>AVERAGE(BU7:BU14)</f>
        <v>26.224107500000002</v>
      </c>
      <c r="BV19" s="136"/>
      <c r="BW19" s="136">
        <f>AVERAGE(BW7:BW14)</f>
        <v>20.199865714285718</v>
      </c>
      <c r="BX19" s="136"/>
      <c r="BY19" s="136">
        <f>AVERAGE(BY7:BY14)</f>
        <v>14.610211249999997</v>
      </c>
      <c r="BZ19" s="136"/>
      <c r="CA19" s="136">
        <f>AVERAGE(CA7:CA14)</f>
        <v>12.923124999999999</v>
      </c>
      <c r="CB19" s="136"/>
      <c r="CC19" s="136">
        <f>AVERAGE(CC7:CC14)</f>
        <v>6.4069737500000006</v>
      </c>
      <c r="CD19" s="136"/>
      <c r="CE19" s="137">
        <f>AVERAGE(CE7:CE14)</f>
        <v>13.011467999999999</v>
      </c>
      <c r="CF19" s="36"/>
      <c r="CG19" s="198">
        <f>AVERAGE(CG7:CG14)</f>
        <v>43.482137499999993</v>
      </c>
      <c r="CH19" s="136"/>
      <c r="CI19" s="136">
        <f>AVERAGE(CI7:CI14)</f>
        <v>43.647024999999999</v>
      </c>
      <c r="CJ19" s="136"/>
      <c r="CK19" s="136">
        <f>AVERAGE(CK7:CK14)</f>
        <v>42.659925000000001</v>
      </c>
      <c r="CL19" s="136"/>
      <c r="CM19" s="136">
        <f>AVERAGE(CM7:CM14)</f>
        <v>42.42434999999999</v>
      </c>
      <c r="CN19" s="136"/>
      <c r="CO19" s="136">
        <f>AVERAGE(CO7:CO14)</f>
        <v>22.253037500000001</v>
      </c>
      <c r="CP19" s="136"/>
      <c r="CQ19" s="136">
        <f>AVERAGE(CQ7:CQ14)</f>
        <v>23.224212500000004</v>
      </c>
      <c r="CR19" s="136"/>
      <c r="CS19" s="136">
        <f>AVERAGE(CS7:CS14)</f>
        <v>23.266437499999999</v>
      </c>
      <c r="CT19" s="136"/>
      <c r="CU19" s="136">
        <f>AVERAGE(CU7:CU14)</f>
        <v>23.911862500000002</v>
      </c>
      <c r="CV19" s="136"/>
      <c r="CW19" s="136">
        <f>AVERAGE(CW7:CW14)</f>
        <v>13.728474999999998</v>
      </c>
      <c r="CX19" s="136"/>
      <c r="CY19" s="136">
        <f>AVERAGE(CY7:CY14)</f>
        <v>14.1683875</v>
      </c>
      <c r="CZ19" s="136"/>
      <c r="DA19" s="136">
        <f>AVERAGE(DA7:DA14)</f>
        <v>13.233325000000001</v>
      </c>
      <c r="DB19" s="136"/>
      <c r="DC19" s="137">
        <f>AVERAGE(DC7:DC14)</f>
        <v>14.015862500000003</v>
      </c>
      <c r="DD19" s="36"/>
      <c r="DE19" s="198">
        <f>AVERAGE(DE7:DE14)</f>
        <v>11.012</v>
      </c>
      <c r="DF19" s="136"/>
      <c r="DG19" s="136">
        <f>AVERAGE(DG7:DG14)</f>
        <v>5.3991000000000007</v>
      </c>
      <c r="DH19" s="136"/>
      <c r="DI19" s="136">
        <f>AVERAGE(DI7:DI14)</f>
        <v>9.8339249999999989</v>
      </c>
      <c r="DJ19" s="136"/>
      <c r="DK19" s="136">
        <f>AVERAGE(DK7:DK14)</f>
        <v>10.0700375</v>
      </c>
      <c r="DL19" s="136"/>
      <c r="DM19" s="136">
        <f>AVERAGE(DM7:DM14)</f>
        <v>11.4660125</v>
      </c>
      <c r="DN19" s="136"/>
      <c r="DO19" s="136">
        <f>AVERAGE(DO7:DO14)</f>
        <v>5.7069750000000008</v>
      </c>
      <c r="DP19" s="136"/>
      <c r="DQ19" s="136">
        <f>AVERAGE(DQ7:DQ14)</f>
        <v>7.7859499999999988</v>
      </c>
      <c r="DR19" s="136"/>
      <c r="DS19" s="136">
        <f>AVERAGE(DS7:DS14)</f>
        <v>9.1891374999999993</v>
      </c>
      <c r="DT19" s="136"/>
      <c r="DU19" s="136">
        <f>AVERAGE(DU7:DU14)</f>
        <v>11.429885714285716</v>
      </c>
      <c r="DV19" s="136"/>
      <c r="DW19" s="136">
        <f>AVERAGE(DW7:DW14)</f>
        <v>8.1248285714285711</v>
      </c>
      <c r="DX19" s="136"/>
      <c r="DY19" s="136">
        <f>AVERAGE(DY7:DY14)</f>
        <v>10.462228571428572</v>
      </c>
      <c r="DZ19" s="136"/>
      <c r="EA19" s="137">
        <f>AVERAGE(EA7:EA14)</f>
        <v>11.81987142857143</v>
      </c>
      <c r="EB19" s="36"/>
      <c r="EC19" s="198">
        <f>AVERAGE(EC7:EC14)</f>
        <v>1.9367174999999999</v>
      </c>
      <c r="ED19" s="136"/>
      <c r="EE19" s="136">
        <f>AVERAGE(EE7:EE14)</f>
        <v>2.3574350000000002</v>
      </c>
      <c r="EF19" s="136"/>
      <c r="EG19" s="136">
        <f>AVERAGE(EG7:EG14)</f>
        <v>2.0719764298979393</v>
      </c>
      <c r="EH19" s="136"/>
      <c r="EI19" s="136">
        <f>AVERAGE(EI7:EI14)</f>
        <v>33.475893750000004</v>
      </c>
      <c r="EJ19" s="136"/>
      <c r="EK19" s="136">
        <f>AVERAGE(EK7:EK14)</f>
        <v>30.461144285714283</v>
      </c>
      <c r="EL19" s="134"/>
      <c r="EM19" s="136">
        <f>AVERAGE(EM7:EM14)</f>
        <v>111.87129999999999</v>
      </c>
      <c r="EN19" s="136"/>
      <c r="EO19" s="136">
        <f>AVERAGE(EO7:EO14)</f>
        <v>36.719850000000001</v>
      </c>
      <c r="EP19" s="134"/>
      <c r="EQ19" s="136">
        <f>AVERAGE(EQ7:EQ14)</f>
        <v>34.597924999999996</v>
      </c>
      <c r="ER19" s="136"/>
      <c r="ES19" s="136">
        <f>AVERAGE(ES7:ES14)</f>
        <v>8.14255</v>
      </c>
      <c r="ET19" s="136"/>
      <c r="EU19" s="137">
        <f>AVERAGE(EU7:EU14)</f>
        <v>10.439025000000001</v>
      </c>
      <c r="EV19" s="36"/>
      <c r="EW19" s="198">
        <f>AVERAGE(EW7:EW14)</f>
        <v>1.5058875</v>
      </c>
      <c r="EX19" s="136"/>
      <c r="EY19" s="136">
        <f>AVERAGE(EY7:EY14)</f>
        <v>1.2563650000000002</v>
      </c>
      <c r="EZ19" s="134"/>
      <c r="FA19" s="136">
        <f>AVERAGE(FA7:FA14)</f>
        <v>63.840296250000002</v>
      </c>
      <c r="FB19" s="136"/>
      <c r="FC19" s="136">
        <f>AVERAGE(FC7:FC14)</f>
        <v>25.571282500000002</v>
      </c>
      <c r="FD19" s="136"/>
      <c r="FE19" s="136">
        <f>AVERAGE(FE7:FE14)</f>
        <v>76.40356125000001</v>
      </c>
      <c r="FF19" s="136"/>
      <c r="FG19" s="136">
        <f>AVERAGE(FG7:FG14)</f>
        <v>-1.9370887499999998</v>
      </c>
      <c r="FH19" s="134"/>
      <c r="FI19" s="136">
        <f>AVERAGE(FI7:FI14)</f>
        <v>0.90881000000000001</v>
      </c>
      <c r="FJ19" s="136"/>
      <c r="FK19" s="136">
        <f>AVERAGE(FK7:FK14)</f>
        <v>16.72822875</v>
      </c>
      <c r="FL19" s="136"/>
      <c r="FM19" s="136">
        <f>AVERAGE(FM7:FM14)</f>
        <v>5.8558650000000014</v>
      </c>
      <c r="FN19" s="136"/>
      <c r="FO19" s="137">
        <f>AVERAGE(FO7:FO14)</f>
        <v>14.73397125</v>
      </c>
      <c r="FR19" s="88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s="2" customFormat="1" x14ac:dyDescent="0.2">
      <c r="A20" s="93" t="str">
        <f>'Language Index'!A775</f>
        <v>Target Company</v>
      </c>
      <c r="U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W20" s="84"/>
      <c r="AX20" s="84"/>
      <c r="AY20" s="84"/>
      <c r="AZ20" s="84"/>
      <c r="BA20" s="84"/>
      <c r="BB20" s="84"/>
      <c r="BC20" s="84"/>
      <c r="FR20" s="3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39" customFormat="1" x14ac:dyDescent="0.2">
      <c r="A21" s="140" t="str">
        <f>'Financial Statements'!C2</f>
        <v>NYSE:IBM</v>
      </c>
      <c r="C21" s="111" t="str">
        <f>_xll.ciqfunctions.udf.CIQ($A21, "IQ_COMPANY_NAME")</f>
        <v>International Business Machines Corporation</v>
      </c>
      <c r="E21" s="35">
        <f>_xll.ciqfunctions.udf.CIQ($A21,"IQ_PERIODDATE",IQ_FY,$I$5)</f>
        <v>46022</v>
      </c>
      <c r="F21" s="35"/>
      <c r="G21" s="35">
        <f>_xll.ciqfunctions.udf.CIQ($A21,"IQ_PERIODDATE",IQ_LTM,$I$5)</f>
        <v>46022</v>
      </c>
      <c r="I21" s="29">
        <f>_xll.ciqfunctions.udf.CIQ($A21, "IQ_LASTSALEPRICE",$I$5,Ccy,Conv)</f>
        <v>258.14499999999998</v>
      </c>
      <c r="J21" s="29"/>
      <c r="K21" s="29">
        <f>_xll.ciqfunctions.udf.CIQ($A21, "IQ_YEARHIGH",$I$5,Ccy,Conv)</f>
        <v>324.89999999999998</v>
      </c>
      <c r="L21" s="29"/>
      <c r="M21" s="29">
        <f>_xll.ciqfunctions.udf.CIQ($A21, "IQ_YEARLOW",$I$5,Ccy,Conv)</f>
        <v>214.5</v>
      </c>
      <c r="O21" s="112">
        <f>IF(ISERROR(I21/K21), "NA", I21/K21)</f>
        <v>0.79453678054786092</v>
      </c>
      <c r="P21" s="112"/>
      <c r="Q21" s="112">
        <f>IF(ISERROR(I21/M21), "NA", I21/M21)</f>
        <v>1.2034731934731935</v>
      </c>
      <c r="S21" s="18">
        <f>_xll.ciqfunctions.udf.CIQ($A21, "IQ_SHARESOUTSTANDING",$I$5)</f>
        <v>938.03440000000001</v>
      </c>
      <c r="U21" s="60">
        <f>IF(ISERROR(S21*I21), "NA", S21*I21)</f>
        <v>242148.89018799999</v>
      </c>
      <c r="V21" s="60"/>
      <c r="W21" s="18">
        <f>_xll.ciqfunctions.udf.CIQ($A21, "IQ_CASH_ST_INVEST",IQ_FQ,$I$5,,"F",Ccy,Conv)</f>
        <v>14417</v>
      </c>
      <c r="X21" s="18"/>
      <c r="Y21" s="18">
        <f>_xll.ciqfunctions.udf.CIQ($A21, "IQ_TOTAL_DEBT",IQ_FQ,$I$5,,"F",Ccy,Conv)</f>
        <v>64607</v>
      </c>
      <c r="Z21" s="18"/>
      <c r="AA21" s="18">
        <f>_xll.ciqfunctions.udf.CIQ($A21, "IQ_PREF_EQUITY",IQ_FQ,$I$5,,"F",Ccy,Conv)</f>
        <v>0</v>
      </c>
      <c r="AB21" s="18"/>
      <c r="AC21" s="18">
        <f>_xll.ciqfunctions.udf.CIQ($A21, "IQ_MINORITY_INTEREST_TOTAL",IQ_FQ,$I$5,,"F",Ccy,Conv)</f>
        <v>93</v>
      </c>
      <c r="AD21" s="60"/>
      <c r="AE21" s="60">
        <f>IF(ISERROR(U21-W21+Y21+AA21+AC21), "NA",U21-W21+Y21+AA21+AC21)</f>
        <v>292431.89018799999</v>
      </c>
      <c r="AF21" s="60"/>
      <c r="AG21" s="18">
        <f>_xll.ciqfunctions.udf.CIQ($A21, "IQ_TOTAL_REV", IQ_FY,$I$5,,,Ccy,Conv)</f>
        <v>67535</v>
      </c>
      <c r="AH21" s="18"/>
      <c r="AI21" s="18">
        <f>_xll.ciqfunctions.udf.CIQ($A21, "IQ_TOTAL_REV", IQ_LTM,$I$5,,,Ccy,Conv)</f>
        <v>67535</v>
      </c>
      <c r="AJ21" s="18"/>
      <c r="AK21" s="18">
        <f>_xll.ciqfunctions.udf.CIQ($A21, "IQ_REVENUE_EST", IQ_CY+ 1,$I$5,,,Ccy,Conv)</f>
        <v>71189.57157</v>
      </c>
      <c r="AL21" s="18"/>
      <c r="AM21" s="18">
        <f>_xll.ciqfunctions.udf.CIQ($A21, "IQ_REVENUE_EST", IQ_CY+ 2,$I$5,,,Ccy,Conv)</f>
        <v>74260.886450000005</v>
      </c>
      <c r="AN21" s="60"/>
      <c r="AO21" s="18">
        <f>_xll.ciqfunctions.udf.CIQ($A21, "IQ_EBITDA", IQ_FY,$I$5,,,Ccy,Conv)</f>
        <v>16118</v>
      </c>
      <c r="AP21" s="18"/>
      <c r="AQ21" s="18">
        <f>_xll.ciqfunctions.udf.CIQ($A21, "IQ_EBITDA", IQ_LTM,$I$5,,,Ccy,Conv)</f>
        <v>16118</v>
      </c>
      <c r="AR21" s="18"/>
      <c r="AS21" s="18">
        <f>_xll.ciqfunctions.udf.CIQ($A21, "IQ_EBITDA_EST", IQ_CY+ 1,$I$5,,,Ccy,Conv)</f>
        <v>19949.249830000001</v>
      </c>
      <c r="AT21" s="18"/>
      <c r="AU21" s="18">
        <f>_xll.ciqfunctions.udf.CIQ($A21, "IQ_EBITDA_EST", IQ_CY+ 2,$I$5,,,Ccy,Conv)</f>
        <v>21726.144700000001</v>
      </c>
      <c r="AV21" s="60"/>
      <c r="AW21" s="29">
        <f>_xll.ciqfunctions.udf.CIQ($A21, "IQ_DILUT_EPS_EXCL", IQ_FY,$I$5,,,Ccy,Conv)</f>
        <v>11.14</v>
      </c>
      <c r="AX21" s="29"/>
      <c r="AY21" s="29">
        <f>_xll.ciqfunctions.udf.CIQ($A21, "IQ_DILUT_EPS_EXCL", IQ_LTM,$I$5,,,Ccy,Conv)</f>
        <v>11.14</v>
      </c>
      <c r="AZ21" s="29"/>
      <c r="BA21" s="29">
        <f>_xll.ciqfunctions.udf.CIQ($A21, "IQ_EPS_EST", IQ_CY+ 1,$I$5,,,Ccy,Conv)</f>
        <v>12.41479</v>
      </c>
      <c r="BB21" s="29"/>
      <c r="BC21" s="29">
        <f>_xll.ciqfunctions.udf.CIQ($A21, "IQ_EPS_EST", IQ_CY+ 2,$I$5,,,Ccy,Conv)</f>
        <v>13.41822</v>
      </c>
      <c r="BE21" s="55">
        <f>_xll.ciqfunctions.udf.CIQ($A21, "IQ_TEV_TOTAL_REV",IQ_LTM,$FR21)</f>
        <v>5.0254899999999996</v>
      </c>
      <c r="BF21" s="55"/>
      <c r="BG21" s="55">
        <f>_xll.ciqfunctions.udf.CIQ($A21, "IQ_TEV_TOTAL_REV",IQ_LTM,$I$5)</f>
        <v>4.3079299999999998</v>
      </c>
      <c r="BH21" s="60"/>
      <c r="BI21" s="113">
        <f>IF(ISERROR($AE21/AK21), "NA", $AE21/AK21)</f>
        <v>4.1077911235981324</v>
      </c>
      <c r="BJ21" s="113"/>
      <c r="BK21" s="113">
        <f>IF(ISERROR($AE21/AM21), "NA", $AE21/AM21)</f>
        <v>3.9378992652463816</v>
      </c>
      <c r="BL21" s="60"/>
      <c r="BM21" s="55">
        <f>_xll.ciqfunctions.udf.CIQ($A21, "IQ_TEV_EBITDA",IQ_LTM,$FR21)</f>
        <v>20.08567</v>
      </c>
      <c r="BN21" s="55"/>
      <c r="BO21" s="55">
        <f>_xll.ciqfunctions.udf.CIQ($A21, "IQ_TEV_EBITDA",IQ_LTM,$I$5)</f>
        <v>16.695499999999999</v>
      </c>
      <c r="BP21" s="55"/>
      <c r="BQ21" s="55">
        <f>_xll.ciqfunctions.udf.CIQ($A21, "IQ_TEV_EBITDA_FWD",IQ_CY+1,$I$5)</f>
        <v>14.58379</v>
      </c>
      <c r="BR21" s="55"/>
      <c r="BS21" s="55">
        <f>_xll.ciqfunctions.udf.CIQ($A21, "IQ_TEV_EBITDA_FWD",IQ_CY+2,$I$5)</f>
        <v>13.39104</v>
      </c>
      <c r="BT21" s="60"/>
      <c r="BU21" s="55">
        <f>_xll.ciqfunctions.udf.CIQ($A21, "IQ_PE_EXCL",IQ_LTM,$FR21)</f>
        <v>35.37527</v>
      </c>
      <c r="BV21" s="55"/>
      <c r="BW21" s="55">
        <f>_xll.ciqfunctions.udf.CIQ($A21, "IQ_PE_EXCL",IQ_LTM,$I$5)</f>
        <v>23.029620000000001</v>
      </c>
      <c r="BX21" s="55"/>
      <c r="BY21" s="55">
        <f>_xll.ciqfunctions.udf.CIQ($A21, "IQ_PE_EXCL_FWD",IQ_CY+1,$I$5)</f>
        <v>20.664870000000001</v>
      </c>
      <c r="BZ21" s="55"/>
      <c r="CA21" s="55">
        <f>_xll.ciqfunctions.udf.CIQ($A21, "IQ_PE_EXCL_FWD",IQ_CY+2,$I$5)</f>
        <v>19.119530000000001</v>
      </c>
      <c r="CB21" s="60"/>
      <c r="CC21" s="55">
        <f>_xll.ciqfunctions.udf.CIQ($A21, "IQ_PBV",IQ_LTM,$I$5,)</f>
        <v>7.3626300000000002</v>
      </c>
      <c r="CD21" s="55"/>
      <c r="CE21" s="55" t="str">
        <f>_xll.ciqfunctions.udf.CIQ($A21, "IQ_PTBV",IQ_LTM,$I$5,)</f>
        <v>NM</v>
      </c>
      <c r="CG21" s="18">
        <f>_xll.ciqfunctions.udf.CIQ($A21, "IQ_GROSS_MARGIN", IQ_FY- 2,$I$5,)</f>
        <v>55.447699999999998</v>
      </c>
      <c r="CH21" s="18"/>
      <c r="CI21" s="18">
        <f>_xll.ciqfunctions.udf.CIQ($A21, "IQ_GROSS_MARGIN", IQ_FY- 1,$I$5,)</f>
        <v>56.653799999999997</v>
      </c>
      <c r="CJ21" s="18"/>
      <c r="CK21" s="18">
        <f>_xll.ciqfunctions.udf.CIQ($A21, "IQ_GROSS_MARGIN", IQ_FY,$I$5,)</f>
        <v>58.186100000000003</v>
      </c>
      <c r="CL21" s="18"/>
      <c r="CM21" s="18">
        <f>_xll.ciqfunctions.udf.CIQ($A21, "IQ_GROSS_MARGIN", IQ_LTM,$I$5,)</f>
        <v>58.186100000000003</v>
      </c>
      <c r="CN21" s="60"/>
      <c r="CO21" s="18">
        <f>_xll.ciqfunctions.udf.CIQ($A21, "IQ_EBITDA_MARGIN", IQ_FY- 2,$I$5,)</f>
        <v>19.814</v>
      </c>
      <c r="CP21" s="18"/>
      <c r="CQ21" s="18">
        <f>_xll.ciqfunctions.udf.CIQ($A21, "IQ_EBITDA_MARGIN", IQ_FY- 1,$I$5,)</f>
        <v>20.534400000000002</v>
      </c>
      <c r="CR21" s="18"/>
      <c r="CS21" s="18">
        <f>_xll.ciqfunctions.udf.CIQ($A21, "IQ_EBITDA_MARGIN", IQ_FY,$I$5,)</f>
        <v>23.866099999999999</v>
      </c>
      <c r="CT21" s="18"/>
      <c r="CU21" s="18">
        <f>_xll.ciqfunctions.udf.CIQ($A21, "IQ_EBITDA_MARGIN", IQ_LTM,$I$5,)</f>
        <v>23.866099999999999</v>
      </c>
      <c r="CV21" s="60"/>
      <c r="CW21" s="18">
        <f>_xll.ciqfunctions.udf.CIQ($A21, "IQ_NI_MARGIN", IQ_FY- 2,$I$5,)</f>
        <v>12.1273</v>
      </c>
      <c r="CX21" s="18"/>
      <c r="CY21" s="18">
        <f>_xll.ciqfunctions.udf.CIQ($A21, "IQ_NI_MARGIN", IQ_FY- 1,$I$5,)</f>
        <v>9.5978999999999992</v>
      </c>
      <c r="CZ21" s="18"/>
      <c r="DA21" s="18">
        <f>_xll.ciqfunctions.udf.CIQ($A21, "IQ_NI_MARGIN", IQ_FY,$I$5,)</f>
        <v>15.6852</v>
      </c>
      <c r="DB21" s="18"/>
      <c r="DC21" s="18">
        <f>_xll.ciqfunctions.udf.CIQ($A21, "IQ_NI_MARGIN", IQ_LTM,$I$5,)</f>
        <v>15.6852</v>
      </c>
      <c r="DE21" s="18">
        <f>_xll.ciqfunctions.udf.CIQ($A21, "IQ_TOTAL_REV_5YR_ANN_CAGR",IQ_LTM,$I$5,)</f>
        <v>4.1239999999999997</v>
      </c>
      <c r="DF21" s="18"/>
      <c r="DG21" s="18">
        <f>_xll.ciqfunctions.udf.CIQ($A21, "IQ_TOTAL_REV_3YR_ANN_CAGR",IQ_LTM,$I$5,)</f>
        <v>3.7176</v>
      </c>
      <c r="DH21" s="18"/>
      <c r="DI21" s="18">
        <f>_xll.ciqfunctions.udf.CIQ($A21, "IQ_TOTAL_REV_1YR_ANN_GROWTH", IQ_FY,$I$5,)</f>
        <v>7.6203000000000003</v>
      </c>
      <c r="DJ21" s="18"/>
      <c r="DK21" s="18">
        <f>_xll.ciqfunctions.udf.CIQ($A21, "IQ_TOTAL_REV_1YR_ANN_GROWTH",IQ_LTM,$I$5,)</f>
        <v>7.6203000000000003</v>
      </c>
      <c r="DL21" s="60"/>
      <c r="DM21" s="18">
        <f>_xll.ciqfunctions.udf.CIQ($A21, "IQ_EBITDA_5YR_ANN_CAGR",IQ_LTM,$I$5,)</f>
        <v>7.2530000000000001</v>
      </c>
      <c r="DN21" s="18"/>
      <c r="DO21" s="18">
        <f>_xll.ciqfunctions.udf.CIQ($A21, "IQ_EBITDA_3YR_ANN_CAGR",IQ_LTM,$I$5,)</f>
        <v>14.366300000000001</v>
      </c>
      <c r="DP21" s="18"/>
      <c r="DQ21" s="18">
        <f>_xll.ciqfunctions.udf.CIQ($A21, "IQ_EBITDA_1YR_ANN_GROWTH", IQ_FY,$I$5,)</f>
        <v>25.081399999999999</v>
      </c>
      <c r="DR21" s="18"/>
      <c r="DS21" s="18">
        <f>_xll.ciqfunctions.udf.CIQ($A21, "IQ_EBITDA_1YR_ANN_GROWTH",IQ_LTM,$I$5,)</f>
        <v>25.081399999999999</v>
      </c>
      <c r="DT21" s="60"/>
      <c r="DU21" s="18">
        <f>_xll.ciqfunctions.udf.CIQ($A21, "IQ_EPS_5YR_ANN_CAGR",IQ_LTM,$I$5,)</f>
        <v>20.5077</v>
      </c>
      <c r="DV21" s="18"/>
      <c r="DW21" s="18">
        <f>_xll.ciqfunctions.udf.CIQ($A21, "IQ_EPS_3YR_ANN_CAGR",IQ_LTM,$I$5,)</f>
        <v>78.7654</v>
      </c>
      <c r="DX21" s="18"/>
      <c r="DY21" s="18">
        <f>_xll.ciqfunctions.udf.CIQ($A21, "IQ_EPS_1YR_ANN_GROWTH", IQ_FY,$I$5,)</f>
        <v>73.520200000000003</v>
      </c>
      <c r="DZ21" s="18"/>
      <c r="EA21" s="18">
        <f>_xll.ciqfunctions.udf.CIQ($A21, "IQ_EPS_1YR_ANN_GROWTH", IQ_LTM,$I$5,)</f>
        <v>73.520200000000003</v>
      </c>
      <c r="EC21" s="55">
        <f>_xll.ciqfunctions.udf.CIQ($A21, "IQ_TOTAL_DEBT_EBITDA",IQ_LTM,$I$5,)</f>
        <v>3.7075100000000001</v>
      </c>
      <c r="ED21" s="55"/>
      <c r="EE21" s="55">
        <f>_xll.ciqfunctions.udf.CIQ($A21, "IQ_NET_DEBT_EBITDA",IQ_LTM,$I$5,)</f>
        <v>2.8801800000000002</v>
      </c>
      <c r="EF21" s="18"/>
      <c r="EG21" s="116">
        <f>IF(ISERROR((Y21+AA21)/AQ21), "NA", (Y21+AA21)/AQ21)</f>
        <v>4.0083757289986348</v>
      </c>
      <c r="EH21" s="18"/>
      <c r="EI21" s="55">
        <f>_xll.ciqfunctions.udf.CIQ($A21, "IQ_EBITDA_INT",IQ_LTM,$I$5,)</f>
        <v>9.0056799999999999</v>
      </c>
      <c r="EJ21" s="55"/>
      <c r="EK21" s="55">
        <f>_xll.ciqfunctions.udf.CIQ($A21, "IQ_EBITDA_CAPEX_INT",IQ_LTM,$I$5,)</f>
        <v>8.4418600000000001</v>
      </c>
      <c r="EL21" s="59"/>
      <c r="EM21" s="18">
        <f>_xll.ciqfunctions.udf.CIQ($A21, "IQ_TOTAL_DEBT_EQUITY",IQ_FQ,$I$5,)</f>
        <v>197.32749999999999</v>
      </c>
      <c r="EN21" s="18"/>
      <c r="EO21" s="18">
        <f>_xll.ciqfunctions.udf.CIQ($A21, "IQ_TOTAL_DEBT_CAPITAL",IQ_FQ,$I$5,)</f>
        <v>66.367000000000004</v>
      </c>
      <c r="EQ21" s="18">
        <f>_xll.ciqfunctions.udf.CIQ($A21, "IQ_RETURN_EQUITY",IQ_LTM,$I$5)</f>
        <v>35.158099999999997</v>
      </c>
      <c r="ER21" s="18"/>
      <c r="ES21" s="18">
        <f>_xll.ciqfunctions.udf.CIQ($A21, "IQ_RETURN_ASSETS",IQ_LTM,$I$5)</f>
        <v>5.4348999999999998</v>
      </c>
      <c r="ET21" s="18"/>
      <c r="EU21" s="18">
        <f>_xll.ciqfunctions.udf.CIQ($A21, "IQ_RETURN_INVESTED_CAPITAL",IQ_LTM,$I$5)</f>
        <v>4.7374000000000001</v>
      </c>
      <c r="EW21" s="55">
        <f>_xll.ciqfunctions.udf.CIQ($A21, "IQ_CURRENT_RATIO",IQ_FQ,$I$5,)</f>
        <v>0.95565999999999995</v>
      </c>
      <c r="EX21" s="55"/>
      <c r="EY21" s="55">
        <f>_xll.ciqfunctions.udf.CIQ($A21, "IQ_QUICK_RATIO",IQ_FQ,$I$5,)</f>
        <v>0.81242999999999999</v>
      </c>
      <c r="EZ21" s="59"/>
      <c r="FA21" s="18">
        <f>_xll.ciqfunctions.udf.CIQ($A21, "IQ_DAYS_SALES_OUT",IQ_LTM,$I$5,)</f>
        <v>43.25141</v>
      </c>
      <c r="FB21" s="18"/>
      <c r="FC21" s="18">
        <f>_xll.ciqfunctions.udf.CIQ($A21, "IQ_DAYS_INVENTORY_OUT",IQ_LTM,$I$5,)</f>
        <v>16.449459999999998</v>
      </c>
      <c r="FD21" s="18"/>
      <c r="FE21" s="18">
        <f>_xll.ciqfunctions.udf.CIQ($A21, "IQ_DAYS_PAYABLE_OUT",IQ_LTM,$I$5,)</f>
        <v>57.759430000000002</v>
      </c>
      <c r="FF21" s="18"/>
      <c r="FG21" s="18">
        <f>_xll.ciqfunctions.udf.CIQ($A21, "IQ_CASH_CONVERSION",IQ_LTM,$I$5,)</f>
        <v>1.9414400000000001</v>
      </c>
      <c r="FH21" s="59"/>
      <c r="FI21" s="55">
        <f>_xll.ciqfunctions.udf.CIQ($A21, "IQ_ASSET_TURNS",IQ_LTM,$I$5,)</f>
        <v>0.46727999999999997</v>
      </c>
      <c r="FJ21" s="55"/>
      <c r="FK21" s="55">
        <f>_xll.ciqfunctions.udf.CIQ($A21, "IQ_FIXED_ASSET_TURNS",IQ_LTM,$I$5,)</f>
        <v>7.5218600000000002</v>
      </c>
      <c r="FL21" s="55"/>
      <c r="FM21" s="55">
        <f>_xll.ciqfunctions.udf.CIQ($A21, "IQ_AR_TURNS",IQ_LTM,$I$5,)</f>
        <v>8.4390099999999997</v>
      </c>
      <c r="FN21" s="55"/>
      <c r="FO21" s="55">
        <f>_xll.ciqfunctions.udf.CIQ($A21, "IQ_INVENTORY_TURNS",IQ_LTM,$I$5,)</f>
        <v>22.18892</v>
      </c>
      <c r="FP21" s="2"/>
      <c r="FQ21" s="2"/>
      <c r="FR21" s="114">
        <f>_xll.ciqfunctions.udf.CIQ($A21,"IQ_PERIODDATE",IQ_FY,$I$5)</f>
        <v>46022</v>
      </c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s="2" customFormat="1" x14ac:dyDescent="0.2">
      <c r="A22" s="51"/>
      <c r="B22" s="51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s="2" customFormat="1" x14ac:dyDescent="0.2">
      <c r="A23" s="42" t="str">
        <f>'Language Index'!A770</f>
        <v>Source: S&amp;P Capital IQ</v>
      </c>
      <c r="AG23" s="42"/>
      <c r="BE23" s="42"/>
      <c r="CC23" s="55"/>
      <c r="CE23" s="94"/>
      <c r="CG23" s="42"/>
      <c r="DE23" s="42"/>
      <c r="EC23" s="42"/>
      <c r="EW23" s="42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s="2" customFormat="1" ht="26.25" customHeight="1" x14ac:dyDescent="0.2">
      <c r="A24" s="270" t="str">
        <f>'Language Index'!A771</f>
        <v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v>
      </c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270"/>
      <c r="M24" s="270"/>
      <c r="N24" s="270"/>
      <c r="O24" s="270"/>
      <c r="P24" s="270"/>
      <c r="Q24" s="270"/>
      <c r="R24" s="270"/>
      <c r="S24" s="270"/>
      <c r="T24" s="270"/>
      <c r="U24" s="270"/>
      <c r="V24" s="270"/>
      <c r="W24" s="270"/>
      <c r="X24" s="270"/>
      <c r="Y24" s="270"/>
      <c r="Z24" s="270"/>
      <c r="AA24" s="270"/>
      <c r="AB24" s="270"/>
      <c r="AC24" s="270"/>
      <c r="AD24" s="270"/>
      <c r="AE24" s="270"/>
      <c r="AG24" s="32"/>
      <c r="BE24" s="32"/>
      <c r="CC24" s="55"/>
      <c r="CE24" s="94"/>
      <c r="CG24" s="32"/>
      <c r="DE24" s="32"/>
      <c r="EC24" s="32"/>
      <c r="EW24" s="32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s="2" customFormat="1" x14ac:dyDescent="0.2">
      <c r="CC25" s="55"/>
      <c r="CE25" s="94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</sheetData>
  <mergeCells count="1">
    <mergeCell ref="A24:AE24"/>
  </mergeCells>
  <phoneticPr fontId="0" type="noConversion"/>
  <printOptions horizontalCentered="1"/>
  <pageMargins left="0" right="0" top="0.25" bottom="0.25" header="0.5" footer="0.25"/>
  <pageSetup scale="56" fitToWidth="7" orientation="landscape" r:id="rId1"/>
  <headerFooter alignWithMargins="0">
    <oddFooter>&amp;C&amp;"Times New Roman,Regular"&amp;11&amp;P of &amp;N</oddFooter>
  </headerFooter>
  <colBreaks count="6" manualBreakCount="6">
    <brk id="32" max="1048575" man="1"/>
    <brk id="56" max="1048575" man="1"/>
    <brk id="84" max="1048575" man="1"/>
    <brk id="108" max="1048575" man="1"/>
    <brk id="132" max="1048575" man="1"/>
    <brk id="152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A62"/>
  <sheetViews>
    <sheetView showGridLines="0" zoomScale="85" zoomScaleNormal="85" zoomScaleSheetLayoutView="70" workbookViewId="0"/>
  </sheetViews>
  <sheetFormatPr defaultRowHeight="12.75" x14ac:dyDescent="0.2"/>
  <cols>
    <col min="1" max="1" width="10.7109375" customWidth="1"/>
    <col min="2" max="2" width="1.140625" customWidth="1"/>
    <col min="3" max="3" width="35.7109375" customWidth="1"/>
    <col min="4" max="4" width="11.28515625" customWidth="1"/>
    <col min="5" max="5" width="1.7109375" customWidth="1"/>
    <col min="6" max="6" width="11.7109375" customWidth="1"/>
    <col min="7" max="7" width="1.7109375" customWidth="1"/>
    <col min="8" max="8" width="11.7109375" customWidth="1"/>
    <col min="9" max="9" width="1.7109375" customWidth="1"/>
    <col min="10" max="10" width="10" bestFit="1" customWidth="1"/>
    <col min="11" max="11" width="1.7109375" customWidth="1"/>
    <col min="12" max="12" width="12.5703125" bestFit="1" customWidth="1"/>
    <col min="13" max="13" width="1.7109375" customWidth="1"/>
    <col min="14" max="14" width="11.42578125" bestFit="1" customWidth="1"/>
    <col min="15" max="15" width="1.7109375" customWidth="1"/>
    <col min="16" max="16" width="10.85546875" bestFit="1" customWidth="1"/>
    <col min="17" max="17" width="1.7109375" customWidth="1"/>
    <col min="18" max="18" width="10.85546875" bestFit="1" customWidth="1"/>
    <col min="19" max="19" width="1.7109375" customWidth="1"/>
    <col min="20" max="20" width="10" bestFit="1" customWidth="1"/>
    <col min="21" max="21" width="1.7109375" customWidth="1"/>
    <col min="22" max="22" width="10" bestFit="1" customWidth="1"/>
    <col min="23" max="23" width="1.7109375" customWidth="1"/>
    <col min="24" max="24" width="10" bestFit="1" customWidth="1"/>
    <col min="25" max="25" width="1.7109375" customWidth="1"/>
    <col min="26" max="26" width="9.85546875" bestFit="1" customWidth="1"/>
  </cols>
  <sheetData>
    <row r="1" spans="1:27" ht="32.1" customHeight="1" x14ac:dyDescent="0.4">
      <c r="A1" s="61" t="str">
        <f>'Language Index'!A807</f>
        <v>COMPARABLE COMPANY ANALYSIS</v>
      </c>
      <c r="B1" s="63"/>
      <c r="C1" s="192"/>
      <c r="D1" s="63"/>
      <c r="E1" s="63"/>
      <c r="F1" s="63"/>
      <c r="G1" s="63"/>
      <c r="H1" s="63"/>
      <c r="I1" s="63"/>
      <c r="J1" s="63"/>
      <c r="K1" s="63"/>
      <c r="L1" s="193"/>
      <c r="M1" s="63"/>
      <c r="N1" s="193"/>
      <c r="O1" s="63"/>
      <c r="P1" s="193"/>
      <c r="Q1" s="63"/>
      <c r="R1" s="193"/>
      <c r="S1" s="193"/>
      <c r="T1" s="193"/>
      <c r="U1" s="193"/>
      <c r="V1" s="193"/>
      <c r="W1" s="193"/>
      <c r="X1" s="193"/>
      <c r="Y1" s="193"/>
      <c r="Z1" s="193"/>
      <c r="AA1" s="2"/>
    </row>
    <row r="2" spans="1:27" ht="10.5" customHeight="1" x14ac:dyDescent="0.2">
      <c r="A2" s="190" t="str">
        <f>'Detailed Comps'!A3</f>
        <v>(In USD millions, except per share data)</v>
      </c>
      <c r="B2" s="2"/>
      <c r="C2" s="9"/>
      <c r="D2" s="2"/>
      <c r="E2" s="2"/>
      <c r="F2" s="2"/>
      <c r="G2" s="2"/>
      <c r="H2" s="2"/>
      <c r="I2" s="2"/>
      <c r="J2" s="2"/>
      <c r="K2" s="2"/>
      <c r="L2" s="144"/>
      <c r="M2" s="2"/>
      <c r="N2" s="144"/>
      <c r="O2" s="2"/>
      <c r="P2" s="144"/>
      <c r="Q2" s="2"/>
      <c r="R2" s="144"/>
      <c r="S2" s="144"/>
      <c r="T2" s="144"/>
      <c r="U2" s="144"/>
      <c r="V2" s="144"/>
      <c r="W2" s="144"/>
      <c r="X2" s="144"/>
      <c r="Y2" s="144"/>
      <c r="Z2" s="144"/>
      <c r="AA2" s="2"/>
    </row>
    <row r="3" spans="1:27" x14ac:dyDescent="0.2">
      <c r="A3" s="2"/>
      <c r="B3" s="2"/>
      <c r="C3" s="2"/>
      <c r="D3" s="97" t="str">
        <f>'Language Index'!A778</f>
        <v>Stock Price</v>
      </c>
      <c r="E3" s="2"/>
      <c r="F3" s="14" t="str">
        <f>'Language Index'!A836</f>
        <v>Current as % of 52-Week (%)</v>
      </c>
      <c r="G3" s="14"/>
      <c r="H3" s="14"/>
      <c r="I3" s="2"/>
      <c r="J3" s="97" t="str">
        <f>'Language Index'!A837</f>
        <v>Shares</v>
      </c>
      <c r="K3" s="2"/>
      <c r="L3" s="97" t="str">
        <f>'Language Index'!A839</f>
        <v>Market</v>
      </c>
      <c r="M3" s="2"/>
      <c r="N3" s="97" t="str">
        <f>'Language Index'!A841</f>
        <v>Enterprise</v>
      </c>
      <c r="O3" s="2"/>
      <c r="P3" s="14" t="str">
        <f>'Language Index'!A854</f>
        <v>Revenue</v>
      </c>
      <c r="Q3" s="14"/>
      <c r="R3" s="14"/>
      <c r="S3" s="2"/>
      <c r="T3" s="14" t="str">
        <f>'Language Index'!A105</f>
        <v>EBITDA</v>
      </c>
      <c r="U3" s="14"/>
      <c r="V3" s="14"/>
      <c r="W3" s="2"/>
      <c r="X3" s="14" t="str">
        <f>'Language Index'!A806</f>
        <v>EPS</v>
      </c>
      <c r="Y3" s="14"/>
      <c r="Z3" s="14"/>
      <c r="AA3" s="2"/>
    </row>
    <row r="4" spans="1:27" x14ac:dyDescent="0.2">
      <c r="A4" s="145" t="str">
        <f>'Language Index'!A8</f>
        <v>Ticker</v>
      </c>
      <c r="B4" s="2"/>
      <c r="C4" s="93" t="str">
        <f>'Language Index'!A835</f>
        <v>Trading Data and Size</v>
      </c>
      <c r="D4" s="191">
        <f>'Detailed Comps'!I5</f>
        <v>46087</v>
      </c>
      <c r="E4" s="2"/>
      <c r="F4" s="146" t="str">
        <f>'Language Index'!A780</f>
        <v>High</v>
      </c>
      <c r="G4" s="2"/>
      <c r="H4" s="146" t="str">
        <f>'Language Index'!A781</f>
        <v>Low</v>
      </c>
      <c r="I4" s="2"/>
      <c r="J4" s="146" t="str">
        <f>'Language Index'!A838</f>
        <v>Out.</v>
      </c>
      <c r="K4" s="2"/>
      <c r="L4" s="146" t="str">
        <f>'Language Index'!A840</f>
        <v>Cap</v>
      </c>
      <c r="M4" s="2"/>
      <c r="N4" s="146" t="str">
        <f>'Language Index'!A842</f>
        <v>Value</v>
      </c>
      <c r="O4" s="2"/>
      <c r="P4" s="146" t="str">
        <f>'Language Index'!A14</f>
        <v>LTM</v>
      </c>
      <c r="Q4" s="2"/>
      <c r="R4" s="146" t="str">
        <f>'Language Index'!A859</f>
        <v>CY+1</v>
      </c>
      <c r="S4" s="2"/>
      <c r="T4" s="146" t="str">
        <f>'Language Index'!A14</f>
        <v>LTM</v>
      </c>
      <c r="U4" s="2"/>
      <c r="V4" s="146" t="str">
        <f>'Language Index'!A859</f>
        <v>CY+1</v>
      </c>
      <c r="W4" s="2"/>
      <c r="X4" s="146" t="str">
        <f>'Language Index'!A14</f>
        <v>LTM</v>
      </c>
      <c r="Y4" s="2"/>
      <c r="Z4" s="146" t="str">
        <f>'Language Index'!A859</f>
        <v>CY+1</v>
      </c>
      <c r="AA4" s="2"/>
    </row>
    <row r="5" spans="1:27" x14ac:dyDescent="0.2">
      <c r="A5" s="2" t="str">
        <f>'Detailed Comps'!A7</f>
        <v>NYSE:ORCL</v>
      </c>
      <c r="B5" s="2"/>
      <c r="C5" s="2" t="str">
        <f>'Detailed Comps'!C7</f>
        <v>Oracle Corporation</v>
      </c>
      <c r="D5" s="147">
        <f>'Detailed Comps'!I7</f>
        <v>154.05000000000001</v>
      </c>
      <c r="E5" s="39"/>
      <c r="F5" s="60">
        <f>'Detailed Comps'!O7*100</f>
        <v>44.559180839986119</v>
      </c>
      <c r="G5" s="39"/>
      <c r="H5" s="60">
        <f>'Detailed Comps'!Q7*100</f>
        <v>129.60625946491672</v>
      </c>
      <c r="I5" s="39"/>
      <c r="J5" s="60">
        <f>'Detailed Comps'!S7</f>
        <v>2874.0909999999999</v>
      </c>
      <c r="K5" s="39"/>
      <c r="L5" s="60">
        <f>'Detailed Comps'!U7</f>
        <v>442753.71854999999</v>
      </c>
      <c r="M5" s="60"/>
      <c r="N5" s="60">
        <f>'Detailed Comps'!AE7</f>
        <v>555223.71854999999</v>
      </c>
      <c r="O5" s="60"/>
      <c r="P5" s="60">
        <f>'Detailed Comps'!AI7</f>
        <v>61016</v>
      </c>
      <c r="Q5" s="60"/>
      <c r="R5" s="60">
        <f>'Detailed Comps'!AK7</f>
        <v>75597.413499999995</v>
      </c>
      <c r="S5" s="60"/>
      <c r="T5" s="60">
        <f>'Detailed Comps'!AQ7</f>
        <v>26266</v>
      </c>
      <c r="U5" s="60"/>
      <c r="V5" s="60">
        <f>'Detailed Comps'!AS7</f>
        <v>39941.455699999999</v>
      </c>
      <c r="W5" s="39"/>
      <c r="X5" s="148">
        <f>'Detailed Comps'!AY7</f>
        <v>5.3266799999999996</v>
      </c>
      <c r="Y5" s="148"/>
      <c r="Z5" s="148">
        <f>'Detailed Comps'!BA7</f>
        <v>7.1585000000000001</v>
      </c>
      <c r="AA5" s="2"/>
    </row>
    <row r="6" spans="1:27" x14ac:dyDescent="0.2">
      <c r="A6" s="2" t="str">
        <f>'Detailed Comps'!A8</f>
        <v>NYSE:ACN</v>
      </c>
      <c r="B6" s="2"/>
      <c r="C6" s="2" t="str">
        <f>'Detailed Comps'!C8</f>
        <v>Accenture plc</v>
      </c>
      <c r="D6" s="147">
        <f>'Detailed Comps'!I8</f>
        <v>217.23500000000001</v>
      </c>
      <c r="E6" s="39"/>
      <c r="F6" s="60">
        <f>'Detailed Comps'!O8*100</f>
        <v>62.585710169979833</v>
      </c>
      <c r="G6" s="39"/>
      <c r="H6" s="60">
        <f>'Detailed Comps'!Q8*100</f>
        <v>115.10358713506068</v>
      </c>
      <c r="I6" s="39"/>
      <c r="J6" s="60">
        <f>'Detailed Comps'!S8</f>
        <v>615.30674999999997</v>
      </c>
      <c r="K6" s="39"/>
      <c r="L6" s="60">
        <f>'Detailed Comps'!U8</f>
        <v>133666.16183624999</v>
      </c>
      <c r="M6" s="60"/>
      <c r="N6" s="60">
        <f>'Detailed Comps'!AE8</f>
        <v>133267.62883624999</v>
      </c>
      <c r="O6" s="60"/>
      <c r="P6" s="60">
        <f>'Detailed Comps'!AI8</f>
        <v>70725.557000000001</v>
      </c>
      <c r="Q6" s="60"/>
      <c r="R6" s="60">
        <f>'Detailed Comps'!AK8</f>
        <v>74809.909199999995</v>
      </c>
      <c r="S6" s="60"/>
      <c r="T6" s="60">
        <f>'Detailed Comps'!AQ8</f>
        <v>12458.011</v>
      </c>
      <c r="U6" s="60"/>
      <c r="V6" s="60">
        <f>'Detailed Comps'!AS8</f>
        <v>16924.040099999998</v>
      </c>
      <c r="W6" s="39"/>
      <c r="X6" s="148">
        <f>'Detailed Comps'!AY8</f>
        <v>12.087059999999999</v>
      </c>
      <c r="Y6" s="148"/>
      <c r="Z6" s="148">
        <f>'Detailed Comps'!BA8</f>
        <v>13.9649</v>
      </c>
      <c r="AA6" s="2"/>
    </row>
    <row r="7" spans="1:27" x14ac:dyDescent="0.2">
      <c r="A7" s="2" t="str">
        <f>'Detailed Comps'!A9</f>
        <v>NYSE:HPE</v>
      </c>
      <c r="B7" s="2"/>
      <c r="C7" s="2" t="str">
        <f>'Detailed Comps'!C9</f>
        <v>Hewlett Packard Enterprise Company</v>
      </c>
      <c r="D7" s="147">
        <f>'Detailed Comps'!I9</f>
        <v>21.035</v>
      </c>
      <c r="E7" s="39"/>
      <c r="F7" s="60">
        <f>'Detailed Comps'!O9*100</f>
        <v>79.557488653555225</v>
      </c>
      <c r="G7" s="39"/>
      <c r="H7" s="60">
        <f>'Detailed Comps'!Q9*100</f>
        <v>175.80442958629337</v>
      </c>
      <c r="I7" s="39"/>
      <c r="J7" s="60">
        <f>'Detailed Comps'!S9</f>
        <v>1328.80844</v>
      </c>
      <c r="K7" s="39"/>
      <c r="L7" s="60">
        <f>'Detailed Comps'!U9</f>
        <v>27951.485535399999</v>
      </c>
      <c r="M7" s="60"/>
      <c r="N7" s="60">
        <f>'Detailed Comps'!AE9</f>
        <v>47048.485535400003</v>
      </c>
      <c r="O7" s="60"/>
      <c r="P7" s="60">
        <f>'Detailed Comps'!AI9</f>
        <v>34296</v>
      </c>
      <c r="Q7" s="60"/>
      <c r="R7" s="60">
        <f>'Detailed Comps'!AK9</f>
        <v>35789.7068</v>
      </c>
      <c r="S7" s="60"/>
      <c r="T7" s="60">
        <f>'Detailed Comps'!AQ9</f>
        <v>4491</v>
      </c>
      <c r="U7" s="60"/>
      <c r="V7" s="60">
        <f>'Detailed Comps'!AS9</f>
        <v>5903.0706</v>
      </c>
      <c r="W7" s="39"/>
      <c r="X7" s="148">
        <f>'Detailed Comps'!AY9</f>
        <v>-4.4560000000000002E-2</v>
      </c>
      <c r="Y7" s="148"/>
      <c r="Z7" s="148">
        <f>'Detailed Comps'!BA9</f>
        <v>2.0268999999999999</v>
      </c>
      <c r="AA7" s="2"/>
    </row>
    <row r="8" spans="1:27" x14ac:dyDescent="0.2">
      <c r="A8" s="2" t="str">
        <f>'Detailed Comps'!A10</f>
        <v>NasdaqGS:CTSH</v>
      </c>
      <c r="B8" s="2"/>
      <c r="C8" s="2" t="str">
        <f>'Detailed Comps'!C10</f>
        <v>Cognizant Technology Solutions Corporation</v>
      </c>
      <c r="D8" s="147">
        <f>'Detailed Comps'!I10</f>
        <v>66.13</v>
      </c>
      <c r="E8" s="39"/>
      <c r="F8" s="60">
        <f>'Detailed Comps'!O10*100</f>
        <v>75.985292427898415</v>
      </c>
      <c r="G8" s="39"/>
      <c r="H8" s="60">
        <f>'Detailed Comps'!Q10*100</f>
        <v>110.15241109352878</v>
      </c>
      <c r="I8" s="39"/>
      <c r="J8" s="60">
        <f>'Detailed Comps'!S10</f>
        <v>478.24691999999999</v>
      </c>
      <c r="K8" s="39"/>
      <c r="L8" s="60">
        <f>'Detailed Comps'!U10</f>
        <v>31626.468819599999</v>
      </c>
      <c r="M8" s="60"/>
      <c r="N8" s="60">
        <f>'Detailed Comps'!AE10</f>
        <v>30886.468819599999</v>
      </c>
      <c r="O8" s="60"/>
      <c r="P8" s="60">
        <f>'Detailed Comps'!AI10</f>
        <v>21108</v>
      </c>
      <c r="Q8" s="60"/>
      <c r="R8" s="60">
        <f>'Detailed Comps'!AK10</f>
        <v>22365.126499999998</v>
      </c>
      <c r="S8" s="60"/>
      <c r="T8" s="60">
        <f>'Detailed Comps'!AQ10</f>
        <v>3834</v>
      </c>
      <c r="U8" s="60"/>
      <c r="V8" s="60">
        <f>'Detailed Comps'!AS10</f>
        <v>4167.86571</v>
      </c>
      <c r="W8" s="39"/>
      <c r="X8" s="148">
        <f>'Detailed Comps'!AY10</f>
        <v>4.5599999999999996</v>
      </c>
      <c r="Y8" s="148"/>
      <c r="Z8" s="148">
        <f>'Detailed Comps'!BA10</f>
        <v>5.6590100000000003</v>
      </c>
      <c r="AA8" s="2"/>
    </row>
    <row r="9" spans="1:27" x14ac:dyDescent="0.2">
      <c r="A9" s="2" t="str">
        <f>'Detailed Comps'!A11</f>
        <v>NYSE:SNX</v>
      </c>
      <c r="B9" s="2"/>
      <c r="C9" s="2" t="str">
        <f>'Detailed Comps'!C11</f>
        <v>TD SYNNEX Corporation</v>
      </c>
      <c r="D9" s="147">
        <f>'Detailed Comps'!I11</f>
        <v>156.83000000000001</v>
      </c>
      <c r="E9" s="39"/>
      <c r="F9" s="60">
        <f>'Detailed Comps'!O11*100</f>
        <v>89.331282752335397</v>
      </c>
      <c r="G9" s="39"/>
      <c r="H9" s="60">
        <f>'Detailed Comps'!Q11*100</f>
        <v>170.0422855903719</v>
      </c>
      <c r="I9" s="39"/>
      <c r="J9" s="60">
        <f>'Detailed Comps'!S11</f>
        <v>80.626390000000001</v>
      </c>
      <c r="K9" s="39"/>
      <c r="L9" s="60">
        <f>'Detailed Comps'!U11</f>
        <v>12644.636743700001</v>
      </c>
      <c r="M9" s="60"/>
      <c r="N9" s="60">
        <f>'Detailed Comps'!AE11</f>
        <v>15291.229743700002</v>
      </c>
      <c r="O9" s="60"/>
      <c r="P9" s="60">
        <f>'Detailed Comps'!AI11</f>
        <v>62508.086000000003</v>
      </c>
      <c r="Q9" s="60"/>
      <c r="R9" s="60">
        <f>'Detailed Comps'!AK11</f>
        <v>64946.647449999997</v>
      </c>
      <c r="S9" s="60"/>
      <c r="T9" s="60">
        <f>'Detailed Comps'!AQ11</f>
        <v>1836.742</v>
      </c>
      <c r="U9" s="60"/>
      <c r="V9" s="60">
        <f>'Detailed Comps'!AS11</f>
        <v>1994.58656</v>
      </c>
      <c r="W9" s="39"/>
      <c r="X9" s="148">
        <f>'Detailed Comps'!AY11</f>
        <v>9.9501299999999997</v>
      </c>
      <c r="Y9" s="148"/>
      <c r="Z9" s="148">
        <f>'Detailed Comps'!BA11</f>
        <v>14.618639999999999</v>
      </c>
      <c r="AA9" s="2"/>
    </row>
    <row r="10" spans="1:27" x14ac:dyDescent="0.2">
      <c r="A10" s="2" t="str">
        <f>'Detailed Comps'!A12</f>
        <v>NasdaqGS:MSFT</v>
      </c>
      <c r="B10" s="2"/>
      <c r="C10" s="2" t="str">
        <f>'Detailed Comps'!C12</f>
        <v>Microsoft Corporation</v>
      </c>
      <c r="D10" s="147">
        <f>'Detailed Comps'!I12</f>
        <v>408.95499999999998</v>
      </c>
      <c r="E10" s="39"/>
      <c r="F10" s="60">
        <f>'Detailed Comps'!O12*100</f>
        <v>73.625888918894574</v>
      </c>
      <c r="G10" s="39"/>
      <c r="H10" s="60">
        <f>'Detailed Comps'!Q12*100</f>
        <v>118.60987847675395</v>
      </c>
      <c r="I10" s="39"/>
      <c r="J10" s="60">
        <f>'Detailed Comps'!S12</f>
        <v>7425.6290799999997</v>
      </c>
      <c r="K10" s="39"/>
      <c r="L10" s="60">
        <f>'Detailed Comps'!U12</f>
        <v>3036748.1404113998</v>
      </c>
      <c r="M10" s="60"/>
      <c r="N10" s="60">
        <f>'Detailed Comps'!AE12</f>
        <v>3070564.1404113998</v>
      </c>
      <c r="O10" s="60"/>
      <c r="P10" s="60">
        <f>'Detailed Comps'!AI12</f>
        <v>305453</v>
      </c>
      <c r="Q10" s="60"/>
      <c r="R10" s="60">
        <f>'Detailed Comps'!AK12</f>
        <v>351519.59169999999</v>
      </c>
      <c r="S10" s="60"/>
      <c r="T10" s="60">
        <f>'Detailed Comps'!AQ12</f>
        <v>175259</v>
      </c>
      <c r="U10" s="60"/>
      <c r="V10" s="60">
        <f>'Detailed Comps'!AS12</f>
        <v>213958.68210000001</v>
      </c>
      <c r="W10" s="39"/>
      <c r="X10" s="148">
        <f>'Detailed Comps'!AY12</f>
        <v>15.980549999999999</v>
      </c>
      <c r="Y10" s="148"/>
      <c r="Z10" s="148">
        <f>'Detailed Comps'!BA12</f>
        <v>17.552099999999999</v>
      </c>
      <c r="AA10" s="2"/>
    </row>
    <row r="11" spans="1:27" x14ac:dyDescent="0.2">
      <c r="A11" s="2" t="str">
        <f>'Detailed Comps'!A13</f>
        <v>NYSE:EPAM</v>
      </c>
      <c r="B11" s="2"/>
      <c r="C11" s="2" t="str">
        <f>'Detailed Comps'!C13</f>
        <v>EPAM Systems, Inc.</v>
      </c>
      <c r="D11" s="147">
        <f>'Detailed Comps'!I13</f>
        <v>145.32</v>
      </c>
      <c r="E11" s="39"/>
      <c r="F11" s="60">
        <f>'Detailed Comps'!O13*100</f>
        <v>65.303554576910969</v>
      </c>
      <c r="G11" s="39"/>
      <c r="H11" s="60">
        <f>'Detailed Comps'!Q13*100</f>
        <v>115.72827904754321</v>
      </c>
      <c r="I11" s="39"/>
      <c r="J11" s="60">
        <f>'Detailed Comps'!S13</f>
        <v>54.139969999999998</v>
      </c>
      <c r="K11" s="39"/>
      <c r="L11" s="60">
        <f>'Detailed Comps'!U13</f>
        <v>7867.6204403999991</v>
      </c>
      <c r="M11" s="60"/>
      <c r="N11" s="60">
        <f>'Detailed Comps'!AE13</f>
        <v>6715.8294403999989</v>
      </c>
      <c r="O11" s="60"/>
      <c r="P11" s="60">
        <f>'Detailed Comps'!AI13</f>
        <v>5457.0559999999996</v>
      </c>
      <c r="Q11" s="60"/>
      <c r="R11" s="60">
        <f>'Detailed Comps'!AK13</f>
        <v>5808.3819800000001</v>
      </c>
      <c r="S11" s="60"/>
      <c r="T11" s="60">
        <f>'Detailed Comps'!AQ13</f>
        <v>707.23</v>
      </c>
      <c r="U11" s="60"/>
      <c r="V11" s="60">
        <f>'Detailed Comps'!AS13</f>
        <v>970.09995000000004</v>
      </c>
      <c r="W11" s="39"/>
      <c r="X11" s="148">
        <f>'Detailed Comps'!AY13</f>
        <v>6.72</v>
      </c>
      <c r="Y11" s="148"/>
      <c r="Z11" s="148">
        <f>'Detailed Comps'!BA13</f>
        <v>12.7584</v>
      </c>
      <c r="AA11" s="2"/>
    </row>
    <row r="12" spans="1:27" x14ac:dyDescent="0.2">
      <c r="A12" s="2" t="str">
        <f>'Detailed Comps'!A14</f>
        <v>NasdaqGS:NTAP</v>
      </c>
      <c r="B12" s="2"/>
      <c r="C12" s="2" t="str">
        <f>'Detailed Comps'!C14</f>
        <v>NetApp, Inc.</v>
      </c>
      <c r="D12" s="147">
        <f>'Detailed Comps'!I14</f>
        <v>101.166</v>
      </c>
      <c r="E12" s="39"/>
      <c r="F12" s="60">
        <f>'Detailed Comps'!O14*100</f>
        <v>79.872098531501649</v>
      </c>
      <c r="G12" s="39"/>
      <c r="H12" s="60">
        <f>'Detailed Comps'!Q14*100</f>
        <v>140.82558207517491</v>
      </c>
      <c r="I12" s="39"/>
      <c r="J12" s="60">
        <f>'Detailed Comps'!S14</f>
        <v>197.3304</v>
      </c>
      <c r="K12" s="39"/>
      <c r="L12" s="60">
        <f>'Detailed Comps'!U14</f>
        <v>19963.127246399999</v>
      </c>
      <c r="M12" s="60"/>
      <c r="N12" s="60">
        <f>'Detailed Comps'!AE14</f>
        <v>19682.127246399999</v>
      </c>
      <c r="O12" s="60"/>
      <c r="P12" s="60">
        <f>'Detailed Comps'!AI14</f>
        <v>6709</v>
      </c>
      <c r="Q12" s="60"/>
      <c r="R12" s="60">
        <f>'Detailed Comps'!AK14</f>
        <v>7110.9258</v>
      </c>
      <c r="S12" s="60"/>
      <c r="T12" s="60">
        <f>'Detailed Comps'!AQ14</f>
        <v>1751</v>
      </c>
      <c r="U12" s="60"/>
      <c r="V12" s="60">
        <f>'Detailed Comps'!AS14</f>
        <v>2266.0628000000002</v>
      </c>
      <c r="W12" s="39"/>
      <c r="X12" s="148">
        <f>'Detailed Comps'!AY14</f>
        <v>5.9673400000000001</v>
      </c>
      <c r="Y12" s="148"/>
      <c r="Z12" s="148">
        <f>'Detailed Comps'!BA14</f>
        <v>8.3858999999999995</v>
      </c>
      <c r="AA12" s="2"/>
    </row>
    <row r="13" spans="1:27" x14ac:dyDescent="0.2">
      <c r="A13" s="2"/>
      <c r="B13" s="2"/>
      <c r="C13" s="2"/>
      <c r="D13" s="147"/>
      <c r="E13" s="39"/>
      <c r="F13" s="60"/>
      <c r="G13" s="39"/>
      <c r="H13" s="39"/>
      <c r="I13" s="39"/>
      <c r="J13" s="39"/>
      <c r="K13" s="39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39"/>
      <c r="X13" s="148"/>
      <c r="Y13" s="148"/>
      <c r="Z13" s="148"/>
      <c r="AA13" s="2"/>
    </row>
    <row r="14" spans="1:27" x14ac:dyDescent="0.2">
      <c r="A14" s="2"/>
      <c r="B14" s="2"/>
      <c r="C14" s="149" t="str">
        <f>'Language Index'!A831</f>
        <v>Max</v>
      </c>
      <c r="D14" s="151">
        <f>+MAX(D5:D12)</f>
        <v>408.95499999999998</v>
      </c>
      <c r="E14" s="152"/>
      <c r="F14" s="153">
        <f>+MAX(F5:F12)</f>
        <v>89.331282752335397</v>
      </c>
      <c r="G14" s="152"/>
      <c r="H14" s="153">
        <f>+MAX(H5:H12)</f>
        <v>175.80442958629337</v>
      </c>
      <c r="I14" s="152"/>
      <c r="J14" s="153">
        <f>+MAX(J5:J12)</f>
        <v>7425.6290799999997</v>
      </c>
      <c r="K14" s="152"/>
      <c r="L14" s="153">
        <f>+MAX(L5:L12)</f>
        <v>3036748.1404113998</v>
      </c>
      <c r="M14" s="153"/>
      <c r="N14" s="153">
        <f>+MAX(N5:N12)</f>
        <v>3070564.1404113998</v>
      </c>
      <c r="O14" s="153"/>
      <c r="P14" s="153">
        <f>+MAX(P5:P12)</f>
        <v>305453</v>
      </c>
      <c r="Q14" s="153"/>
      <c r="R14" s="153">
        <f>+MAX(R5:R12)</f>
        <v>351519.59169999999</v>
      </c>
      <c r="S14" s="153"/>
      <c r="T14" s="153">
        <f>+MAX(T5:T12)</f>
        <v>175259</v>
      </c>
      <c r="U14" s="153"/>
      <c r="V14" s="153">
        <f>+MAX(V5:V12)</f>
        <v>213958.68210000001</v>
      </c>
      <c r="W14" s="152"/>
      <c r="X14" s="154">
        <f>+MAX(X5:X12)</f>
        <v>15.980549999999999</v>
      </c>
      <c r="Y14" s="154"/>
      <c r="Z14" s="155">
        <f>+MAX(Z5:Z12)</f>
        <v>17.552099999999999</v>
      </c>
      <c r="AA14" s="2"/>
    </row>
    <row r="15" spans="1:27" x14ac:dyDescent="0.2">
      <c r="A15" s="2"/>
      <c r="B15" s="2"/>
      <c r="C15" s="156" t="str">
        <f>'Language Index'!A832</f>
        <v>Median</v>
      </c>
      <c r="D15" s="158">
        <f>MEDIAN(D5:D12)</f>
        <v>149.685</v>
      </c>
      <c r="E15" s="159"/>
      <c r="F15" s="160">
        <f>MEDIAN(F5:F12)</f>
        <v>74.805590673396495</v>
      </c>
      <c r="G15" s="159"/>
      <c r="H15" s="160">
        <f>MEDIAN(H5:H12)</f>
        <v>124.10806897083533</v>
      </c>
      <c r="I15" s="159"/>
      <c r="J15" s="160">
        <f>MEDIAN(J5:J12)</f>
        <v>546.77683500000001</v>
      </c>
      <c r="K15" s="159"/>
      <c r="L15" s="160">
        <f>MEDIAN(L5:L12)</f>
        <v>29788.977177499997</v>
      </c>
      <c r="M15" s="160"/>
      <c r="N15" s="160">
        <f>MEDIAN(N5:N12)</f>
        <v>38967.477177499997</v>
      </c>
      <c r="O15" s="160"/>
      <c r="P15" s="160">
        <f>MEDIAN(P5:P12)</f>
        <v>47656</v>
      </c>
      <c r="Q15" s="160"/>
      <c r="R15" s="160">
        <f>MEDIAN(R5:R12)</f>
        <v>50368.177125000002</v>
      </c>
      <c r="S15" s="160"/>
      <c r="T15" s="160">
        <f>MEDIAN(T5:T12)</f>
        <v>4162.5</v>
      </c>
      <c r="U15" s="160"/>
      <c r="V15" s="160">
        <f>MEDIAN(V5:V12)</f>
        <v>5035.4681550000005</v>
      </c>
      <c r="W15" s="159"/>
      <c r="X15" s="161">
        <f>MEDIAN(X5:X12)</f>
        <v>6.3436699999999995</v>
      </c>
      <c r="Y15" s="161"/>
      <c r="Z15" s="162">
        <f>MEDIAN(Z5:Z12)</f>
        <v>10.572150000000001</v>
      </c>
      <c r="AA15" s="2"/>
    </row>
    <row r="16" spans="1:27" x14ac:dyDescent="0.2">
      <c r="A16" s="2"/>
      <c r="B16" s="2"/>
      <c r="C16" s="156" t="str">
        <f>'Language Index'!A833</f>
        <v>Min</v>
      </c>
      <c r="D16" s="158">
        <f>+MIN(D5:D12)</f>
        <v>21.035</v>
      </c>
      <c r="E16" s="159"/>
      <c r="F16" s="160">
        <f>+MIN(F5:F12)</f>
        <v>44.559180839986119</v>
      </c>
      <c r="G16" s="159"/>
      <c r="H16" s="160">
        <f>+MIN(H5:H12)</f>
        <v>110.15241109352878</v>
      </c>
      <c r="I16" s="159"/>
      <c r="J16" s="160">
        <f>+MIN(J5:J12)</f>
        <v>54.139969999999998</v>
      </c>
      <c r="K16" s="159"/>
      <c r="L16" s="160">
        <f>+MIN(L5:L12)</f>
        <v>7867.6204403999991</v>
      </c>
      <c r="M16" s="160"/>
      <c r="N16" s="160">
        <f>+MIN(N5:N12)</f>
        <v>6715.8294403999989</v>
      </c>
      <c r="O16" s="160"/>
      <c r="P16" s="160">
        <f>+MIN(P5:P12)</f>
        <v>5457.0559999999996</v>
      </c>
      <c r="Q16" s="160"/>
      <c r="R16" s="160">
        <f>+MIN(R5:R12)</f>
        <v>5808.3819800000001</v>
      </c>
      <c r="S16" s="160"/>
      <c r="T16" s="160">
        <f>+MIN(T5:T12)</f>
        <v>707.23</v>
      </c>
      <c r="U16" s="160"/>
      <c r="V16" s="160">
        <f>+MIN(V5:V12)</f>
        <v>970.09995000000004</v>
      </c>
      <c r="W16" s="159"/>
      <c r="X16" s="161">
        <f>+MIN(X5:X12)</f>
        <v>-4.4560000000000002E-2</v>
      </c>
      <c r="Y16" s="161"/>
      <c r="Z16" s="162">
        <f>+MIN(Z5:Z12)</f>
        <v>2.0268999999999999</v>
      </c>
      <c r="AA16" s="2"/>
    </row>
    <row r="17" spans="1:27" x14ac:dyDescent="0.2">
      <c r="A17" s="2"/>
      <c r="B17" s="2"/>
      <c r="C17" s="163" t="str">
        <f>'Language Index'!A834</f>
        <v>Mean</v>
      </c>
      <c r="D17" s="164">
        <f>AVERAGE(D5:D12)</f>
        <v>158.840125</v>
      </c>
      <c r="E17" s="165"/>
      <c r="F17" s="166">
        <f>AVERAGE(F5:F12)</f>
        <v>71.352562108882779</v>
      </c>
      <c r="G17" s="165"/>
      <c r="H17" s="166">
        <f>AVERAGE(H5:H12)</f>
        <v>134.48408905870542</v>
      </c>
      <c r="I17" s="165"/>
      <c r="J17" s="166">
        <f>AVERAGE(J5:J12)</f>
        <v>1631.7723687499999</v>
      </c>
      <c r="K17" s="165"/>
      <c r="L17" s="166">
        <f>AVERAGE(L5:L12)</f>
        <v>464152.66994789371</v>
      </c>
      <c r="M17" s="166"/>
      <c r="N17" s="166">
        <f>AVERAGE(N5:N12)</f>
        <v>484834.95357289369</v>
      </c>
      <c r="O17" s="166"/>
      <c r="P17" s="166">
        <f>AVERAGE(P5:P12)</f>
        <v>70909.087375000003</v>
      </c>
      <c r="Q17" s="166"/>
      <c r="R17" s="166">
        <f>AVERAGE(R5:R12)</f>
        <v>79743.462866249989</v>
      </c>
      <c r="S17" s="166"/>
      <c r="T17" s="166">
        <f>AVERAGE(T5:T12)</f>
        <v>28325.372875000001</v>
      </c>
      <c r="U17" s="166"/>
      <c r="V17" s="166">
        <f>AVERAGE(V5:V12)</f>
        <v>35765.732940000002</v>
      </c>
      <c r="W17" s="165"/>
      <c r="X17" s="167">
        <f>AVERAGE(X5:X12)</f>
        <v>7.5683999999999996</v>
      </c>
      <c r="Y17" s="167"/>
      <c r="Z17" s="168">
        <f>AVERAGE(Z5:Z12)</f>
        <v>10.265543749999999</v>
      </c>
      <c r="AA17" s="2"/>
    </row>
    <row r="18" spans="1:27" x14ac:dyDescent="0.2">
      <c r="A18" s="2"/>
      <c r="B18" s="2"/>
      <c r="C18" s="2"/>
      <c r="D18" s="147"/>
      <c r="E18" s="39"/>
      <c r="F18" s="39"/>
      <c r="G18" s="39"/>
      <c r="H18" s="39"/>
      <c r="I18" s="39"/>
      <c r="J18" s="39"/>
      <c r="K18" s="39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39"/>
      <c r="X18" s="148"/>
      <c r="Y18" s="148"/>
      <c r="Z18" s="148"/>
      <c r="AA18" s="2"/>
    </row>
    <row r="19" spans="1:27" x14ac:dyDescent="0.2">
      <c r="A19" s="200" t="str">
        <f>'Detailed Comps'!A21</f>
        <v>NYSE:IBM</v>
      </c>
      <c r="B19" s="201"/>
      <c r="C19" s="201" t="str">
        <f>'Detailed Comps'!C21</f>
        <v>International Business Machines Corporation</v>
      </c>
      <c r="D19" s="202">
        <f>'Detailed Comps'!I21</f>
        <v>258.14499999999998</v>
      </c>
      <c r="E19" s="203"/>
      <c r="F19" s="204">
        <f>'Detailed Comps'!O21*100</f>
        <v>79.453678054786096</v>
      </c>
      <c r="G19" s="203"/>
      <c r="H19" s="204">
        <f>'Detailed Comps'!Q21*100</f>
        <v>120.34731934731934</v>
      </c>
      <c r="I19" s="203"/>
      <c r="J19" s="204">
        <f>'Detailed Comps'!S21</f>
        <v>938.03440000000001</v>
      </c>
      <c r="K19" s="203"/>
      <c r="L19" s="204">
        <f>'Detailed Comps'!U21</f>
        <v>242148.89018799999</v>
      </c>
      <c r="M19" s="204"/>
      <c r="N19" s="204">
        <f>'Detailed Comps'!AE21</f>
        <v>292431.89018799999</v>
      </c>
      <c r="O19" s="204"/>
      <c r="P19" s="204">
        <f>'Detailed Comps'!AI21</f>
        <v>67535</v>
      </c>
      <c r="Q19" s="204"/>
      <c r="R19" s="204">
        <f>'Detailed Comps'!AK21</f>
        <v>71189.57157</v>
      </c>
      <c r="S19" s="204"/>
      <c r="T19" s="204">
        <f>'Detailed Comps'!AQ21</f>
        <v>16118</v>
      </c>
      <c r="U19" s="204"/>
      <c r="V19" s="204">
        <f>'Detailed Comps'!AS21</f>
        <v>19949.249830000001</v>
      </c>
      <c r="W19" s="203"/>
      <c r="X19" s="205">
        <f>'Detailed Comps'!AY21</f>
        <v>11.14</v>
      </c>
      <c r="Y19" s="205"/>
      <c r="Z19" s="206">
        <f>'Detailed Comps'!BA21</f>
        <v>12.41479</v>
      </c>
      <c r="AA19" s="2"/>
    </row>
    <row r="20" spans="1:27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2">
      <c r="A22" s="2"/>
      <c r="B22" s="2"/>
      <c r="C22" s="2"/>
      <c r="D22" s="97" t="str">
        <f>'Language Index'!A808</f>
        <v>Total Debt/</v>
      </c>
      <c r="E22" s="2"/>
      <c r="F22" s="97" t="str">
        <f>'Language Index'!A810</f>
        <v>Net Debt/</v>
      </c>
      <c r="G22" s="169"/>
      <c r="H22" s="169" t="str">
        <f>'Language Index'!A812</f>
        <v>EBITDA/</v>
      </c>
      <c r="I22" s="2"/>
      <c r="J22" s="169" t="str">
        <f>'Language Index'!A844</f>
        <v>(EBITDA-Capex)</v>
      </c>
      <c r="K22" s="2"/>
      <c r="L22" s="97" t="str">
        <f>'Language Index'!A808</f>
        <v>Total Debt/</v>
      </c>
      <c r="M22" s="2"/>
      <c r="N22" s="97" t="str">
        <f>'Language Index'!A808</f>
        <v>Total Debt/</v>
      </c>
      <c r="O22" s="2"/>
      <c r="P22" s="14" t="str">
        <f>'Language Index'!A848</f>
        <v>TEV/Revenue</v>
      </c>
      <c r="Q22" s="14"/>
      <c r="R22" s="14"/>
      <c r="S22" s="2"/>
      <c r="T22" s="14" t="str">
        <f>'Language Index'!A794</f>
        <v>TEV/EBITDA</v>
      </c>
      <c r="U22" s="14"/>
      <c r="V22" s="14"/>
      <c r="W22" s="2"/>
      <c r="X22" s="14" t="str">
        <f>'Language Index'!A719</f>
        <v>P/E</v>
      </c>
      <c r="Y22" s="14"/>
      <c r="Z22" s="14"/>
      <c r="AA22" s="2"/>
    </row>
    <row r="23" spans="1:27" x14ac:dyDescent="0.2">
      <c r="A23" s="145" t="str">
        <f>'Language Index'!A8</f>
        <v>Ticker</v>
      </c>
      <c r="B23" s="2"/>
      <c r="C23" s="93" t="str">
        <f>'Language Index'!A843</f>
        <v>Leverage and Trading Multiples</v>
      </c>
      <c r="D23" s="146" t="str">
        <f>'Language Index'!A809</f>
        <v>LTM EBITDA</v>
      </c>
      <c r="E23" s="2"/>
      <c r="F23" s="146" t="str">
        <f>'Language Index'!A809</f>
        <v>LTM EBITDA</v>
      </c>
      <c r="G23" s="2"/>
      <c r="H23" s="146" t="str">
        <f>'Language Index'!A813</f>
        <v>Interest</v>
      </c>
      <c r="I23" s="2"/>
      <c r="J23" s="146" t="str">
        <f>'Language Index'!A845</f>
        <v>/Interest</v>
      </c>
      <c r="K23" s="2"/>
      <c r="L23" s="146" t="str">
        <f>'Language Index'!A846</f>
        <v>Tot. Equity (%)</v>
      </c>
      <c r="M23" s="2"/>
      <c r="N23" s="146" t="str">
        <f>'Language Index'!A847</f>
        <v>Total Cap (%)</v>
      </c>
      <c r="O23" s="2"/>
      <c r="P23" s="146" t="str">
        <f>+P4</f>
        <v>LTM</v>
      </c>
      <c r="Q23" s="2"/>
      <c r="R23" s="146" t="str">
        <f>+R4</f>
        <v>CY+1</v>
      </c>
      <c r="S23" s="2"/>
      <c r="T23" s="146" t="str">
        <f>+T4</f>
        <v>LTM</v>
      </c>
      <c r="U23" s="2"/>
      <c r="V23" s="146" t="str">
        <f>+V4</f>
        <v>CY+1</v>
      </c>
      <c r="W23" s="2"/>
      <c r="X23" s="146" t="str">
        <f>+X4</f>
        <v>LTM</v>
      </c>
      <c r="Y23" s="2"/>
      <c r="Z23" s="146" t="str">
        <f>+Z4</f>
        <v>CY+1</v>
      </c>
      <c r="AA23" s="2"/>
    </row>
    <row r="24" spans="1:27" x14ac:dyDescent="0.2">
      <c r="A24" s="2" t="str">
        <f t="shared" ref="A24:A31" si="0">A5</f>
        <v>NYSE:ORCL</v>
      </c>
      <c r="B24" s="2"/>
      <c r="C24" s="2" t="str">
        <f t="shared" ref="C24:C31" si="1">C5</f>
        <v>Oracle Corporation</v>
      </c>
      <c r="D24" s="113">
        <f>'Detailed Comps'!EC7</f>
        <v>4.6352799999999998</v>
      </c>
      <c r="E24" s="113"/>
      <c r="F24" s="113">
        <f>'Detailed Comps'!EE7</f>
        <v>3.9397600000000002</v>
      </c>
      <c r="G24" s="113"/>
      <c r="H24" s="113">
        <f>'Detailed Comps'!EI7</f>
        <v>7.3815600000000003</v>
      </c>
      <c r="I24" s="113"/>
      <c r="J24" s="113" t="str">
        <f>'Detailed Comps'!EK7</f>
        <v>NM</v>
      </c>
      <c r="K24" s="39"/>
      <c r="L24" s="60">
        <f>'Detailed Comps'!EM7</f>
        <v>432.51139999999998</v>
      </c>
      <c r="M24" s="39"/>
      <c r="N24" s="60">
        <f>'Detailed Comps'!EO7</f>
        <v>81.221000000000004</v>
      </c>
      <c r="O24" s="39"/>
      <c r="P24" s="249">
        <f>'Detailed Comps'!BG7</f>
        <v>9.1344999999999992</v>
      </c>
      <c r="Q24" s="249"/>
      <c r="R24" s="249">
        <f>'Detailed Comps'!BI7</f>
        <v>7.3444803577836701</v>
      </c>
      <c r="S24" s="241"/>
      <c r="T24" s="249">
        <f>'Detailed Comps'!BO7</f>
        <v>19.611899999999999</v>
      </c>
      <c r="U24" s="249"/>
      <c r="V24" s="249">
        <f>'Detailed Comps'!BQ7</f>
        <v>13.954190000000001</v>
      </c>
      <c r="W24" s="241"/>
      <c r="X24" s="249">
        <f>'Detailed Comps'!BW7</f>
        <v>29.0594</v>
      </c>
      <c r="Y24" s="249"/>
      <c r="Z24" s="249">
        <f>'Detailed Comps'!BY7</f>
        <v>21.623249999999999</v>
      </c>
      <c r="AA24" s="2"/>
    </row>
    <row r="25" spans="1:27" x14ac:dyDescent="0.2">
      <c r="A25" s="2" t="str">
        <f t="shared" si="0"/>
        <v>NYSE:ACN</v>
      </c>
      <c r="B25" s="2"/>
      <c r="C25" s="2" t="str">
        <f t="shared" si="1"/>
        <v>Accenture plc</v>
      </c>
      <c r="D25" s="60">
        <f>'Detailed Comps'!EC8</f>
        <v>0.61126999999999998</v>
      </c>
      <c r="E25" s="60"/>
      <c r="F25" s="60" t="str">
        <f>'Detailed Comps'!EE8</f>
        <v>NM</v>
      </c>
      <c r="G25" s="60"/>
      <c r="H25" s="60">
        <f>'Detailed Comps'!EI8</f>
        <v>50.84919</v>
      </c>
      <c r="I25" s="60"/>
      <c r="J25" s="60">
        <f>'Detailed Comps'!EK8</f>
        <v>48.558669999999999</v>
      </c>
      <c r="K25" s="39"/>
      <c r="L25" s="60">
        <f>'Detailed Comps'!EM8</f>
        <v>25.6936</v>
      </c>
      <c r="M25" s="39"/>
      <c r="N25" s="60">
        <f>'Detailed Comps'!EO8</f>
        <v>20.441400000000002</v>
      </c>
      <c r="O25" s="39"/>
      <c r="P25" s="238">
        <f>'Detailed Comps'!BG8</f>
        <v>1.85615</v>
      </c>
      <c r="Q25" s="238"/>
      <c r="R25" s="238">
        <f>'Detailed Comps'!BI8</f>
        <v>1.7814167970711827</v>
      </c>
      <c r="S25" s="241"/>
      <c r="T25" s="238">
        <f>'Detailed Comps'!BO8</f>
        <v>9.7836700000000008</v>
      </c>
      <c r="U25" s="238"/>
      <c r="V25" s="238">
        <f>'Detailed Comps'!BQ8</f>
        <v>7.7568400000000004</v>
      </c>
      <c r="W25" s="238"/>
      <c r="X25" s="238">
        <f>'Detailed Comps'!BW8</f>
        <v>17.704889999999999</v>
      </c>
      <c r="Y25" s="238"/>
      <c r="Z25" s="238">
        <f>'Detailed Comps'!BY8</f>
        <v>15.32413</v>
      </c>
      <c r="AA25" s="2"/>
    </row>
    <row r="26" spans="1:27" x14ac:dyDescent="0.2">
      <c r="A26" s="2" t="str">
        <f t="shared" si="0"/>
        <v>NYSE:HPE</v>
      </c>
      <c r="B26" s="2"/>
      <c r="C26" s="2" t="str">
        <f t="shared" si="1"/>
        <v>Hewlett Packard Enterprise Company</v>
      </c>
      <c r="D26" s="60">
        <f>'Detailed Comps'!EC9</f>
        <v>5.0149999999999997</v>
      </c>
      <c r="E26" s="60"/>
      <c r="F26" s="60">
        <f>'Detailed Comps'!EE9</f>
        <v>3.9639700000000002</v>
      </c>
      <c r="G26" s="60"/>
      <c r="H26" s="60">
        <f>'Detailed Comps'!EI9</f>
        <v>8.0284300000000002</v>
      </c>
      <c r="I26" s="60"/>
      <c r="J26" s="60">
        <f>'Detailed Comps'!EK9</f>
        <v>4.1956499999999997</v>
      </c>
      <c r="K26" s="39"/>
      <c r="L26" s="60">
        <f>'Detailed Comps'!EM9</f>
        <v>97.265000000000001</v>
      </c>
      <c r="M26" s="39"/>
      <c r="N26" s="60">
        <f>'Detailed Comps'!EO9</f>
        <v>49.306699999999999</v>
      </c>
      <c r="O26" s="39"/>
      <c r="P26" s="238">
        <f>'Detailed Comps'!BG9</f>
        <v>1.38869</v>
      </c>
      <c r="Q26" s="238"/>
      <c r="R26" s="238">
        <f>'Detailed Comps'!BI9</f>
        <v>1.3145814744534314</v>
      </c>
      <c r="S26" s="241"/>
      <c r="T26" s="238">
        <f>'Detailed Comps'!BO9</f>
        <v>9.7595299999999998</v>
      </c>
      <c r="U26" s="238"/>
      <c r="V26" s="238">
        <f>'Detailed Comps'!BQ9</f>
        <v>8.0680899999999998</v>
      </c>
      <c r="W26" s="238"/>
      <c r="X26" s="238" t="str">
        <f>'Detailed Comps'!BW9</f>
        <v>NM</v>
      </c>
      <c r="Y26" s="238"/>
      <c r="Z26" s="238">
        <f>'Detailed Comps'!BY9</f>
        <v>10.59253</v>
      </c>
      <c r="AA26" s="2"/>
    </row>
    <row r="27" spans="1:27" x14ac:dyDescent="0.2">
      <c r="A27" s="2" t="str">
        <f t="shared" si="0"/>
        <v>NasdaqGS:CTSH</v>
      </c>
      <c r="B27" s="2"/>
      <c r="C27" s="2" t="str">
        <f t="shared" si="1"/>
        <v>Cognizant Technology Solutions Corporation</v>
      </c>
      <c r="D27" s="60">
        <f>'Detailed Comps'!EC10</f>
        <v>0.29009000000000001</v>
      </c>
      <c r="E27" s="60"/>
      <c r="F27" s="60" t="str">
        <f>'Detailed Comps'!EE10</f>
        <v>NM</v>
      </c>
      <c r="G27" s="60"/>
      <c r="H27" s="60">
        <f>'Detailed Comps'!EI10</f>
        <v>109.37838000000001</v>
      </c>
      <c r="I27" s="60"/>
      <c r="J27" s="60">
        <f>'Detailed Comps'!EK10</f>
        <v>101.59459</v>
      </c>
      <c r="K27" s="39"/>
      <c r="L27" s="60">
        <f>'Detailed Comps'!EM10</f>
        <v>7.8188000000000004</v>
      </c>
      <c r="M27" s="39"/>
      <c r="N27" s="60">
        <f>'Detailed Comps'!EO10</f>
        <v>7.2518000000000002</v>
      </c>
      <c r="O27" s="39"/>
      <c r="P27" s="238">
        <f>'Detailed Comps'!BG10</f>
        <v>1.45533</v>
      </c>
      <c r="Q27" s="238"/>
      <c r="R27" s="238">
        <f>'Detailed Comps'!BI10</f>
        <v>1.3810102446592467</v>
      </c>
      <c r="S27" s="241"/>
      <c r="T27" s="238">
        <f>'Detailed Comps'!BO10</f>
        <v>7.5737399999999999</v>
      </c>
      <c r="U27" s="238"/>
      <c r="V27" s="238">
        <f>'Detailed Comps'!BQ10</f>
        <v>7.3704599999999996</v>
      </c>
      <c r="W27" s="238"/>
      <c r="X27" s="238">
        <f>'Detailed Comps'!BW10</f>
        <v>14.42544</v>
      </c>
      <c r="Y27" s="238"/>
      <c r="Z27" s="238">
        <f>'Detailed Comps'!BY10</f>
        <v>11.623939999999999</v>
      </c>
      <c r="AA27" s="2"/>
    </row>
    <row r="28" spans="1:27" x14ac:dyDescent="0.2">
      <c r="A28" s="2" t="str">
        <f t="shared" si="0"/>
        <v>NYSE:SNX</v>
      </c>
      <c r="B28" s="2"/>
      <c r="C28" s="2" t="str">
        <f t="shared" si="1"/>
        <v>TD SYNNEX Corporation</v>
      </c>
      <c r="D28" s="60">
        <f>'Detailed Comps'!EC11</f>
        <v>2.5729299999999999</v>
      </c>
      <c r="E28" s="60"/>
      <c r="F28" s="60">
        <f>'Detailed Comps'!EE11</f>
        <v>1.3399300000000001</v>
      </c>
      <c r="G28" s="60"/>
      <c r="H28" s="60">
        <f>'Detailed Comps'!EI11</f>
        <v>6.4966400000000002</v>
      </c>
      <c r="I28" s="60"/>
      <c r="J28" s="60">
        <f>'Detailed Comps'!EK11</f>
        <v>6.0286499999999998</v>
      </c>
      <c r="K28" s="39"/>
      <c r="L28" s="60">
        <f>'Detailed Comps'!EM11</f>
        <v>60.1387</v>
      </c>
      <c r="M28" s="39"/>
      <c r="N28" s="60">
        <f>'Detailed Comps'!EO11</f>
        <v>37.554099999999998</v>
      </c>
      <c r="O28" s="39"/>
      <c r="P28" s="238">
        <f>'Detailed Comps'!BG11</f>
        <v>0.2462</v>
      </c>
      <c r="Q28" s="238"/>
      <c r="R28" s="238">
        <f>'Detailed Comps'!BI11</f>
        <v>0.23544294192355578</v>
      </c>
      <c r="S28" s="241"/>
      <c r="T28" s="238">
        <f>'Detailed Comps'!BO11</f>
        <v>7.7915200000000002</v>
      </c>
      <c r="U28" s="238"/>
      <c r="V28" s="238">
        <f>'Detailed Comps'!BQ11</f>
        <v>7.7156799999999999</v>
      </c>
      <c r="W28" s="238"/>
      <c r="X28" s="238">
        <f>'Detailed Comps'!BW11</f>
        <v>15.884219999999999</v>
      </c>
      <c r="Y28" s="238"/>
      <c r="Z28" s="238">
        <f>'Detailed Comps'!BY11</f>
        <v>10.811540000000001</v>
      </c>
      <c r="AA28" s="2"/>
    </row>
    <row r="29" spans="1:27" x14ac:dyDescent="0.2">
      <c r="A29" s="2" t="str">
        <f t="shared" si="0"/>
        <v>NasdaqGS:MSFT</v>
      </c>
      <c r="B29" s="2"/>
      <c r="C29" s="2" t="str">
        <f t="shared" si="1"/>
        <v>Microsoft Corporation</v>
      </c>
      <c r="D29" s="60">
        <f>'Detailed Comps'!EC12</f>
        <v>0.67837000000000003</v>
      </c>
      <c r="E29" s="60"/>
      <c r="F29" s="60">
        <f>'Detailed Comps'!EE12</f>
        <v>0.18608</v>
      </c>
      <c r="G29" s="60"/>
      <c r="H29" s="60">
        <f>'Detailed Comps'!EI12</f>
        <v>67.859219999999993</v>
      </c>
      <c r="I29" s="60"/>
      <c r="J29" s="60">
        <f>'Detailed Comps'!EK12</f>
        <v>36.830840000000002</v>
      </c>
      <c r="K29" s="39"/>
      <c r="L29" s="60">
        <f>'Detailed Comps'!EM12</f>
        <v>31.538900000000002</v>
      </c>
      <c r="M29" s="39"/>
      <c r="N29" s="60">
        <f>'Detailed Comps'!EO12</f>
        <v>23.976900000000001</v>
      </c>
      <c r="O29" s="39"/>
      <c r="P29" s="238">
        <f>'Detailed Comps'!BG12</f>
        <v>10.094429999999999</v>
      </c>
      <c r="Q29" s="238"/>
      <c r="R29" s="238">
        <f>'Detailed Comps'!BI12</f>
        <v>8.735115233724823</v>
      </c>
      <c r="S29" s="241"/>
      <c r="T29" s="238">
        <f>'Detailed Comps'!BO12</f>
        <v>16.3841</v>
      </c>
      <c r="U29" s="238"/>
      <c r="V29" s="238">
        <f>'Detailed Comps'!BQ12</f>
        <v>14.41107</v>
      </c>
      <c r="W29" s="238"/>
      <c r="X29" s="238">
        <f>'Detailed Comps'!BW12</f>
        <v>25.69875</v>
      </c>
      <c r="Y29" s="238"/>
      <c r="Z29" s="238">
        <f>'Detailed Comps'!BY12</f>
        <v>23.397770000000001</v>
      </c>
      <c r="AA29" s="2"/>
    </row>
    <row r="30" spans="1:27" x14ac:dyDescent="0.2">
      <c r="A30" s="2" t="str">
        <f t="shared" si="0"/>
        <v>NYSE:EPAM</v>
      </c>
      <c r="B30" s="2"/>
      <c r="C30" s="2" t="str">
        <f t="shared" si="1"/>
        <v>EPAM Systems, Inc.</v>
      </c>
      <c r="D30" s="60">
        <f>'Detailed Comps'!EC13</f>
        <v>0.18612000000000001</v>
      </c>
      <c r="E30" s="60"/>
      <c r="F30" s="60" t="str">
        <f>'Detailed Comps'!EE13</f>
        <v>NM</v>
      </c>
      <c r="G30" s="60"/>
      <c r="H30" s="60">
        <f>'Detailed Comps'!EI13</f>
        <v>0</v>
      </c>
      <c r="I30" s="60"/>
      <c r="J30" s="60">
        <f>'Detailed Comps'!EK13</f>
        <v>0</v>
      </c>
      <c r="K30" s="39"/>
      <c r="L30" s="60">
        <f>'Detailed Comps'!EM13</f>
        <v>3.9073000000000002</v>
      </c>
      <c r="M30" s="39"/>
      <c r="N30" s="60">
        <f>'Detailed Comps'!EO13</f>
        <v>3.7603</v>
      </c>
      <c r="O30" s="39"/>
      <c r="P30" s="238">
        <f>'Detailed Comps'!BG13</f>
        <v>1.22333</v>
      </c>
      <c r="Q30" s="238"/>
      <c r="R30" s="238">
        <f>'Detailed Comps'!BI13</f>
        <v>1.1562306789609589</v>
      </c>
      <c r="S30" s="241"/>
      <c r="T30" s="238">
        <f>'Detailed Comps'!BO13</f>
        <v>8.6461000000000006</v>
      </c>
      <c r="U30" s="238"/>
      <c r="V30" s="238">
        <f>'Detailed Comps'!BQ13</f>
        <v>6.8815200000000001</v>
      </c>
      <c r="W30" s="238"/>
      <c r="X30" s="238">
        <f>'Detailed Comps'!BW13</f>
        <v>21.514880000000002</v>
      </c>
      <c r="Y30" s="238"/>
      <c r="Z30" s="238">
        <f>'Detailed Comps'!BY13</f>
        <v>11.332140000000001</v>
      </c>
      <c r="AA30" s="2"/>
    </row>
    <row r="31" spans="1:27" x14ac:dyDescent="0.2">
      <c r="A31" s="2" t="str">
        <f t="shared" si="0"/>
        <v>NasdaqGS:NTAP</v>
      </c>
      <c r="B31" s="2"/>
      <c r="C31" s="2" t="str">
        <f t="shared" si="1"/>
        <v>NetApp, Inc.</v>
      </c>
      <c r="D31" s="60">
        <f>'Detailed Comps'!EC14</f>
        <v>1.50468</v>
      </c>
      <c r="E31" s="60"/>
      <c r="F31" s="60" t="str">
        <f>'Detailed Comps'!EE14</f>
        <v>NM</v>
      </c>
      <c r="G31" s="60"/>
      <c r="H31" s="60">
        <f>'Detailed Comps'!EI14</f>
        <v>17.81373</v>
      </c>
      <c r="I31" s="60"/>
      <c r="J31" s="60">
        <f>'Detailed Comps'!EK14</f>
        <v>16.01961</v>
      </c>
      <c r="K31" s="39"/>
      <c r="L31" s="60">
        <f>'Detailed Comps'!EM14</f>
        <v>236.0967</v>
      </c>
      <c r="M31" s="39"/>
      <c r="N31" s="60">
        <f>'Detailed Comps'!EO14</f>
        <v>70.246600000000001</v>
      </c>
      <c r="O31" s="39"/>
      <c r="P31" s="238">
        <f>'Detailed Comps'!BG14</f>
        <v>2.9614600000000002</v>
      </c>
      <c r="Q31" s="238"/>
      <c r="R31" s="238">
        <f>'Detailed Comps'!BI14</f>
        <v>2.7678712730204551</v>
      </c>
      <c r="S31" s="241"/>
      <c r="T31" s="238">
        <f>'Detailed Comps'!BO14</f>
        <v>10.93473</v>
      </c>
      <c r="U31" s="238"/>
      <c r="V31" s="238">
        <f>'Detailed Comps'!BQ14</f>
        <v>8.7678100000000008</v>
      </c>
      <c r="W31" s="238"/>
      <c r="X31" s="238">
        <f>'Detailed Comps'!BW14</f>
        <v>17.11148</v>
      </c>
      <c r="Y31" s="238"/>
      <c r="Z31" s="238">
        <f>'Detailed Comps'!BY14</f>
        <v>12.17639</v>
      </c>
      <c r="AA31" s="2"/>
    </row>
    <row r="32" spans="1:27" x14ac:dyDescent="0.2">
      <c r="A32" s="2"/>
      <c r="B32" s="2"/>
      <c r="C32" s="2"/>
      <c r="D32" s="113"/>
      <c r="E32" s="113"/>
      <c r="F32" s="113"/>
      <c r="G32" s="113"/>
      <c r="H32" s="113"/>
      <c r="I32" s="113"/>
      <c r="J32" s="113"/>
      <c r="K32" s="39"/>
      <c r="L32" s="170"/>
      <c r="M32" s="39"/>
      <c r="N32" s="170"/>
      <c r="O32" s="39"/>
      <c r="P32" s="113"/>
      <c r="Q32" s="113"/>
      <c r="R32" s="113"/>
      <c r="S32" s="39"/>
      <c r="T32" s="113"/>
      <c r="U32" s="113"/>
      <c r="V32" s="113"/>
      <c r="W32" s="39"/>
      <c r="X32" s="113"/>
      <c r="Y32" s="113"/>
      <c r="Z32" s="113"/>
      <c r="AA32" s="2"/>
    </row>
    <row r="33" spans="1:27" x14ac:dyDescent="0.2">
      <c r="A33" s="2"/>
      <c r="B33" s="2"/>
      <c r="C33" s="149" t="str">
        <f>C14</f>
        <v>Max</v>
      </c>
      <c r="D33" s="171">
        <f>+MAX(D24:D31)</f>
        <v>5.0149999999999997</v>
      </c>
      <c r="E33" s="171"/>
      <c r="F33" s="171">
        <f>+MAX(F24:F31)</f>
        <v>3.9639700000000002</v>
      </c>
      <c r="G33" s="171"/>
      <c r="H33" s="171">
        <f>+MAX(H24:H31)</f>
        <v>109.37838000000001</v>
      </c>
      <c r="I33" s="171"/>
      <c r="J33" s="171">
        <f>+MAX(J24:J31)</f>
        <v>101.59459</v>
      </c>
      <c r="K33" s="152"/>
      <c r="L33" s="153">
        <f>+MAX(L24:L31)</f>
        <v>432.51139999999998</v>
      </c>
      <c r="M33" s="152"/>
      <c r="N33" s="153">
        <f>+MAX(N24:N31)</f>
        <v>81.221000000000004</v>
      </c>
      <c r="O33" s="152"/>
      <c r="P33" s="171">
        <f>+MAX(P24:P31)</f>
        <v>10.094429999999999</v>
      </c>
      <c r="Q33" s="171"/>
      <c r="R33" s="171">
        <f>+MAX(R24:R31)</f>
        <v>8.735115233724823</v>
      </c>
      <c r="S33" s="152"/>
      <c r="T33" s="171">
        <f>+MAX(T24:T31)</f>
        <v>19.611899999999999</v>
      </c>
      <c r="U33" s="171"/>
      <c r="V33" s="171">
        <f>+MAX(V24:V31)</f>
        <v>14.41107</v>
      </c>
      <c r="W33" s="152"/>
      <c r="X33" s="171">
        <f>+MAX(X24:X31)</f>
        <v>29.0594</v>
      </c>
      <c r="Y33" s="171"/>
      <c r="Z33" s="172">
        <f>+MAX(Z24:Z31)</f>
        <v>23.397770000000001</v>
      </c>
      <c r="AA33" s="2"/>
    </row>
    <row r="34" spans="1:27" x14ac:dyDescent="0.2">
      <c r="A34" s="2"/>
      <c r="B34" s="2"/>
      <c r="C34" s="156" t="str">
        <f>C15</f>
        <v>Median</v>
      </c>
      <c r="D34" s="173">
        <f>MEDIAN(D24:D31)</f>
        <v>1.0915250000000001</v>
      </c>
      <c r="E34" s="173"/>
      <c r="F34" s="173">
        <f>MEDIAN(F24:F31)</f>
        <v>2.6398450000000002</v>
      </c>
      <c r="G34" s="173"/>
      <c r="H34" s="173">
        <f>MEDIAN(H24:H31)</f>
        <v>12.92108</v>
      </c>
      <c r="I34" s="173"/>
      <c r="J34" s="173">
        <f>MEDIAN(J24:J31)</f>
        <v>16.01961</v>
      </c>
      <c r="K34" s="159"/>
      <c r="L34" s="160">
        <f>MEDIAN(L24:L31)</f>
        <v>45.838799999999999</v>
      </c>
      <c r="M34" s="159"/>
      <c r="N34" s="160">
        <f>MEDIAN(N24:N31)</f>
        <v>30.765499999999999</v>
      </c>
      <c r="O34" s="159"/>
      <c r="P34" s="173">
        <f>MEDIAN(P24:P31)</f>
        <v>1.65574</v>
      </c>
      <c r="Q34" s="173"/>
      <c r="R34" s="173">
        <f>MEDIAN(R24:R31)</f>
        <v>1.5812135208652147</v>
      </c>
      <c r="S34" s="173"/>
      <c r="T34" s="173">
        <f>MEDIAN(T24:T31)</f>
        <v>9.7715999999999994</v>
      </c>
      <c r="U34" s="173"/>
      <c r="V34" s="173">
        <f>MEDIAN(V24:V31)</f>
        <v>7.9124650000000001</v>
      </c>
      <c r="W34" s="173"/>
      <c r="X34" s="173">
        <f>MEDIAN(X24:X31)</f>
        <v>17.704889999999999</v>
      </c>
      <c r="Y34" s="173"/>
      <c r="Z34" s="174">
        <f>MEDIAN(Z24:Z31)</f>
        <v>11.900164999999999</v>
      </c>
      <c r="AA34" s="2"/>
    </row>
    <row r="35" spans="1:27" x14ac:dyDescent="0.2">
      <c r="A35" s="2"/>
      <c r="B35" s="2"/>
      <c r="C35" s="156" t="str">
        <f>C16</f>
        <v>Min</v>
      </c>
      <c r="D35" s="173">
        <f>+MIN(D24:D31)</f>
        <v>0.18612000000000001</v>
      </c>
      <c r="E35" s="173"/>
      <c r="F35" s="173">
        <f>+MIN(F24:F31)</f>
        <v>0.18608</v>
      </c>
      <c r="G35" s="173"/>
      <c r="H35" s="173">
        <f>+MIN(H24:H31)</f>
        <v>0</v>
      </c>
      <c r="I35" s="173"/>
      <c r="J35" s="173">
        <f>+MIN(J24:J31)</f>
        <v>0</v>
      </c>
      <c r="K35" s="159"/>
      <c r="L35" s="160">
        <f>+MIN(L24:L31)</f>
        <v>3.9073000000000002</v>
      </c>
      <c r="M35" s="159"/>
      <c r="N35" s="160">
        <f>+MIN(N24:N31)</f>
        <v>3.7603</v>
      </c>
      <c r="O35" s="159"/>
      <c r="P35" s="173">
        <f>+MIN(P24:P31)</f>
        <v>0.2462</v>
      </c>
      <c r="Q35" s="173"/>
      <c r="R35" s="173">
        <f>+MIN(R24:R31)</f>
        <v>0.23544294192355578</v>
      </c>
      <c r="S35" s="173"/>
      <c r="T35" s="173">
        <f>+MIN(T24:T31)</f>
        <v>7.5737399999999999</v>
      </c>
      <c r="U35" s="173"/>
      <c r="V35" s="173">
        <f>+MIN(V24:V31)</f>
        <v>6.8815200000000001</v>
      </c>
      <c r="W35" s="173"/>
      <c r="X35" s="173">
        <f>+MIN(X24:X31)</f>
        <v>14.42544</v>
      </c>
      <c r="Y35" s="173"/>
      <c r="Z35" s="174">
        <f>+MIN(Z24:Z31)</f>
        <v>10.59253</v>
      </c>
      <c r="AA35" s="2"/>
    </row>
    <row r="36" spans="1:27" x14ac:dyDescent="0.2">
      <c r="A36" s="2"/>
      <c r="B36" s="2"/>
      <c r="C36" s="163" t="str">
        <f>C17</f>
        <v>Mean</v>
      </c>
      <c r="D36" s="175">
        <f>AVERAGE(D24:D31)</f>
        <v>1.9367174999999999</v>
      </c>
      <c r="E36" s="175"/>
      <c r="F36" s="175">
        <f>AVERAGE(F24:F31)</f>
        <v>2.3574350000000002</v>
      </c>
      <c r="G36" s="175"/>
      <c r="H36" s="175">
        <f>AVERAGE(H24:H31)</f>
        <v>33.475893750000004</v>
      </c>
      <c r="I36" s="175"/>
      <c r="J36" s="175">
        <f>AVERAGE(J24:J31)</f>
        <v>30.461144285714283</v>
      </c>
      <c r="K36" s="165"/>
      <c r="L36" s="166">
        <f>AVERAGE(L24:L31)</f>
        <v>111.87129999999999</v>
      </c>
      <c r="M36" s="165"/>
      <c r="N36" s="166">
        <f>AVERAGE(N24:N31)</f>
        <v>36.719850000000001</v>
      </c>
      <c r="O36" s="165"/>
      <c r="P36" s="175">
        <f>AVERAGE(P24:P31)</f>
        <v>3.5450112499999999</v>
      </c>
      <c r="Q36" s="175"/>
      <c r="R36" s="175">
        <f>AVERAGE(R24:R31)</f>
        <v>3.0895186251996654</v>
      </c>
      <c r="S36" s="175"/>
      <c r="T36" s="175">
        <f>AVERAGE(T24:T31)</f>
        <v>11.310661250000001</v>
      </c>
      <c r="U36" s="175"/>
      <c r="V36" s="175">
        <f>AVERAGE(V24:V31)</f>
        <v>9.3657074999999992</v>
      </c>
      <c r="W36" s="175"/>
      <c r="X36" s="175">
        <f>AVERAGE(X24:X31)</f>
        <v>20.199865714285718</v>
      </c>
      <c r="Y36" s="175"/>
      <c r="Z36" s="176">
        <f>AVERAGE(Z24:Z31)</f>
        <v>14.610211249999997</v>
      </c>
      <c r="AA36" s="2"/>
    </row>
    <row r="37" spans="1:27" x14ac:dyDescent="0.2">
      <c r="A37" s="2"/>
      <c r="B37" s="2"/>
      <c r="C37" s="2"/>
      <c r="D37" s="113"/>
      <c r="E37" s="113"/>
      <c r="F37" s="113"/>
      <c r="G37" s="113"/>
      <c r="H37" s="113"/>
      <c r="I37" s="113"/>
      <c r="J37" s="113"/>
      <c r="K37" s="39"/>
      <c r="L37" s="170"/>
      <c r="M37" s="39"/>
      <c r="N37" s="170"/>
      <c r="O37" s="39"/>
      <c r="P37" s="113"/>
      <c r="Q37" s="113"/>
      <c r="R37" s="113"/>
      <c r="S37" s="39"/>
      <c r="T37" s="113"/>
      <c r="U37" s="113"/>
      <c r="V37" s="113"/>
      <c r="W37" s="39"/>
      <c r="X37" s="113"/>
      <c r="Y37" s="113"/>
      <c r="Z37" s="113"/>
      <c r="AA37" s="2"/>
    </row>
    <row r="38" spans="1:27" x14ac:dyDescent="0.2">
      <c r="A38" s="200" t="str">
        <f>A19</f>
        <v>NYSE:IBM</v>
      </c>
      <c r="B38" s="201"/>
      <c r="C38" s="201" t="str">
        <f>C19</f>
        <v>International Business Machines Corporation</v>
      </c>
      <c r="D38" s="207">
        <f>'Detailed Comps'!EC21</f>
        <v>3.7075100000000001</v>
      </c>
      <c r="E38" s="207"/>
      <c r="F38" s="207">
        <f>'Detailed Comps'!EE21</f>
        <v>2.8801800000000002</v>
      </c>
      <c r="G38" s="207"/>
      <c r="H38" s="207">
        <f>'Detailed Comps'!EI21</f>
        <v>9.0056799999999999</v>
      </c>
      <c r="I38" s="207"/>
      <c r="J38" s="207">
        <f>'Detailed Comps'!EK21</f>
        <v>8.4418600000000001</v>
      </c>
      <c r="K38" s="203"/>
      <c r="L38" s="204">
        <f>'Detailed Comps'!EM21</f>
        <v>197.32749999999999</v>
      </c>
      <c r="M38" s="203"/>
      <c r="N38" s="204">
        <f>'Detailed Comps'!EO21</f>
        <v>66.367000000000004</v>
      </c>
      <c r="O38" s="203"/>
      <c r="P38" s="207">
        <f>'Detailed Comps'!BG21</f>
        <v>4.3079299999999998</v>
      </c>
      <c r="Q38" s="207"/>
      <c r="R38" s="207">
        <f>'Detailed Comps'!BI21</f>
        <v>4.1077911235981324</v>
      </c>
      <c r="S38" s="203"/>
      <c r="T38" s="207">
        <f>'Detailed Comps'!BO21</f>
        <v>16.695499999999999</v>
      </c>
      <c r="U38" s="207"/>
      <c r="V38" s="207">
        <f>'Detailed Comps'!BQ21</f>
        <v>14.58379</v>
      </c>
      <c r="W38" s="203"/>
      <c r="X38" s="207">
        <f>'Detailed Comps'!BW21</f>
        <v>23.029620000000001</v>
      </c>
      <c r="Y38" s="207"/>
      <c r="Z38" s="208">
        <f>'Detailed Comps'!BY21</f>
        <v>20.664870000000001</v>
      </c>
      <c r="AA38" s="2"/>
    </row>
    <row r="39" spans="1:27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x14ac:dyDescent="0.2">
      <c r="A41" s="2"/>
      <c r="B41" s="2"/>
      <c r="C41" s="2"/>
      <c r="D41" s="14" t="str">
        <f>'Language Index'!A850</f>
        <v>3-Year Historical CAGR (%)</v>
      </c>
      <c r="E41" s="14"/>
      <c r="F41" s="14"/>
      <c r="G41" s="14"/>
      <c r="H41" s="14"/>
      <c r="I41" s="2"/>
      <c r="J41" s="14" t="str">
        <f>'Language Index'!A851</f>
        <v>LTM Margins (%)</v>
      </c>
      <c r="K41" s="14"/>
      <c r="L41" s="14"/>
      <c r="M41" s="2"/>
      <c r="N41" s="14" t="str">
        <f>'Language Index'!A852</f>
        <v>Liquidity Ratios</v>
      </c>
      <c r="O41" s="14"/>
      <c r="P41" s="14"/>
      <c r="Q41" s="2"/>
      <c r="R41" s="14" t="str">
        <f>'Language Index'!A853</f>
        <v>LTM Activity</v>
      </c>
      <c r="S41" s="14"/>
      <c r="T41" s="14"/>
      <c r="U41" s="14"/>
      <c r="V41" s="14"/>
      <c r="W41" s="2"/>
      <c r="X41" s="14" t="str">
        <f>'Language Index'!A818</f>
        <v>LTM Profitability (%)</v>
      </c>
      <c r="Y41" s="14"/>
      <c r="Z41" s="14"/>
      <c r="AA41" s="2"/>
    </row>
    <row r="42" spans="1:27" x14ac:dyDescent="0.2">
      <c r="A42" s="145" t="str">
        <f>'Language Index'!A8</f>
        <v>Ticker</v>
      </c>
      <c r="B42" s="2"/>
      <c r="C42" s="93" t="str">
        <f>'Language Index'!A849</f>
        <v>Operating Statistics</v>
      </c>
      <c r="D42" s="146" t="str">
        <f>'Language Index'!A854</f>
        <v>Revenue</v>
      </c>
      <c r="E42" s="2"/>
      <c r="F42" s="146" t="str">
        <f>'Language Index'!A105</f>
        <v>EBITDA</v>
      </c>
      <c r="G42" s="2"/>
      <c r="H42" s="146" t="str">
        <f>'Language Index'!A806</f>
        <v>EPS</v>
      </c>
      <c r="I42" s="2"/>
      <c r="J42" s="146" t="str">
        <f>'Language Index'!A105</f>
        <v>EBITDA</v>
      </c>
      <c r="K42" s="2"/>
      <c r="L42" s="146" t="str">
        <f>'Language Index'!A213</f>
        <v>Net Income</v>
      </c>
      <c r="M42" s="2"/>
      <c r="N42" s="146" t="str">
        <f>'Language Index'!A823</f>
        <v>Quick</v>
      </c>
      <c r="O42" s="2"/>
      <c r="P42" s="146" t="str">
        <f>'Language Index'!A27</f>
        <v>Current</v>
      </c>
      <c r="Q42" s="2"/>
      <c r="R42" s="146" t="str">
        <f>'Language Index'!A855</f>
        <v>DSO</v>
      </c>
      <c r="S42" s="2"/>
      <c r="T42" s="146" t="str">
        <f>'Language Index'!A856</f>
        <v>DPO</v>
      </c>
      <c r="U42" s="2"/>
      <c r="V42" s="146" t="str">
        <f>'Language Index'!A857</f>
        <v>DIO</v>
      </c>
      <c r="W42" s="2"/>
      <c r="X42" s="146" t="str">
        <f>'Language Index'!A819</f>
        <v>ROE</v>
      </c>
      <c r="Y42" s="2"/>
      <c r="Z42" s="146" t="str">
        <f>'Language Index'!A821</f>
        <v>ROIC</v>
      </c>
      <c r="AA42" s="2"/>
    </row>
    <row r="43" spans="1:27" x14ac:dyDescent="0.2">
      <c r="A43" s="2" t="str">
        <f t="shared" ref="A43:A50" si="2">A24</f>
        <v>NYSE:ORCL</v>
      </c>
      <c r="B43" s="2"/>
      <c r="C43" s="2" t="str">
        <f t="shared" ref="C43:C50" si="3">C24</f>
        <v>Oracle Corporation</v>
      </c>
      <c r="D43" s="60">
        <f>'Detailed Comps'!DG7</f>
        <v>9.8160000000000007</v>
      </c>
      <c r="E43" s="34"/>
      <c r="F43" s="60">
        <f>'Detailed Comps'!DO7</f>
        <v>12.6477</v>
      </c>
      <c r="G43" s="34"/>
      <c r="H43" s="60">
        <f>'Detailed Comps'!DW7</f>
        <v>18.499500000000001</v>
      </c>
      <c r="I43" s="2"/>
      <c r="J43" s="115">
        <f>'Detailed Comps'!CU7</f>
        <v>43.047699999999999</v>
      </c>
      <c r="K43" s="34"/>
      <c r="L43" s="115">
        <f>'Detailed Comps'!DC7</f>
        <v>25.280200000000001</v>
      </c>
      <c r="M43" s="2"/>
      <c r="N43" s="113">
        <f>'Detailed Comps'!EY7</f>
        <v>0.77275000000000005</v>
      </c>
      <c r="O43" s="177"/>
      <c r="P43" s="113">
        <f>'Detailed Comps'!EW7</f>
        <v>0.90927000000000002</v>
      </c>
      <c r="Q43" s="2"/>
      <c r="R43" s="178">
        <f>'Detailed Comps'!FA7</f>
        <v>52.692500000000003</v>
      </c>
      <c r="S43" s="178"/>
      <c r="T43" s="178">
        <f>'Detailed Comps'!FE7</f>
        <v>121.88518000000001</v>
      </c>
      <c r="U43" s="178"/>
      <c r="V43" s="178">
        <f>'Detailed Comps'!FC7</f>
        <v>0</v>
      </c>
      <c r="W43" s="2"/>
      <c r="X43" s="60">
        <f>'Detailed Comps'!EQ7</f>
        <v>69.026399999999995</v>
      </c>
      <c r="Y43" s="34"/>
      <c r="Z43" s="60">
        <f>'Detailed Comps'!EU7</f>
        <v>7.2870999999999997</v>
      </c>
      <c r="AA43" s="2"/>
    </row>
    <row r="44" spans="1:27" x14ac:dyDescent="0.2">
      <c r="A44" s="2" t="str">
        <f t="shared" si="2"/>
        <v>NYSE:ACN</v>
      </c>
      <c r="B44" s="2"/>
      <c r="C44" s="2" t="str">
        <f t="shared" si="3"/>
        <v>Accenture plc</v>
      </c>
      <c r="D44" s="60">
        <f>'Detailed Comps'!DG8</f>
        <v>4.2759</v>
      </c>
      <c r="E44" s="34"/>
      <c r="F44" s="60">
        <f>'Detailed Comps'!DO8</f>
        <v>3.3348</v>
      </c>
      <c r="G44" s="34"/>
      <c r="H44" s="60">
        <f>'Detailed Comps'!DW8</f>
        <v>3.1703000000000001</v>
      </c>
      <c r="I44" s="179"/>
      <c r="J44" s="115">
        <f>'Detailed Comps'!CU8</f>
        <v>17.6145</v>
      </c>
      <c r="K44" s="179"/>
      <c r="L44" s="115">
        <f>'Detailed Comps'!DC8</f>
        <v>10.7614</v>
      </c>
      <c r="M44" s="2"/>
      <c r="N44" s="180">
        <f>'Detailed Comps'!EY8</f>
        <v>1.2897700000000001</v>
      </c>
      <c r="O44" s="2"/>
      <c r="P44" s="178">
        <f>'Detailed Comps'!EW8</f>
        <v>1.4106300000000001</v>
      </c>
      <c r="Q44" s="2"/>
      <c r="R44" s="178">
        <f>'Detailed Comps'!FA8</f>
        <v>78.911910000000006</v>
      </c>
      <c r="S44" s="178"/>
      <c r="T44" s="178">
        <f>'Detailed Comps'!FE8</f>
        <v>21.053570000000001</v>
      </c>
      <c r="U44" s="178"/>
      <c r="V44" s="178">
        <f>'Detailed Comps'!FC8</f>
        <v>0</v>
      </c>
      <c r="W44" s="2"/>
      <c r="X44" s="60">
        <f>'Detailed Comps'!EQ8</f>
        <v>25.016100000000002</v>
      </c>
      <c r="Y44" s="34"/>
      <c r="Z44" s="60">
        <f>'Detailed Comps'!EU8</f>
        <v>9.7743000000000002</v>
      </c>
      <c r="AA44" s="2"/>
    </row>
    <row r="45" spans="1:27" x14ac:dyDescent="0.2">
      <c r="A45" s="2" t="str">
        <f t="shared" si="2"/>
        <v>NYSE:HPE</v>
      </c>
      <c r="B45" s="2"/>
      <c r="C45" s="2" t="str">
        <f t="shared" si="3"/>
        <v>Hewlett Packard Enterprise Company</v>
      </c>
      <c r="D45" s="60">
        <f>'Detailed Comps'!DG9</f>
        <v>6.3701999999999996</v>
      </c>
      <c r="E45" s="34"/>
      <c r="F45" s="60">
        <f>'Detailed Comps'!DO9</f>
        <v>-2.5844</v>
      </c>
      <c r="G45" s="34"/>
      <c r="H45" s="60" t="str">
        <f>'Detailed Comps'!DW9</f>
        <v>NM</v>
      </c>
      <c r="I45" s="179"/>
      <c r="J45" s="115">
        <f>'Detailed Comps'!CU9</f>
        <v>13.094799999999999</v>
      </c>
      <c r="K45" s="179"/>
      <c r="L45" s="115">
        <f>'Detailed Comps'!DC9</f>
        <v>0.16619999999999999</v>
      </c>
      <c r="M45" s="2"/>
      <c r="N45" s="180">
        <f>'Detailed Comps'!EY9</f>
        <v>0.60419</v>
      </c>
      <c r="O45" s="2"/>
      <c r="P45" s="178">
        <f>'Detailed Comps'!EW9</f>
        <v>1.01424</v>
      </c>
      <c r="Q45" s="2"/>
      <c r="R45" s="178">
        <f>'Detailed Comps'!FA9</f>
        <v>48.116489999999999</v>
      </c>
      <c r="S45" s="178"/>
      <c r="T45" s="178">
        <f>'Detailed Comps'!FE9</f>
        <v>156.18970999999999</v>
      </c>
      <c r="U45" s="178"/>
      <c r="V45" s="178">
        <f>'Detailed Comps'!FC9</f>
        <v>110.36177000000001</v>
      </c>
      <c r="W45" s="2"/>
      <c r="X45" s="60">
        <f>'Detailed Comps'!EQ9</f>
        <v>0.2296</v>
      </c>
      <c r="Y45" s="34"/>
      <c r="Z45" s="60">
        <f>'Detailed Comps'!EU9</f>
        <v>-1.5802</v>
      </c>
      <c r="AA45" s="2"/>
    </row>
    <row r="46" spans="1:27" x14ac:dyDescent="0.2">
      <c r="A46" s="2" t="str">
        <f t="shared" si="2"/>
        <v>NasdaqGS:CTSH</v>
      </c>
      <c r="B46" s="2"/>
      <c r="C46" s="2" t="str">
        <f t="shared" si="3"/>
        <v>Cognizant Technology Solutions Corporation</v>
      </c>
      <c r="D46" s="60">
        <f>'Detailed Comps'!DG10</f>
        <v>2.8031000000000001</v>
      </c>
      <c r="E46" s="34"/>
      <c r="F46" s="60">
        <f>'Detailed Comps'!DO10</f>
        <v>3.0848</v>
      </c>
      <c r="G46" s="34"/>
      <c r="H46" s="60">
        <f>'Detailed Comps'!DW10</f>
        <v>1.1211</v>
      </c>
      <c r="I46" s="179"/>
      <c r="J46" s="115">
        <f>'Detailed Comps'!CU10</f>
        <v>18.163699999999999</v>
      </c>
      <c r="K46" s="179"/>
      <c r="L46" s="115">
        <f>'Detailed Comps'!DC10</f>
        <v>10.5647</v>
      </c>
      <c r="M46" s="2"/>
      <c r="N46" s="180">
        <f>'Detailed Comps'!EY10</f>
        <v>1.73627</v>
      </c>
      <c r="O46" s="2"/>
      <c r="P46" s="178">
        <f>'Detailed Comps'!EW10</f>
        <v>2.1366499999999999</v>
      </c>
      <c r="Q46" s="2"/>
      <c r="R46" s="178">
        <f>'Detailed Comps'!FA10</f>
        <v>73.473770000000002</v>
      </c>
      <c r="S46" s="178"/>
      <c r="T46" s="178">
        <f>'Detailed Comps'!FE10</f>
        <v>8.4523100000000007</v>
      </c>
      <c r="U46" s="178"/>
      <c r="V46" s="178">
        <f>'Detailed Comps'!FC10</f>
        <v>0</v>
      </c>
      <c r="W46" s="2"/>
      <c r="X46" s="60">
        <f>'Detailed Comps'!EQ10</f>
        <v>15.158200000000001</v>
      </c>
      <c r="Y46" s="34"/>
      <c r="Z46" s="60">
        <f>'Detailed Comps'!EU10</f>
        <v>10.093400000000001</v>
      </c>
      <c r="AA46" s="2"/>
    </row>
    <row r="47" spans="1:27" x14ac:dyDescent="0.2">
      <c r="A47" s="2" t="str">
        <f t="shared" si="2"/>
        <v>NYSE:SNX</v>
      </c>
      <c r="B47" s="2"/>
      <c r="C47" s="2" t="str">
        <f t="shared" si="3"/>
        <v>TD SYNNEX Corporation</v>
      </c>
      <c r="D47" s="60">
        <f>'Detailed Comps'!DG11</f>
        <v>8.7800000000000003E-2</v>
      </c>
      <c r="E47" s="34"/>
      <c r="F47" s="60">
        <f>'Detailed Comps'!DO11</f>
        <v>1.8872</v>
      </c>
      <c r="G47" s="34"/>
      <c r="H47" s="60">
        <f>'Detailed Comps'!DW11</f>
        <v>13.674200000000001</v>
      </c>
      <c r="I47" s="179"/>
      <c r="J47" s="115">
        <f>'Detailed Comps'!CU11</f>
        <v>2.9384000000000001</v>
      </c>
      <c r="K47" s="179"/>
      <c r="L47" s="115">
        <f>'Detailed Comps'!DC11</f>
        <v>1.3240000000000001</v>
      </c>
      <c r="M47" s="2"/>
      <c r="N47" s="180">
        <f>'Detailed Comps'!EY11</f>
        <v>0.72114</v>
      </c>
      <c r="O47" s="2"/>
      <c r="P47" s="178">
        <f>'Detailed Comps'!EW11</f>
        <v>1.20651</v>
      </c>
      <c r="Q47" s="2"/>
      <c r="R47" s="178">
        <f>'Detailed Comps'!FA11</f>
        <v>64.375050000000002</v>
      </c>
      <c r="S47" s="178"/>
      <c r="T47" s="178">
        <f>'Detailed Comps'!FE11</f>
        <v>100.56663</v>
      </c>
      <c r="U47" s="178"/>
      <c r="V47" s="178">
        <f>'Detailed Comps'!FC11</f>
        <v>55.847560000000001</v>
      </c>
      <c r="W47" s="2"/>
      <c r="X47" s="60">
        <f>'Detailed Comps'!EQ11</f>
        <v>10.040800000000001</v>
      </c>
      <c r="Y47" s="34"/>
      <c r="Z47" s="60">
        <f>'Detailed Comps'!EU11</f>
        <v>5.2465999999999999</v>
      </c>
      <c r="AA47" s="2"/>
    </row>
    <row r="48" spans="1:27" x14ac:dyDescent="0.2">
      <c r="A48" s="2" t="str">
        <f t="shared" si="2"/>
        <v>NasdaqGS:MSFT</v>
      </c>
      <c r="B48" s="2"/>
      <c r="C48" s="2" t="str">
        <f t="shared" si="3"/>
        <v>Microsoft Corporation</v>
      </c>
      <c r="D48" s="60">
        <f>'Detailed Comps'!DG12</f>
        <v>14.3856</v>
      </c>
      <c r="E48" s="34"/>
      <c r="F48" s="60">
        <f>'Detailed Comps'!DO12</f>
        <v>21.672799999999999</v>
      </c>
      <c r="G48" s="34"/>
      <c r="H48" s="60">
        <f>'Detailed Comps'!DW12</f>
        <v>21.102399999999999</v>
      </c>
      <c r="I48" s="179"/>
      <c r="J48" s="115">
        <f>'Detailed Comps'!CU12</f>
        <v>57.3767</v>
      </c>
      <c r="K48" s="179"/>
      <c r="L48" s="115">
        <f>'Detailed Comps'!DC12</f>
        <v>39.0443</v>
      </c>
      <c r="M48" s="2"/>
      <c r="N48" s="180">
        <f>'Detailed Comps'!EY12</f>
        <v>1.23916</v>
      </c>
      <c r="O48" s="2"/>
      <c r="P48" s="178">
        <f>'Detailed Comps'!EW12</f>
        <v>1.38602</v>
      </c>
      <c r="Q48" s="2"/>
      <c r="R48" s="178">
        <f>'Detailed Comps'!FA12</f>
        <v>62.569029999999998</v>
      </c>
      <c r="S48" s="178"/>
      <c r="T48" s="178">
        <f>'Detailed Comps'!FE12</f>
        <v>113.81722000000001</v>
      </c>
      <c r="U48" s="178"/>
      <c r="V48" s="178">
        <f>'Detailed Comps'!FC12</f>
        <v>3.7427100000000002</v>
      </c>
      <c r="W48" s="2"/>
      <c r="X48" s="60">
        <f>'Detailed Comps'!EQ12</f>
        <v>34.390700000000002</v>
      </c>
      <c r="Y48" s="34"/>
      <c r="Z48" s="60">
        <f>'Detailed Comps'!EU12</f>
        <v>20.438600000000001</v>
      </c>
      <c r="AA48" s="2"/>
    </row>
    <row r="49" spans="1:27" x14ac:dyDescent="0.2">
      <c r="A49" s="2" t="str">
        <f t="shared" si="2"/>
        <v>NYSE:EPAM</v>
      </c>
      <c r="B49" s="2"/>
      <c r="C49" s="2" t="str">
        <f t="shared" si="3"/>
        <v>EPAM Systems, Inc.</v>
      </c>
      <c r="D49" s="60">
        <f>'Detailed Comps'!DG13</f>
        <v>4.1908000000000003</v>
      </c>
      <c r="E49" s="34"/>
      <c r="F49" s="60">
        <f>'Detailed Comps'!DO13</f>
        <v>-3.9872999999999998</v>
      </c>
      <c r="G49" s="34"/>
      <c r="H49" s="60">
        <f>'Detailed Comps'!DW13</f>
        <v>-1.7706999999999999</v>
      </c>
      <c r="I49" s="179"/>
      <c r="J49" s="115">
        <f>'Detailed Comps'!CU13</f>
        <v>12.959899999999999</v>
      </c>
      <c r="K49" s="179"/>
      <c r="L49" s="115">
        <f>'Detailed Comps'!DC13</f>
        <v>6.9208999999999996</v>
      </c>
      <c r="M49" s="2"/>
      <c r="N49" s="180">
        <f>'Detailed Comps'!EY13</f>
        <v>2.4831300000000001</v>
      </c>
      <c r="O49" s="2"/>
      <c r="P49" s="178">
        <f>'Detailed Comps'!EW13</f>
        <v>2.5936900000000001</v>
      </c>
      <c r="Q49" s="2"/>
      <c r="R49" s="178">
        <f>'Detailed Comps'!FA13</f>
        <v>70.577129999999997</v>
      </c>
      <c r="S49" s="178"/>
      <c r="T49" s="178">
        <f>'Detailed Comps'!FE13</f>
        <v>4.7033899999999997</v>
      </c>
      <c r="U49" s="178"/>
      <c r="V49" s="178">
        <f>'Detailed Comps'!FC13</f>
        <v>0</v>
      </c>
      <c r="W49" s="2"/>
      <c r="X49" s="60">
        <f>'Detailed Comps'!EQ13</f>
        <v>10.3346</v>
      </c>
      <c r="Y49" s="34"/>
      <c r="Z49" s="60">
        <f>'Detailed Comps'!EU13</f>
        <v>9.9181000000000008</v>
      </c>
      <c r="AA49" s="2"/>
    </row>
    <row r="50" spans="1:27" x14ac:dyDescent="0.2">
      <c r="A50" s="2" t="str">
        <f t="shared" si="2"/>
        <v>NasdaqGS:NTAP</v>
      </c>
      <c r="B50" s="2"/>
      <c r="C50" s="2" t="str">
        <f t="shared" si="3"/>
        <v>NetApp, Inc.</v>
      </c>
      <c r="D50" s="60">
        <f>'Detailed Comps'!DG14</f>
        <v>1.2634000000000001</v>
      </c>
      <c r="E50" s="34"/>
      <c r="F50" s="60">
        <f>'Detailed Comps'!DO14</f>
        <v>9.6001999999999992</v>
      </c>
      <c r="G50" s="34"/>
      <c r="H50" s="60">
        <f>'Detailed Comps'!DW14</f>
        <v>1.077</v>
      </c>
      <c r="I50" s="179"/>
      <c r="J50" s="115">
        <f>'Detailed Comps'!CU14</f>
        <v>26.0992</v>
      </c>
      <c r="K50" s="179"/>
      <c r="L50" s="115">
        <f>'Detailed Comps'!DC14</f>
        <v>18.065200000000001</v>
      </c>
      <c r="M50" s="2"/>
      <c r="N50" s="180">
        <f>'Detailed Comps'!EY14</f>
        <v>1.20451</v>
      </c>
      <c r="O50" s="2"/>
      <c r="P50" s="178">
        <f>'Detailed Comps'!EW14</f>
        <v>1.39009</v>
      </c>
      <c r="Q50" s="2"/>
      <c r="R50" s="178">
        <f>'Detailed Comps'!FA14</f>
        <v>60.006489999999999</v>
      </c>
      <c r="S50" s="178"/>
      <c r="T50" s="178">
        <f>'Detailed Comps'!FE14</f>
        <v>84.560479999999998</v>
      </c>
      <c r="U50" s="178"/>
      <c r="V50" s="178">
        <f>'Detailed Comps'!FC14</f>
        <v>34.618220000000001</v>
      </c>
      <c r="W50" s="2"/>
      <c r="X50" s="60">
        <f>'Detailed Comps'!EQ14</f>
        <v>112.587</v>
      </c>
      <c r="Y50" s="34"/>
      <c r="Z50" s="60">
        <f>'Detailed Comps'!EU14</f>
        <v>22.334299999999999</v>
      </c>
      <c r="AA50" s="2"/>
    </row>
    <row r="51" spans="1:27" x14ac:dyDescent="0.2">
      <c r="A51" s="2"/>
      <c r="B51" s="2"/>
      <c r="C51" s="2"/>
      <c r="D51" s="170"/>
      <c r="E51" s="2"/>
      <c r="F51" s="170"/>
      <c r="G51" s="2"/>
      <c r="H51" s="170"/>
      <c r="I51" s="2"/>
      <c r="J51" s="170"/>
      <c r="K51" s="2"/>
      <c r="L51" s="170"/>
      <c r="M51" s="2"/>
      <c r="N51" s="2"/>
      <c r="O51" s="2"/>
      <c r="P51" s="2"/>
      <c r="Q51" s="2"/>
      <c r="R51" s="178"/>
      <c r="S51" s="178"/>
      <c r="T51" s="178"/>
      <c r="U51" s="178"/>
      <c r="V51" s="178"/>
      <c r="W51" s="2"/>
      <c r="X51" s="170"/>
      <c r="Y51" s="2"/>
      <c r="Z51" s="170"/>
      <c r="AA51" s="2"/>
    </row>
    <row r="52" spans="1:27" x14ac:dyDescent="0.2">
      <c r="A52" s="2"/>
      <c r="B52" s="2"/>
      <c r="C52" s="149" t="str">
        <f>C33</f>
        <v>Max</v>
      </c>
      <c r="D52" s="153">
        <f>+MAX(D43:D50)</f>
        <v>14.3856</v>
      </c>
      <c r="E52" s="153"/>
      <c r="F52" s="153">
        <f>+MAX(F43:F50)</f>
        <v>21.672799999999999</v>
      </c>
      <c r="G52" s="153"/>
      <c r="H52" s="153">
        <f>+MAX(H43:H50)</f>
        <v>21.102399999999999</v>
      </c>
      <c r="I52" s="150"/>
      <c r="J52" s="153">
        <f>+MAX(J43:J50)</f>
        <v>57.3767</v>
      </c>
      <c r="K52" s="181"/>
      <c r="L52" s="153">
        <f>+MAX(L43:L50)</f>
        <v>39.0443</v>
      </c>
      <c r="M52" s="150"/>
      <c r="N52" s="171">
        <f>+MAX(N43:N50)</f>
        <v>2.4831300000000001</v>
      </c>
      <c r="O52" s="171"/>
      <c r="P52" s="171">
        <f>+MAX(P43:P50)</f>
        <v>2.5936900000000001</v>
      </c>
      <c r="Q52" s="150"/>
      <c r="R52" s="182">
        <f>+MAX(R43:R50)</f>
        <v>78.911910000000006</v>
      </c>
      <c r="S52" s="182"/>
      <c r="T52" s="182">
        <f>+MAX(T43:T50)</f>
        <v>156.18970999999999</v>
      </c>
      <c r="U52" s="182"/>
      <c r="V52" s="182">
        <f>+MAX(V43:V50)</f>
        <v>110.36177000000001</v>
      </c>
      <c r="W52" s="150"/>
      <c r="X52" s="153">
        <f>+MAX(X43:X50)</f>
        <v>112.587</v>
      </c>
      <c r="Y52" s="181"/>
      <c r="Z52" s="183">
        <f>+MAX(Z43:Z50)</f>
        <v>22.334299999999999</v>
      </c>
      <c r="AA52" s="2"/>
    </row>
    <row r="53" spans="1:27" x14ac:dyDescent="0.2">
      <c r="A53" s="2"/>
      <c r="B53" s="2"/>
      <c r="C53" s="156" t="str">
        <f>C34</f>
        <v>Median</v>
      </c>
      <c r="D53" s="160">
        <f>MEDIAN(D43:D50)</f>
        <v>4.2333499999999997</v>
      </c>
      <c r="E53" s="160"/>
      <c r="F53" s="160">
        <f>MEDIAN(F43:F50)</f>
        <v>3.2098</v>
      </c>
      <c r="G53" s="160"/>
      <c r="H53" s="160">
        <f>MEDIAN(H43:H50)</f>
        <v>3.1703000000000001</v>
      </c>
      <c r="I53" s="157"/>
      <c r="J53" s="160">
        <f>MEDIAN(J43:J50)</f>
        <v>17.889099999999999</v>
      </c>
      <c r="K53" s="184"/>
      <c r="L53" s="160">
        <f>MEDIAN(L43:L50)</f>
        <v>10.66305</v>
      </c>
      <c r="M53" s="157"/>
      <c r="N53" s="173">
        <f>MEDIAN(N43:N50)</f>
        <v>1.221835</v>
      </c>
      <c r="O53" s="173"/>
      <c r="P53" s="173">
        <f>MEDIAN(P43:P50)</f>
        <v>1.388055</v>
      </c>
      <c r="Q53" s="157"/>
      <c r="R53" s="185">
        <f>MEDIAN(R43:R50)</f>
        <v>63.47204</v>
      </c>
      <c r="S53" s="185"/>
      <c r="T53" s="185">
        <f>MEDIAN(T43:T50)</f>
        <v>92.563555000000008</v>
      </c>
      <c r="U53" s="185"/>
      <c r="V53" s="185">
        <f>MEDIAN(V43:V50)</f>
        <v>1.8713550000000001</v>
      </c>
      <c r="W53" s="157"/>
      <c r="X53" s="160">
        <f>MEDIAN(X43:X50)</f>
        <v>20.087150000000001</v>
      </c>
      <c r="Y53" s="184"/>
      <c r="Z53" s="186">
        <f>MEDIAN(Z43:Z50)</f>
        <v>9.8461999999999996</v>
      </c>
      <c r="AA53" s="2"/>
    </row>
    <row r="54" spans="1:27" x14ac:dyDescent="0.2">
      <c r="A54" s="2"/>
      <c r="B54" s="2"/>
      <c r="C54" s="156" t="str">
        <f>C35</f>
        <v>Min</v>
      </c>
      <c r="D54" s="160">
        <f>+MIN(D43:D50)</f>
        <v>8.7800000000000003E-2</v>
      </c>
      <c r="E54" s="160"/>
      <c r="F54" s="160">
        <f t="shared" ref="F54:Z54" si="4">+MIN(F43:F50)</f>
        <v>-3.9872999999999998</v>
      </c>
      <c r="G54" s="160"/>
      <c r="H54" s="160">
        <f t="shared" si="4"/>
        <v>-1.7706999999999999</v>
      </c>
      <c r="I54" s="160"/>
      <c r="J54" s="160">
        <f t="shared" si="4"/>
        <v>2.9384000000000001</v>
      </c>
      <c r="K54" s="160"/>
      <c r="L54" s="160">
        <f t="shared" si="4"/>
        <v>0.16619999999999999</v>
      </c>
      <c r="M54" s="160"/>
      <c r="N54" s="173">
        <f t="shared" si="4"/>
        <v>0.60419</v>
      </c>
      <c r="O54" s="160"/>
      <c r="P54" s="173">
        <f t="shared" si="4"/>
        <v>0.90927000000000002</v>
      </c>
      <c r="Q54" s="160"/>
      <c r="R54" s="185">
        <f t="shared" si="4"/>
        <v>48.116489999999999</v>
      </c>
      <c r="S54" s="160"/>
      <c r="T54" s="185">
        <f t="shared" si="4"/>
        <v>4.7033899999999997</v>
      </c>
      <c r="U54" s="160"/>
      <c r="V54" s="185">
        <f t="shared" si="4"/>
        <v>0</v>
      </c>
      <c r="W54" s="160"/>
      <c r="X54" s="160">
        <f t="shared" si="4"/>
        <v>0.2296</v>
      </c>
      <c r="Y54" s="160"/>
      <c r="Z54" s="186">
        <f t="shared" si="4"/>
        <v>-1.5802</v>
      </c>
      <c r="AA54" s="2"/>
    </row>
    <row r="55" spans="1:27" x14ac:dyDescent="0.2">
      <c r="A55" s="2"/>
      <c r="B55" s="2"/>
      <c r="C55" s="163" t="str">
        <f>C36</f>
        <v>Mean</v>
      </c>
      <c r="D55" s="166">
        <f>AVERAGE(D43:D50)</f>
        <v>5.3991000000000007</v>
      </c>
      <c r="E55" s="166"/>
      <c r="F55" s="166">
        <f t="shared" ref="F55:Z55" si="5">AVERAGE(F43:F50)</f>
        <v>5.7069750000000008</v>
      </c>
      <c r="G55" s="166"/>
      <c r="H55" s="166">
        <f t="shared" si="5"/>
        <v>8.1248285714285711</v>
      </c>
      <c r="I55" s="166"/>
      <c r="J55" s="166">
        <f t="shared" si="5"/>
        <v>23.911862500000002</v>
      </c>
      <c r="K55" s="166"/>
      <c r="L55" s="166">
        <f t="shared" si="5"/>
        <v>14.015862500000003</v>
      </c>
      <c r="M55" s="166"/>
      <c r="N55" s="175">
        <f t="shared" si="5"/>
        <v>1.2563650000000002</v>
      </c>
      <c r="O55" s="166"/>
      <c r="P55" s="175">
        <f t="shared" si="5"/>
        <v>1.5058875</v>
      </c>
      <c r="Q55" s="166"/>
      <c r="R55" s="187">
        <f t="shared" si="5"/>
        <v>63.840296250000002</v>
      </c>
      <c r="S55" s="166"/>
      <c r="T55" s="187">
        <f t="shared" si="5"/>
        <v>76.40356125000001</v>
      </c>
      <c r="U55" s="166"/>
      <c r="V55" s="187">
        <f t="shared" si="5"/>
        <v>25.571282500000002</v>
      </c>
      <c r="W55" s="166"/>
      <c r="X55" s="166">
        <f t="shared" si="5"/>
        <v>34.597924999999996</v>
      </c>
      <c r="Y55" s="166"/>
      <c r="Z55" s="188">
        <f t="shared" si="5"/>
        <v>10.439025000000001</v>
      </c>
      <c r="AA55" s="2"/>
    </row>
    <row r="56" spans="1:27" x14ac:dyDescent="0.2">
      <c r="A56" s="2"/>
      <c r="B56" s="2"/>
      <c r="C56" s="2"/>
      <c r="D56" s="170"/>
      <c r="E56" s="2"/>
      <c r="F56" s="170"/>
      <c r="G56" s="2"/>
      <c r="H56" s="170"/>
      <c r="I56" s="2"/>
      <c r="J56" s="170"/>
      <c r="K56" s="2"/>
      <c r="L56" s="170"/>
      <c r="M56" s="2"/>
      <c r="N56" s="2"/>
      <c r="O56" s="2"/>
      <c r="P56" s="2"/>
      <c r="Q56" s="2"/>
      <c r="R56" s="178"/>
      <c r="S56" s="178"/>
      <c r="T56" s="178"/>
      <c r="U56" s="178"/>
      <c r="V56" s="178"/>
      <c r="W56" s="2"/>
      <c r="X56" s="170"/>
      <c r="Y56" s="2"/>
      <c r="Z56" s="170"/>
      <c r="AA56" s="2"/>
    </row>
    <row r="57" spans="1:27" x14ac:dyDescent="0.2">
      <c r="A57" s="200" t="str">
        <f>A38</f>
        <v>NYSE:IBM</v>
      </c>
      <c r="B57" s="201"/>
      <c r="C57" s="201" t="str">
        <f>C38</f>
        <v>International Business Machines Corporation</v>
      </c>
      <c r="D57" s="204">
        <f>'Detailed Comps'!DG21</f>
        <v>3.7176</v>
      </c>
      <c r="E57" s="204"/>
      <c r="F57" s="204">
        <f>'Detailed Comps'!DO21</f>
        <v>14.366300000000001</v>
      </c>
      <c r="G57" s="204"/>
      <c r="H57" s="204">
        <f>'Detailed Comps'!DW21</f>
        <v>78.7654</v>
      </c>
      <c r="I57" s="201"/>
      <c r="J57" s="204">
        <f>'Detailed Comps'!CU21</f>
        <v>23.866099999999999</v>
      </c>
      <c r="K57" s="209"/>
      <c r="L57" s="204">
        <f>'Detailed Comps'!DC21</f>
        <v>15.6852</v>
      </c>
      <c r="M57" s="201"/>
      <c r="N57" s="207">
        <f>'Detailed Comps'!EY21</f>
        <v>0.81242999999999999</v>
      </c>
      <c r="O57" s="207"/>
      <c r="P57" s="207">
        <f>'Detailed Comps'!EW21</f>
        <v>0.95565999999999995</v>
      </c>
      <c r="Q57" s="201"/>
      <c r="R57" s="210">
        <f>'Detailed Comps'!FA21</f>
        <v>43.25141</v>
      </c>
      <c r="S57" s="210"/>
      <c r="T57" s="210">
        <f>'Detailed Comps'!FE21</f>
        <v>57.759430000000002</v>
      </c>
      <c r="U57" s="210"/>
      <c r="V57" s="210">
        <f>'Detailed Comps'!FC21</f>
        <v>16.449459999999998</v>
      </c>
      <c r="W57" s="201"/>
      <c r="X57" s="204">
        <f>'Detailed Comps'!EQ21</f>
        <v>35.158099999999997</v>
      </c>
      <c r="Y57" s="209"/>
      <c r="Z57" s="211">
        <f>'Detailed Comps'!EU21</f>
        <v>4.7374000000000001</v>
      </c>
      <c r="AA57" s="2"/>
    </row>
    <row r="58" spans="1:27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2"/>
    </row>
    <row r="59" spans="1:27" x14ac:dyDescent="0.2">
      <c r="A59" s="189"/>
      <c r="B59" s="189"/>
      <c r="C59" s="189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">
      <c r="A60" s="42" t="str">
        <f>'Language Index'!A770</f>
        <v>Source: S&amp;P Capital IQ</v>
      </c>
      <c r="B60" s="2"/>
      <c r="C60" s="2"/>
      <c r="D60" s="3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6.25" customHeight="1" x14ac:dyDescent="0.2">
      <c r="A61" s="270" t="str">
        <f>'Language Index'!A771</f>
        <v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v>
      </c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"/>
    </row>
    <row r="62" spans="1:27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</sheetData>
  <mergeCells count="1">
    <mergeCell ref="A61:Z61"/>
  </mergeCells>
  <phoneticPr fontId="0" type="noConversion"/>
  <pageMargins left="0.25" right="0.25" top="0.25" bottom="0.25" header="0.5" footer="0.5"/>
  <pageSetup scale="6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Y874"/>
  <sheetViews>
    <sheetView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40625" defaultRowHeight="14.25" x14ac:dyDescent="0.2"/>
  <cols>
    <col min="1" max="11" width="50.140625" style="218" customWidth="1"/>
    <col min="12" max="14" width="9.140625" style="218"/>
    <col min="15" max="15" width="20.7109375" customWidth="1"/>
    <col min="17" max="21" width="9.140625" style="218"/>
    <col min="23" max="52" width="9.140625" style="218"/>
    <col min="54" max="80" width="9.140625" style="218"/>
    <col min="82" max="102" width="9.140625" style="218"/>
    <col min="103" max="103" width="9.140625" style="223"/>
    <col min="104" max="16384" width="9.140625" style="218"/>
  </cols>
  <sheetData>
    <row r="1" spans="1:103" x14ac:dyDescent="0.2">
      <c r="B1"/>
      <c r="C1"/>
      <c r="D1"/>
      <c r="E1"/>
      <c r="F1"/>
      <c r="G1"/>
      <c r="H1"/>
      <c r="I1"/>
      <c r="J1"/>
      <c r="BB1"/>
    </row>
    <row r="2" spans="1:103" x14ac:dyDescent="0.2">
      <c r="B2"/>
      <c r="C2"/>
      <c r="D2"/>
      <c r="E2"/>
      <c r="F2"/>
      <c r="G2"/>
      <c r="H2"/>
      <c r="I2"/>
      <c r="J2"/>
      <c r="BB2"/>
    </row>
    <row r="3" spans="1:103" x14ac:dyDescent="0.2">
      <c r="B3"/>
      <c r="C3"/>
      <c r="D3"/>
      <c r="E3"/>
      <c r="F3"/>
      <c r="G3"/>
      <c r="H3"/>
      <c r="I3"/>
      <c r="J3"/>
      <c r="BB3"/>
    </row>
    <row r="4" spans="1:103" x14ac:dyDescent="0.2">
      <c r="A4" s="218">
        <v>1</v>
      </c>
      <c r="BB4"/>
    </row>
    <row r="5" spans="1:103" x14ac:dyDescent="0.2">
      <c r="A5" s="223">
        <f>COUNTA($B$7:$CV$7)</f>
        <v>10</v>
      </c>
      <c r="BB5"/>
    </row>
    <row r="6" spans="1:103" x14ac:dyDescent="0.2">
      <c r="A6" s="226" t="str">
        <f>INDEX($B$7:$CV$7,$A$4)</f>
        <v>English</v>
      </c>
      <c r="BB6"/>
    </row>
    <row r="7" spans="1:103" ht="15" x14ac:dyDescent="0.25">
      <c r="B7" s="216" t="s">
        <v>827</v>
      </c>
      <c r="C7" s="217" t="s">
        <v>828</v>
      </c>
      <c r="D7" s="217" t="s">
        <v>829</v>
      </c>
      <c r="E7" s="217" t="s">
        <v>830</v>
      </c>
      <c r="F7" s="217" t="s">
        <v>831</v>
      </c>
      <c r="G7" s="217" t="s">
        <v>832</v>
      </c>
      <c r="H7" s="217" t="s">
        <v>833</v>
      </c>
      <c r="I7" s="217" t="s">
        <v>834</v>
      </c>
      <c r="J7" s="217" t="s">
        <v>835</v>
      </c>
      <c r="K7" s="217" t="s">
        <v>836</v>
      </c>
      <c r="BB7"/>
    </row>
    <row r="8" spans="1:103" x14ac:dyDescent="0.2">
      <c r="A8" s="225" t="str">
        <f>INDEX($B8:$CV8,$A$4)</f>
        <v>Ticker</v>
      </c>
      <c r="B8" s="219" t="s">
        <v>250</v>
      </c>
      <c r="C8" s="218" t="s">
        <v>5726</v>
      </c>
      <c r="D8" s="218" t="s">
        <v>5727</v>
      </c>
      <c r="E8" s="218" t="s">
        <v>5728</v>
      </c>
      <c r="F8" s="218" t="s">
        <v>250</v>
      </c>
      <c r="G8" s="218" t="s">
        <v>250</v>
      </c>
      <c r="H8" s="218" t="s">
        <v>5729</v>
      </c>
      <c r="I8" s="218" t="s">
        <v>5730</v>
      </c>
      <c r="J8" s="218" t="s">
        <v>5731</v>
      </c>
      <c r="K8" s="218" t="s">
        <v>5732</v>
      </c>
      <c r="BB8"/>
      <c r="CY8" s="224" t="str">
        <f t="array" ref="CY8:CY107">TRANSPOSE($B$7:$CV$7)</f>
        <v>English</v>
      </c>
    </row>
    <row r="9" spans="1:103" x14ac:dyDescent="0.2">
      <c r="A9" s="225" t="str">
        <f t="shared" ref="A9:A72" si="0">INDEX($B9:$CV9,$A$4)</f>
        <v>Time Period</v>
      </c>
      <c r="B9" s="220" t="s">
        <v>52</v>
      </c>
      <c r="C9" s="251" t="s">
        <v>845</v>
      </c>
      <c r="D9" s="251" t="s">
        <v>846</v>
      </c>
      <c r="E9" s="251" t="s">
        <v>847</v>
      </c>
      <c r="F9" s="253" t="s">
        <v>851</v>
      </c>
      <c r="G9" s="253" t="s">
        <v>852</v>
      </c>
      <c r="H9" s="252" t="s">
        <v>848</v>
      </c>
      <c r="I9" s="251" t="s">
        <v>849</v>
      </c>
      <c r="J9" s="251" t="s">
        <v>850</v>
      </c>
      <c r="K9" s="253" t="s">
        <v>853</v>
      </c>
      <c r="BB9"/>
      <c r="CY9" s="224" t="str">
        <v>Chinese Simplified</v>
      </c>
    </row>
    <row r="10" spans="1:103" ht="15" x14ac:dyDescent="0.25">
      <c r="A10" s="225" t="str">
        <f t="shared" si="0"/>
        <v>Most Recent on the:</v>
      </c>
      <c r="B10" s="220" t="s">
        <v>417</v>
      </c>
      <c r="C10" s="256" t="s">
        <v>5733</v>
      </c>
      <c r="D10" s="256" t="s">
        <v>5733</v>
      </c>
      <c r="E10" s="256" t="s">
        <v>5734</v>
      </c>
      <c r="F10" s="256" t="s">
        <v>5735</v>
      </c>
      <c r="G10" s="256" t="s">
        <v>5736</v>
      </c>
      <c r="H10" s="256" t="s">
        <v>5737</v>
      </c>
      <c r="I10" s="256" t="s">
        <v>5738</v>
      </c>
      <c r="J10" s="256" t="s">
        <v>5739</v>
      </c>
      <c r="K10" s="256" t="s">
        <v>5740</v>
      </c>
      <c r="BB10"/>
      <c r="CY10" s="224" t="str">
        <v>Chinese Traditional</v>
      </c>
    </row>
    <row r="11" spans="1:103" x14ac:dyDescent="0.2">
      <c r="A11" s="225" t="str">
        <f t="shared" si="0"/>
        <v>Date</v>
      </c>
      <c r="B11" s="218" t="s">
        <v>56</v>
      </c>
      <c r="C11" s="215" t="s">
        <v>4647</v>
      </c>
      <c r="D11" s="215" t="s">
        <v>4647</v>
      </c>
      <c r="E11" s="215" t="s">
        <v>56</v>
      </c>
      <c r="F11" s="215" t="s">
        <v>5741</v>
      </c>
      <c r="G11" s="215" t="s">
        <v>5742</v>
      </c>
      <c r="H11" s="215" t="s">
        <v>5743</v>
      </c>
      <c r="I11" s="215" t="s">
        <v>5744</v>
      </c>
      <c r="J11" s="215" t="s">
        <v>5745</v>
      </c>
      <c r="K11" s="215" t="s">
        <v>5746</v>
      </c>
      <c r="BB11"/>
      <c r="CY11" s="224" t="str">
        <v>French</v>
      </c>
    </row>
    <row r="12" spans="1:103" x14ac:dyDescent="0.2">
      <c r="A12" s="225" t="str">
        <f t="shared" si="0"/>
        <v>Currency</v>
      </c>
      <c r="B12" s="218" t="s">
        <v>55</v>
      </c>
      <c r="C12" s="215" t="s">
        <v>5747</v>
      </c>
      <c r="D12" s="215" t="s">
        <v>5748</v>
      </c>
      <c r="E12" s="215" t="s">
        <v>5749</v>
      </c>
      <c r="F12" s="215" t="s">
        <v>5750</v>
      </c>
      <c r="G12" s="215" t="s">
        <v>5751</v>
      </c>
      <c r="H12" s="215" t="s">
        <v>5752</v>
      </c>
      <c r="I12" s="215" t="s">
        <v>5753</v>
      </c>
      <c r="J12" s="215" t="s">
        <v>5754</v>
      </c>
      <c r="K12" s="215" t="s">
        <v>5755</v>
      </c>
      <c r="BB12"/>
      <c r="CY12" s="224" t="str">
        <v>German</v>
      </c>
    </row>
    <row r="13" spans="1:103" x14ac:dyDescent="0.2">
      <c r="A13" s="225" t="str">
        <f t="shared" si="0"/>
        <v>Conversion</v>
      </c>
      <c r="B13" s="218" t="s">
        <v>54</v>
      </c>
      <c r="C13" s="218" t="s">
        <v>5756</v>
      </c>
      <c r="D13" s="218" t="s">
        <v>5757</v>
      </c>
      <c r="E13" s="218" t="s">
        <v>54</v>
      </c>
      <c r="F13" s="218" t="s">
        <v>5758</v>
      </c>
      <c r="G13" s="218" t="s">
        <v>5759</v>
      </c>
      <c r="H13" s="218" t="s">
        <v>5760</v>
      </c>
      <c r="I13" s="218" t="s">
        <v>5761</v>
      </c>
      <c r="J13" s="218" t="s">
        <v>5762</v>
      </c>
      <c r="K13" s="218" t="s">
        <v>5763</v>
      </c>
      <c r="BB13"/>
      <c r="CY13" s="224" t="str">
        <v>Italian</v>
      </c>
    </row>
    <row r="14" spans="1:103" x14ac:dyDescent="0.2">
      <c r="A14" s="225" t="str">
        <f t="shared" si="0"/>
        <v>LTM</v>
      </c>
      <c r="B14" s="218" t="s">
        <v>344</v>
      </c>
      <c r="C14" s="215" t="s">
        <v>862</v>
      </c>
      <c r="D14" s="215" t="s">
        <v>863</v>
      </c>
      <c r="E14" s="215" t="s">
        <v>5850</v>
      </c>
      <c r="F14" s="215" t="s">
        <v>5851</v>
      </c>
      <c r="G14" s="215" t="s">
        <v>869</v>
      </c>
      <c r="H14" s="215" t="s">
        <v>344</v>
      </c>
      <c r="I14" s="215" t="s">
        <v>5852</v>
      </c>
      <c r="J14" s="215" t="s">
        <v>5853</v>
      </c>
      <c r="K14" s="215" t="s">
        <v>5854</v>
      </c>
      <c r="BB14"/>
      <c r="CY14" s="224" t="str">
        <v>Japanese</v>
      </c>
    </row>
    <row r="15" spans="1:103" x14ac:dyDescent="0.2">
      <c r="A15" s="225" t="str">
        <f t="shared" si="0"/>
        <v>Per Share Items</v>
      </c>
      <c r="B15" s="218" t="s">
        <v>676</v>
      </c>
      <c r="C15" s="251" t="s">
        <v>5564</v>
      </c>
      <c r="D15" s="251" t="s">
        <v>5565</v>
      </c>
      <c r="E15" s="251" t="s">
        <v>5566</v>
      </c>
      <c r="F15" s="253" t="s">
        <v>5570</v>
      </c>
      <c r="G15" s="253" t="s">
        <v>5571</v>
      </c>
      <c r="H15" s="252" t="s">
        <v>5567</v>
      </c>
      <c r="I15" s="251" t="s">
        <v>5568</v>
      </c>
      <c r="J15" s="251" t="s">
        <v>5569</v>
      </c>
      <c r="K15" s="253" t="s">
        <v>5572</v>
      </c>
      <c r="BB15"/>
      <c r="CY15" s="224" t="str">
        <v>Russian</v>
      </c>
    </row>
    <row r="16" spans="1:103" x14ac:dyDescent="0.2">
      <c r="A16" s="225" t="str">
        <f t="shared" si="0"/>
        <v>Fiscal Year</v>
      </c>
      <c r="B16" s="218" t="s">
        <v>418</v>
      </c>
      <c r="C16" s="218" t="s">
        <v>5855</v>
      </c>
      <c r="D16" s="218" t="s">
        <v>5856</v>
      </c>
      <c r="E16" s="218" t="s">
        <v>4916</v>
      </c>
      <c r="F16" s="218" t="s">
        <v>4919</v>
      </c>
      <c r="G16" s="218" t="s">
        <v>5857</v>
      </c>
      <c r="H16" s="218" t="s">
        <v>5858</v>
      </c>
      <c r="I16" s="218" t="s">
        <v>5859</v>
      </c>
      <c r="J16" s="218" t="s">
        <v>5860</v>
      </c>
      <c r="K16" s="218" t="s">
        <v>5861</v>
      </c>
      <c r="BB16"/>
      <c r="CY16" s="224" t="str">
        <v>Spanish</v>
      </c>
    </row>
    <row r="17" spans="1:103" x14ac:dyDescent="0.2">
      <c r="A17" s="225" t="str">
        <f t="shared" si="0"/>
        <v>Fiscal Quarter</v>
      </c>
      <c r="B17" s="218" t="s">
        <v>419</v>
      </c>
      <c r="C17" s="251" t="s">
        <v>854</v>
      </c>
      <c r="D17" s="251" t="s">
        <v>855</v>
      </c>
      <c r="E17" s="251" t="s">
        <v>856</v>
      </c>
      <c r="F17" s="253" t="s">
        <v>859</v>
      </c>
      <c r="G17" s="253" t="s">
        <v>860</v>
      </c>
      <c r="H17" s="252" t="s">
        <v>857</v>
      </c>
      <c r="I17" s="251" t="s">
        <v>858</v>
      </c>
      <c r="J17" s="251" t="s">
        <v>856</v>
      </c>
      <c r="K17" s="253" t="s">
        <v>861</v>
      </c>
      <c r="BB17"/>
      <c r="CY17" s="224" t="str">
        <v>Korean</v>
      </c>
    </row>
    <row r="18" spans="1:103" x14ac:dyDescent="0.2">
      <c r="A18" s="225" t="str">
        <f t="shared" si="0"/>
        <v>Year to Date</v>
      </c>
      <c r="B18" s="218" t="s">
        <v>420</v>
      </c>
      <c r="C18" s="218" t="s">
        <v>5862</v>
      </c>
      <c r="D18" s="218" t="s">
        <v>5862</v>
      </c>
      <c r="E18" s="218" t="s">
        <v>5863</v>
      </c>
      <c r="F18" s="218" t="s">
        <v>5864</v>
      </c>
      <c r="G18" s="218" t="s">
        <v>5865</v>
      </c>
      <c r="H18" s="218" t="s">
        <v>5866</v>
      </c>
      <c r="I18" s="218" t="s">
        <v>5867</v>
      </c>
      <c r="J18" s="218" t="s">
        <v>5868</v>
      </c>
      <c r="K18" s="218" t="s">
        <v>5869</v>
      </c>
      <c r="BB18"/>
      <c r="CY18" s="224">
        <v>0</v>
      </c>
    </row>
    <row r="19" spans="1:103" x14ac:dyDescent="0.2">
      <c r="A19" s="225" t="str">
        <f t="shared" si="0"/>
        <v>Last Twelve Months</v>
      </c>
      <c r="B19" s="218" t="s">
        <v>421</v>
      </c>
      <c r="C19" s="251" t="s">
        <v>862</v>
      </c>
      <c r="D19" s="251" t="s">
        <v>863</v>
      </c>
      <c r="E19" s="251" t="s">
        <v>864</v>
      </c>
      <c r="F19" s="253" t="s">
        <v>868</v>
      </c>
      <c r="G19" s="253" t="s">
        <v>869</v>
      </c>
      <c r="H19" s="252" t="s">
        <v>865</v>
      </c>
      <c r="I19" s="251" t="s">
        <v>866</v>
      </c>
      <c r="J19" s="251" t="s">
        <v>867</v>
      </c>
      <c r="K19" s="253" t="s">
        <v>870</v>
      </c>
      <c r="BB19"/>
      <c r="CY19" s="224">
        <v>0</v>
      </c>
    </row>
    <row r="20" spans="1:103" x14ac:dyDescent="0.2">
      <c r="A20" s="225" t="str">
        <f t="shared" si="0"/>
        <v>Calendar Year</v>
      </c>
      <c r="B20" s="218" t="s">
        <v>422</v>
      </c>
      <c r="C20" s="218" t="s">
        <v>5870</v>
      </c>
      <c r="D20" s="218" t="s">
        <v>5871</v>
      </c>
      <c r="E20" s="218" t="s">
        <v>5872</v>
      </c>
      <c r="F20" s="218" t="s">
        <v>5873</v>
      </c>
      <c r="G20" s="218" t="s">
        <v>5874</v>
      </c>
      <c r="H20" s="218" t="s">
        <v>5875</v>
      </c>
      <c r="I20" s="218" t="s">
        <v>5876</v>
      </c>
      <c r="J20" s="218" t="s">
        <v>5877</v>
      </c>
      <c r="K20" s="218" t="s">
        <v>5878</v>
      </c>
      <c r="BB20"/>
      <c r="CY20" s="224">
        <v>0</v>
      </c>
    </row>
    <row r="21" spans="1:103" x14ac:dyDescent="0.2">
      <c r="A21" s="225" t="str">
        <f t="shared" si="0"/>
        <v>Calendar Quarter</v>
      </c>
      <c r="B21" s="218" t="s">
        <v>423</v>
      </c>
      <c r="C21" s="251" t="s">
        <v>871</v>
      </c>
      <c r="D21" s="251" t="s">
        <v>872</v>
      </c>
      <c r="E21" s="251" t="s">
        <v>873</v>
      </c>
      <c r="F21" s="253" t="s">
        <v>889</v>
      </c>
      <c r="G21" s="253" t="s">
        <v>890</v>
      </c>
      <c r="H21" s="252" t="s">
        <v>880</v>
      </c>
      <c r="I21" s="251" t="s">
        <v>881</v>
      </c>
      <c r="J21" s="251" t="s">
        <v>882</v>
      </c>
      <c r="K21" s="253" t="s">
        <v>895</v>
      </c>
      <c r="BB21"/>
      <c r="CY21" s="224">
        <v>0</v>
      </c>
    </row>
    <row r="22" spans="1:103" x14ac:dyDescent="0.2">
      <c r="A22" s="225" t="str">
        <f t="shared" si="0"/>
        <v>Fiscal Half</v>
      </c>
      <c r="B22" s="218" t="s">
        <v>671</v>
      </c>
      <c r="C22" s="251" t="s">
        <v>874</v>
      </c>
      <c r="D22" s="251" t="s">
        <v>875</v>
      </c>
      <c r="E22" s="251" t="s">
        <v>876</v>
      </c>
      <c r="F22" s="253" t="s">
        <v>891</v>
      </c>
      <c r="G22" s="253" t="s">
        <v>892</v>
      </c>
      <c r="H22" s="252" t="s">
        <v>883</v>
      </c>
      <c r="I22" s="251" t="s">
        <v>884</v>
      </c>
      <c r="J22" s="251" t="s">
        <v>885</v>
      </c>
      <c r="K22" s="253" t="s">
        <v>896</v>
      </c>
      <c r="BB22"/>
      <c r="CY22" s="224">
        <v>0</v>
      </c>
    </row>
    <row r="23" spans="1:103" x14ac:dyDescent="0.2">
      <c r="A23" s="225" t="str">
        <f t="shared" si="0"/>
        <v>Calendar Half</v>
      </c>
      <c r="B23" s="218" t="s">
        <v>672</v>
      </c>
      <c r="C23" s="251" t="s">
        <v>877</v>
      </c>
      <c r="D23" s="251" t="s">
        <v>878</v>
      </c>
      <c r="E23" s="251" t="s">
        <v>879</v>
      </c>
      <c r="F23" s="253" t="s">
        <v>893</v>
      </c>
      <c r="G23" s="253" t="s">
        <v>894</v>
      </c>
      <c r="H23" s="252" t="s">
        <v>886</v>
      </c>
      <c r="I23" s="251" t="s">
        <v>887</v>
      </c>
      <c r="J23" s="251" t="s">
        <v>888</v>
      </c>
      <c r="K23" s="253" t="s">
        <v>897</v>
      </c>
      <c r="BB23"/>
      <c r="CY23" s="224">
        <v>0</v>
      </c>
    </row>
    <row r="24" spans="1:103" x14ac:dyDescent="0.2">
      <c r="A24" s="225" t="str">
        <f t="shared" si="0"/>
        <v>Right</v>
      </c>
      <c r="B24" s="218" t="s">
        <v>415</v>
      </c>
      <c r="C24" s="218" t="s">
        <v>5879</v>
      </c>
      <c r="D24" s="218" t="s">
        <v>5880</v>
      </c>
      <c r="E24" s="218" t="s">
        <v>5881</v>
      </c>
      <c r="F24" s="218" t="s">
        <v>5882</v>
      </c>
      <c r="G24" s="218" t="s">
        <v>5883</v>
      </c>
      <c r="H24" s="218" t="s">
        <v>5884</v>
      </c>
      <c r="I24" s="218" t="s">
        <v>5885</v>
      </c>
      <c r="J24" s="218" t="s">
        <v>5886</v>
      </c>
      <c r="K24" s="218" t="s">
        <v>5887</v>
      </c>
      <c r="BB24"/>
      <c r="CY24" s="224">
        <v>0</v>
      </c>
    </row>
    <row r="25" spans="1:103" x14ac:dyDescent="0.2">
      <c r="A25" s="225" t="str">
        <f t="shared" si="0"/>
        <v>Left</v>
      </c>
      <c r="B25" s="218" t="s">
        <v>416</v>
      </c>
      <c r="C25" s="218" t="s">
        <v>5888</v>
      </c>
      <c r="D25" s="218" t="s">
        <v>5889</v>
      </c>
      <c r="E25" s="218" t="s">
        <v>5890</v>
      </c>
      <c r="F25" s="218" t="s">
        <v>5891</v>
      </c>
      <c r="G25" s="218" t="s">
        <v>5892</v>
      </c>
      <c r="H25" s="218" t="s">
        <v>5893</v>
      </c>
      <c r="I25" s="218" t="s">
        <v>5894</v>
      </c>
      <c r="J25" s="218" t="s">
        <v>5895</v>
      </c>
      <c r="K25" s="218" t="s">
        <v>5896</v>
      </c>
      <c r="BB25"/>
      <c r="CY25" s="224">
        <v>0</v>
      </c>
    </row>
    <row r="26" spans="1:103" x14ac:dyDescent="0.2">
      <c r="A26" s="225" t="str">
        <f t="shared" si="0"/>
        <v>Historical</v>
      </c>
      <c r="B26" s="218" t="s">
        <v>673</v>
      </c>
      <c r="C26" s="218" t="s">
        <v>5773</v>
      </c>
      <c r="D26" s="218" t="s">
        <v>5774</v>
      </c>
      <c r="E26" s="218" t="s">
        <v>5775</v>
      </c>
      <c r="F26" s="218" t="s">
        <v>5776</v>
      </c>
      <c r="G26" s="218" t="s">
        <v>5777</v>
      </c>
      <c r="H26" s="218" t="s">
        <v>5778</v>
      </c>
      <c r="I26" s="218" t="s">
        <v>5779</v>
      </c>
      <c r="J26" s="218" t="s">
        <v>5780</v>
      </c>
      <c r="K26" s="218" t="s">
        <v>5781</v>
      </c>
      <c r="BB26"/>
      <c r="CY26" s="224">
        <v>0</v>
      </c>
    </row>
    <row r="27" spans="1:103" x14ac:dyDescent="0.2">
      <c r="A27" s="225" t="str">
        <f t="shared" si="0"/>
        <v>Current</v>
      </c>
      <c r="B27" s="218" t="s">
        <v>330</v>
      </c>
      <c r="C27" s="218" t="s">
        <v>5897</v>
      </c>
      <c r="D27" s="218" t="s">
        <v>5898</v>
      </c>
      <c r="E27" s="218" t="s">
        <v>5899</v>
      </c>
      <c r="F27" s="218" t="s">
        <v>5900</v>
      </c>
      <c r="G27" s="218" t="s">
        <v>5901</v>
      </c>
      <c r="H27" s="218" t="s">
        <v>5902</v>
      </c>
      <c r="I27" s="218" t="s">
        <v>5903</v>
      </c>
      <c r="J27" s="218" t="s">
        <v>5904</v>
      </c>
      <c r="K27" s="218" t="s">
        <v>5905</v>
      </c>
      <c r="BB27"/>
      <c r="CY27" s="224">
        <v>0</v>
      </c>
    </row>
    <row r="28" spans="1:103" x14ac:dyDescent="0.2">
      <c r="A28" s="225" t="str">
        <f t="shared" si="0"/>
        <v>Income Statement</v>
      </c>
      <c r="B28" s="218" t="s">
        <v>837</v>
      </c>
      <c r="C28" t="s">
        <v>5764</v>
      </c>
      <c r="D28" t="s">
        <v>5765</v>
      </c>
      <c r="E28" t="s">
        <v>5766</v>
      </c>
      <c r="F28" t="s">
        <v>5767</v>
      </c>
      <c r="G28" t="s">
        <v>5768</v>
      </c>
      <c r="H28" t="s">
        <v>5769</v>
      </c>
      <c r="I28" t="s">
        <v>5770</v>
      </c>
      <c r="J28" t="s">
        <v>5771</v>
      </c>
      <c r="K28" t="s">
        <v>5772</v>
      </c>
      <c r="BB28"/>
      <c r="CY28" s="224">
        <v>0</v>
      </c>
    </row>
    <row r="29" spans="1:103" x14ac:dyDescent="0.2">
      <c r="A29" s="225" t="str">
        <f t="shared" si="0"/>
        <v>Cash Flow Statement</v>
      </c>
      <c r="B29" s="218" t="s">
        <v>838</v>
      </c>
      <c r="C29" s="215" t="s">
        <v>5906</v>
      </c>
      <c r="D29" s="215" t="s">
        <v>5907</v>
      </c>
      <c r="E29" s="215" t="s">
        <v>5908</v>
      </c>
      <c r="F29" s="215" t="s">
        <v>5909</v>
      </c>
      <c r="G29" s="215" t="s">
        <v>5910</v>
      </c>
      <c r="H29" s="215" t="s">
        <v>5911</v>
      </c>
      <c r="I29" s="215" t="s">
        <v>5912</v>
      </c>
      <c r="J29" s="215" t="s">
        <v>5913</v>
      </c>
      <c r="K29" s="215" t="s">
        <v>5914</v>
      </c>
      <c r="BB29"/>
      <c r="CY29" s="224">
        <v>0</v>
      </c>
    </row>
    <row r="30" spans="1:103" x14ac:dyDescent="0.2">
      <c r="A30" s="225" t="str">
        <f t="shared" si="0"/>
        <v>Balance Sheet</v>
      </c>
      <c r="B30" s="218" t="s">
        <v>839</v>
      </c>
      <c r="C30" s="215" t="s">
        <v>5915</v>
      </c>
      <c r="D30" s="215" t="s">
        <v>5916</v>
      </c>
      <c r="E30" s="215" t="s">
        <v>5917</v>
      </c>
      <c r="F30" s="215" t="s">
        <v>5918</v>
      </c>
      <c r="G30" s="215" t="s">
        <v>5919</v>
      </c>
      <c r="H30" s="215" t="s">
        <v>5920</v>
      </c>
      <c r="I30" s="215" t="s">
        <v>5921</v>
      </c>
      <c r="J30" s="215" t="s">
        <v>5922</v>
      </c>
      <c r="K30" s="215" t="s">
        <v>5923</v>
      </c>
      <c r="BB30"/>
      <c r="CY30" s="224">
        <v>0</v>
      </c>
    </row>
    <row r="31" spans="1:103" x14ac:dyDescent="0.2">
      <c r="A31" s="225" t="str">
        <f t="shared" si="0"/>
        <v>Ended</v>
      </c>
      <c r="B31" s="221" t="s">
        <v>841</v>
      </c>
      <c r="C31" s="251" t="s">
        <v>898</v>
      </c>
      <c r="D31" s="251" t="s">
        <v>898</v>
      </c>
      <c r="E31" s="251" t="s">
        <v>899</v>
      </c>
      <c r="F31" s="253" t="s">
        <v>903</v>
      </c>
      <c r="G31" s="253" t="s">
        <v>904</v>
      </c>
      <c r="H31" s="252" t="s">
        <v>900</v>
      </c>
      <c r="I31" s="251" t="s">
        <v>901</v>
      </c>
      <c r="J31" s="251" t="s">
        <v>902</v>
      </c>
      <c r="K31" s="253" t="s">
        <v>905</v>
      </c>
      <c r="BB31"/>
      <c r="CY31" s="224">
        <v>0</v>
      </c>
    </row>
    <row r="32" spans="1:103" x14ac:dyDescent="0.2">
      <c r="A32" s="225" t="str">
        <f t="shared" si="0"/>
        <v>In Millions</v>
      </c>
      <c r="B32" s="218" t="s">
        <v>840</v>
      </c>
      <c r="C32" s="215" t="s">
        <v>5782</v>
      </c>
      <c r="D32" s="215" t="s">
        <v>5783</v>
      </c>
      <c r="E32" s="215" t="s">
        <v>5784</v>
      </c>
      <c r="F32" s="215" t="s">
        <v>5785</v>
      </c>
      <c r="G32" s="215" t="s">
        <v>5786</v>
      </c>
      <c r="H32" s="215" t="s">
        <v>5782</v>
      </c>
      <c r="I32" s="215" t="s">
        <v>5787</v>
      </c>
      <c r="J32" s="215" t="s">
        <v>5788</v>
      </c>
      <c r="K32" s="215" t="s">
        <v>5789</v>
      </c>
      <c r="BB32"/>
      <c r="CY32" s="224">
        <v>0</v>
      </c>
    </row>
    <row r="33" spans="1:103" x14ac:dyDescent="0.2">
      <c r="A33" s="225" t="str">
        <f t="shared" si="0"/>
        <v>Revenues</v>
      </c>
      <c r="B33" s="218" t="s">
        <v>92</v>
      </c>
      <c r="C33" s="218" t="s">
        <v>5790</v>
      </c>
      <c r="D33" s="218" t="s">
        <v>5790</v>
      </c>
      <c r="E33" s="218" t="s">
        <v>5791</v>
      </c>
      <c r="F33" s="218" t="s">
        <v>5792</v>
      </c>
      <c r="G33" s="218" t="s">
        <v>5793</v>
      </c>
      <c r="H33" s="218" t="s">
        <v>5794</v>
      </c>
      <c r="I33" s="218" t="s">
        <v>5795</v>
      </c>
      <c r="J33" s="218" t="s">
        <v>5796</v>
      </c>
      <c r="K33" s="218" t="s">
        <v>5797</v>
      </c>
      <c r="BB33"/>
      <c r="CY33" s="224">
        <v>0</v>
      </c>
    </row>
    <row r="34" spans="1:103" x14ac:dyDescent="0.2">
      <c r="A34" s="225" t="str">
        <f t="shared" si="0"/>
        <v>Finance Div. Revenues</v>
      </c>
      <c r="B34" s="218" t="s">
        <v>193</v>
      </c>
      <c r="C34" s="218" t="s">
        <v>5924</v>
      </c>
      <c r="D34" s="218" t="s">
        <v>5925</v>
      </c>
      <c r="E34" s="218" t="s">
        <v>5926</v>
      </c>
      <c r="F34" s="218" t="s">
        <v>5936</v>
      </c>
      <c r="G34" s="218" t="s">
        <v>5937</v>
      </c>
      <c r="H34" s="218" t="s">
        <v>5930</v>
      </c>
      <c r="I34" s="218" t="s">
        <v>5931</v>
      </c>
      <c r="J34" s="218" t="s">
        <v>5932</v>
      </c>
      <c r="K34" s="218" t="s">
        <v>5940</v>
      </c>
      <c r="BB34"/>
      <c r="CY34" s="224">
        <v>0</v>
      </c>
    </row>
    <row r="35" spans="1:103" x14ac:dyDescent="0.2">
      <c r="A35" s="225" t="str">
        <f t="shared" si="0"/>
        <v>Insurance Div. Revenues</v>
      </c>
      <c r="B35" s="218" t="s">
        <v>194</v>
      </c>
      <c r="C35" s="218" t="s">
        <v>5927</v>
      </c>
      <c r="D35" s="218" t="s">
        <v>5928</v>
      </c>
      <c r="E35" s="218" t="s">
        <v>5929</v>
      </c>
      <c r="F35" s="218" t="s">
        <v>5938</v>
      </c>
      <c r="G35" s="218" t="s">
        <v>5939</v>
      </c>
      <c r="H35" s="218" t="s">
        <v>5933</v>
      </c>
      <c r="I35" s="218" t="s">
        <v>5934</v>
      </c>
      <c r="J35" s="218" t="s">
        <v>5935</v>
      </c>
      <c r="K35" s="218" t="s">
        <v>5941</v>
      </c>
      <c r="BB35"/>
      <c r="CY35" s="224">
        <v>0</v>
      </c>
    </row>
    <row r="36" spans="1:103" x14ac:dyDescent="0.2">
      <c r="A36" s="225" t="str">
        <f t="shared" si="0"/>
        <v>Gain/(Loss) on Sale Of Assets (Rev)</v>
      </c>
      <c r="B36" s="218" t="s">
        <v>405</v>
      </c>
      <c r="C36" s="251" t="s">
        <v>906</v>
      </c>
      <c r="D36" s="251" t="s">
        <v>907</v>
      </c>
      <c r="E36" s="251" t="s">
        <v>908</v>
      </c>
      <c r="F36" s="253" t="s">
        <v>918</v>
      </c>
      <c r="G36" s="253" t="s">
        <v>919</v>
      </c>
      <c r="H36" s="222" t="s">
        <v>912</v>
      </c>
      <c r="I36" s="251" t="s">
        <v>913</v>
      </c>
      <c r="J36" s="251" t="s">
        <v>914</v>
      </c>
      <c r="K36" s="253" t="s">
        <v>922</v>
      </c>
      <c r="BB36"/>
      <c r="CY36" s="224">
        <v>0</v>
      </c>
    </row>
    <row r="37" spans="1:103" x14ac:dyDescent="0.2">
      <c r="A37" s="225" t="str">
        <f t="shared" si="0"/>
        <v>Gain/(Loss) on Sale Of Invest.(Rev)</v>
      </c>
      <c r="B37" s="218" t="s">
        <v>406</v>
      </c>
      <c r="C37" s="251" t="s">
        <v>909</v>
      </c>
      <c r="D37" s="251" t="s">
        <v>910</v>
      </c>
      <c r="E37" s="251" t="s">
        <v>911</v>
      </c>
      <c r="F37" s="253" t="s">
        <v>920</v>
      </c>
      <c r="G37" s="253" t="s">
        <v>921</v>
      </c>
      <c r="H37" s="222" t="s">
        <v>915</v>
      </c>
      <c r="I37" s="251" t="s">
        <v>916</v>
      </c>
      <c r="J37" s="215" t="s">
        <v>917</v>
      </c>
      <c r="K37" s="253" t="s">
        <v>923</v>
      </c>
      <c r="BB37"/>
      <c r="CY37" s="224">
        <v>0</v>
      </c>
    </row>
    <row r="38" spans="1:103" x14ac:dyDescent="0.2">
      <c r="A38" s="225" t="str">
        <f t="shared" si="0"/>
        <v>Interest And Invest. Income (Rev)</v>
      </c>
      <c r="B38" s="218" t="s">
        <v>195</v>
      </c>
      <c r="C38" s="218" t="s">
        <v>5942</v>
      </c>
      <c r="D38" s="218" t="s">
        <v>5943</v>
      </c>
      <c r="E38" s="218" t="s">
        <v>5944</v>
      </c>
      <c r="F38" s="218" t="s">
        <v>5948</v>
      </c>
      <c r="G38" s="218" t="s">
        <v>5949</v>
      </c>
      <c r="H38" s="218" t="s">
        <v>5945</v>
      </c>
      <c r="I38" s="218" t="s">
        <v>5946</v>
      </c>
      <c r="J38" s="218" t="s">
        <v>5947</v>
      </c>
      <c r="K38" s="218" t="s">
        <v>5950</v>
      </c>
      <c r="BB38"/>
      <c r="CY38" s="224">
        <v>0</v>
      </c>
    </row>
    <row r="39" spans="1:103" x14ac:dyDescent="0.2">
      <c r="A39" s="225" t="str">
        <f t="shared" si="0"/>
        <v>Other Revenues</v>
      </c>
      <c r="B39" s="218" t="s">
        <v>159</v>
      </c>
      <c r="C39" s="218" t="s">
        <v>5798</v>
      </c>
      <c r="D39" s="218" t="s">
        <v>5798</v>
      </c>
      <c r="E39" s="218" t="s">
        <v>5799</v>
      </c>
      <c r="F39" s="218" t="s">
        <v>5800</v>
      </c>
      <c r="G39" s="218" t="s">
        <v>5801</v>
      </c>
      <c r="H39" s="218" t="s">
        <v>5802</v>
      </c>
      <c r="I39" s="218" t="s">
        <v>5803</v>
      </c>
      <c r="J39" s="218" t="s">
        <v>5804</v>
      </c>
      <c r="K39" s="218" t="s">
        <v>5805</v>
      </c>
      <c r="BB39"/>
      <c r="CY39" s="224">
        <v>0</v>
      </c>
    </row>
    <row r="40" spans="1:103" x14ac:dyDescent="0.2">
      <c r="A40" s="225" t="str">
        <f t="shared" si="0"/>
        <v>Total Revenues</v>
      </c>
      <c r="B40" s="218" t="s">
        <v>93</v>
      </c>
      <c r="C40" t="s">
        <v>5806</v>
      </c>
      <c r="D40" t="s">
        <v>5807</v>
      </c>
      <c r="E40" t="s">
        <v>5808</v>
      </c>
      <c r="F40" t="s">
        <v>5809</v>
      </c>
      <c r="G40" t="s">
        <v>5810</v>
      </c>
      <c r="H40" t="s">
        <v>5811</v>
      </c>
      <c r="I40" t="s">
        <v>5812</v>
      </c>
      <c r="J40" t="s">
        <v>5813</v>
      </c>
      <c r="K40" t="s">
        <v>5814</v>
      </c>
      <c r="BB40"/>
      <c r="CY40" s="224">
        <v>0</v>
      </c>
    </row>
    <row r="41" spans="1:103" x14ac:dyDescent="0.2">
      <c r="A41" s="225" t="str">
        <f t="shared" si="0"/>
        <v>Cost Of Goods Sold</v>
      </c>
      <c r="B41" s="218" t="s">
        <v>160</v>
      </c>
      <c r="C41" s="218" t="s">
        <v>5815</v>
      </c>
      <c r="D41" s="218" t="s">
        <v>5816</v>
      </c>
      <c r="E41" s="218" t="s">
        <v>5817</v>
      </c>
      <c r="F41" s="218" t="s">
        <v>5818</v>
      </c>
      <c r="G41" s="218" t="s">
        <v>5819</v>
      </c>
      <c r="H41" s="218" t="s">
        <v>5820</v>
      </c>
      <c r="I41" s="218" t="s">
        <v>5821</v>
      </c>
      <c r="J41" s="218" t="s">
        <v>5822</v>
      </c>
      <c r="K41" s="218" t="s">
        <v>5823</v>
      </c>
      <c r="BB41"/>
      <c r="CY41" s="224">
        <v>0</v>
      </c>
    </row>
    <row r="42" spans="1:103" x14ac:dyDescent="0.2">
      <c r="A42" s="225" t="str">
        <f t="shared" si="0"/>
        <v>Finance Div. Operating Exp.</v>
      </c>
      <c r="B42" s="218" t="s">
        <v>196</v>
      </c>
      <c r="C42" s="218" t="s">
        <v>5951</v>
      </c>
      <c r="D42" s="218" t="s">
        <v>5952</v>
      </c>
      <c r="E42" s="218" t="s">
        <v>5953</v>
      </c>
      <c r="F42" s="218" t="s">
        <v>5969</v>
      </c>
      <c r="G42" s="218" t="s">
        <v>5970</v>
      </c>
      <c r="H42" s="218" t="s">
        <v>5960</v>
      </c>
      <c r="I42" s="218" t="s">
        <v>5961</v>
      </c>
      <c r="J42" s="218" t="s">
        <v>5962</v>
      </c>
      <c r="K42" s="218" t="s">
        <v>5975</v>
      </c>
      <c r="BB42"/>
      <c r="CY42" s="224">
        <v>0</v>
      </c>
    </row>
    <row r="43" spans="1:103" x14ac:dyDescent="0.2">
      <c r="A43" s="225" t="str">
        <f t="shared" si="0"/>
        <v>Insurance Div. Operating Exp.</v>
      </c>
      <c r="B43" s="218" t="s">
        <v>197</v>
      </c>
      <c r="C43" s="218" t="s">
        <v>5954</v>
      </c>
      <c r="D43" s="218" t="s">
        <v>5955</v>
      </c>
      <c r="E43" s="218" t="s">
        <v>5956</v>
      </c>
      <c r="F43" s="218" t="s">
        <v>5971</v>
      </c>
      <c r="G43" s="218" t="s">
        <v>5972</v>
      </c>
      <c r="H43" s="218" t="s">
        <v>5963</v>
      </c>
      <c r="I43" s="218" t="s">
        <v>5964</v>
      </c>
      <c r="J43" s="218" t="s">
        <v>5965</v>
      </c>
      <c r="K43" s="218" t="s">
        <v>5976</v>
      </c>
      <c r="BB43"/>
      <c r="CY43" s="224">
        <v>0</v>
      </c>
    </row>
    <row r="44" spans="1:103" x14ac:dyDescent="0.2">
      <c r="A44" s="225" t="str">
        <f t="shared" si="0"/>
        <v>Interest Expense - Finance Division</v>
      </c>
      <c r="B44" s="218" t="s">
        <v>198</v>
      </c>
      <c r="C44" s="218" t="s">
        <v>5957</v>
      </c>
      <c r="D44" s="218" t="s">
        <v>5958</v>
      </c>
      <c r="E44" s="218" t="s">
        <v>5959</v>
      </c>
      <c r="F44" s="218" t="s">
        <v>5973</v>
      </c>
      <c r="G44" s="218" t="s">
        <v>5974</v>
      </c>
      <c r="H44" s="218" t="s">
        <v>5966</v>
      </c>
      <c r="I44" s="218" t="s">
        <v>5967</v>
      </c>
      <c r="J44" s="218" t="s">
        <v>5968</v>
      </c>
      <c r="K44" s="218" t="s">
        <v>5977</v>
      </c>
      <c r="BB44"/>
      <c r="CY44" s="224">
        <v>0</v>
      </c>
    </row>
    <row r="45" spans="1:103" x14ac:dyDescent="0.2">
      <c r="A45" s="225" t="str">
        <f t="shared" si="0"/>
        <v>Gross Profit</v>
      </c>
      <c r="B45" s="218" t="s">
        <v>88</v>
      </c>
      <c r="C45" t="s">
        <v>5824</v>
      </c>
      <c r="D45" t="s">
        <v>5824</v>
      </c>
      <c r="E45" t="s">
        <v>5825</v>
      </c>
      <c r="F45" t="s">
        <v>5826</v>
      </c>
      <c r="G45" t="s">
        <v>5827</v>
      </c>
      <c r="H45" t="s">
        <v>5828</v>
      </c>
      <c r="I45" t="s">
        <v>5829</v>
      </c>
      <c r="J45" t="s">
        <v>5830</v>
      </c>
      <c r="K45" t="s">
        <v>5831</v>
      </c>
      <c r="BB45"/>
      <c r="CY45" s="224">
        <v>0</v>
      </c>
    </row>
    <row r="46" spans="1:103" x14ac:dyDescent="0.2">
      <c r="A46" s="225" t="str">
        <f t="shared" si="0"/>
        <v>Selling General &amp; Admin Exp.</v>
      </c>
      <c r="B46" s="218" t="s">
        <v>161</v>
      </c>
      <c r="C46" t="s">
        <v>5832</v>
      </c>
      <c r="D46" t="s">
        <v>5833</v>
      </c>
      <c r="E46" t="s">
        <v>5834</v>
      </c>
      <c r="F46" t="s">
        <v>5835</v>
      </c>
      <c r="G46" t="s">
        <v>5836</v>
      </c>
      <c r="H46" t="s">
        <v>5837</v>
      </c>
      <c r="I46" t="s">
        <v>5838</v>
      </c>
      <c r="J46" t="s">
        <v>5839</v>
      </c>
      <c r="K46" t="s">
        <v>5840</v>
      </c>
      <c r="BB46"/>
      <c r="CY46" s="224">
        <v>0</v>
      </c>
    </row>
    <row r="47" spans="1:103" x14ac:dyDescent="0.2">
      <c r="A47" s="225" t="str">
        <f t="shared" si="0"/>
        <v>Exploration/Drilling Costs</v>
      </c>
      <c r="B47" s="218" t="s">
        <v>245</v>
      </c>
      <c r="C47" s="218" t="s">
        <v>1582</v>
      </c>
      <c r="D47" s="218" t="s">
        <v>1583</v>
      </c>
      <c r="E47" s="218" t="s">
        <v>5978</v>
      </c>
      <c r="F47" s="218" t="s">
        <v>5987</v>
      </c>
      <c r="G47" s="218" t="s">
        <v>5988</v>
      </c>
      <c r="H47" s="218" t="s">
        <v>1624</v>
      </c>
      <c r="I47" s="218" t="s">
        <v>5982</v>
      </c>
      <c r="J47" s="218" t="s">
        <v>5983</v>
      </c>
      <c r="K47" s="218" t="s">
        <v>1676</v>
      </c>
      <c r="BB47"/>
      <c r="CY47" s="224">
        <v>0</v>
      </c>
    </row>
    <row r="48" spans="1:103" x14ac:dyDescent="0.2">
      <c r="A48" s="225" t="str">
        <f t="shared" si="0"/>
        <v>Provision for Bad Debts</v>
      </c>
      <c r="B48" s="218" t="s">
        <v>246</v>
      </c>
      <c r="C48" s="218" t="s">
        <v>5979</v>
      </c>
      <c r="D48" s="218" t="s">
        <v>5980</v>
      </c>
      <c r="E48" s="218" t="s">
        <v>5981</v>
      </c>
      <c r="F48" s="218" t="s">
        <v>5989</v>
      </c>
      <c r="G48" s="218" t="s">
        <v>5990</v>
      </c>
      <c r="H48" s="218" t="s">
        <v>5984</v>
      </c>
      <c r="I48" s="218" t="s">
        <v>5985</v>
      </c>
      <c r="J48" s="218" t="s">
        <v>5986</v>
      </c>
      <c r="K48" s="218" t="s">
        <v>5991</v>
      </c>
      <c r="BB48"/>
      <c r="CY48" s="224">
        <v>0</v>
      </c>
    </row>
    <row r="49" spans="1:103" x14ac:dyDescent="0.2">
      <c r="A49" s="225" t="str">
        <f t="shared" si="0"/>
        <v>Stock-Based Compensation</v>
      </c>
      <c r="B49" s="218" t="s">
        <v>239</v>
      </c>
      <c r="C49" s="218" t="s">
        <v>7226</v>
      </c>
      <c r="D49" s="218" t="s">
        <v>7227</v>
      </c>
      <c r="E49" s="218" t="s">
        <v>7228</v>
      </c>
      <c r="F49" s="218" t="s">
        <v>7232</v>
      </c>
      <c r="G49" s="218" t="s">
        <v>7233</v>
      </c>
      <c r="H49" s="218" t="s">
        <v>7229</v>
      </c>
      <c r="I49" s="218" t="s">
        <v>7230</v>
      </c>
      <c r="J49" s="218" t="s">
        <v>7231</v>
      </c>
      <c r="K49" s="218" t="s">
        <v>7234</v>
      </c>
      <c r="BB49"/>
      <c r="CY49" s="224">
        <v>0</v>
      </c>
    </row>
    <row r="50" spans="1:103" x14ac:dyDescent="0.2">
      <c r="A50" s="225" t="str">
        <f t="shared" si="0"/>
        <v>Pre-Opening Costs</v>
      </c>
      <c r="B50" s="218" t="s">
        <v>247</v>
      </c>
      <c r="C50" s="218" t="s">
        <v>5992</v>
      </c>
      <c r="D50" s="218" t="s">
        <v>5993</v>
      </c>
      <c r="E50" s="218" t="s">
        <v>5994</v>
      </c>
      <c r="F50" s="218" t="s">
        <v>5998</v>
      </c>
      <c r="G50" s="218" t="s">
        <v>5999</v>
      </c>
      <c r="H50" s="218" t="s">
        <v>5995</v>
      </c>
      <c r="I50" s="218" t="s">
        <v>5996</v>
      </c>
      <c r="J50" s="218" t="s">
        <v>5997</v>
      </c>
      <c r="K50" s="218" t="s">
        <v>6000</v>
      </c>
      <c r="BB50"/>
      <c r="CY50" s="224">
        <v>0</v>
      </c>
    </row>
    <row r="51" spans="1:103" x14ac:dyDescent="0.2">
      <c r="A51" s="225" t="str">
        <f t="shared" si="0"/>
        <v>R &amp; D Exp.</v>
      </c>
      <c r="B51" s="218" t="s">
        <v>94</v>
      </c>
      <c r="C51" t="s">
        <v>7048</v>
      </c>
      <c r="D51" t="s">
        <v>7049</v>
      </c>
      <c r="E51" t="s">
        <v>7050</v>
      </c>
      <c r="F51" t="s">
        <v>7051</v>
      </c>
      <c r="G51" t="s">
        <v>7052</v>
      </c>
      <c r="H51" t="s">
        <v>7053</v>
      </c>
      <c r="I51" t="s">
        <v>7054</v>
      </c>
      <c r="J51" t="s">
        <v>7055</v>
      </c>
      <c r="K51" t="s">
        <v>7056</v>
      </c>
      <c r="BB51"/>
      <c r="CY51" s="224">
        <v>0</v>
      </c>
    </row>
    <row r="52" spans="1:103" x14ac:dyDescent="0.2">
      <c r="A52" s="225" t="str">
        <f t="shared" si="0"/>
        <v>Depreciation &amp; Amort.</v>
      </c>
      <c r="B52" s="218" t="s">
        <v>162</v>
      </c>
      <c r="C52" s="218" t="s">
        <v>5841</v>
      </c>
      <c r="D52" s="218" t="s">
        <v>5842</v>
      </c>
      <c r="E52" s="218" t="s">
        <v>5843</v>
      </c>
      <c r="F52" s="218" t="s">
        <v>5844</v>
      </c>
      <c r="G52" s="218" t="s">
        <v>5845</v>
      </c>
      <c r="H52" s="218" t="s">
        <v>5846</v>
      </c>
      <c r="I52" s="218" t="s">
        <v>5847</v>
      </c>
      <c r="J52" s="218" t="s">
        <v>5848</v>
      </c>
      <c r="K52" s="218" t="s">
        <v>5849</v>
      </c>
      <c r="BB52"/>
      <c r="CY52" s="224">
        <v>0</v>
      </c>
    </row>
    <row r="53" spans="1:103" x14ac:dyDescent="0.2">
      <c r="A53" s="225" t="str">
        <f t="shared" si="0"/>
        <v>Amort. of Goodwill and Intangibles</v>
      </c>
      <c r="B53" s="218" t="s">
        <v>177</v>
      </c>
      <c r="C53" s="218" t="s">
        <v>6001</v>
      </c>
      <c r="D53" s="218" t="s">
        <v>6002</v>
      </c>
      <c r="E53" s="218" t="s">
        <v>6003</v>
      </c>
      <c r="F53" s="218" t="s">
        <v>6013</v>
      </c>
      <c r="G53" s="218" t="s">
        <v>6014</v>
      </c>
      <c r="H53" s="218" t="s">
        <v>6007</v>
      </c>
      <c r="I53" s="218" t="s">
        <v>6008</v>
      </c>
      <c r="J53" s="218" t="s">
        <v>6009</v>
      </c>
      <c r="K53" s="218" t="s">
        <v>6017</v>
      </c>
      <c r="BB53"/>
      <c r="CY53" s="224">
        <v>0</v>
      </c>
    </row>
    <row r="54" spans="1:103" x14ac:dyDescent="0.2">
      <c r="A54" s="225" t="str">
        <f t="shared" si="0"/>
        <v>Impair. of Oil, Gas &amp; Mineral Prop.</v>
      </c>
      <c r="B54" s="218" t="s">
        <v>233</v>
      </c>
      <c r="C54" s="218" t="s">
        <v>6004</v>
      </c>
      <c r="D54" s="218" t="s">
        <v>6005</v>
      </c>
      <c r="E54" s="218" t="s">
        <v>6006</v>
      </c>
      <c r="F54" s="218" t="s">
        <v>6015</v>
      </c>
      <c r="G54" s="218" t="s">
        <v>6016</v>
      </c>
      <c r="H54" s="218" t="s">
        <v>6010</v>
      </c>
      <c r="I54" s="218" t="s">
        <v>6011</v>
      </c>
      <c r="J54" s="218" t="s">
        <v>6012</v>
      </c>
      <c r="K54" s="218" t="s">
        <v>6018</v>
      </c>
      <c r="BB54"/>
      <c r="CY54" s="224">
        <v>0</v>
      </c>
    </row>
    <row r="55" spans="1:103" x14ac:dyDescent="0.2">
      <c r="A55" s="225" t="str">
        <f t="shared" si="0"/>
        <v>Other Operating Expense/(Income)</v>
      </c>
      <c r="B55" s="218" t="s">
        <v>96</v>
      </c>
      <c r="C55" s="218" t="s">
        <v>7057</v>
      </c>
      <c r="D55" s="218" t="s">
        <v>7058</v>
      </c>
      <c r="E55" s="218" t="s">
        <v>7059</v>
      </c>
      <c r="F55" s="218" t="s">
        <v>7060</v>
      </c>
      <c r="G55" s="218" t="s">
        <v>7061</v>
      </c>
      <c r="H55" s="218" t="s">
        <v>7062</v>
      </c>
      <c r="I55" s="218" t="s">
        <v>7063</v>
      </c>
      <c r="J55" s="218" t="s">
        <v>7064</v>
      </c>
      <c r="K55" s="218" t="s">
        <v>7065</v>
      </c>
      <c r="BB55"/>
      <c r="CY55" s="224">
        <v>0</v>
      </c>
    </row>
    <row r="56" spans="1:103" x14ac:dyDescent="0.2">
      <c r="A56" s="225" t="str">
        <f t="shared" si="0"/>
        <v>Other Operating Exp., Total</v>
      </c>
      <c r="B56" s="218" t="s">
        <v>97</v>
      </c>
      <c r="C56" s="218" t="s">
        <v>7066</v>
      </c>
      <c r="D56" s="218" t="s">
        <v>7067</v>
      </c>
      <c r="E56" s="218" t="s">
        <v>7068</v>
      </c>
      <c r="F56" s="218" t="s">
        <v>7069</v>
      </c>
      <c r="G56" s="218" t="s">
        <v>7070</v>
      </c>
      <c r="H56" s="218" t="s">
        <v>5837</v>
      </c>
      <c r="I56" s="218" t="s">
        <v>7071</v>
      </c>
      <c r="J56" s="218" t="s">
        <v>7072</v>
      </c>
      <c r="K56" s="218" t="s">
        <v>7073</v>
      </c>
      <c r="BB56"/>
      <c r="CY56" s="224">
        <v>0</v>
      </c>
    </row>
    <row r="57" spans="1:103" x14ac:dyDescent="0.2">
      <c r="A57" s="225" t="str">
        <f t="shared" si="0"/>
        <v>Operating Income</v>
      </c>
      <c r="B57" s="218" t="s">
        <v>98</v>
      </c>
      <c r="C57" t="s">
        <v>7074</v>
      </c>
      <c r="D57" s="218" t="s">
        <v>7075</v>
      </c>
      <c r="E57" t="s">
        <v>7076</v>
      </c>
      <c r="F57" t="s">
        <v>7077</v>
      </c>
      <c r="G57" t="s">
        <v>7078</v>
      </c>
      <c r="H57" t="s">
        <v>7079</v>
      </c>
      <c r="I57" t="s">
        <v>7080</v>
      </c>
      <c r="J57" t="s">
        <v>7081</v>
      </c>
      <c r="K57" t="s">
        <v>7082</v>
      </c>
      <c r="BB57"/>
      <c r="CY57" s="224">
        <v>0</v>
      </c>
    </row>
    <row r="58" spans="1:103" x14ac:dyDescent="0.2">
      <c r="A58" s="225" t="str">
        <f t="shared" si="0"/>
        <v>Interest Expense</v>
      </c>
      <c r="B58" s="218" t="s">
        <v>87</v>
      </c>
      <c r="C58" s="218" t="s">
        <v>7083</v>
      </c>
      <c r="D58" s="218" t="s">
        <v>7084</v>
      </c>
      <c r="E58" s="218" t="s">
        <v>7085</v>
      </c>
      <c r="F58" s="218" t="s">
        <v>7086</v>
      </c>
      <c r="G58" s="218" t="s">
        <v>7087</v>
      </c>
      <c r="H58" s="218" t="s">
        <v>4763</v>
      </c>
      <c r="I58" s="218" t="s">
        <v>7088</v>
      </c>
      <c r="J58" s="218" t="s">
        <v>7089</v>
      </c>
      <c r="K58" s="218" t="s">
        <v>7090</v>
      </c>
      <c r="BB58"/>
      <c r="CY58" s="224">
        <v>0</v>
      </c>
    </row>
    <row r="59" spans="1:103" x14ac:dyDescent="0.2">
      <c r="A59" s="225" t="str">
        <f t="shared" si="0"/>
        <v>Interest and Invest. Income</v>
      </c>
      <c r="B59" s="218" t="s">
        <v>99</v>
      </c>
      <c r="C59" s="218" t="s">
        <v>7091</v>
      </c>
      <c r="D59" s="218" t="s">
        <v>7092</v>
      </c>
      <c r="E59" s="218" t="s">
        <v>7093</v>
      </c>
      <c r="F59" s="218" t="s">
        <v>7094</v>
      </c>
      <c r="G59" s="218" t="s">
        <v>7095</v>
      </c>
      <c r="H59" s="218" t="s">
        <v>7096</v>
      </c>
      <c r="I59" s="218" t="s">
        <v>7097</v>
      </c>
      <c r="J59" s="218" t="s">
        <v>7098</v>
      </c>
      <c r="K59" s="218" t="s">
        <v>7099</v>
      </c>
      <c r="BB59"/>
      <c r="CY59" s="224">
        <v>0</v>
      </c>
    </row>
    <row r="60" spans="1:103" x14ac:dyDescent="0.2">
      <c r="A60" s="225" t="str">
        <f t="shared" si="0"/>
        <v>Net Interest Exp.</v>
      </c>
      <c r="B60" s="218" t="s">
        <v>100</v>
      </c>
      <c r="C60" t="s">
        <v>7100</v>
      </c>
      <c r="D60" s="218" t="s">
        <v>7101</v>
      </c>
      <c r="E60" t="s">
        <v>7102</v>
      </c>
      <c r="F60" t="s">
        <v>7103</v>
      </c>
      <c r="G60" t="s">
        <v>7104</v>
      </c>
      <c r="H60" t="s">
        <v>7105</v>
      </c>
      <c r="I60" t="s">
        <v>7106</v>
      </c>
      <c r="J60" t="s">
        <v>7107</v>
      </c>
      <c r="K60" t="s">
        <v>7108</v>
      </c>
      <c r="BB60"/>
      <c r="CY60" s="224">
        <v>0</v>
      </c>
    </row>
    <row r="61" spans="1:103" x14ac:dyDescent="0.2">
      <c r="A61" s="225" t="str">
        <f t="shared" si="0"/>
        <v>Income / (Loss) from Affiliates</v>
      </c>
      <c r="B61" s="218" t="s">
        <v>199</v>
      </c>
      <c r="C61" s="218" t="s">
        <v>7109</v>
      </c>
      <c r="D61" s="218" t="s">
        <v>7110</v>
      </c>
      <c r="E61" s="218" t="s">
        <v>7111</v>
      </c>
      <c r="F61" s="218" t="s">
        <v>7112</v>
      </c>
      <c r="G61" s="218" t="s">
        <v>7113</v>
      </c>
      <c r="H61" s="218" t="s">
        <v>7114</v>
      </c>
      <c r="I61" s="218" t="s">
        <v>7115</v>
      </c>
      <c r="J61" s="218" t="s">
        <v>7116</v>
      </c>
      <c r="K61" s="218" t="s">
        <v>7117</v>
      </c>
      <c r="BB61"/>
      <c r="CY61" s="224">
        <v>0</v>
      </c>
    </row>
    <row r="62" spans="1:103" x14ac:dyDescent="0.2">
      <c r="A62" s="225" t="str">
        <f t="shared" si="0"/>
        <v>Currency Exchange Gains (Loss)</v>
      </c>
      <c r="B62" s="218" t="s">
        <v>200</v>
      </c>
      <c r="C62" s="218" t="s">
        <v>6019</v>
      </c>
      <c r="D62" s="218" t="s">
        <v>6020</v>
      </c>
      <c r="E62" s="218" t="s">
        <v>6021</v>
      </c>
      <c r="F62" s="218" t="s">
        <v>6025</v>
      </c>
      <c r="G62" s="218" t="s">
        <v>6026</v>
      </c>
      <c r="H62" s="218" t="s">
        <v>6022</v>
      </c>
      <c r="I62" s="218" t="s">
        <v>6023</v>
      </c>
      <c r="J62" s="218" t="s">
        <v>6024</v>
      </c>
      <c r="K62" s="218" t="s">
        <v>6027</v>
      </c>
      <c r="BB62"/>
      <c r="CY62" s="224">
        <v>0</v>
      </c>
    </row>
    <row r="63" spans="1:103" x14ac:dyDescent="0.2">
      <c r="A63" s="225" t="str">
        <f t="shared" si="0"/>
        <v>Other Non-Operating Inc. (Exp.)</v>
      </c>
      <c r="B63" s="218" t="s">
        <v>163</v>
      </c>
      <c r="C63" s="218" t="s">
        <v>7118</v>
      </c>
      <c r="D63" s="218" t="s">
        <v>7119</v>
      </c>
      <c r="E63" s="218" t="s">
        <v>7120</v>
      </c>
      <c r="F63" s="218" t="s">
        <v>7121</v>
      </c>
      <c r="G63" s="218" t="s">
        <v>7122</v>
      </c>
      <c r="H63" s="218" t="s">
        <v>7123</v>
      </c>
      <c r="I63" s="218" t="s">
        <v>7124</v>
      </c>
      <c r="J63" s="218" t="s">
        <v>7125</v>
      </c>
      <c r="K63" s="218" t="s">
        <v>7126</v>
      </c>
      <c r="BB63"/>
      <c r="CY63" s="224">
        <v>0</v>
      </c>
    </row>
    <row r="64" spans="1:103" x14ac:dyDescent="0.2">
      <c r="A64" s="225" t="str">
        <f t="shared" si="0"/>
        <v>EBT Excl Unusual Items</v>
      </c>
      <c r="B64" s="218" t="s">
        <v>101</v>
      </c>
      <c r="C64" t="s">
        <v>7127</v>
      </c>
      <c r="D64" s="218" t="s">
        <v>7128</v>
      </c>
      <c r="E64" t="s">
        <v>7129</v>
      </c>
      <c r="F64" t="s">
        <v>7130</v>
      </c>
      <c r="G64" t="s">
        <v>7131</v>
      </c>
      <c r="H64" t="s">
        <v>7132</v>
      </c>
      <c r="I64" t="s">
        <v>7133</v>
      </c>
      <c r="J64" t="s">
        <v>7134</v>
      </c>
      <c r="K64" t="s">
        <v>7135</v>
      </c>
      <c r="BB64"/>
      <c r="CY64" s="224">
        <v>0</v>
      </c>
    </row>
    <row r="65" spans="1:103" x14ac:dyDescent="0.2">
      <c r="A65" s="225" t="str">
        <f t="shared" si="0"/>
        <v>Restructuring Charges</v>
      </c>
      <c r="B65" s="218" t="s">
        <v>201</v>
      </c>
      <c r="C65" s="218" t="s">
        <v>6028</v>
      </c>
      <c r="D65" s="218" t="s">
        <v>6029</v>
      </c>
      <c r="E65" s="218" t="s">
        <v>6030</v>
      </c>
      <c r="F65" s="218" t="s">
        <v>6040</v>
      </c>
      <c r="G65" s="218" t="s">
        <v>6041</v>
      </c>
      <c r="H65" s="218" t="s">
        <v>6034</v>
      </c>
      <c r="I65" s="218" t="s">
        <v>6035</v>
      </c>
      <c r="J65" s="218" t="s">
        <v>6036</v>
      </c>
      <c r="K65" s="218" t="s">
        <v>6044</v>
      </c>
      <c r="BB65"/>
      <c r="CY65" s="224">
        <v>0</v>
      </c>
    </row>
    <row r="66" spans="1:103" x14ac:dyDescent="0.2">
      <c r="A66" s="225" t="str">
        <f t="shared" si="0"/>
        <v>Merger &amp; Related Restruct. Charges</v>
      </c>
      <c r="B66" s="218" t="s">
        <v>164</v>
      </c>
      <c r="C66" s="218" t="s">
        <v>6031</v>
      </c>
      <c r="D66" s="218" t="s">
        <v>6032</v>
      </c>
      <c r="E66" s="218" t="s">
        <v>6033</v>
      </c>
      <c r="F66" s="218" t="s">
        <v>6042</v>
      </c>
      <c r="G66" s="218" t="s">
        <v>6043</v>
      </c>
      <c r="H66" s="218" t="s">
        <v>6037</v>
      </c>
      <c r="I66" s="218" t="s">
        <v>6038</v>
      </c>
      <c r="J66" s="218" t="s">
        <v>6039</v>
      </c>
      <c r="K66" s="218" t="s">
        <v>6045</v>
      </c>
      <c r="BB66"/>
      <c r="CY66" s="224">
        <v>0</v>
      </c>
    </row>
    <row r="67" spans="1:103" x14ac:dyDescent="0.2">
      <c r="A67" s="225" t="str">
        <f t="shared" si="0"/>
        <v>Impairment of Goodwill</v>
      </c>
      <c r="B67" s="218" t="s">
        <v>102</v>
      </c>
      <c r="C67" s="218" t="s">
        <v>6046</v>
      </c>
      <c r="D67" s="218" t="s">
        <v>6047</v>
      </c>
      <c r="E67" s="218" t="s">
        <v>6048</v>
      </c>
      <c r="F67" s="251" t="s">
        <v>6063</v>
      </c>
      <c r="G67" s="251" t="s">
        <v>6064</v>
      </c>
      <c r="H67" s="215" t="s">
        <v>1780</v>
      </c>
      <c r="I67" s="251" t="s">
        <v>6055</v>
      </c>
      <c r="J67" s="251" t="s">
        <v>6056</v>
      </c>
      <c r="K67" s="218" t="s">
        <v>6069</v>
      </c>
      <c r="BB67"/>
      <c r="CY67" s="224">
        <v>0</v>
      </c>
    </row>
    <row r="68" spans="1:103" x14ac:dyDescent="0.2">
      <c r="A68" s="225" t="str">
        <f t="shared" si="0"/>
        <v>Gain (Loss) On Sale Of Invest.</v>
      </c>
      <c r="B68" s="218" t="s">
        <v>103</v>
      </c>
      <c r="C68" s="257" t="s">
        <v>6049</v>
      </c>
      <c r="D68" s="218" t="s">
        <v>6050</v>
      </c>
      <c r="E68" s="218" t="s">
        <v>6051</v>
      </c>
      <c r="F68" s="251" t="s">
        <v>6065</v>
      </c>
      <c r="G68" s="251" t="s">
        <v>6066</v>
      </c>
      <c r="H68" s="215" t="s">
        <v>6057</v>
      </c>
      <c r="I68" s="251" t="s">
        <v>6058</v>
      </c>
      <c r="J68" s="251" t="s">
        <v>6059</v>
      </c>
      <c r="K68" s="218" t="s">
        <v>6070</v>
      </c>
      <c r="BB68"/>
      <c r="CY68" s="224">
        <v>0</v>
      </c>
    </row>
    <row r="69" spans="1:103" x14ac:dyDescent="0.2">
      <c r="A69" s="225" t="str">
        <f t="shared" si="0"/>
        <v>Gain (Loss) On Sale Of Assets</v>
      </c>
      <c r="B69" s="218" t="s">
        <v>104</v>
      </c>
      <c r="C69" s="218" t="s">
        <v>6052</v>
      </c>
      <c r="D69" s="218" t="s">
        <v>6053</v>
      </c>
      <c r="E69" s="218" t="s">
        <v>6054</v>
      </c>
      <c r="F69" s="251" t="s">
        <v>6067</v>
      </c>
      <c r="G69" s="251" t="s">
        <v>6068</v>
      </c>
      <c r="H69" s="215" t="s">
        <v>6060</v>
      </c>
      <c r="I69" s="251" t="s">
        <v>6061</v>
      </c>
      <c r="J69" s="251" t="s">
        <v>6062</v>
      </c>
      <c r="K69" s="218" t="s">
        <v>6071</v>
      </c>
      <c r="BB69"/>
      <c r="CY69" s="224">
        <v>0</v>
      </c>
    </row>
    <row r="70" spans="1:103" x14ac:dyDescent="0.2">
      <c r="A70" s="225" t="str">
        <f t="shared" si="0"/>
        <v>Asset Writedown</v>
      </c>
      <c r="B70" s="218" t="s">
        <v>202</v>
      </c>
      <c r="C70" s="251" t="s">
        <v>924</v>
      </c>
      <c r="D70" s="251" t="s">
        <v>925</v>
      </c>
      <c r="E70" s="251" t="s">
        <v>926</v>
      </c>
      <c r="F70" s="251" t="s">
        <v>930</v>
      </c>
      <c r="G70" s="251" t="s">
        <v>931</v>
      </c>
      <c r="H70" s="222" t="s">
        <v>927</v>
      </c>
      <c r="I70" s="251" t="s">
        <v>928</v>
      </c>
      <c r="J70" s="251" t="s">
        <v>929</v>
      </c>
      <c r="K70" s="251" t="s">
        <v>932</v>
      </c>
      <c r="BB70"/>
      <c r="CY70" s="224">
        <v>0</v>
      </c>
    </row>
    <row r="71" spans="1:103" x14ac:dyDescent="0.2">
      <c r="A71" s="225" t="str">
        <f t="shared" si="0"/>
        <v>In Process R &amp; D Exp.</v>
      </c>
      <c r="B71" s="218" t="s">
        <v>407</v>
      </c>
      <c r="C71" s="218" t="s">
        <v>6072</v>
      </c>
      <c r="D71" s="218" t="s">
        <v>6073</v>
      </c>
      <c r="E71" s="218" t="s">
        <v>6074</v>
      </c>
      <c r="F71" s="218" t="s">
        <v>6089</v>
      </c>
      <c r="G71" s="218" t="s">
        <v>6090</v>
      </c>
      <c r="H71" s="218" t="s">
        <v>6080</v>
      </c>
      <c r="I71" s="218" t="s">
        <v>6081</v>
      </c>
      <c r="J71" s="218" t="s">
        <v>6082</v>
      </c>
      <c r="K71" s="218" t="s">
        <v>6095</v>
      </c>
      <c r="BB71"/>
      <c r="CY71" s="224">
        <v>0</v>
      </c>
    </row>
    <row r="72" spans="1:103" x14ac:dyDescent="0.2">
      <c r="A72" s="225" t="str">
        <f t="shared" si="0"/>
        <v>Insurance Settlements</v>
      </c>
      <c r="B72" s="218" t="s">
        <v>203</v>
      </c>
      <c r="C72" s="218" t="s">
        <v>6075</v>
      </c>
      <c r="D72" s="218" t="s">
        <v>6076</v>
      </c>
      <c r="E72" s="218" t="s">
        <v>6077</v>
      </c>
      <c r="F72" s="218" t="s">
        <v>6091</v>
      </c>
      <c r="G72" s="218" t="s">
        <v>6092</v>
      </c>
      <c r="H72" s="218" t="s">
        <v>6083</v>
      </c>
      <c r="I72" s="218" t="s">
        <v>6084</v>
      </c>
      <c r="J72" s="218" t="s">
        <v>6085</v>
      </c>
      <c r="K72" s="218" t="s">
        <v>6096</v>
      </c>
      <c r="BB72"/>
      <c r="CY72" s="224">
        <v>0</v>
      </c>
    </row>
    <row r="73" spans="1:103" x14ac:dyDescent="0.2">
      <c r="A73" s="225" t="str">
        <f t="shared" ref="A73:A136" si="1">INDEX($B73:$CV73,$A$4)</f>
        <v>Legal Settlements</v>
      </c>
      <c r="B73" s="218" t="s">
        <v>204</v>
      </c>
      <c r="C73" s="218" t="s">
        <v>6078</v>
      </c>
      <c r="D73" s="218" t="s">
        <v>6078</v>
      </c>
      <c r="E73" s="218" t="s">
        <v>6079</v>
      </c>
      <c r="F73" s="218" t="s">
        <v>6093</v>
      </c>
      <c r="G73" s="218" t="s">
        <v>6094</v>
      </c>
      <c r="H73" s="218" t="s">
        <v>6086</v>
      </c>
      <c r="I73" s="218" t="s">
        <v>6087</v>
      </c>
      <c r="J73" s="218" t="s">
        <v>6088</v>
      </c>
      <c r="K73" s="218" t="s">
        <v>6097</v>
      </c>
      <c r="BB73"/>
      <c r="CY73" s="224">
        <v>0</v>
      </c>
    </row>
    <row r="74" spans="1:103" x14ac:dyDescent="0.2">
      <c r="A74" s="225" t="str">
        <f t="shared" si="1"/>
        <v>Other Unusual Items</v>
      </c>
      <c r="B74" s="218" t="s">
        <v>165</v>
      </c>
      <c r="C74" s="218" t="s">
        <v>6421</v>
      </c>
      <c r="D74" s="218" t="s">
        <v>6422</v>
      </c>
      <c r="E74" s="218" t="s">
        <v>6423</v>
      </c>
      <c r="F74" s="218" t="s">
        <v>6424</v>
      </c>
      <c r="G74" s="218" t="s">
        <v>6425</v>
      </c>
      <c r="H74" s="218" t="s">
        <v>6426</v>
      </c>
      <c r="I74" s="218" t="s">
        <v>6427</v>
      </c>
      <c r="J74" s="218" t="s">
        <v>6428</v>
      </c>
      <c r="K74" s="218" t="s">
        <v>6429</v>
      </c>
      <c r="BB74"/>
      <c r="CY74" s="224">
        <v>0</v>
      </c>
    </row>
    <row r="75" spans="1:103" x14ac:dyDescent="0.2">
      <c r="A75" s="225" t="str">
        <f t="shared" si="1"/>
        <v>EBT Incl Unusual Items</v>
      </c>
      <c r="B75" s="218" t="s">
        <v>105</v>
      </c>
      <c r="C75" t="s">
        <v>6412</v>
      </c>
      <c r="D75" t="s">
        <v>6413</v>
      </c>
      <c r="E75" t="s">
        <v>6414</v>
      </c>
      <c r="F75" t="s">
        <v>6415</v>
      </c>
      <c r="G75" t="s">
        <v>6416</v>
      </c>
      <c r="H75" t="s">
        <v>6417</v>
      </c>
      <c r="I75" t="s">
        <v>6418</v>
      </c>
      <c r="J75" t="s">
        <v>6419</v>
      </c>
      <c r="K75" t="s">
        <v>6420</v>
      </c>
      <c r="BB75"/>
      <c r="CY75" s="224">
        <v>0</v>
      </c>
    </row>
    <row r="76" spans="1:103" x14ac:dyDescent="0.2">
      <c r="A76" s="225" t="str">
        <f t="shared" si="1"/>
        <v>Income Tax Expense</v>
      </c>
      <c r="B76" s="218" t="s">
        <v>106</v>
      </c>
      <c r="C76" t="s">
        <v>6394</v>
      </c>
      <c r="D76" t="s">
        <v>6395</v>
      </c>
      <c r="E76" t="s">
        <v>6396</v>
      </c>
      <c r="F76" t="s">
        <v>6397</v>
      </c>
      <c r="G76" t="s">
        <v>6398</v>
      </c>
      <c r="H76" t="s">
        <v>6399</v>
      </c>
      <c r="I76" t="s">
        <v>6400</v>
      </c>
      <c r="J76" t="s">
        <v>6401</v>
      </c>
      <c r="K76" t="s">
        <v>6402</v>
      </c>
      <c r="BB76"/>
      <c r="CY76" s="224">
        <v>0</v>
      </c>
    </row>
    <row r="77" spans="1:103" x14ac:dyDescent="0.2">
      <c r="A77" s="225" t="str">
        <f t="shared" si="1"/>
        <v>Earnings from Cont. Ops.</v>
      </c>
      <c r="B77" s="218" t="s">
        <v>107</v>
      </c>
      <c r="C77" t="s">
        <v>6403</v>
      </c>
      <c r="D77" t="s">
        <v>6404</v>
      </c>
      <c r="E77" t="s">
        <v>6405</v>
      </c>
      <c r="F77" t="s">
        <v>6406</v>
      </c>
      <c r="G77" t="s">
        <v>6407</v>
      </c>
      <c r="H77" t="s">
        <v>6408</v>
      </c>
      <c r="I77" t="s">
        <v>6409</v>
      </c>
      <c r="J77" t="s">
        <v>6410</v>
      </c>
      <c r="K77" t="s">
        <v>6411</v>
      </c>
      <c r="BB77"/>
      <c r="CY77" s="224">
        <v>0</v>
      </c>
    </row>
    <row r="78" spans="1:103" x14ac:dyDescent="0.2">
      <c r="A78" s="225" t="str">
        <f t="shared" si="1"/>
        <v>Earnings of Discontinued Ops.</v>
      </c>
      <c r="B78" s="218" t="s">
        <v>108</v>
      </c>
      <c r="C78" s="218" t="s">
        <v>7235</v>
      </c>
      <c r="D78" s="218" t="s">
        <v>7236</v>
      </c>
      <c r="E78" s="218" t="s">
        <v>7237</v>
      </c>
      <c r="F78" s="218" t="s">
        <v>7241</v>
      </c>
      <c r="G78" s="218" t="s">
        <v>7242</v>
      </c>
      <c r="H78" s="218" t="s">
        <v>7238</v>
      </c>
      <c r="I78" s="218" t="s">
        <v>7239</v>
      </c>
      <c r="J78" s="218" t="s">
        <v>7240</v>
      </c>
      <c r="K78" s="218" t="s">
        <v>7243</v>
      </c>
      <c r="BB78"/>
      <c r="CY78" s="224">
        <v>0</v>
      </c>
    </row>
    <row r="79" spans="1:103" x14ac:dyDescent="0.2">
      <c r="A79" s="225" t="str">
        <f t="shared" si="1"/>
        <v>Extraord. Item &amp; Account. Change</v>
      </c>
      <c r="B79" s="218" t="s">
        <v>109</v>
      </c>
      <c r="C79" s="218" t="s">
        <v>6430</v>
      </c>
      <c r="D79" s="218" t="s">
        <v>6431</v>
      </c>
      <c r="E79" s="218" t="s">
        <v>6432</v>
      </c>
      <c r="F79" s="218" t="s">
        <v>6433</v>
      </c>
      <c r="G79" s="218" t="s">
        <v>6434</v>
      </c>
      <c r="H79" s="218" t="s">
        <v>6435</v>
      </c>
      <c r="I79" s="218" t="s">
        <v>6436</v>
      </c>
      <c r="J79" s="218" t="s">
        <v>6437</v>
      </c>
      <c r="K79" s="218" t="s">
        <v>6438</v>
      </c>
      <c r="BB79"/>
      <c r="CY79" s="224">
        <v>0</v>
      </c>
    </row>
    <row r="80" spans="1:103" x14ac:dyDescent="0.2">
      <c r="A80" s="225" t="str">
        <f t="shared" si="1"/>
        <v>Net Income to Company</v>
      </c>
      <c r="B80" s="218" t="s">
        <v>31</v>
      </c>
      <c r="C80" s="218" t="s">
        <v>7244</v>
      </c>
      <c r="D80" s="218" t="s">
        <v>7245</v>
      </c>
      <c r="E80" s="218" t="s">
        <v>7246</v>
      </c>
      <c r="F80" s="218" t="s">
        <v>7250</v>
      </c>
      <c r="G80" s="218" t="s">
        <v>7251</v>
      </c>
      <c r="H80" s="218" t="s">
        <v>7247</v>
      </c>
      <c r="I80" s="218" t="s">
        <v>7248</v>
      </c>
      <c r="J80" s="218" t="s">
        <v>7249</v>
      </c>
      <c r="K80" s="218" t="s">
        <v>7252</v>
      </c>
      <c r="BB80"/>
      <c r="CY80" s="224">
        <v>0</v>
      </c>
    </row>
    <row r="81" spans="1:103" x14ac:dyDescent="0.2">
      <c r="A81" s="225" t="str">
        <f t="shared" si="1"/>
        <v>Minority Int. in Earnings</v>
      </c>
      <c r="B81" s="218" t="s">
        <v>205</v>
      </c>
      <c r="C81" s="218" t="s">
        <v>7253</v>
      </c>
      <c r="D81" s="218" t="s">
        <v>7254</v>
      </c>
      <c r="E81" s="218" t="s">
        <v>7255</v>
      </c>
      <c r="F81" s="218" t="s">
        <v>7256</v>
      </c>
      <c r="G81" s="218" t="s">
        <v>7257</v>
      </c>
      <c r="H81" s="218" t="s">
        <v>7258</v>
      </c>
      <c r="I81" s="218" t="s">
        <v>7259</v>
      </c>
      <c r="J81" s="218" t="s">
        <v>7260</v>
      </c>
      <c r="K81" s="218" t="s">
        <v>7261</v>
      </c>
      <c r="BB81"/>
      <c r="CY81" s="224">
        <v>0</v>
      </c>
    </row>
    <row r="82" spans="1:103" x14ac:dyDescent="0.2">
      <c r="A82" s="225" t="str">
        <f t="shared" si="1"/>
        <v>Net Income to Parent</v>
      </c>
      <c r="B82" s="218" t="s">
        <v>32</v>
      </c>
      <c r="C82" s="251" t="s">
        <v>933</v>
      </c>
      <c r="D82" s="251" t="s">
        <v>934</v>
      </c>
      <c r="E82" s="251" t="s">
        <v>935</v>
      </c>
      <c r="F82" s="251" t="s">
        <v>939</v>
      </c>
      <c r="G82" s="251" t="s">
        <v>940</v>
      </c>
      <c r="H82" s="247" t="s">
        <v>936</v>
      </c>
      <c r="I82" s="251" t="s">
        <v>937</v>
      </c>
      <c r="J82" s="251" t="s">
        <v>938</v>
      </c>
      <c r="K82" s="251" t="s">
        <v>941</v>
      </c>
      <c r="BB82"/>
      <c r="CY82" s="224">
        <v>0</v>
      </c>
    </row>
    <row r="83" spans="1:103" x14ac:dyDescent="0.2">
      <c r="A83" s="225" t="str">
        <f t="shared" si="1"/>
        <v>Pref. Dividends and Other Adj.</v>
      </c>
      <c r="B83" s="218" t="s">
        <v>110</v>
      </c>
      <c r="C83" s="218" t="s">
        <v>6439</v>
      </c>
      <c r="D83" s="218" t="s">
        <v>6440</v>
      </c>
      <c r="E83" s="218" t="s">
        <v>6441</v>
      </c>
      <c r="F83" s="218" t="s">
        <v>6442</v>
      </c>
      <c r="G83" s="218" t="s">
        <v>6443</v>
      </c>
      <c r="H83" s="218" t="s">
        <v>6444</v>
      </c>
      <c r="I83" s="218" t="s">
        <v>6445</v>
      </c>
      <c r="J83" s="218" t="s">
        <v>6446</v>
      </c>
      <c r="K83" s="218" t="s">
        <v>6447</v>
      </c>
      <c r="BB83"/>
      <c r="CY83" s="224">
        <v>0</v>
      </c>
    </row>
    <row r="84" spans="1:103" x14ac:dyDescent="0.2">
      <c r="A84" s="225" t="str">
        <f t="shared" si="1"/>
        <v>NI to Common Incl Extra Items</v>
      </c>
      <c r="B84" s="218" t="s">
        <v>111</v>
      </c>
      <c r="C84" t="s">
        <v>6448</v>
      </c>
      <c r="D84" t="s">
        <v>6449</v>
      </c>
      <c r="E84" t="s">
        <v>6450</v>
      </c>
      <c r="F84" t="s">
        <v>6451</v>
      </c>
      <c r="G84" t="s">
        <v>6452</v>
      </c>
      <c r="H84" t="s">
        <v>6453</v>
      </c>
      <c r="I84" t="s">
        <v>6454</v>
      </c>
      <c r="J84" t="s">
        <v>6455</v>
      </c>
      <c r="K84" t="s">
        <v>6456</v>
      </c>
      <c r="BB84"/>
      <c r="CY84" s="224">
        <v>0</v>
      </c>
    </row>
    <row r="85" spans="1:103" x14ac:dyDescent="0.2">
      <c r="A85" s="225" t="str">
        <f t="shared" si="1"/>
        <v>NI to Common Excl Extra Items</v>
      </c>
      <c r="B85" s="218" t="s">
        <v>112</v>
      </c>
      <c r="C85" t="s">
        <v>6457</v>
      </c>
      <c r="D85" t="s">
        <v>6458</v>
      </c>
      <c r="E85" t="s">
        <v>6459</v>
      </c>
      <c r="F85" t="s">
        <v>6460</v>
      </c>
      <c r="G85" t="s">
        <v>6461</v>
      </c>
      <c r="H85" t="s">
        <v>6462</v>
      </c>
      <c r="I85" t="s">
        <v>6463</v>
      </c>
      <c r="J85" t="s">
        <v>6464</v>
      </c>
      <c r="K85" t="s">
        <v>6465</v>
      </c>
      <c r="BB85"/>
      <c r="CY85" s="224">
        <v>0</v>
      </c>
    </row>
    <row r="86" spans="1:103" x14ac:dyDescent="0.2">
      <c r="A86" s="225" t="str">
        <f t="shared" si="1"/>
        <v>Basic EPS</v>
      </c>
      <c r="B86" s="218" t="s">
        <v>113</v>
      </c>
      <c r="C86" t="s">
        <v>7262</v>
      </c>
      <c r="D86" t="s">
        <v>7262</v>
      </c>
      <c r="E86" t="s">
        <v>7263</v>
      </c>
      <c r="F86" t="s">
        <v>7264</v>
      </c>
      <c r="G86" t="s">
        <v>7265</v>
      </c>
      <c r="H86" t="s">
        <v>7266</v>
      </c>
      <c r="I86" t="s">
        <v>7267</v>
      </c>
      <c r="J86" t="s">
        <v>7268</v>
      </c>
      <c r="K86" t="s">
        <v>7269</v>
      </c>
      <c r="BB86"/>
      <c r="CY86" s="224">
        <v>0</v>
      </c>
    </row>
    <row r="87" spans="1:103" x14ac:dyDescent="0.2">
      <c r="A87" s="225" t="str">
        <f t="shared" si="1"/>
        <v>Basic EPS Excl. Extra Items</v>
      </c>
      <c r="B87" s="218" t="s">
        <v>114</v>
      </c>
      <c r="C87" t="s">
        <v>7270</v>
      </c>
      <c r="D87" t="s">
        <v>7271</v>
      </c>
      <c r="E87" t="s">
        <v>7272</v>
      </c>
      <c r="F87" t="s">
        <v>7273</v>
      </c>
      <c r="G87" t="s">
        <v>7274</v>
      </c>
      <c r="H87" t="s">
        <v>7275</v>
      </c>
      <c r="I87" t="s">
        <v>7276</v>
      </c>
      <c r="J87" t="s">
        <v>7277</v>
      </c>
      <c r="K87" t="s">
        <v>7278</v>
      </c>
      <c r="BB87"/>
      <c r="CY87" s="224">
        <v>0</v>
      </c>
    </row>
    <row r="88" spans="1:103" x14ac:dyDescent="0.2">
      <c r="A88" s="225" t="str">
        <f t="shared" si="1"/>
        <v>Weighted Avg. Basic Shares Out.</v>
      </c>
      <c r="B88" s="218" t="s">
        <v>115</v>
      </c>
      <c r="C88" s="251" t="s">
        <v>942</v>
      </c>
      <c r="D88" s="251" t="s">
        <v>943</v>
      </c>
      <c r="E88" s="251" t="s">
        <v>944</v>
      </c>
      <c r="F88" s="251" t="s">
        <v>948</v>
      </c>
      <c r="G88" s="251" t="s">
        <v>949</v>
      </c>
      <c r="H88" s="222" t="s">
        <v>945</v>
      </c>
      <c r="I88" s="251" t="s">
        <v>946</v>
      </c>
      <c r="J88" s="251" t="s">
        <v>947</v>
      </c>
      <c r="K88" s="251" t="s">
        <v>950</v>
      </c>
      <c r="BB88"/>
      <c r="CY88" s="224">
        <v>0</v>
      </c>
    </row>
    <row r="89" spans="1:103" x14ac:dyDescent="0.2">
      <c r="A89" s="225" t="str">
        <f t="shared" si="1"/>
        <v>Diluted EPS</v>
      </c>
      <c r="B89" s="218" t="s">
        <v>116</v>
      </c>
      <c r="C89" s="215" t="s">
        <v>7288</v>
      </c>
      <c r="D89" s="215" t="s">
        <v>7289</v>
      </c>
      <c r="E89" s="215" t="s">
        <v>7290</v>
      </c>
      <c r="F89" s="215" t="s">
        <v>7291</v>
      </c>
      <c r="G89" s="215" t="s">
        <v>7292</v>
      </c>
      <c r="H89" s="215" t="s">
        <v>7293</v>
      </c>
      <c r="I89" s="215" t="s">
        <v>7294</v>
      </c>
      <c r="J89" s="215" t="s">
        <v>7295</v>
      </c>
      <c r="K89" s="215" t="s">
        <v>7296</v>
      </c>
      <c r="BB89"/>
      <c r="CY89" s="224">
        <v>0</v>
      </c>
    </row>
    <row r="90" spans="1:103" x14ac:dyDescent="0.2">
      <c r="A90" s="225" t="str">
        <f t="shared" si="1"/>
        <v>Diluted EPS Excl Extra Items</v>
      </c>
      <c r="B90" s="218" t="s">
        <v>117</v>
      </c>
      <c r="C90" s="218" t="s">
        <v>7279</v>
      </c>
      <c r="D90" s="218" t="s">
        <v>7280</v>
      </c>
      <c r="E90" s="218" t="s">
        <v>7281</v>
      </c>
      <c r="F90" s="218" t="s">
        <v>7282</v>
      </c>
      <c r="G90" s="218" t="s">
        <v>7283</v>
      </c>
      <c r="H90" s="218" t="s">
        <v>7284</v>
      </c>
      <c r="I90" s="218" t="s">
        <v>7285</v>
      </c>
      <c r="J90" s="218" t="s">
        <v>7286</v>
      </c>
      <c r="K90" s="218" t="s">
        <v>7287</v>
      </c>
      <c r="BB90"/>
      <c r="CY90" s="224">
        <v>0</v>
      </c>
    </row>
    <row r="91" spans="1:103" x14ac:dyDescent="0.2">
      <c r="A91" s="225" t="str">
        <f t="shared" si="1"/>
        <v>Weighted Avg. Diluted Shares Out.</v>
      </c>
      <c r="B91" s="218" t="s">
        <v>118</v>
      </c>
      <c r="C91" s="251" t="s">
        <v>951</v>
      </c>
      <c r="D91" s="251" t="s">
        <v>952</v>
      </c>
      <c r="E91" s="251" t="s">
        <v>953</v>
      </c>
      <c r="F91" s="251" t="s">
        <v>957</v>
      </c>
      <c r="G91" s="251" t="s">
        <v>958</v>
      </c>
      <c r="H91" s="222" t="s">
        <v>954</v>
      </c>
      <c r="I91" s="251" t="s">
        <v>955</v>
      </c>
      <c r="J91" s="251" t="s">
        <v>956</v>
      </c>
      <c r="K91" s="251" t="s">
        <v>959</v>
      </c>
      <c r="BB91"/>
      <c r="CY91" s="224">
        <v>0</v>
      </c>
    </row>
    <row r="92" spans="1:103" x14ac:dyDescent="0.2">
      <c r="A92" s="225" t="str">
        <f t="shared" si="1"/>
        <v>Normalized Basic EPS</v>
      </c>
      <c r="B92" s="218" t="s">
        <v>572</v>
      </c>
      <c r="C92" s="251" t="s">
        <v>960</v>
      </c>
      <c r="D92" s="251" t="s">
        <v>960</v>
      </c>
      <c r="E92" s="251" t="s">
        <v>961</v>
      </c>
      <c r="F92" s="251" t="s">
        <v>1017</v>
      </c>
      <c r="G92" s="251" t="s">
        <v>1018</v>
      </c>
      <c r="H92" s="255" t="s">
        <v>987</v>
      </c>
      <c r="I92" s="251" t="s">
        <v>988</v>
      </c>
      <c r="J92" s="251" t="s">
        <v>989</v>
      </c>
      <c r="K92" s="251" t="s">
        <v>1037</v>
      </c>
      <c r="BB92"/>
      <c r="CY92" s="224">
        <v>0</v>
      </c>
    </row>
    <row r="93" spans="1:103" x14ac:dyDescent="0.2">
      <c r="A93" s="225" t="str">
        <f t="shared" si="1"/>
        <v>Normalized Diluted EPS</v>
      </c>
      <c r="B93" s="218" t="s">
        <v>573</v>
      </c>
      <c r="C93" s="251" t="s">
        <v>962</v>
      </c>
      <c r="D93" s="251" t="s">
        <v>963</v>
      </c>
      <c r="E93" s="251" t="s">
        <v>964</v>
      </c>
      <c r="F93" s="251" t="s">
        <v>1019</v>
      </c>
      <c r="G93" s="251" t="s">
        <v>1020</v>
      </c>
      <c r="H93" s="255" t="s">
        <v>990</v>
      </c>
      <c r="I93" s="251" t="s">
        <v>991</v>
      </c>
      <c r="J93" s="251" t="s">
        <v>992</v>
      </c>
      <c r="K93" s="251" t="s">
        <v>1038</v>
      </c>
      <c r="BB93"/>
      <c r="CY93" s="224">
        <v>0</v>
      </c>
    </row>
    <row r="94" spans="1:103" x14ac:dyDescent="0.2">
      <c r="A94" s="225" t="str">
        <f t="shared" si="1"/>
        <v>Distributable Cash per Share (Diluted)</v>
      </c>
      <c r="B94" s="218" t="s">
        <v>680</v>
      </c>
      <c r="C94" s="251" t="s">
        <v>965</v>
      </c>
      <c r="D94" s="251" t="s">
        <v>966</v>
      </c>
      <c r="E94" s="251" t="s">
        <v>967</v>
      </c>
      <c r="F94" s="251" t="s">
        <v>1021</v>
      </c>
      <c r="G94" s="251" t="s">
        <v>1022</v>
      </c>
      <c r="H94" s="222" t="s">
        <v>993</v>
      </c>
      <c r="I94" s="251" t="s">
        <v>994</v>
      </c>
      <c r="J94" s="251" t="s">
        <v>995</v>
      </c>
      <c r="K94" s="251" t="s">
        <v>1039</v>
      </c>
      <c r="BB94"/>
      <c r="CY94" s="224">
        <v>0</v>
      </c>
    </row>
    <row r="95" spans="1:103" x14ac:dyDescent="0.2">
      <c r="A95" s="225" t="str">
        <f t="shared" si="1"/>
        <v>Distributable Cash Shares (Basic)</v>
      </c>
      <c r="B95" s="218" t="s">
        <v>678</v>
      </c>
      <c r="C95" s="251" t="s">
        <v>968</v>
      </c>
      <c r="D95" s="251" t="s">
        <v>969</v>
      </c>
      <c r="E95" s="251" t="s">
        <v>970</v>
      </c>
      <c r="F95" s="251" t="s">
        <v>1023</v>
      </c>
      <c r="G95" s="251" t="s">
        <v>1024</v>
      </c>
      <c r="H95" s="255" t="s">
        <v>996</v>
      </c>
      <c r="I95" s="251" t="s">
        <v>997</v>
      </c>
      <c r="J95" s="251" t="s">
        <v>998</v>
      </c>
      <c r="K95" s="251" t="s">
        <v>1040</v>
      </c>
      <c r="BB95"/>
      <c r="CY95" s="224">
        <v>0</v>
      </c>
    </row>
    <row r="96" spans="1:103" x14ac:dyDescent="0.2">
      <c r="A96" s="225" t="str">
        <f t="shared" si="1"/>
        <v>Distributable Cash Shares (Diluted)</v>
      </c>
      <c r="B96" s="218" t="s">
        <v>679</v>
      </c>
      <c r="C96" s="251" t="s">
        <v>971</v>
      </c>
      <c r="D96" s="251" t="s">
        <v>972</v>
      </c>
      <c r="E96" s="251" t="s">
        <v>973</v>
      </c>
      <c r="F96" s="251" t="s">
        <v>1025</v>
      </c>
      <c r="G96" s="251" t="s">
        <v>1026</v>
      </c>
      <c r="H96" s="255" t="s">
        <v>999</v>
      </c>
      <c r="I96" s="251" t="s">
        <v>1000</v>
      </c>
      <c r="J96" s="251" t="s">
        <v>1001</v>
      </c>
      <c r="K96" s="251" t="s">
        <v>1041</v>
      </c>
      <c r="BB96"/>
      <c r="CY96" s="224">
        <v>0</v>
      </c>
    </row>
    <row r="97" spans="1:103" x14ac:dyDescent="0.2">
      <c r="A97" s="225" t="str">
        <f t="shared" si="1"/>
        <v>Dividends per Share</v>
      </c>
      <c r="B97" s="218" t="s">
        <v>577</v>
      </c>
      <c r="C97" s="251" t="s">
        <v>974</v>
      </c>
      <c r="D97" s="251" t="s">
        <v>974</v>
      </c>
      <c r="E97" s="251" t="s">
        <v>975</v>
      </c>
      <c r="F97" s="251" t="s">
        <v>1027</v>
      </c>
      <c r="G97" s="251" t="s">
        <v>1028</v>
      </c>
      <c r="H97" s="222" t="s">
        <v>1002</v>
      </c>
      <c r="I97" s="251" t="s">
        <v>1003</v>
      </c>
      <c r="J97" s="251" t="s">
        <v>1004</v>
      </c>
      <c r="K97" s="251" t="s">
        <v>1042</v>
      </c>
      <c r="BB97"/>
      <c r="CY97" s="224">
        <v>0</v>
      </c>
    </row>
    <row r="98" spans="1:103" x14ac:dyDescent="0.2">
      <c r="A98" s="225" t="str">
        <f t="shared" si="1"/>
        <v>Shares per Depository Receipt</v>
      </c>
      <c r="B98" s="218" t="s">
        <v>740</v>
      </c>
      <c r="C98" s="251" t="s">
        <v>976</v>
      </c>
      <c r="D98" s="251" t="s">
        <v>977</v>
      </c>
      <c r="E98" s="251" t="s">
        <v>978</v>
      </c>
      <c r="F98" s="251" t="s">
        <v>1029</v>
      </c>
      <c r="G98" s="251" t="s">
        <v>1030</v>
      </c>
      <c r="H98" s="222" t="s">
        <v>1005</v>
      </c>
      <c r="I98" s="251" t="s">
        <v>1006</v>
      </c>
      <c r="J98" s="251" t="s">
        <v>1007</v>
      </c>
      <c r="K98" s="251" t="s">
        <v>1043</v>
      </c>
      <c r="BB98"/>
      <c r="CY98" s="224">
        <v>0</v>
      </c>
    </row>
    <row r="99" spans="1:103" x14ac:dyDescent="0.2">
      <c r="A99" s="225" t="str">
        <f t="shared" si="1"/>
        <v>Revenues per Share</v>
      </c>
      <c r="B99" s="218" t="s">
        <v>575</v>
      </c>
      <c r="C99" s="251" t="s">
        <v>979</v>
      </c>
      <c r="D99" s="251" t="s">
        <v>979</v>
      </c>
      <c r="E99" s="251" t="s">
        <v>980</v>
      </c>
      <c r="F99" s="251" t="s">
        <v>1031</v>
      </c>
      <c r="G99" s="251" t="s">
        <v>1032</v>
      </c>
      <c r="H99" s="222" t="s">
        <v>1008</v>
      </c>
      <c r="I99" s="251" t="s">
        <v>1009</v>
      </c>
      <c r="J99" s="251" t="s">
        <v>1010</v>
      </c>
      <c r="K99" s="251" t="s">
        <v>1044</v>
      </c>
      <c r="BB99"/>
      <c r="CY99" s="224">
        <v>0</v>
      </c>
    </row>
    <row r="100" spans="1:103" x14ac:dyDescent="0.2">
      <c r="A100" s="225" t="str">
        <f t="shared" si="1"/>
        <v>Distributable Cash per Share</v>
      </c>
      <c r="B100" s="218" t="s">
        <v>574</v>
      </c>
      <c r="C100" s="251" t="s">
        <v>981</v>
      </c>
      <c r="D100" s="251" t="s">
        <v>982</v>
      </c>
      <c r="E100" s="251" t="s">
        <v>983</v>
      </c>
      <c r="F100" s="251" t="s">
        <v>1033</v>
      </c>
      <c r="G100" s="251" t="s">
        <v>1034</v>
      </c>
      <c r="H100" s="222" t="s">
        <v>1011</v>
      </c>
      <c r="I100" s="251" t="s">
        <v>1012</v>
      </c>
      <c r="J100" s="251" t="s">
        <v>1013</v>
      </c>
      <c r="K100" s="251" t="s">
        <v>1045</v>
      </c>
      <c r="BB100"/>
      <c r="CY100" s="224">
        <v>0</v>
      </c>
    </row>
    <row r="101" spans="1:103" x14ac:dyDescent="0.2">
      <c r="A101" s="225" t="str">
        <f t="shared" si="1"/>
        <v>Special Dividend per Share</v>
      </c>
      <c r="B101" s="218" t="s">
        <v>576</v>
      </c>
      <c r="C101" s="251" t="s">
        <v>984</v>
      </c>
      <c r="D101" s="251" t="s">
        <v>985</v>
      </c>
      <c r="E101" s="251" t="s">
        <v>986</v>
      </c>
      <c r="F101" s="251" t="s">
        <v>1035</v>
      </c>
      <c r="G101" s="251" t="s">
        <v>1036</v>
      </c>
      <c r="H101" s="222" t="s">
        <v>1014</v>
      </c>
      <c r="I101" s="251" t="s">
        <v>1015</v>
      </c>
      <c r="J101" s="251" t="s">
        <v>1016</v>
      </c>
      <c r="K101" s="251" t="s">
        <v>1046</v>
      </c>
      <c r="BB101"/>
      <c r="CY101" s="224">
        <v>0</v>
      </c>
    </row>
    <row r="102" spans="1:103" x14ac:dyDescent="0.2">
      <c r="A102" s="225" t="str">
        <f t="shared" si="1"/>
        <v>Supplemental Items</v>
      </c>
      <c r="B102" s="218" t="s">
        <v>119</v>
      </c>
      <c r="C102" s="251" t="s">
        <v>6466</v>
      </c>
      <c r="D102" t="s">
        <v>6467</v>
      </c>
      <c r="E102" s="218" t="s">
        <v>6468</v>
      </c>
      <c r="F102" s="218" t="s">
        <v>6469</v>
      </c>
      <c r="G102" s="218" t="s">
        <v>6470</v>
      </c>
      <c r="H102" s="218" t="s">
        <v>6471</v>
      </c>
      <c r="I102" s="218" t="s">
        <v>6472</v>
      </c>
      <c r="J102" s="218" t="s">
        <v>6473</v>
      </c>
      <c r="K102" s="218" t="s">
        <v>6474</v>
      </c>
      <c r="BB102"/>
      <c r="CY102" s="224">
        <v>0</v>
      </c>
    </row>
    <row r="103" spans="1:103" x14ac:dyDescent="0.2">
      <c r="A103" s="225" t="str">
        <f t="shared" si="1"/>
        <v>Filing Date</v>
      </c>
      <c r="B103" s="218" t="s">
        <v>252</v>
      </c>
      <c r="C103" s="251" t="s">
        <v>1047</v>
      </c>
      <c r="D103" s="251" t="s">
        <v>1048</v>
      </c>
      <c r="E103" s="251" t="s">
        <v>1049</v>
      </c>
      <c r="F103" s="251" t="s">
        <v>1059</v>
      </c>
      <c r="G103" s="251" t="s">
        <v>1060</v>
      </c>
      <c r="H103" s="222" t="s">
        <v>1053</v>
      </c>
      <c r="I103" s="251" t="s">
        <v>1054</v>
      </c>
      <c r="J103" s="251" t="s">
        <v>1055</v>
      </c>
      <c r="K103" s="251" t="s">
        <v>1063</v>
      </c>
      <c r="BB103"/>
      <c r="CY103" s="224">
        <v>0</v>
      </c>
    </row>
    <row r="104" spans="1:103" x14ac:dyDescent="0.2">
      <c r="A104" s="225" t="str">
        <f t="shared" si="1"/>
        <v>Period Length in Months</v>
      </c>
      <c r="B104" s="218" t="s">
        <v>578</v>
      </c>
      <c r="C104" s="251" t="s">
        <v>1050</v>
      </c>
      <c r="D104" s="251" t="s">
        <v>1051</v>
      </c>
      <c r="E104" s="251" t="s">
        <v>1052</v>
      </c>
      <c r="F104" s="251" t="s">
        <v>1061</v>
      </c>
      <c r="G104" s="251" t="s">
        <v>1062</v>
      </c>
      <c r="H104" s="222" t="s">
        <v>1056</v>
      </c>
      <c r="I104" s="251" t="s">
        <v>1057</v>
      </c>
      <c r="J104" s="251" t="s">
        <v>1058</v>
      </c>
      <c r="K104" s="251" t="s">
        <v>1064</v>
      </c>
      <c r="BB104"/>
      <c r="CY104" s="224">
        <v>0</v>
      </c>
    </row>
    <row r="105" spans="1:103" x14ac:dyDescent="0.2">
      <c r="A105" s="225" t="str">
        <f t="shared" si="1"/>
        <v>EBITDA</v>
      </c>
      <c r="B105" s="218" t="s">
        <v>120</v>
      </c>
      <c r="C105" s="215" t="s">
        <v>7045</v>
      </c>
      <c r="D105" s="215" t="s">
        <v>7046</v>
      </c>
      <c r="E105" s="215" t="s">
        <v>120</v>
      </c>
      <c r="F105" s="215" t="s">
        <v>120</v>
      </c>
      <c r="G105" s="215" t="s">
        <v>120</v>
      </c>
      <c r="H105" s="215" t="s">
        <v>120</v>
      </c>
      <c r="I105" s="215" t="s">
        <v>120</v>
      </c>
      <c r="J105" s="215" t="s">
        <v>120</v>
      </c>
      <c r="K105" s="215" t="s">
        <v>120</v>
      </c>
      <c r="BB105"/>
      <c r="CY105" s="224">
        <v>0</v>
      </c>
    </row>
    <row r="106" spans="1:103" x14ac:dyDescent="0.2">
      <c r="A106" s="225" t="str">
        <f t="shared" si="1"/>
        <v>EBITDA (Incl. Equity Inc. from Affiliates)</v>
      </c>
      <c r="B106" s="218" t="s">
        <v>425</v>
      </c>
      <c r="C106" s="215" t="s">
        <v>1065</v>
      </c>
      <c r="D106" s="215" t="s">
        <v>1066</v>
      </c>
      <c r="E106" s="251" t="s">
        <v>1067</v>
      </c>
      <c r="F106" s="251" t="s">
        <v>1101</v>
      </c>
      <c r="G106" s="251" t="s">
        <v>1102</v>
      </c>
      <c r="H106" s="222" t="s">
        <v>1083</v>
      </c>
      <c r="I106" s="251" t="s">
        <v>1084</v>
      </c>
      <c r="J106" s="251" t="s">
        <v>1085</v>
      </c>
      <c r="K106" s="251" t="s">
        <v>1113</v>
      </c>
      <c r="BB106"/>
      <c r="CY106" s="224">
        <v>0</v>
      </c>
    </row>
    <row r="107" spans="1:103" x14ac:dyDescent="0.2">
      <c r="A107" s="225" t="str">
        <f t="shared" si="1"/>
        <v>EBITDA (Excl. SBC and Incl. Equity Inc. from Affiliates)</v>
      </c>
      <c r="B107" s="218" t="s">
        <v>426</v>
      </c>
      <c r="C107" s="215" t="s">
        <v>1068</v>
      </c>
      <c r="D107" s="215" t="s">
        <v>1069</v>
      </c>
      <c r="E107" s="251" t="s">
        <v>1070</v>
      </c>
      <c r="F107" s="251" t="s">
        <v>1103</v>
      </c>
      <c r="G107" s="251" t="s">
        <v>1104</v>
      </c>
      <c r="H107" s="222" t="s">
        <v>1086</v>
      </c>
      <c r="I107" s="251" t="s">
        <v>1087</v>
      </c>
      <c r="J107" s="251" t="s">
        <v>1088</v>
      </c>
      <c r="K107" s="251" t="s">
        <v>1114</v>
      </c>
      <c r="BB107"/>
      <c r="CY107" s="224" t="e">
        <v>#N/A</v>
      </c>
    </row>
    <row r="108" spans="1:103" x14ac:dyDescent="0.2">
      <c r="A108" s="225" t="str">
        <f t="shared" si="1"/>
        <v>EBITDA (Excl. SBC)</v>
      </c>
      <c r="B108" s="218" t="s">
        <v>427</v>
      </c>
      <c r="C108" s="215" t="s">
        <v>1071</v>
      </c>
      <c r="D108" s="215" t="s">
        <v>1072</v>
      </c>
      <c r="E108" s="251" t="s">
        <v>1073</v>
      </c>
      <c r="F108" s="251" t="s">
        <v>1105</v>
      </c>
      <c r="G108" s="251" t="s">
        <v>1106</v>
      </c>
      <c r="H108" s="222" t="s">
        <v>1089</v>
      </c>
      <c r="I108" s="251" t="s">
        <v>1090</v>
      </c>
      <c r="J108" s="251" t="s">
        <v>1091</v>
      </c>
      <c r="K108" s="251" t="s">
        <v>1115</v>
      </c>
      <c r="BB108"/>
    </row>
    <row r="109" spans="1:103" x14ac:dyDescent="0.2">
      <c r="A109" s="225" t="str">
        <f t="shared" si="1"/>
        <v>EBITDA, Lease Adjusted</v>
      </c>
      <c r="B109" s="218" t="s">
        <v>791</v>
      </c>
      <c r="C109" s="251" t="s">
        <v>1074</v>
      </c>
      <c r="D109" s="251" t="s">
        <v>1075</v>
      </c>
      <c r="E109" s="251" t="s">
        <v>1076</v>
      </c>
      <c r="F109" s="251" t="s">
        <v>1107</v>
      </c>
      <c r="G109" s="251" t="s">
        <v>1108</v>
      </c>
      <c r="H109" s="252" t="s">
        <v>1092</v>
      </c>
      <c r="I109" s="251" t="s">
        <v>1093</v>
      </c>
      <c r="J109" s="251" t="s">
        <v>1094</v>
      </c>
      <c r="K109" s="251" t="s">
        <v>1116</v>
      </c>
      <c r="BB109"/>
    </row>
    <row r="110" spans="1:103" x14ac:dyDescent="0.2">
      <c r="A110" s="225" t="str">
        <f t="shared" si="1"/>
        <v>Lease Adjustment for EBITDA</v>
      </c>
      <c r="B110" s="218" t="s">
        <v>792</v>
      </c>
      <c r="C110" s="251" t="s">
        <v>1077</v>
      </c>
      <c r="D110" s="251" t="s">
        <v>1078</v>
      </c>
      <c r="E110" s="251" t="s">
        <v>1079</v>
      </c>
      <c r="F110" s="251" t="s">
        <v>1109</v>
      </c>
      <c r="G110" s="251" t="s">
        <v>1110</v>
      </c>
      <c r="H110" s="252" t="s">
        <v>1095</v>
      </c>
      <c r="I110" s="251" t="s">
        <v>1096</v>
      </c>
      <c r="J110" s="251" t="s">
        <v>1097</v>
      </c>
      <c r="K110" s="251" t="s">
        <v>1117</v>
      </c>
      <c r="BB110"/>
    </row>
    <row r="111" spans="1:103" x14ac:dyDescent="0.2">
      <c r="A111" s="225" t="str">
        <f t="shared" si="1"/>
        <v>EBITDA (Incl. Equity Inc. from Affiliates, Excl. Op. Lease Adj.)</v>
      </c>
      <c r="B111" s="218" t="s">
        <v>793</v>
      </c>
      <c r="C111" s="251" t="s">
        <v>1080</v>
      </c>
      <c r="D111" s="251" t="s">
        <v>1081</v>
      </c>
      <c r="E111" s="251" t="s">
        <v>1082</v>
      </c>
      <c r="F111" s="251" t="s">
        <v>1111</v>
      </c>
      <c r="G111" s="251" t="s">
        <v>1112</v>
      </c>
      <c r="H111" s="222" t="s">
        <v>1098</v>
      </c>
      <c r="I111" s="251" t="s">
        <v>1099</v>
      </c>
      <c r="J111" s="251" t="s">
        <v>1100</v>
      </c>
      <c r="K111" s="251" t="s">
        <v>1118</v>
      </c>
      <c r="BB111"/>
    </row>
    <row r="112" spans="1:103" x14ac:dyDescent="0.2">
      <c r="A112" s="225" t="str">
        <f t="shared" si="1"/>
        <v>EBIT</v>
      </c>
      <c r="B112" s="218" t="s">
        <v>446</v>
      </c>
      <c r="C112" s="215" t="s">
        <v>7047</v>
      </c>
      <c r="D112" s="215" t="s">
        <v>7047</v>
      </c>
      <c r="E112" s="215" t="s">
        <v>446</v>
      </c>
      <c r="F112" s="215" t="s">
        <v>446</v>
      </c>
      <c r="G112" s="215" t="s">
        <v>446</v>
      </c>
      <c r="H112" s="215" t="s">
        <v>446</v>
      </c>
      <c r="I112" s="215" t="s">
        <v>446</v>
      </c>
      <c r="J112" s="215" t="s">
        <v>446</v>
      </c>
      <c r="K112" s="215" t="s">
        <v>446</v>
      </c>
      <c r="BB112"/>
    </row>
    <row r="113" spans="1:54" x14ac:dyDescent="0.2">
      <c r="A113" s="225" t="str">
        <f t="shared" si="1"/>
        <v>EBIT (Incl. Equity Inc. from Affiliates)</v>
      </c>
      <c r="B113" s="218" t="s">
        <v>428</v>
      </c>
      <c r="C113" s="251" t="s">
        <v>1119</v>
      </c>
      <c r="D113" s="251" t="s">
        <v>1120</v>
      </c>
      <c r="E113" s="251" t="s">
        <v>1121</v>
      </c>
      <c r="F113" s="251" t="s">
        <v>1137</v>
      </c>
      <c r="G113" s="251" t="s">
        <v>1138</v>
      </c>
      <c r="H113" s="222" t="s">
        <v>1128</v>
      </c>
      <c r="I113" s="251" t="s">
        <v>1129</v>
      </c>
      <c r="J113" s="251" t="s">
        <v>1130</v>
      </c>
      <c r="K113" s="251" t="s">
        <v>1143</v>
      </c>
      <c r="BB113"/>
    </row>
    <row r="114" spans="1:54" x14ac:dyDescent="0.2">
      <c r="A114" s="225" t="str">
        <f t="shared" si="1"/>
        <v>EBIT (Excl. SBC and Incl. Equity Inc. from Affiliates)</v>
      </c>
      <c r="B114" s="218" t="s">
        <v>429</v>
      </c>
      <c r="C114" s="251" t="s">
        <v>1122</v>
      </c>
      <c r="D114" s="251" t="s">
        <v>1123</v>
      </c>
      <c r="E114" s="251" t="s">
        <v>1124</v>
      </c>
      <c r="F114" s="251" t="s">
        <v>1139</v>
      </c>
      <c r="G114" s="251" t="s">
        <v>1140</v>
      </c>
      <c r="H114" s="222" t="s">
        <v>1131</v>
      </c>
      <c r="I114" s="251" t="s">
        <v>1132</v>
      </c>
      <c r="J114" s="251" t="s">
        <v>1133</v>
      </c>
      <c r="K114" s="251" t="s">
        <v>1144</v>
      </c>
      <c r="BB114"/>
    </row>
    <row r="115" spans="1:54" x14ac:dyDescent="0.2">
      <c r="A115" s="225" t="str">
        <f t="shared" si="1"/>
        <v>EBIT (Excl. SBC)</v>
      </c>
      <c r="B115" s="218" t="s">
        <v>430</v>
      </c>
      <c r="C115" s="251" t="s">
        <v>1125</v>
      </c>
      <c r="D115" s="251" t="s">
        <v>1126</v>
      </c>
      <c r="E115" s="251" t="s">
        <v>1127</v>
      </c>
      <c r="F115" s="251" t="s">
        <v>1141</v>
      </c>
      <c r="G115" s="251" t="s">
        <v>1142</v>
      </c>
      <c r="H115" s="222" t="s">
        <v>1134</v>
      </c>
      <c r="I115" s="251" t="s">
        <v>1135</v>
      </c>
      <c r="J115" s="251" t="s">
        <v>1136</v>
      </c>
      <c r="K115" s="251" t="s">
        <v>1145</v>
      </c>
      <c r="BB115"/>
    </row>
    <row r="116" spans="1:54" x14ac:dyDescent="0.2">
      <c r="A116" s="225" t="str">
        <f t="shared" si="1"/>
        <v>EBITA</v>
      </c>
      <c r="B116" s="218" t="s">
        <v>447</v>
      </c>
      <c r="C116" s="251" t="s">
        <v>1146</v>
      </c>
      <c r="D116" s="251" t="s">
        <v>1147</v>
      </c>
      <c r="E116" s="251" t="s">
        <v>447</v>
      </c>
      <c r="F116" s="251" t="s">
        <v>447</v>
      </c>
      <c r="G116" s="251" t="s">
        <v>447</v>
      </c>
      <c r="H116" s="222" t="s">
        <v>447</v>
      </c>
      <c r="I116" s="251" t="s">
        <v>447</v>
      </c>
      <c r="J116" s="251" t="s">
        <v>447</v>
      </c>
      <c r="K116" s="251" t="s">
        <v>447</v>
      </c>
      <c r="BB116"/>
    </row>
    <row r="117" spans="1:54" x14ac:dyDescent="0.2">
      <c r="A117" s="225" t="str">
        <f t="shared" si="1"/>
        <v>EBITA (Incl. Equity Inc. from Affiliates)</v>
      </c>
      <c r="B117" s="218" t="s">
        <v>431</v>
      </c>
      <c r="C117" s="251" t="s">
        <v>1148</v>
      </c>
      <c r="D117" s="251" t="s">
        <v>1149</v>
      </c>
      <c r="E117" s="251" t="s">
        <v>1150</v>
      </c>
      <c r="F117" s="251" t="s">
        <v>1166</v>
      </c>
      <c r="G117" s="251" t="s">
        <v>1167</v>
      </c>
      <c r="H117" s="222" t="s">
        <v>1157</v>
      </c>
      <c r="I117" s="251" t="s">
        <v>1158</v>
      </c>
      <c r="J117" s="251" t="s">
        <v>1159</v>
      </c>
      <c r="K117" s="251" t="s">
        <v>1172</v>
      </c>
      <c r="BB117"/>
    </row>
    <row r="118" spans="1:54" x14ac:dyDescent="0.2">
      <c r="A118" s="225" t="str">
        <f t="shared" si="1"/>
        <v>EBITA (Excl. SBC and Incl. Equity Inc. from Affiliates)</v>
      </c>
      <c r="B118" s="218" t="s">
        <v>432</v>
      </c>
      <c r="C118" s="251" t="s">
        <v>1151</v>
      </c>
      <c r="D118" s="251" t="s">
        <v>1152</v>
      </c>
      <c r="E118" s="251" t="s">
        <v>1153</v>
      </c>
      <c r="F118" s="251" t="s">
        <v>1168</v>
      </c>
      <c r="G118" s="251" t="s">
        <v>1169</v>
      </c>
      <c r="H118" s="222" t="s">
        <v>1160</v>
      </c>
      <c r="I118" s="251" t="s">
        <v>1161</v>
      </c>
      <c r="J118" s="251" t="s">
        <v>1162</v>
      </c>
      <c r="K118" s="251" t="s">
        <v>1173</v>
      </c>
      <c r="BB118"/>
    </row>
    <row r="119" spans="1:54" x14ac:dyDescent="0.2">
      <c r="A119" s="225" t="str">
        <f t="shared" si="1"/>
        <v>EBITA (Excl. SBC)</v>
      </c>
      <c r="B119" s="218" t="s">
        <v>433</v>
      </c>
      <c r="C119" s="251" t="s">
        <v>1154</v>
      </c>
      <c r="D119" s="251" t="s">
        <v>1155</v>
      </c>
      <c r="E119" s="251" t="s">
        <v>1156</v>
      </c>
      <c r="F119" s="251" t="s">
        <v>1170</v>
      </c>
      <c r="G119" s="251" t="s">
        <v>1171</v>
      </c>
      <c r="H119" s="222" t="s">
        <v>1163</v>
      </c>
      <c r="I119" s="251" t="s">
        <v>1164</v>
      </c>
      <c r="J119" s="251" t="s">
        <v>1165</v>
      </c>
      <c r="K119" s="251" t="s">
        <v>1174</v>
      </c>
      <c r="BB119"/>
    </row>
    <row r="120" spans="1:54" x14ac:dyDescent="0.2">
      <c r="A120" s="225" t="str">
        <f t="shared" si="1"/>
        <v>EBITDAR</v>
      </c>
      <c r="B120" s="218" t="s">
        <v>448</v>
      </c>
      <c r="C120" s="218" t="s">
        <v>7297</v>
      </c>
      <c r="D120" s="218" t="s">
        <v>7298</v>
      </c>
      <c r="E120" s="218" t="s">
        <v>448</v>
      </c>
      <c r="F120" s="218" t="s">
        <v>448</v>
      </c>
      <c r="G120" s="218" t="s">
        <v>448</v>
      </c>
      <c r="H120" s="218" t="s">
        <v>448</v>
      </c>
      <c r="I120" s="218" t="s">
        <v>448</v>
      </c>
      <c r="J120" s="218" t="s">
        <v>448</v>
      </c>
      <c r="K120" s="218" t="s">
        <v>448</v>
      </c>
      <c r="BB120"/>
    </row>
    <row r="121" spans="1:54" x14ac:dyDescent="0.2">
      <c r="A121" s="225" t="str">
        <f t="shared" si="1"/>
        <v>EBITDAR (Incl. Equity Inc. from Affiliates)</v>
      </c>
      <c r="B121" s="218" t="s">
        <v>434</v>
      </c>
      <c r="C121" s="251" t="s">
        <v>1175</v>
      </c>
      <c r="D121" s="251" t="s">
        <v>1176</v>
      </c>
      <c r="E121" s="251" t="s">
        <v>1177</v>
      </c>
      <c r="F121" s="251" t="s">
        <v>1238</v>
      </c>
      <c r="G121" s="251" t="s">
        <v>1239</v>
      </c>
      <c r="H121" s="222" t="s">
        <v>1207</v>
      </c>
      <c r="I121" s="251" t="s">
        <v>1208</v>
      </c>
      <c r="J121" s="251" t="s">
        <v>1209</v>
      </c>
      <c r="K121" s="251" t="s">
        <v>1259</v>
      </c>
      <c r="BB121"/>
    </row>
    <row r="122" spans="1:54" x14ac:dyDescent="0.2">
      <c r="A122" s="225" t="str">
        <f t="shared" si="1"/>
        <v>EBITDAR (Excl. SBC and Incl. Equity Inc. from Affiliates)</v>
      </c>
      <c r="B122" s="218" t="s">
        <v>435</v>
      </c>
      <c r="C122" s="251" t="s">
        <v>1178</v>
      </c>
      <c r="D122" s="251" t="s">
        <v>1179</v>
      </c>
      <c r="E122" s="251" t="s">
        <v>1180</v>
      </c>
      <c r="F122" s="251" t="s">
        <v>1240</v>
      </c>
      <c r="G122" s="251" t="s">
        <v>1241</v>
      </c>
      <c r="H122" s="222" t="s">
        <v>1210</v>
      </c>
      <c r="I122" s="251" t="s">
        <v>1211</v>
      </c>
      <c r="J122" s="251" t="s">
        <v>1212</v>
      </c>
      <c r="K122" s="251" t="s">
        <v>1260</v>
      </c>
      <c r="BB122"/>
    </row>
    <row r="123" spans="1:54" x14ac:dyDescent="0.2">
      <c r="A123" s="225" t="str">
        <f t="shared" si="1"/>
        <v>EBITDAR (Excl. SBC)</v>
      </c>
      <c r="B123" s="218" t="s">
        <v>436</v>
      </c>
      <c r="C123" s="251" t="s">
        <v>1181</v>
      </c>
      <c r="D123" s="251" t="s">
        <v>1182</v>
      </c>
      <c r="E123" s="251" t="s">
        <v>1183</v>
      </c>
      <c r="F123" s="251" t="s">
        <v>1242</v>
      </c>
      <c r="G123" s="251" t="s">
        <v>1243</v>
      </c>
      <c r="H123" s="222" t="s">
        <v>1213</v>
      </c>
      <c r="I123" s="251" t="s">
        <v>1214</v>
      </c>
      <c r="J123" s="251" t="s">
        <v>1215</v>
      </c>
      <c r="K123" s="251" t="s">
        <v>1261</v>
      </c>
      <c r="BB123"/>
    </row>
    <row r="124" spans="1:54" x14ac:dyDescent="0.2">
      <c r="A124" s="225" t="str">
        <f t="shared" si="1"/>
        <v>EBITDA - CAPEX</v>
      </c>
      <c r="B124" s="218" t="s">
        <v>742</v>
      </c>
      <c r="C124" s="251" t="s">
        <v>1184</v>
      </c>
      <c r="D124" s="251" t="s">
        <v>1185</v>
      </c>
      <c r="E124" s="251" t="s">
        <v>742</v>
      </c>
      <c r="F124" s="251" t="s">
        <v>1244</v>
      </c>
      <c r="G124" s="251" t="s">
        <v>742</v>
      </c>
      <c r="H124" s="222" t="s">
        <v>1216</v>
      </c>
      <c r="I124" s="251" t="s">
        <v>742</v>
      </c>
      <c r="J124" s="251" t="s">
        <v>742</v>
      </c>
      <c r="K124" s="251" t="s">
        <v>742</v>
      </c>
      <c r="BB124"/>
    </row>
    <row r="125" spans="1:54" x14ac:dyDescent="0.2">
      <c r="A125" s="225" t="str">
        <f t="shared" si="1"/>
        <v>Fees and Other Income</v>
      </c>
      <c r="B125" s="218" t="s">
        <v>50</v>
      </c>
      <c r="C125" s="251" t="s">
        <v>1186</v>
      </c>
      <c r="D125" s="251" t="s">
        <v>1187</v>
      </c>
      <c r="E125" s="251" t="s">
        <v>1188</v>
      </c>
      <c r="F125" s="251" t="s">
        <v>1245</v>
      </c>
      <c r="G125" s="251" t="s">
        <v>1246</v>
      </c>
      <c r="H125" s="222" t="s">
        <v>1217</v>
      </c>
      <c r="I125" s="251" t="s">
        <v>1218</v>
      </c>
      <c r="J125" s="251" t="s">
        <v>1219</v>
      </c>
      <c r="K125" s="251" t="s">
        <v>1262</v>
      </c>
      <c r="BB125"/>
    </row>
    <row r="126" spans="1:54" x14ac:dyDescent="0.2">
      <c r="A126" s="225" t="str">
        <f t="shared" si="1"/>
        <v>Same Store Sales Growth</v>
      </c>
      <c r="B126" s="218" t="s">
        <v>579</v>
      </c>
      <c r="C126" s="251" t="s">
        <v>1189</v>
      </c>
      <c r="D126" s="251" t="s">
        <v>1190</v>
      </c>
      <c r="E126" s="251" t="s">
        <v>1191</v>
      </c>
      <c r="F126" s="251" t="s">
        <v>1247</v>
      </c>
      <c r="G126" s="251" t="s">
        <v>1248</v>
      </c>
      <c r="H126" s="222" t="s">
        <v>1220</v>
      </c>
      <c r="I126" s="251" t="s">
        <v>1221</v>
      </c>
      <c r="J126" s="251" t="s">
        <v>1222</v>
      </c>
      <c r="K126" s="251" t="s">
        <v>1263</v>
      </c>
      <c r="BB126"/>
    </row>
    <row r="127" spans="1:54" x14ac:dyDescent="0.2">
      <c r="A127" s="225" t="str">
        <f t="shared" si="1"/>
        <v>As-Reported Total Revenue</v>
      </c>
      <c r="B127" s="218" t="s">
        <v>251</v>
      </c>
      <c r="C127" s="251" t="s">
        <v>1192</v>
      </c>
      <c r="D127" s="251" t="s">
        <v>1193</v>
      </c>
      <c r="E127" s="251" t="s">
        <v>1194</v>
      </c>
      <c r="F127" s="251" t="s">
        <v>1249</v>
      </c>
      <c r="G127" s="251" t="s">
        <v>1250</v>
      </c>
      <c r="H127" s="222" t="s">
        <v>1223</v>
      </c>
      <c r="I127" s="251" t="s">
        <v>1224</v>
      </c>
      <c r="J127" s="251" t="s">
        <v>1225</v>
      </c>
      <c r="K127" s="251" t="s">
        <v>1264</v>
      </c>
      <c r="BB127"/>
    </row>
    <row r="128" spans="1:54" x14ac:dyDescent="0.2">
      <c r="A128" s="225" t="str">
        <f t="shared" si="1"/>
        <v>As Reported EBITDA</v>
      </c>
      <c r="B128" s="218" t="s">
        <v>794</v>
      </c>
      <c r="C128" s="251" t="s">
        <v>1195</v>
      </c>
      <c r="D128" s="251" t="s">
        <v>1196</v>
      </c>
      <c r="E128" s="251" t="s">
        <v>1197</v>
      </c>
      <c r="F128" s="251" t="s">
        <v>1251</v>
      </c>
      <c r="G128" s="251" t="s">
        <v>1252</v>
      </c>
      <c r="H128" s="252" t="s">
        <v>1226</v>
      </c>
      <c r="I128" s="251" t="s">
        <v>1227</v>
      </c>
      <c r="J128" s="251" t="s">
        <v>1228</v>
      </c>
      <c r="K128" s="251" t="s">
        <v>1265</v>
      </c>
      <c r="BB128"/>
    </row>
    <row r="129" spans="1:54" x14ac:dyDescent="0.2">
      <c r="A129" s="225" t="str">
        <f t="shared" si="1"/>
        <v>Provision for Doubtful Accounts - Patient Service Revenue</v>
      </c>
      <c r="B129" s="218" t="s">
        <v>4</v>
      </c>
      <c r="C129" s="251" t="s">
        <v>1198</v>
      </c>
      <c r="D129" s="251" t="s">
        <v>1199</v>
      </c>
      <c r="E129" s="251" t="s">
        <v>1200</v>
      </c>
      <c r="F129" s="251" t="s">
        <v>1253</v>
      </c>
      <c r="G129" s="251" t="s">
        <v>1254</v>
      </c>
      <c r="H129" s="222" t="s">
        <v>1229</v>
      </c>
      <c r="I129" s="251" t="s">
        <v>1230</v>
      </c>
      <c r="J129" s="251" t="s">
        <v>1231</v>
      </c>
      <c r="K129" s="251" t="s">
        <v>1266</v>
      </c>
      <c r="BB129"/>
    </row>
    <row r="130" spans="1:54" x14ac:dyDescent="0.2">
      <c r="A130" s="225" t="str">
        <f t="shared" si="1"/>
        <v>Earnings to Parent before Extraordinary Items</v>
      </c>
      <c r="B130" s="218" t="s">
        <v>33</v>
      </c>
      <c r="C130" s="215" t="s">
        <v>1201</v>
      </c>
      <c r="D130" s="215" t="s">
        <v>1202</v>
      </c>
      <c r="E130" s="251" t="s">
        <v>1203</v>
      </c>
      <c r="F130" s="251" t="s">
        <v>1255</v>
      </c>
      <c r="G130" s="251" t="s">
        <v>1256</v>
      </c>
      <c r="H130" s="222" t="s">
        <v>1232</v>
      </c>
      <c r="I130" s="251" t="s">
        <v>1233</v>
      </c>
      <c r="J130" s="251" t="s">
        <v>1234</v>
      </c>
      <c r="K130" s="251" t="s">
        <v>1267</v>
      </c>
      <c r="BB130"/>
    </row>
    <row r="131" spans="1:54" x14ac:dyDescent="0.2">
      <c r="A131" s="225" t="str">
        <f t="shared" si="1"/>
        <v>Net Income per SFAS 123 (after Options)</v>
      </c>
      <c r="B131" s="218" t="s">
        <v>249</v>
      </c>
      <c r="C131" s="251" t="s">
        <v>1204</v>
      </c>
      <c r="D131" s="251" t="s">
        <v>1205</v>
      </c>
      <c r="E131" s="251" t="s">
        <v>1206</v>
      </c>
      <c r="F131" s="251" t="s">
        <v>1257</v>
      </c>
      <c r="G131" s="251" t="s">
        <v>1258</v>
      </c>
      <c r="H131" s="222" t="s">
        <v>1235</v>
      </c>
      <c r="I131" s="251" t="s">
        <v>1236</v>
      </c>
      <c r="J131" s="251" t="s">
        <v>1237</v>
      </c>
      <c r="K131" s="251" t="s">
        <v>1268</v>
      </c>
      <c r="BB131"/>
    </row>
    <row r="132" spans="1:54" x14ac:dyDescent="0.2">
      <c r="A132" s="225" t="str">
        <f t="shared" si="1"/>
        <v>Interest Income</v>
      </c>
      <c r="B132" s="218" t="s">
        <v>773</v>
      </c>
      <c r="C132" s="218" t="s">
        <v>7299</v>
      </c>
      <c r="D132" s="251" t="s">
        <v>7300</v>
      </c>
      <c r="E132" s="218" t="s">
        <v>7301</v>
      </c>
      <c r="F132" s="218" t="s">
        <v>7302</v>
      </c>
      <c r="G132" s="218" t="s">
        <v>7303</v>
      </c>
      <c r="H132" s="218" t="s">
        <v>7304</v>
      </c>
      <c r="I132" s="218" t="s">
        <v>7305</v>
      </c>
      <c r="J132" s="218" t="s">
        <v>7306</v>
      </c>
      <c r="K132" s="218" t="s">
        <v>7307</v>
      </c>
      <c r="BB132"/>
    </row>
    <row r="133" spans="1:54" x14ac:dyDescent="0.2">
      <c r="A133" s="225" t="str">
        <f t="shared" si="1"/>
        <v>Investment Income</v>
      </c>
      <c r="B133" s="218" t="s">
        <v>775</v>
      </c>
      <c r="C133" s="251" t="s">
        <v>1269</v>
      </c>
      <c r="D133" s="251" t="s">
        <v>1270</v>
      </c>
      <c r="E133" s="251" t="s">
        <v>1271</v>
      </c>
      <c r="F133" s="251" t="s">
        <v>1341</v>
      </c>
      <c r="G133" s="251" t="s">
        <v>1342</v>
      </c>
      <c r="H133" s="222" t="s">
        <v>1305</v>
      </c>
      <c r="I133" s="251" t="s">
        <v>1306</v>
      </c>
      <c r="J133" s="251" t="s">
        <v>1307</v>
      </c>
      <c r="K133" s="251" t="s">
        <v>1365</v>
      </c>
      <c r="BB133"/>
    </row>
    <row r="134" spans="1:54" x14ac:dyDescent="0.2">
      <c r="A134" s="225" t="str">
        <f t="shared" si="1"/>
        <v>Excise Taxes Excluded from Sales</v>
      </c>
      <c r="B134" s="218" t="s">
        <v>655</v>
      </c>
      <c r="C134" s="251" t="s">
        <v>1272</v>
      </c>
      <c r="D134" s="251" t="s">
        <v>1273</v>
      </c>
      <c r="E134" s="251" t="s">
        <v>1274</v>
      </c>
      <c r="F134" s="251" t="s">
        <v>1343</v>
      </c>
      <c r="G134" s="251" t="s">
        <v>1344</v>
      </c>
      <c r="H134" s="222" t="s">
        <v>1308</v>
      </c>
      <c r="I134" s="251" t="s">
        <v>1309</v>
      </c>
      <c r="J134" s="251" t="s">
        <v>1310</v>
      </c>
      <c r="K134" s="251" t="s">
        <v>1366</v>
      </c>
      <c r="BB134"/>
    </row>
    <row r="135" spans="1:54" x14ac:dyDescent="0.2">
      <c r="A135" s="225" t="str">
        <f t="shared" si="1"/>
        <v>Excise Taxes Included in Sales</v>
      </c>
      <c r="B135" s="218" t="s">
        <v>656</v>
      </c>
      <c r="C135" s="251" t="s">
        <v>1275</v>
      </c>
      <c r="D135" s="251" t="s">
        <v>1276</v>
      </c>
      <c r="E135" s="251" t="s">
        <v>1277</v>
      </c>
      <c r="F135" s="251" t="s">
        <v>1345</v>
      </c>
      <c r="G135" s="251" t="s">
        <v>1346</v>
      </c>
      <c r="H135" s="222" t="s">
        <v>1311</v>
      </c>
      <c r="I135" s="251" t="s">
        <v>1312</v>
      </c>
      <c r="J135" s="251" t="s">
        <v>1313</v>
      </c>
      <c r="K135" s="251" t="s">
        <v>1367</v>
      </c>
      <c r="BB135"/>
    </row>
    <row r="136" spans="1:54" x14ac:dyDescent="0.2">
      <c r="A136" s="225" t="str">
        <f t="shared" si="1"/>
        <v>Current Domestic Taxes</v>
      </c>
      <c r="B136" s="218" t="s">
        <v>580</v>
      </c>
      <c r="C136" s="251" t="s">
        <v>1278</v>
      </c>
      <c r="D136" s="251" t="s">
        <v>1279</v>
      </c>
      <c r="E136" s="251" t="s">
        <v>1280</v>
      </c>
      <c r="F136" s="251" t="s">
        <v>1347</v>
      </c>
      <c r="G136" s="251" t="s">
        <v>1348</v>
      </c>
      <c r="H136" s="222" t="s">
        <v>1314</v>
      </c>
      <c r="I136" s="251" t="s">
        <v>1315</v>
      </c>
      <c r="J136" s="251" t="s">
        <v>1316</v>
      </c>
      <c r="K136" s="251" t="s">
        <v>1368</v>
      </c>
      <c r="BB136"/>
    </row>
    <row r="137" spans="1:54" x14ac:dyDescent="0.2">
      <c r="A137" s="225" t="str">
        <f t="shared" ref="A137:A200" si="2">INDEX($B137:$CV137,$A$4)</f>
        <v>Current Foreign Taxes</v>
      </c>
      <c r="B137" s="218" t="s">
        <v>581</v>
      </c>
      <c r="C137" s="251" t="s">
        <v>1281</v>
      </c>
      <c r="D137" s="251" t="s">
        <v>1282</v>
      </c>
      <c r="E137" s="251" t="s">
        <v>1283</v>
      </c>
      <c r="F137" s="251" t="s">
        <v>1349</v>
      </c>
      <c r="G137" s="251" t="s">
        <v>1350</v>
      </c>
      <c r="H137" s="222" t="s">
        <v>1317</v>
      </c>
      <c r="I137" s="251" t="s">
        <v>1318</v>
      </c>
      <c r="J137" s="251" t="s">
        <v>1319</v>
      </c>
      <c r="K137" s="251" t="s">
        <v>1369</v>
      </c>
      <c r="BB137"/>
    </row>
    <row r="138" spans="1:54" x14ac:dyDescent="0.2">
      <c r="A138" s="225" t="str">
        <f t="shared" si="2"/>
        <v>Total Current Taxes</v>
      </c>
      <c r="B138" s="218" t="s">
        <v>744</v>
      </c>
      <c r="C138" s="251" t="s">
        <v>1284</v>
      </c>
      <c r="D138" s="251" t="s">
        <v>1285</v>
      </c>
      <c r="E138" s="251" t="s">
        <v>1286</v>
      </c>
      <c r="F138" s="251" t="s">
        <v>1351</v>
      </c>
      <c r="G138" s="251" t="s">
        <v>1352</v>
      </c>
      <c r="H138" s="222" t="s">
        <v>1320</v>
      </c>
      <c r="I138" s="251" t="s">
        <v>1321</v>
      </c>
      <c r="J138" s="251" t="s">
        <v>1322</v>
      </c>
      <c r="K138" s="251" t="s">
        <v>1370</v>
      </c>
      <c r="BB138"/>
    </row>
    <row r="139" spans="1:54" x14ac:dyDescent="0.2">
      <c r="A139" s="225" t="str">
        <f t="shared" si="2"/>
        <v>Deferred Domestic Taxes</v>
      </c>
      <c r="B139" s="218" t="s">
        <v>582</v>
      </c>
      <c r="C139" s="251" t="s">
        <v>1287</v>
      </c>
      <c r="D139" s="251" t="s">
        <v>1288</v>
      </c>
      <c r="E139" s="251" t="s">
        <v>1289</v>
      </c>
      <c r="F139" s="251" t="s">
        <v>1353</v>
      </c>
      <c r="G139" s="251" t="s">
        <v>1354</v>
      </c>
      <c r="H139" s="222" t="s">
        <v>1323</v>
      </c>
      <c r="I139" s="251" t="s">
        <v>1324</v>
      </c>
      <c r="J139" s="251" t="s">
        <v>1325</v>
      </c>
      <c r="K139" s="251" t="s">
        <v>1371</v>
      </c>
      <c r="BB139"/>
    </row>
    <row r="140" spans="1:54" x14ac:dyDescent="0.2">
      <c r="A140" s="225" t="str">
        <f t="shared" si="2"/>
        <v>Deferred Foreign Taxes</v>
      </c>
      <c r="B140" s="218" t="s">
        <v>583</v>
      </c>
      <c r="C140" s="251" t="s">
        <v>1290</v>
      </c>
      <c r="D140" s="251" t="s">
        <v>1291</v>
      </c>
      <c r="E140" s="251" t="s">
        <v>1292</v>
      </c>
      <c r="F140" s="251" t="s">
        <v>1355</v>
      </c>
      <c r="G140" s="251" t="s">
        <v>1356</v>
      </c>
      <c r="H140" s="222" t="s">
        <v>1326</v>
      </c>
      <c r="I140" s="251" t="s">
        <v>1327</v>
      </c>
      <c r="J140" s="251" t="s">
        <v>1328</v>
      </c>
      <c r="K140" s="251" t="s">
        <v>1372</v>
      </c>
      <c r="BB140"/>
    </row>
    <row r="141" spans="1:54" x14ac:dyDescent="0.2">
      <c r="A141" s="225" t="str">
        <f t="shared" si="2"/>
        <v>Total Deferred Taxes</v>
      </c>
      <c r="B141" s="218" t="s">
        <v>745</v>
      </c>
      <c r="C141" s="251" t="s">
        <v>1293</v>
      </c>
      <c r="D141" s="251" t="s">
        <v>1294</v>
      </c>
      <c r="E141" s="251" t="s">
        <v>1295</v>
      </c>
      <c r="F141" s="251" t="s">
        <v>1357</v>
      </c>
      <c r="G141" s="251" t="s">
        <v>1358</v>
      </c>
      <c r="H141" s="222" t="s">
        <v>1329</v>
      </c>
      <c r="I141" s="251" t="s">
        <v>1330</v>
      </c>
      <c r="J141" s="251" t="s">
        <v>1331</v>
      </c>
      <c r="K141" s="251" t="s">
        <v>1373</v>
      </c>
      <c r="BB141"/>
    </row>
    <row r="142" spans="1:54" x14ac:dyDescent="0.2">
      <c r="A142" s="225" t="str">
        <f t="shared" si="2"/>
        <v>Non-Recurring Income Taxes</v>
      </c>
      <c r="B142" s="218" t="s">
        <v>789</v>
      </c>
      <c r="C142" s="251" t="s">
        <v>1296</v>
      </c>
      <c r="D142" s="251" t="s">
        <v>1297</v>
      </c>
      <c r="E142" s="251" t="s">
        <v>1298</v>
      </c>
      <c r="F142" s="251" t="s">
        <v>1359</v>
      </c>
      <c r="G142" s="251" t="s">
        <v>1360</v>
      </c>
      <c r="H142" s="222" t="s">
        <v>1332</v>
      </c>
      <c r="I142" s="251" t="s">
        <v>1333</v>
      </c>
      <c r="J142" s="251" t="s">
        <v>1334</v>
      </c>
      <c r="K142" s="251" t="s">
        <v>1374</v>
      </c>
      <c r="BB142"/>
    </row>
    <row r="143" spans="1:54" x14ac:dyDescent="0.2">
      <c r="A143" s="225" t="str">
        <f t="shared" si="2"/>
        <v>Normalized Net Income</v>
      </c>
      <c r="B143" s="218" t="s">
        <v>584</v>
      </c>
      <c r="C143" s="251" t="s">
        <v>1299</v>
      </c>
      <c r="D143" s="251" t="s">
        <v>1300</v>
      </c>
      <c r="E143" s="251" t="s">
        <v>1301</v>
      </c>
      <c r="F143" s="251" t="s">
        <v>1361</v>
      </c>
      <c r="G143" s="251" t="s">
        <v>1362</v>
      </c>
      <c r="H143" s="222" t="s">
        <v>1335</v>
      </c>
      <c r="I143" s="251" t="s">
        <v>1336</v>
      </c>
      <c r="J143" s="251" t="s">
        <v>1337</v>
      </c>
      <c r="K143" s="251" t="s">
        <v>1375</v>
      </c>
      <c r="BB143"/>
    </row>
    <row r="144" spans="1:54" x14ac:dyDescent="0.2">
      <c r="A144" s="225" t="str">
        <f t="shared" si="2"/>
        <v>Diluted Net Income</v>
      </c>
      <c r="B144" s="218" t="s">
        <v>609</v>
      </c>
      <c r="C144" s="251" t="s">
        <v>1302</v>
      </c>
      <c r="D144" s="251" t="s">
        <v>1303</v>
      </c>
      <c r="E144" s="251" t="s">
        <v>1304</v>
      </c>
      <c r="F144" s="251" t="s">
        <v>1363</v>
      </c>
      <c r="G144" s="251" t="s">
        <v>1364</v>
      </c>
      <c r="H144" s="222" t="s">
        <v>1338</v>
      </c>
      <c r="I144" s="251" t="s">
        <v>1339</v>
      </c>
      <c r="J144" s="251" t="s">
        <v>1340</v>
      </c>
      <c r="K144" s="251" t="s">
        <v>1376</v>
      </c>
      <c r="BB144"/>
    </row>
    <row r="145" spans="1:54" x14ac:dyDescent="0.2">
      <c r="A145" s="225" t="str">
        <f t="shared" si="2"/>
        <v>Interest Capitalized</v>
      </c>
      <c r="B145" s="218" t="s">
        <v>537</v>
      </c>
      <c r="C145" s="251" t="s">
        <v>1377</v>
      </c>
      <c r="D145" s="251" t="s">
        <v>1378</v>
      </c>
      <c r="E145" s="251" t="s">
        <v>1379</v>
      </c>
      <c r="F145" s="251" t="s">
        <v>1431</v>
      </c>
      <c r="G145" s="251" t="s">
        <v>1432</v>
      </c>
      <c r="H145" s="222" t="s">
        <v>1404</v>
      </c>
      <c r="I145" s="251" t="s">
        <v>1405</v>
      </c>
      <c r="J145" s="251" t="s">
        <v>1406</v>
      </c>
      <c r="K145" s="251" t="s">
        <v>1449</v>
      </c>
      <c r="BB145"/>
    </row>
    <row r="146" spans="1:54" x14ac:dyDescent="0.2">
      <c r="A146" s="225" t="str">
        <f t="shared" si="2"/>
        <v>Interest On Long Term Debt</v>
      </c>
      <c r="B146" s="218" t="s">
        <v>585</v>
      </c>
      <c r="C146" s="251" t="s">
        <v>1380</v>
      </c>
      <c r="D146" s="251" t="s">
        <v>1381</v>
      </c>
      <c r="E146" s="251" t="s">
        <v>1382</v>
      </c>
      <c r="F146" s="251" t="s">
        <v>1433</v>
      </c>
      <c r="G146" s="251" t="s">
        <v>1434</v>
      </c>
      <c r="H146" s="222" t="s">
        <v>1407</v>
      </c>
      <c r="I146" s="251" t="s">
        <v>1408</v>
      </c>
      <c r="J146" s="251" t="s">
        <v>1409</v>
      </c>
      <c r="K146" s="251" t="s">
        <v>1450</v>
      </c>
      <c r="BB146"/>
    </row>
    <row r="147" spans="1:54" x14ac:dyDescent="0.2">
      <c r="A147" s="225" t="str">
        <f t="shared" si="2"/>
        <v>Interest Expenses On Lease Liability/Debt</v>
      </c>
      <c r="B147" s="218" t="s">
        <v>790</v>
      </c>
      <c r="C147" s="251" t="s">
        <v>1383</v>
      </c>
      <c r="D147" s="251" t="s">
        <v>1384</v>
      </c>
      <c r="E147" s="251" t="s">
        <v>1385</v>
      </c>
      <c r="F147" s="251" t="s">
        <v>1435</v>
      </c>
      <c r="G147" s="251" t="s">
        <v>1436</v>
      </c>
      <c r="H147" s="222" t="s">
        <v>1410</v>
      </c>
      <c r="I147" s="251" t="s">
        <v>1411</v>
      </c>
      <c r="J147" s="251" t="s">
        <v>1412</v>
      </c>
      <c r="K147" s="251" t="s">
        <v>1451</v>
      </c>
      <c r="BB147"/>
    </row>
    <row r="148" spans="1:54" x14ac:dyDescent="0.2">
      <c r="A148" s="225" t="str">
        <f t="shared" si="2"/>
        <v>Interest Expense (Incl. Cap. Interest)</v>
      </c>
      <c r="B148" s="218" t="s">
        <v>589</v>
      </c>
      <c r="C148" s="251" t="s">
        <v>1386</v>
      </c>
      <c r="D148" s="251" t="s">
        <v>1387</v>
      </c>
      <c r="E148" s="251" t="s">
        <v>1388</v>
      </c>
      <c r="F148" s="251" t="s">
        <v>1437</v>
      </c>
      <c r="G148" s="251" t="s">
        <v>1438</v>
      </c>
      <c r="H148" s="222" t="s">
        <v>1413</v>
      </c>
      <c r="I148" s="251" t="s">
        <v>1414</v>
      </c>
      <c r="J148" s="251" t="s">
        <v>1415</v>
      </c>
      <c r="K148" s="251" t="s">
        <v>1452</v>
      </c>
      <c r="BB148"/>
    </row>
    <row r="149" spans="1:54" x14ac:dyDescent="0.2">
      <c r="A149" s="225" t="str">
        <f t="shared" si="2"/>
        <v>Non-Cash Pension Expense</v>
      </c>
      <c r="B149" s="218" t="s">
        <v>586</v>
      </c>
      <c r="C149" s="251" t="s">
        <v>1389</v>
      </c>
      <c r="D149" s="251" t="s">
        <v>1390</v>
      </c>
      <c r="E149" s="251" t="s">
        <v>1391</v>
      </c>
      <c r="F149" s="251" t="s">
        <v>1439</v>
      </c>
      <c r="G149" s="251" t="s">
        <v>1440</v>
      </c>
      <c r="H149" s="222" t="s">
        <v>1416</v>
      </c>
      <c r="I149" s="251" t="s">
        <v>1417</v>
      </c>
      <c r="J149" s="251" t="s">
        <v>1418</v>
      </c>
      <c r="K149" s="251" t="s">
        <v>1453</v>
      </c>
      <c r="BB149"/>
    </row>
    <row r="150" spans="1:54" x14ac:dyDescent="0.2">
      <c r="A150" s="225" t="str">
        <f t="shared" si="2"/>
        <v>D&amp;A For EBITDA</v>
      </c>
      <c r="B150" s="218" t="s">
        <v>587</v>
      </c>
      <c r="C150" s="251" t="s">
        <v>1392</v>
      </c>
      <c r="D150" s="251" t="s">
        <v>1393</v>
      </c>
      <c r="E150" s="251" t="s">
        <v>1394</v>
      </c>
      <c r="F150" s="251" t="s">
        <v>1441</v>
      </c>
      <c r="G150" s="251" t="s">
        <v>1442</v>
      </c>
      <c r="H150" s="222" t="s">
        <v>1419</v>
      </c>
      <c r="I150" s="251" t="s">
        <v>1420</v>
      </c>
      <c r="J150" s="251" t="s">
        <v>1421</v>
      </c>
      <c r="K150" s="251" t="s">
        <v>1454</v>
      </c>
      <c r="BB150"/>
    </row>
    <row r="151" spans="1:54" x14ac:dyDescent="0.2">
      <c r="A151" s="225" t="str">
        <f t="shared" si="2"/>
        <v>Distributable Cash</v>
      </c>
      <c r="B151" s="218" t="s">
        <v>588</v>
      </c>
      <c r="C151" s="251" t="s">
        <v>1395</v>
      </c>
      <c r="D151" s="251" t="s">
        <v>1396</v>
      </c>
      <c r="E151" s="251" t="s">
        <v>1397</v>
      </c>
      <c r="F151" s="251" t="s">
        <v>1443</v>
      </c>
      <c r="G151" s="251" t="s">
        <v>1444</v>
      </c>
      <c r="H151" s="222" t="s">
        <v>1422</v>
      </c>
      <c r="I151" s="251" t="s">
        <v>1423</v>
      </c>
      <c r="J151" s="251" t="s">
        <v>1424</v>
      </c>
      <c r="K151" s="251" t="s">
        <v>1455</v>
      </c>
      <c r="BB151"/>
    </row>
    <row r="152" spans="1:54" x14ac:dyDescent="0.2">
      <c r="A152" s="225" t="str">
        <f t="shared" si="2"/>
        <v>Standardized Distributable Cash</v>
      </c>
      <c r="B152" s="218" t="s">
        <v>748</v>
      </c>
      <c r="C152" s="251" t="s">
        <v>1398</v>
      </c>
      <c r="D152" s="251" t="s">
        <v>1399</v>
      </c>
      <c r="E152" s="251" t="s">
        <v>1400</v>
      </c>
      <c r="F152" s="251" t="s">
        <v>1445</v>
      </c>
      <c r="G152" s="251" t="s">
        <v>1446</v>
      </c>
      <c r="H152" s="222" t="s">
        <v>1425</v>
      </c>
      <c r="I152" s="251" t="s">
        <v>1426</v>
      </c>
      <c r="J152" s="251" t="s">
        <v>1427</v>
      </c>
      <c r="K152" s="251" t="s">
        <v>1456</v>
      </c>
      <c r="BB152"/>
    </row>
    <row r="153" spans="1:54" x14ac:dyDescent="0.2">
      <c r="A153" s="225" t="str">
        <f t="shared" si="2"/>
        <v>Annualized Distributions per Unit</v>
      </c>
      <c r="B153" s="218" t="s">
        <v>605</v>
      </c>
      <c r="C153" s="251" t="s">
        <v>1401</v>
      </c>
      <c r="D153" s="251" t="s">
        <v>1402</v>
      </c>
      <c r="E153" s="251" t="s">
        <v>1403</v>
      </c>
      <c r="F153" s="251" t="s">
        <v>1447</v>
      </c>
      <c r="G153" s="251" t="s">
        <v>1448</v>
      </c>
      <c r="H153" s="222" t="s">
        <v>1428</v>
      </c>
      <c r="I153" s="251" t="s">
        <v>1429</v>
      </c>
      <c r="J153" s="251" t="s">
        <v>1430</v>
      </c>
      <c r="K153" s="251" t="s">
        <v>1457</v>
      </c>
      <c r="BB153"/>
    </row>
    <row r="154" spans="1:54" x14ac:dyDescent="0.2">
      <c r="A154" s="225" t="str">
        <f t="shared" si="2"/>
        <v>Distributable Cash Payout Ratio (Income Trusts)</v>
      </c>
      <c r="B154" s="218" t="s">
        <v>626</v>
      </c>
      <c r="C154" s="251" t="s">
        <v>1458</v>
      </c>
      <c r="D154" s="251" t="s">
        <v>1459</v>
      </c>
      <c r="E154" s="251" t="s">
        <v>1460</v>
      </c>
      <c r="F154" s="251" t="s">
        <v>1469</v>
      </c>
      <c r="G154" s="251" t="s">
        <v>1470</v>
      </c>
      <c r="H154" s="222" t="s">
        <v>1463</v>
      </c>
      <c r="I154" s="251" t="s">
        <v>1464</v>
      </c>
      <c r="J154" s="251" t="s">
        <v>1465</v>
      </c>
      <c r="K154" s="251" t="s">
        <v>1473</v>
      </c>
      <c r="BB154"/>
    </row>
    <row r="155" spans="1:54" x14ac:dyDescent="0.2">
      <c r="A155" s="225" t="str">
        <f t="shared" si="2"/>
        <v>Common Stock Dividend Declared</v>
      </c>
      <c r="B155" s="218" t="s">
        <v>590</v>
      </c>
      <c r="C155" s="251" t="s">
        <v>1461</v>
      </c>
      <c r="D155" s="251" t="s">
        <v>1461</v>
      </c>
      <c r="E155" s="251" t="s">
        <v>1462</v>
      </c>
      <c r="F155" s="251" t="s">
        <v>1471</v>
      </c>
      <c r="G155" s="251" t="s">
        <v>1472</v>
      </c>
      <c r="H155" s="222" t="s">
        <v>1466</v>
      </c>
      <c r="I155" s="251" t="s">
        <v>1467</v>
      </c>
      <c r="J155" s="251" t="s">
        <v>1468</v>
      </c>
      <c r="K155" s="251" t="s">
        <v>1474</v>
      </c>
      <c r="BB155"/>
    </row>
    <row r="156" spans="1:54" x14ac:dyDescent="0.2">
      <c r="A156" s="225" t="str">
        <f t="shared" si="2"/>
        <v>Effective Tax Rate (%)</v>
      </c>
      <c r="B156" s="218" t="s">
        <v>411</v>
      </c>
      <c r="C156" s="218" t="s">
        <v>7308</v>
      </c>
      <c r="D156" s="251" t="s">
        <v>7309</v>
      </c>
      <c r="E156" s="218" t="s">
        <v>7310</v>
      </c>
      <c r="F156" s="218" t="s">
        <v>7311</v>
      </c>
      <c r="G156" s="218" t="s">
        <v>7312</v>
      </c>
      <c r="H156" s="218" t="s">
        <v>7313</v>
      </c>
      <c r="I156" s="218" t="s">
        <v>7314</v>
      </c>
      <c r="J156" s="218" t="s">
        <v>7315</v>
      </c>
      <c r="K156" s="218" t="s">
        <v>7316</v>
      </c>
      <c r="BB156"/>
    </row>
    <row r="157" spans="1:54" x14ac:dyDescent="0.2">
      <c r="A157" s="225" t="str">
        <f t="shared" si="2"/>
        <v>Payout Ratio (%)</v>
      </c>
      <c r="B157" s="218" t="s">
        <v>412</v>
      </c>
      <c r="C157" s="251" t="s">
        <v>1475</v>
      </c>
      <c r="D157" s="251" t="s">
        <v>1475</v>
      </c>
      <c r="E157" s="251" t="s">
        <v>1476</v>
      </c>
      <c r="F157" s="251" t="s">
        <v>1516</v>
      </c>
      <c r="G157" s="251" t="s">
        <v>1517</v>
      </c>
      <c r="H157" s="222" t="s">
        <v>1495</v>
      </c>
      <c r="I157" s="251" t="s">
        <v>1496</v>
      </c>
      <c r="J157" s="251" t="s">
        <v>1497</v>
      </c>
      <c r="K157" s="251" t="s">
        <v>1530</v>
      </c>
      <c r="BB157"/>
    </row>
    <row r="158" spans="1:54" x14ac:dyDescent="0.2">
      <c r="A158" s="225" t="str">
        <f t="shared" si="2"/>
        <v>Debt Issuance Costs</v>
      </c>
      <c r="B158" s="218" t="s">
        <v>714</v>
      </c>
      <c r="C158" s="251" t="s">
        <v>1477</v>
      </c>
      <c r="D158" s="251" t="s">
        <v>1478</v>
      </c>
      <c r="E158" s="251" t="s">
        <v>1479</v>
      </c>
      <c r="F158" s="251" t="s">
        <v>1518</v>
      </c>
      <c r="G158" s="251" t="s">
        <v>1519</v>
      </c>
      <c r="H158" s="222" t="s">
        <v>1498</v>
      </c>
      <c r="I158" s="251" t="s">
        <v>1499</v>
      </c>
      <c r="J158" s="251" t="s">
        <v>1500</v>
      </c>
      <c r="K158" s="251" t="s">
        <v>1531</v>
      </c>
      <c r="BB158"/>
    </row>
    <row r="159" spans="1:54" x14ac:dyDescent="0.2">
      <c r="A159" s="225" t="str">
        <f t="shared" si="2"/>
        <v>Filing Currency</v>
      </c>
      <c r="B159" s="218" t="s">
        <v>608</v>
      </c>
      <c r="C159" s="251" t="s">
        <v>1480</v>
      </c>
      <c r="D159" s="251" t="s">
        <v>1481</v>
      </c>
      <c r="E159" s="251" t="s">
        <v>1482</v>
      </c>
      <c r="F159" s="251" t="s">
        <v>1520</v>
      </c>
      <c r="G159" s="251" t="s">
        <v>1521</v>
      </c>
      <c r="H159" s="222" t="s">
        <v>1501</v>
      </c>
      <c r="I159" s="251" t="s">
        <v>1502</v>
      </c>
      <c r="J159" s="251" t="s">
        <v>1503</v>
      </c>
      <c r="K159" s="251" t="s">
        <v>1532</v>
      </c>
      <c r="BB159"/>
    </row>
    <row r="160" spans="1:54" x14ac:dyDescent="0.2">
      <c r="A160" s="225" t="str">
        <f t="shared" si="2"/>
        <v>Restatement Type</v>
      </c>
      <c r="B160" s="218" t="s">
        <v>606</v>
      </c>
      <c r="C160" s="251" t="s">
        <v>1483</v>
      </c>
      <c r="D160" s="251" t="s">
        <v>1484</v>
      </c>
      <c r="E160" s="251" t="s">
        <v>1485</v>
      </c>
      <c r="F160" s="251" t="s">
        <v>1522</v>
      </c>
      <c r="G160" s="251" t="s">
        <v>1523</v>
      </c>
      <c r="H160" s="222" t="s">
        <v>1504</v>
      </c>
      <c r="I160" s="251" t="s">
        <v>1505</v>
      </c>
      <c r="J160" s="251" t="s">
        <v>1506</v>
      </c>
      <c r="K160" s="251" t="s">
        <v>1533</v>
      </c>
      <c r="BB160"/>
    </row>
    <row r="161" spans="1:54" x14ac:dyDescent="0.2">
      <c r="A161" s="225" t="str">
        <f t="shared" si="2"/>
        <v>Calculation Type</v>
      </c>
      <c r="B161" s="218" t="s">
        <v>607</v>
      </c>
      <c r="C161" s="251" t="s">
        <v>1486</v>
      </c>
      <c r="D161" s="251" t="s">
        <v>1487</v>
      </c>
      <c r="E161" s="251" t="s">
        <v>1488</v>
      </c>
      <c r="F161" s="251" t="s">
        <v>1524</v>
      </c>
      <c r="G161" s="251" t="s">
        <v>1525</v>
      </c>
      <c r="H161" s="222" t="s">
        <v>1507</v>
      </c>
      <c r="I161" s="251" t="s">
        <v>1508</v>
      </c>
      <c r="J161" s="251" t="s">
        <v>1509</v>
      </c>
      <c r="K161" s="251" t="s">
        <v>1534</v>
      </c>
      <c r="BB161"/>
    </row>
    <row r="162" spans="1:54" x14ac:dyDescent="0.2">
      <c r="A162" s="225" t="str">
        <f t="shared" si="2"/>
        <v>Financial Accounting Standard</v>
      </c>
      <c r="B162" s="218" t="s">
        <v>658</v>
      </c>
      <c r="C162" s="251" t="s">
        <v>1489</v>
      </c>
      <c r="D162" s="251" t="s">
        <v>1490</v>
      </c>
      <c r="E162" s="251" t="s">
        <v>1491</v>
      </c>
      <c r="F162" s="251" t="s">
        <v>1526</v>
      </c>
      <c r="G162" s="251" t="s">
        <v>1527</v>
      </c>
      <c r="H162" s="222" t="s">
        <v>1510</v>
      </c>
      <c r="I162" s="251" t="s">
        <v>1511</v>
      </c>
      <c r="J162" s="251" t="s">
        <v>1512</v>
      </c>
      <c r="K162" s="251" t="s">
        <v>1535</v>
      </c>
      <c r="BB162"/>
    </row>
    <row r="163" spans="1:54" x14ac:dyDescent="0.2">
      <c r="A163" s="225" t="str">
        <f t="shared" si="2"/>
        <v>Supplemental Operating Expense Items</v>
      </c>
      <c r="B163" s="218" t="s">
        <v>677</v>
      </c>
      <c r="C163" s="251" t="s">
        <v>1492</v>
      </c>
      <c r="D163" s="251" t="s">
        <v>1493</v>
      </c>
      <c r="E163" s="251" t="s">
        <v>1494</v>
      </c>
      <c r="F163" s="251" t="s">
        <v>1528</v>
      </c>
      <c r="G163" s="251" t="s">
        <v>1529</v>
      </c>
      <c r="H163" s="252" t="s">
        <v>1513</v>
      </c>
      <c r="I163" s="251" t="s">
        <v>1514</v>
      </c>
      <c r="J163" s="251" t="s">
        <v>1515</v>
      </c>
      <c r="K163" s="251" t="s">
        <v>1536</v>
      </c>
      <c r="BB163"/>
    </row>
    <row r="164" spans="1:54" x14ac:dyDescent="0.2">
      <c r="A164" s="225" t="str">
        <f t="shared" si="2"/>
        <v>Advertising Expense</v>
      </c>
      <c r="B164" s="218" t="s">
        <v>627</v>
      </c>
      <c r="C164" s="251" t="s">
        <v>7317</v>
      </c>
      <c r="D164" s="251" t="s">
        <v>7318</v>
      </c>
      <c r="E164" s="251" t="s">
        <v>7319</v>
      </c>
      <c r="F164" s="251" t="s">
        <v>7320</v>
      </c>
      <c r="G164" s="251" t="s">
        <v>7321</v>
      </c>
      <c r="H164" s="222" t="s">
        <v>7322</v>
      </c>
      <c r="I164" s="251" t="s">
        <v>7323</v>
      </c>
      <c r="J164" s="251" t="s">
        <v>7324</v>
      </c>
      <c r="K164" s="251" t="s">
        <v>7325</v>
      </c>
      <c r="BB164"/>
    </row>
    <row r="165" spans="1:54" x14ac:dyDescent="0.2">
      <c r="A165" s="225" t="str">
        <f t="shared" si="2"/>
        <v>Marketing Expense</v>
      </c>
      <c r="B165" s="218" t="s">
        <v>591</v>
      </c>
      <c r="C165" s="251" t="s">
        <v>1537</v>
      </c>
      <c r="D165" s="251" t="s">
        <v>1538</v>
      </c>
      <c r="E165" s="251" t="s">
        <v>1539</v>
      </c>
      <c r="F165" s="251" t="s">
        <v>1549</v>
      </c>
      <c r="G165" s="251" t="s">
        <v>1550</v>
      </c>
      <c r="H165" s="222" t="s">
        <v>1543</v>
      </c>
      <c r="I165" s="251" t="s">
        <v>1544</v>
      </c>
      <c r="J165" s="251" t="s">
        <v>1545</v>
      </c>
      <c r="K165" s="251" t="s">
        <v>1553</v>
      </c>
      <c r="BB165"/>
    </row>
    <row r="166" spans="1:54" x14ac:dyDescent="0.2">
      <c r="A166" s="225" t="str">
        <f t="shared" si="2"/>
        <v>Selling And Marketing Expense</v>
      </c>
      <c r="B166" s="218" t="s">
        <v>592</v>
      </c>
      <c r="C166" s="251" t="s">
        <v>1540</v>
      </c>
      <c r="D166" s="251" t="s">
        <v>1541</v>
      </c>
      <c r="E166" s="251" t="s">
        <v>1542</v>
      </c>
      <c r="F166" s="251" t="s">
        <v>1551</v>
      </c>
      <c r="G166" s="251" t="s">
        <v>1552</v>
      </c>
      <c r="H166" s="222" t="s">
        <v>1546</v>
      </c>
      <c r="I166" s="251" t="s">
        <v>1547</v>
      </c>
      <c r="J166" s="251" t="s">
        <v>1548</v>
      </c>
      <c r="K166" s="251" t="s">
        <v>1554</v>
      </c>
      <c r="BB166"/>
    </row>
    <row r="167" spans="1:54" x14ac:dyDescent="0.2">
      <c r="A167" s="225" t="str">
        <f t="shared" si="2"/>
        <v>General and Administrative Expense</v>
      </c>
      <c r="B167" s="218" t="s">
        <v>593</v>
      </c>
      <c r="C167" s="251" t="s">
        <v>7326</v>
      </c>
      <c r="D167" s="251" t="s">
        <v>7327</v>
      </c>
      <c r="E167" s="218" t="s">
        <v>7328</v>
      </c>
      <c r="F167" s="218" t="s">
        <v>7329</v>
      </c>
      <c r="G167" s="218" t="s">
        <v>7330</v>
      </c>
      <c r="H167" s="218" t="s">
        <v>7331</v>
      </c>
      <c r="I167" s="218" t="s">
        <v>7332</v>
      </c>
      <c r="J167" s="218" t="s">
        <v>7333</v>
      </c>
      <c r="K167" s="218" t="s">
        <v>7334</v>
      </c>
      <c r="BB167"/>
    </row>
    <row r="168" spans="1:54" x14ac:dyDescent="0.2">
      <c r="A168" s="225" t="str">
        <f t="shared" si="2"/>
        <v>R&amp;D Expense (Foot Note)</v>
      </c>
      <c r="B168" s="218" t="s">
        <v>630</v>
      </c>
      <c r="C168" s="251" t="s">
        <v>1555</v>
      </c>
      <c r="D168" s="251" t="s">
        <v>1556</v>
      </c>
      <c r="E168" s="251" t="s">
        <v>1557</v>
      </c>
      <c r="F168" s="251" t="s">
        <v>1639</v>
      </c>
      <c r="G168" s="251" t="s">
        <v>1640</v>
      </c>
      <c r="H168" s="222" t="s">
        <v>1597</v>
      </c>
      <c r="I168" s="251" t="s">
        <v>1598</v>
      </c>
      <c r="J168" s="251" t="s">
        <v>1599</v>
      </c>
      <c r="K168" s="251" t="s">
        <v>1667</v>
      </c>
      <c r="BB168"/>
    </row>
    <row r="169" spans="1:54" x14ac:dyDescent="0.2">
      <c r="A169" s="225" t="str">
        <f t="shared" si="2"/>
        <v>Net Rental Expense, Total</v>
      </c>
      <c r="B169" s="218" t="s">
        <v>46</v>
      </c>
      <c r="C169" s="251" t="s">
        <v>1558</v>
      </c>
      <c r="D169" s="251" t="s">
        <v>1559</v>
      </c>
      <c r="E169" s="251" t="s">
        <v>1560</v>
      </c>
      <c r="F169" s="251" t="s">
        <v>1641</v>
      </c>
      <c r="G169" s="251" t="s">
        <v>1642</v>
      </c>
      <c r="H169" s="215" t="s">
        <v>1600</v>
      </c>
      <c r="I169" s="251" t="s">
        <v>1601</v>
      </c>
      <c r="J169" s="251" t="s">
        <v>1602</v>
      </c>
      <c r="K169" s="251" t="s">
        <v>1668</v>
      </c>
      <c r="BB169"/>
    </row>
    <row r="170" spans="1:54" x14ac:dyDescent="0.2">
      <c r="A170" s="225" t="str">
        <f t="shared" si="2"/>
        <v>Net Rental Expense</v>
      </c>
      <c r="B170" s="218" t="s">
        <v>48</v>
      </c>
      <c r="C170" s="251" t="s">
        <v>1561</v>
      </c>
      <c r="D170" s="251" t="s">
        <v>1562</v>
      </c>
      <c r="E170" s="251" t="s">
        <v>1563</v>
      </c>
      <c r="F170" s="251" t="s">
        <v>1643</v>
      </c>
      <c r="G170" s="251" t="s">
        <v>1644</v>
      </c>
      <c r="H170" s="215" t="s">
        <v>1603</v>
      </c>
      <c r="I170" s="251" t="s">
        <v>1604</v>
      </c>
      <c r="J170" s="251" t="s">
        <v>1605</v>
      </c>
      <c r="K170" s="251" t="s">
        <v>1669</v>
      </c>
      <c r="BB170"/>
    </row>
    <row r="171" spans="1:54" x14ac:dyDescent="0.2">
      <c r="A171" s="225" t="str">
        <f t="shared" si="2"/>
        <v>Net Rental Expense (Supple)</v>
      </c>
      <c r="B171" s="218" t="s">
        <v>49</v>
      </c>
      <c r="C171" s="251" t="s">
        <v>1564</v>
      </c>
      <c r="D171" s="251" t="s">
        <v>1565</v>
      </c>
      <c r="E171" s="251" t="s">
        <v>1566</v>
      </c>
      <c r="F171" s="251" t="s">
        <v>1645</v>
      </c>
      <c r="G171" s="251" t="s">
        <v>1646</v>
      </c>
      <c r="H171" s="215" t="s">
        <v>1606</v>
      </c>
      <c r="I171" s="251" t="s">
        <v>1607</v>
      </c>
      <c r="J171" s="251" t="s">
        <v>1608</v>
      </c>
      <c r="K171" s="251" t="s">
        <v>1670</v>
      </c>
      <c r="BB171"/>
    </row>
    <row r="172" spans="1:54" x14ac:dyDescent="0.2">
      <c r="A172" s="225" t="str">
        <f t="shared" si="2"/>
        <v>Contingent Rental Expense</v>
      </c>
      <c r="B172" s="218" t="s">
        <v>16</v>
      </c>
      <c r="C172" s="251" t="s">
        <v>1567</v>
      </c>
      <c r="D172" s="251" t="s">
        <v>1568</v>
      </c>
      <c r="E172" s="251" t="s">
        <v>1569</v>
      </c>
      <c r="F172" s="251" t="s">
        <v>1647</v>
      </c>
      <c r="G172" s="251" t="s">
        <v>1648</v>
      </c>
      <c r="H172" s="215" t="s">
        <v>1609</v>
      </c>
      <c r="I172" s="251" t="s">
        <v>1610</v>
      </c>
      <c r="J172" s="251" t="s">
        <v>1611</v>
      </c>
      <c r="K172" s="251" t="s">
        <v>1671</v>
      </c>
      <c r="BB172"/>
    </row>
    <row r="173" spans="1:54" x14ac:dyDescent="0.2">
      <c r="A173" s="225" t="str">
        <f t="shared" si="2"/>
        <v>Minimum Rental Expense</v>
      </c>
      <c r="B173" s="218" t="s">
        <v>39</v>
      </c>
      <c r="C173" s="251" t="s">
        <v>1570</v>
      </c>
      <c r="D173" s="251" t="s">
        <v>1571</v>
      </c>
      <c r="E173" s="251" t="s">
        <v>1572</v>
      </c>
      <c r="F173" s="251" t="s">
        <v>1649</v>
      </c>
      <c r="G173" s="251" t="s">
        <v>1650</v>
      </c>
      <c r="H173" s="215" t="s">
        <v>1612</v>
      </c>
      <c r="I173" s="251" t="s">
        <v>1613</v>
      </c>
      <c r="J173" s="251" t="s">
        <v>1614</v>
      </c>
      <c r="K173" s="251" t="s">
        <v>1672</v>
      </c>
      <c r="BB173"/>
    </row>
    <row r="174" spans="1:54" x14ac:dyDescent="0.2">
      <c r="A174" s="225" t="str">
        <f t="shared" si="2"/>
        <v>Other Rental Expense</v>
      </c>
      <c r="B174" s="218" t="s">
        <v>40</v>
      </c>
      <c r="C174" s="251" t="s">
        <v>1573</v>
      </c>
      <c r="D174" s="251" t="s">
        <v>1574</v>
      </c>
      <c r="E174" s="251" t="s">
        <v>1575</v>
      </c>
      <c r="F174" s="251" t="s">
        <v>1651</v>
      </c>
      <c r="G174" s="251" t="s">
        <v>1652</v>
      </c>
      <c r="H174" s="215" t="s">
        <v>1615</v>
      </c>
      <c r="I174" s="251" t="s">
        <v>1616</v>
      </c>
      <c r="J174" s="251" t="s">
        <v>1617</v>
      </c>
      <c r="K174" s="251" t="s">
        <v>1673</v>
      </c>
      <c r="BB174"/>
    </row>
    <row r="175" spans="1:54" x14ac:dyDescent="0.2">
      <c r="A175" s="225" t="str">
        <f t="shared" si="2"/>
        <v>Aircraft Rental Expense</v>
      </c>
      <c r="B175" s="218" t="s">
        <v>26</v>
      </c>
      <c r="C175" s="251" t="s">
        <v>1576</v>
      </c>
      <c r="D175" s="251" t="s">
        <v>1577</v>
      </c>
      <c r="E175" s="251" t="s">
        <v>1578</v>
      </c>
      <c r="F175" s="251" t="s">
        <v>1653</v>
      </c>
      <c r="G175" s="251" t="s">
        <v>1654</v>
      </c>
      <c r="H175" s="215" t="s">
        <v>1618</v>
      </c>
      <c r="I175" s="251" t="s">
        <v>1619</v>
      </c>
      <c r="J175" s="251" t="s">
        <v>1620</v>
      </c>
      <c r="K175" s="251" t="s">
        <v>1674</v>
      </c>
      <c r="BB175"/>
    </row>
    <row r="176" spans="1:54" x14ac:dyDescent="0.2">
      <c r="A176" s="225" t="str">
        <f t="shared" si="2"/>
        <v>Depreciation of Rental Assets</v>
      </c>
      <c r="B176" s="218" t="s">
        <v>41</v>
      </c>
      <c r="C176" s="251" t="s">
        <v>1579</v>
      </c>
      <c r="D176" s="251" t="s">
        <v>1580</v>
      </c>
      <c r="E176" s="251" t="s">
        <v>1581</v>
      </c>
      <c r="F176" s="251" t="s">
        <v>1655</v>
      </c>
      <c r="G176" s="251" t="s">
        <v>1656</v>
      </c>
      <c r="H176" s="222" t="s">
        <v>1621</v>
      </c>
      <c r="I176" s="251" t="s">
        <v>1622</v>
      </c>
      <c r="J176" s="251" t="s">
        <v>1623</v>
      </c>
      <c r="K176" s="251" t="s">
        <v>1675</v>
      </c>
      <c r="BB176"/>
    </row>
    <row r="177" spans="1:54" x14ac:dyDescent="0.2">
      <c r="A177" s="225" t="str">
        <f t="shared" si="2"/>
        <v>Exploration/Drilling Exp.</v>
      </c>
      <c r="B177" s="218" t="s">
        <v>713</v>
      </c>
      <c r="C177" s="251" t="s">
        <v>1582</v>
      </c>
      <c r="D177" s="251" t="s">
        <v>1583</v>
      </c>
      <c r="E177" s="251" t="s">
        <v>1584</v>
      </c>
      <c r="F177" s="251" t="s">
        <v>1657</v>
      </c>
      <c r="G177" s="251" t="s">
        <v>1658</v>
      </c>
      <c r="H177" s="222" t="s">
        <v>1624</v>
      </c>
      <c r="I177" s="251" t="s">
        <v>1625</v>
      </c>
      <c r="J177" s="251" t="s">
        <v>1626</v>
      </c>
      <c r="K177" s="251" t="s">
        <v>1676</v>
      </c>
      <c r="BB177"/>
    </row>
    <row r="178" spans="1:54" x14ac:dyDescent="0.2">
      <c r="A178" s="225" t="str">
        <f t="shared" si="2"/>
        <v>Maintenance &amp; Repair Expenses</v>
      </c>
      <c r="B178" s="218" t="s">
        <v>594</v>
      </c>
      <c r="C178" s="251" t="s">
        <v>1585</v>
      </c>
      <c r="D178" s="251" t="s">
        <v>1586</v>
      </c>
      <c r="E178" s="251" t="s">
        <v>1587</v>
      </c>
      <c r="F178" s="251" t="s">
        <v>1659</v>
      </c>
      <c r="G178" s="251" t="s">
        <v>1660</v>
      </c>
      <c r="H178" s="222" t="s">
        <v>1627</v>
      </c>
      <c r="I178" s="251" t="s">
        <v>1628</v>
      </c>
      <c r="J178" s="251" t="s">
        <v>1629</v>
      </c>
      <c r="K178" s="251" t="s">
        <v>1677</v>
      </c>
      <c r="BB178"/>
    </row>
    <row r="179" spans="1:54" x14ac:dyDescent="0.2">
      <c r="A179" s="225" t="str">
        <f t="shared" si="2"/>
        <v>Imputed Oper. Lease Interest Exp</v>
      </c>
      <c r="B179" s="218" t="s">
        <v>595</v>
      </c>
      <c r="C179" s="251" t="s">
        <v>1588</v>
      </c>
      <c r="D179" s="251" t="s">
        <v>1589</v>
      </c>
      <c r="E179" s="251" t="s">
        <v>1590</v>
      </c>
      <c r="F179" s="251" t="s">
        <v>1661</v>
      </c>
      <c r="G179" s="251" t="s">
        <v>1662</v>
      </c>
      <c r="H179" s="222" t="s">
        <v>1630</v>
      </c>
      <c r="I179" s="251" t="s">
        <v>1631</v>
      </c>
      <c r="J179" s="251" t="s">
        <v>1632</v>
      </c>
      <c r="K179" s="251" t="s">
        <v>1678</v>
      </c>
      <c r="BB179"/>
    </row>
    <row r="180" spans="1:54" x14ac:dyDescent="0.2">
      <c r="A180" s="225" t="str">
        <f t="shared" si="2"/>
        <v>Imputed Oper. Lease Depreciation</v>
      </c>
      <c r="B180" s="218" t="s">
        <v>596</v>
      </c>
      <c r="C180" s="251" t="s">
        <v>1591</v>
      </c>
      <c r="D180" s="251" t="s">
        <v>1592</v>
      </c>
      <c r="E180" s="251" t="s">
        <v>1593</v>
      </c>
      <c r="F180" s="251" t="s">
        <v>1663</v>
      </c>
      <c r="G180" s="251" t="s">
        <v>1664</v>
      </c>
      <c r="H180" s="222" t="s">
        <v>1633</v>
      </c>
      <c r="I180" s="251" t="s">
        <v>1634</v>
      </c>
      <c r="J180" s="251" t="s">
        <v>1635</v>
      </c>
      <c r="K180" s="251" t="s">
        <v>1679</v>
      </c>
      <c r="BB180"/>
    </row>
    <row r="181" spans="1:54" x14ac:dyDescent="0.2">
      <c r="A181" s="225" t="str">
        <f t="shared" si="2"/>
        <v>Salaries and Other Employee Benefits</v>
      </c>
      <c r="B181" s="218" t="s">
        <v>681</v>
      </c>
      <c r="C181" s="251" t="s">
        <v>1594</v>
      </c>
      <c r="D181" s="251" t="s">
        <v>1595</v>
      </c>
      <c r="E181" s="251" t="s">
        <v>1596</v>
      </c>
      <c r="F181" s="251" t="s">
        <v>1665</v>
      </c>
      <c r="G181" s="251" t="s">
        <v>1666</v>
      </c>
      <c r="H181" s="222" t="s">
        <v>1636</v>
      </c>
      <c r="I181" s="251" t="s">
        <v>1637</v>
      </c>
      <c r="J181" s="251" t="s">
        <v>1638</v>
      </c>
      <c r="K181" s="251" t="s">
        <v>1680</v>
      </c>
      <c r="BB181"/>
    </row>
    <row r="182" spans="1:54" x14ac:dyDescent="0.2">
      <c r="A182" s="225" t="str">
        <f t="shared" si="2"/>
        <v>Restructuring Charges (Supple)</v>
      </c>
      <c r="B182" s="218" t="s">
        <v>718</v>
      </c>
      <c r="C182" s="251" t="s">
        <v>1681</v>
      </c>
      <c r="D182" s="251" t="s">
        <v>1682</v>
      </c>
      <c r="E182" s="251" t="s">
        <v>1683</v>
      </c>
      <c r="F182" s="251" t="s">
        <v>1867</v>
      </c>
      <c r="G182" s="251" t="s">
        <v>1868</v>
      </c>
      <c r="H182" s="222" t="s">
        <v>1774</v>
      </c>
      <c r="I182" s="251" t="s">
        <v>1775</v>
      </c>
      <c r="J182" s="251" t="s">
        <v>1776</v>
      </c>
      <c r="K182" s="251" t="s">
        <v>1929</v>
      </c>
      <c r="BB182"/>
    </row>
    <row r="183" spans="1:54" x14ac:dyDescent="0.2">
      <c r="A183" s="225" t="str">
        <f t="shared" si="2"/>
        <v>Merger &amp; Related Restruct. Charges (Supple)</v>
      </c>
      <c r="B183" s="218" t="s">
        <v>719</v>
      </c>
      <c r="C183" s="251" t="s">
        <v>1684</v>
      </c>
      <c r="D183" s="251" t="s">
        <v>1685</v>
      </c>
      <c r="E183" s="251" t="s">
        <v>1686</v>
      </c>
      <c r="F183" s="251" t="s">
        <v>1869</v>
      </c>
      <c r="G183" s="251" t="s">
        <v>1870</v>
      </c>
      <c r="H183" s="222" t="s">
        <v>1777</v>
      </c>
      <c r="I183" s="251" t="s">
        <v>1778</v>
      </c>
      <c r="J183" s="251" t="s">
        <v>1779</v>
      </c>
      <c r="K183" s="251" t="s">
        <v>1930</v>
      </c>
      <c r="BB183"/>
    </row>
    <row r="184" spans="1:54" x14ac:dyDescent="0.2">
      <c r="A184" s="225" t="str">
        <f t="shared" si="2"/>
        <v>Impairment of Goodwill (Supple)</v>
      </c>
      <c r="B184" s="218" t="s">
        <v>720</v>
      </c>
      <c r="C184" s="251" t="s">
        <v>1687</v>
      </c>
      <c r="D184" s="251" t="s">
        <v>1688</v>
      </c>
      <c r="E184" s="251" t="s">
        <v>1689</v>
      </c>
      <c r="F184" s="251" t="s">
        <v>1871</v>
      </c>
      <c r="G184" s="251" t="s">
        <v>1872</v>
      </c>
      <c r="H184" s="222" t="s">
        <v>1780</v>
      </c>
      <c r="I184" s="251" t="s">
        <v>1781</v>
      </c>
      <c r="J184" s="251" t="s">
        <v>1782</v>
      </c>
      <c r="K184" s="251" t="s">
        <v>1931</v>
      </c>
      <c r="BB184"/>
    </row>
    <row r="185" spans="1:54" x14ac:dyDescent="0.2">
      <c r="A185" s="225" t="str">
        <f t="shared" si="2"/>
        <v>Asset Writedown, Total (Supple)</v>
      </c>
      <c r="B185" s="218" t="s">
        <v>721</v>
      </c>
      <c r="C185" s="251" t="s">
        <v>1690</v>
      </c>
      <c r="D185" s="251" t="s">
        <v>1691</v>
      </c>
      <c r="E185" s="251" t="s">
        <v>1692</v>
      </c>
      <c r="F185" s="251" t="s">
        <v>1873</v>
      </c>
      <c r="G185" s="251" t="s">
        <v>1874</v>
      </c>
      <c r="H185" s="222" t="s">
        <v>1783</v>
      </c>
      <c r="I185" s="251" t="s">
        <v>1784</v>
      </c>
      <c r="J185" s="251" t="s">
        <v>1785</v>
      </c>
      <c r="K185" s="251" t="s">
        <v>1932</v>
      </c>
      <c r="BB185"/>
    </row>
    <row r="186" spans="1:54" x14ac:dyDescent="0.2">
      <c r="A186" s="225" t="str">
        <f t="shared" si="2"/>
        <v>In Process R &amp; D Exp. (Supple)</v>
      </c>
      <c r="B186" s="218" t="s">
        <v>722</v>
      </c>
      <c r="C186" s="251" t="s">
        <v>1693</v>
      </c>
      <c r="D186" s="251" t="s">
        <v>1694</v>
      </c>
      <c r="E186" s="251" t="s">
        <v>1695</v>
      </c>
      <c r="F186" s="251" t="s">
        <v>1875</v>
      </c>
      <c r="G186" s="251" t="s">
        <v>1876</v>
      </c>
      <c r="H186" s="253" t="s">
        <v>1786</v>
      </c>
      <c r="I186" s="251" t="s">
        <v>1787</v>
      </c>
      <c r="J186" s="251" t="s">
        <v>1788</v>
      </c>
      <c r="K186" s="251" t="s">
        <v>1933</v>
      </c>
      <c r="BB186"/>
    </row>
    <row r="187" spans="1:54" x14ac:dyDescent="0.2">
      <c r="A187" s="225" t="str">
        <f t="shared" si="2"/>
        <v>Gain on Bargain Acquisition</v>
      </c>
      <c r="B187" s="218" t="s">
        <v>795</v>
      </c>
      <c r="C187" s="251" t="s">
        <v>1696</v>
      </c>
      <c r="D187" s="251" t="s">
        <v>1697</v>
      </c>
      <c r="E187" s="251" t="s">
        <v>1698</v>
      </c>
      <c r="F187" s="251" t="s">
        <v>1877</v>
      </c>
      <c r="G187" s="251" t="s">
        <v>1878</v>
      </c>
      <c r="H187" s="252" t="s">
        <v>1789</v>
      </c>
      <c r="I187" s="251" t="s">
        <v>1790</v>
      </c>
      <c r="J187" s="251" t="s">
        <v>1791</v>
      </c>
      <c r="K187" s="251" t="s">
        <v>1934</v>
      </c>
      <c r="BB187"/>
    </row>
    <row r="188" spans="1:54" x14ac:dyDescent="0.2">
      <c r="A188" s="225" t="str">
        <f t="shared" si="2"/>
        <v>Gain on Bargain Acquisition  - Supple</v>
      </c>
      <c r="B188" s="218" t="s">
        <v>796</v>
      </c>
      <c r="C188" s="251" t="s">
        <v>1699</v>
      </c>
      <c r="D188" s="251" t="s">
        <v>1700</v>
      </c>
      <c r="E188" s="251" t="s">
        <v>1701</v>
      </c>
      <c r="F188" s="251" t="s">
        <v>1879</v>
      </c>
      <c r="G188" s="251" t="s">
        <v>1880</v>
      </c>
      <c r="H188" s="252" t="s">
        <v>1792</v>
      </c>
      <c r="I188" s="251" t="s">
        <v>1793</v>
      </c>
      <c r="J188" s="251" t="s">
        <v>1794</v>
      </c>
      <c r="K188" s="251" t="s">
        <v>1935</v>
      </c>
      <c r="BB188"/>
    </row>
    <row r="189" spans="1:54" x14ac:dyDescent="0.2">
      <c r="A189" s="225" t="str">
        <f t="shared" si="2"/>
        <v>Insurance Settlements (Supple)</v>
      </c>
      <c r="B189" s="218" t="s">
        <v>723</v>
      </c>
      <c r="C189" s="251" t="s">
        <v>1702</v>
      </c>
      <c r="D189" s="251" t="s">
        <v>1703</v>
      </c>
      <c r="E189" s="251" t="s">
        <v>1704</v>
      </c>
      <c r="F189" s="251" t="s">
        <v>1881</v>
      </c>
      <c r="G189" s="251" t="s">
        <v>1882</v>
      </c>
      <c r="H189" s="222" t="s">
        <v>1795</v>
      </c>
      <c r="I189" s="251" t="s">
        <v>1796</v>
      </c>
      <c r="J189" s="251" t="s">
        <v>1797</v>
      </c>
      <c r="K189" s="251" t="s">
        <v>1936</v>
      </c>
      <c r="BB189"/>
    </row>
    <row r="190" spans="1:54" x14ac:dyDescent="0.2">
      <c r="A190" s="225" t="str">
        <f t="shared" si="2"/>
        <v>Legal Settlements (Supple)</v>
      </c>
      <c r="B190" s="218" t="s">
        <v>724</v>
      </c>
      <c r="C190" s="251" t="s">
        <v>1705</v>
      </c>
      <c r="D190" s="251" t="s">
        <v>1706</v>
      </c>
      <c r="E190" s="251" t="s">
        <v>1707</v>
      </c>
      <c r="F190" s="251" t="s">
        <v>1883</v>
      </c>
      <c r="G190" s="251" t="s">
        <v>1884</v>
      </c>
      <c r="H190" s="222" t="s">
        <v>1798</v>
      </c>
      <c r="I190" s="251" t="s">
        <v>1799</v>
      </c>
      <c r="J190" s="251" t="s">
        <v>1800</v>
      </c>
      <c r="K190" s="251" t="s">
        <v>1937</v>
      </c>
      <c r="BB190"/>
    </row>
    <row r="191" spans="1:54" x14ac:dyDescent="0.2">
      <c r="A191" s="225" t="str">
        <f t="shared" si="2"/>
        <v>Other Unusual Items (Supple)</v>
      </c>
      <c r="B191" s="218" t="s">
        <v>725</v>
      </c>
      <c r="C191" s="251" t="s">
        <v>1708</v>
      </c>
      <c r="D191" s="251" t="s">
        <v>1709</v>
      </c>
      <c r="E191" s="251" t="s">
        <v>1710</v>
      </c>
      <c r="F191" s="251" t="s">
        <v>1885</v>
      </c>
      <c r="G191" s="251" t="s">
        <v>1886</v>
      </c>
      <c r="H191" s="222" t="s">
        <v>1801</v>
      </c>
      <c r="I191" s="251" t="s">
        <v>1802</v>
      </c>
      <c r="J191" s="251" t="s">
        <v>1803</v>
      </c>
      <c r="K191" s="251" t="s">
        <v>1938</v>
      </c>
      <c r="BB191"/>
    </row>
    <row r="192" spans="1:54" x14ac:dyDescent="0.2">
      <c r="A192" s="225" t="str">
        <f t="shared" si="2"/>
        <v>Unusual Items, Total (Supple)</v>
      </c>
      <c r="B192" s="218" t="s">
        <v>717</v>
      </c>
      <c r="C192" s="251" t="s">
        <v>1711</v>
      </c>
      <c r="D192" s="251" t="s">
        <v>1712</v>
      </c>
      <c r="E192" s="251" t="s">
        <v>1713</v>
      </c>
      <c r="F192" s="251" t="s">
        <v>1887</v>
      </c>
      <c r="G192" s="251" t="s">
        <v>1888</v>
      </c>
      <c r="H192" s="222" t="s">
        <v>1804</v>
      </c>
      <c r="I192" s="251" t="s">
        <v>1805</v>
      </c>
      <c r="J192" s="251" t="s">
        <v>1806</v>
      </c>
      <c r="K192" s="251" t="s">
        <v>1939</v>
      </c>
      <c r="BB192"/>
    </row>
    <row r="193" spans="1:54" x14ac:dyDescent="0.2">
      <c r="A193" s="225" t="str">
        <f t="shared" si="2"/>
        <v>Amortization of Negative Goodwill</v>
      </c>
      <c r="B193" s="218" t="s">
        <v>58</v>
      </c>
      <c r="C193" s="251" t="s">
        <v>1714</v>
      </c>
      <c r="D193" s="251" t="s">
        <v>1715</v>
      </c>
      <c r="E193" s="251" t="s">
        <v>1716</v>
      </c>
      <c r="F193" s="251" t="s">
        <v>1889</v>
      </c>
      <c r="G193" s="251" t="s">
        <v>1890</v>
      </c>
      <c r="H193" s="222" t="s">
        <v>1807</v>
      </c>
      <c r="I193" s="251" t="s">
        <v>1808</v>
      </c>
      <c r="J193" s="251" t="s">
        <v>1809</v>
      </c>
      <c r="K193" s="251" t="s">
        <v>1940</v>
      </c>
      <c r="BB193"/>
    </row>
    <row r="194" spans="1:54" x14ac:dyDescent="0.2">
      <c r="A194" s="225" t="str">
        <f t="shared" si="2"/>
        <v>Amortization of Negative Goodwill - After Tax</v>
      </c>
      <c r="B194" s="218" t="s">
        <v>59</v>
      </c>
      <c r="C194" s="251" t="s">
        <v>1717</v>
      </c>
      <c r="D194" s="251" t="s">
        <v>1718</v>
      </c>
      <c r="E194" s="251" t="s">
        <v>1719</v>
      </c>
      <c r="F194" s="251" t="s">
        <v>1891</v>
      </c>
      <c r="G194" s="251" t="s">
        <v>1892</v>
      </c>
      <c r="H194" s="222" t="s">
        <v>1810</v>
      </c>
      <c r="I194" s="251" t="s">
        <v>1811</v>
      </c>
      <c r="J194" s="251" t="s">
        <v>1812</v>
      </c>
      <c r="K194" s="251" t="s">
        <v>1941</v>
      </c>
      <c r="BB194"/>
    </row>
    <row r="195" spans="1:54" x14ac:dyDescent="0.2">
      <c r="A195" s="225" t="str">
        <f t="shared" si="2"/>
        <v>Stock-Based Comp., COGS</v>
      </c>
      <c r="B195" s="218" t="s">
        <v>597</v>
      </c>
      <c r="C195" s="251" t="s">
        <v>1720</v>
      </c>
      <c r="D195" s="251" t="s">
        <v>1721</v>
      </c>
      <c r="E195" s="251" t="s">
        <v>1722</v>
      </c>
      <c r="F195" s="251" t="s">
        <v>1893</v>
      </c>
      <c r="G195" s="251" t="s">
        <v>1894</v>
      </c>
      <c r="H195" s="222" t="s">
        <v>1813</v>
      </c>
      <c r="I195" s="251" t="s">
        <v>1814</v>
      </c>
      <c r="J195" s="251" t="s">
        <v>1815</v>
      </c>
      <c r="K195" s="251" t="s">
        <v>1942</v>
      </c>
      <c r="BB195"/>
    </row>
    <row r="196" spans="1:54" x14ac:dyDescent="0.2">
      <c r="A196" s="225" t="str">
        <f t="shared" si="2"/>
        <v>Stock-Based Comp., R&amp;D Exp</v>
      </c>
      <c r="B196" s="218" t="s">
        <v>598</v>
      </c>
      <c r="C196" s="251" t="s">
        <v>1723</v>
      </c>
      <c r="D196" s="251" t="s">
        <v>1724</v>
      </c>
      <c r="E196" s="251" t="s">
        <v>1725</v>
      </c>
      <c r="F196" s="251" t="s">
        <v>1895</v>
      </c>
      <c r="G196" s="251" t="s">
        <v>1896</v>
      </c>
      <c r="H196" s="222" t="s">
        <v>1816</v>
      </c>
      <c r="I196" s="251" t="s">
        <v>1817</v>
      </c>
      <c r="J196" s="251" t="s">
        <v>1818</v>
      </c>
      <c r="K196" s="251" t="s">
        <v>1943</v>
      </c>
      <c r="BB196"/>
    </row>
    <row r="197" spans="1:54" x14ac:dyDescent="0.2">
      <c r="A197" s="225" t="str">
        <f t="shared" si="2"/>
        <v>Stock-Based Comp., S&amp;M Exp</v>
      </c>
      <c r="B197" s="218" t="s">
        <v>599</v>
      </c>
      <c r="C197" s="251" t="s">
        <v>1726</v>
      </c>
      <c r="D197" s="251" t="s">
        <v>1727</v>
      </c>
      <c r="E197" s="251" t="s">
        <v>1728</v>
      </c>
      <c r="F197" s="251" t="s">
        <v>1897</v>
      </c>
      <c r="G197" s="251" t="s">
        <v>1898</v>
      </c>
      <c r="H197" s="222" t="s">
        <v>1819</v>
      </c>
      <c r="I197" s="251" t="s">
        <v>1820</v>
      </c>
      <c r="J197" s="251" t="s">
        <v>1821</v>
      </c>
      <c r="K197" s="251" t="s">
        <v>1944</v>
      </c>
      <c r="BB197"/>
    </row>
    <row r="198" spans="1:54" x14ac:dyDescent="0.2">
      <c r="A198" s="225" t="str">
        <f t="shared" si="2"/>
        <v>Stock-Based Comp., G&amp;A Exp</v>
      </c>
      <c r="B198" s="218" t="s">
        <v>600</v>
      </c>
      <c r="C198" s="251" t="s">
        <v>1729</v>
      </c>
      <c r="D198" s="251" t="s">
        <v>1730</v>
      </c>
      <c r="E198" s="251" t="s">
        <v>1731</v>
      </c>
      <c r="F198" s="251" t="s">
        <v>1899</v>
      </c>
      <c r="G198" s="251" t="s">
        <v>1900</v>
      </c>
      <c r="H198" s="222" t="s">
        <v>1822</v>
      </c>
      <c r="I198" s="251" t="s">
        <v>1823</v>
      </c>
      <c r="J198" s="251" t="s">
        <v>1824</v>
      </c>
      <c r="K198" s="251" t="s">
        <v>1945</v>
      </c>
      <c r="BB198"/>
    </row>
    <row r="199" spans="1:54" x14ac:dyDescent="0.2">
      <c r="A199" s="225" t="str">
        <f t="shared" si="2"/>
        <v>Stock-Based Comp., SG&amp;A Exp</v>
      </c>
      <c r="B199" s="218" t="s">
        <v>601</v>
      </c>
      <c r="C199" s="251" t="s">
        <v>1732</v>
      </c>
      <c r="D199" s="251" t="s">
        <v>1733</v>
      </c>
      <c r="E199" s="251" t="s">
        <v>1734</v>
      </c>
      <c r="F199" s="251" t="s">
        <v>1901</v>
      </c>
      <c r="G199" s="251" t="s">
        <v>1902</v>
      </c>
      <c r="H199" s="222" t="s">
        <v>1825</v>
      </c>
      <c r="I199" s="251" t="s">
        <v>1826</v>
      </c>
      <c r="J199" s="251" t="s">
        <v>1827</v>
      </c>
      <c r="K199" s="251" t="s">
        <v>1946</v>
      </c>
      <c r="BB199"/>
    </row>
    <row r="200" spans="1:54" x14ac:dyDescent="0.2">
      <c r="A200" s="225" t="str">
        <f t="shared" si="2"/>
        <v>Stock-Based Comp., Exploration/Drilling Exp.</v>
      </c>
      <c r="B200" s="218" t="s">
        <v>682</v>
      </c>
      <c r="C200" s="251" t="s">
        <v>1735</v>
      </c>
      <c r="D200" s="251" t="s">
        <v>1736</v>
      </c>
      <c r="E200" s="251" t="s">
        <v>1737</v>
      </c>
      <c r="F200" s="251" t="s">
        <v>1903</v>
      </c>
      <c r="G200" s="251" t="s">
        <v>1904</v>
      </c>
      <c r="H200" s="222" t="s">
        <v>1828</v>
      </c>
      <c r="I200" s="251" t="s">
        <v>1829</v>
      </c>
      <c r="J200" s="251" t="s">
        <v>1830</v>
      </c>
      <c r="K200" s="251" t="s">
        <v>1947</v>
      </c>
      <c r="BB200"/>
    </row>
    <row r="201" spans="1:54" x14ac:dyDescent="0.2">
      <c r="A201" s="225" t="str">
        <f t="shared" ref="A201:A264" si="3">INDEX($B201:$CV201,$A$4)</f>
        <v>Stock-Based Comp., Unallocated</v>
      </c>
      <c r="B201" s="218" t="s">
        <v>602</v>
      </c>
      <c r="C201" s="251" t="s">
        <v>1738</v>
      </c>
      <c r="D201" s="251" t="s">
        <v>1739</v>
      </c>
      <c r="E201" s="251" t="s">
        <v>1740</v>
      </c>
      <c r="F201" s="251" t="s">
        <v>1905</v>
      </c>
      <c r="G201" s="251" t="s">
        <v>1906</v>
      </c>
      <c r="H201" s="222" t="s">
        <v>1831</v>
      </c>
      <c r="I201" s="251" t="s">
        <v>1832</v>
      </c>
      <c r="J201" s="251" t="s">
        <v>1833</v>
      </c>
      <c r="K201" s="251" t="s">
        <v>1948</v>
      </c>
      <c r="BB201"/>
    </row>
    <row r="202" spans="1:54" x14ac:dyDescent="0.2">
      <c r="A202" s="225" t="str">
        <f t="shared" si="3"/>
        <v>Stock-Based Comp., After-Tax</v>
      </c>
      <c r="B202" s="218" t="s">
        <v>603</v>
      </c>
      <c r="C202" s="251" t="s">
        <v>1741</v>
      </c>
      <c r="D202" s="251" t="s">
        <v>1742</v>
      </c>
      <c r="E202" s="251" t="s">
        <v>1743</v>
      </c>
      <c r="F202" s="251" t="s">
        <v>1907</v>
      </c>
      <c r="G202" s="251" t="s">
        <v>1908</v>
      </c>
      <c r="H202" s="222" t="s">
        <v>1834</v>
      </c>
      <c r="I202" s="251" t="s">
        <v>1835</v>
      </c>
      <c r="J202" s="251" t="s">
        <v>1836</v>
      </c>
      <c r="K202" s="251" t="s">
        <v>1949</v>
      </c>
      <c r="BB202"/>
    </row>
    <row r="203" spans="1:54" x14ac:dyDescent="0.2">
      <c r="A203" s="225" t="str">
        <f t="shared" si="3"/>
        <v>Stock-Based Comp., Total</v>
      </c>
      <c r="B203" s="218" t="s">
        <v>604</v>
      </c>
      <c r="C203" s="251" t="s">
        <v>1744</v>
      </c>
      <c r="D203" s="251" t="s">
        <v>1745</v>
      </c>
      <c r="E203" s="251" t="s">
        <v>1746</v>
      </c>
      <c r="F203" s="251" t="s">
        <v>1909</v>
      </c>
      <c r="G203" s="251" t="s">
        <v>1910</v>
      </c>
      <c r="H203" s="222" t="s">
        <v>1837</v>
      </c>
      <c r="I203" s="251" t="s">
        <v>1838</v>
      </c>
      <c r="J203" s="251" t="s">
        <v>1839</v>
      </c>
      <c r="K203" s="251" t="s">
        <v>1950</v>
      </c>
      <c r="BB203"/>
    </row>
    <row r="204" spans="1:54" x14ac:dyDescent="0.2">
      <c r="A204" s="225" t="str">
        <f t="shared" si="3"/>
        <v>Restr. Stock Comp. Exp., Before Tax</v>
      </c>
      <c r="B204" s="218" t="s">
        <v>437</v>
      </c>
      <c r="C204" s="251" t="s">
        <v>1747</v>
      </c>
      <c r="D204" s="251" t="s">
        <v>1748</v>
      </c>
      <c r="E204" s="251" t="s">
        <v>1749</v>
      </c>
      <c r="F204" s="251" t="s">
        <v>1911</v>
      </c>
      <c r="G204" s="251" t="s">
        <v>1912</v>
      </c>
      <c r="H204" s="222" t="s">
        <v>1840</v>
      </c>
      <c r="I204" s="251" t="s">
        <v>1841</v>
      </c>
      <c r="J204" s="251" t="s">
        <v>1842</v>
      </c>
      <c r="K204" s="251" t="s">
        <v>1951</v>
      </c>
      <c r="BB204"/>
    </row>
    <row r="205" spans="1:54" x14ac:dyDescent="0.2">
      <c r="A205" s="225" t="str">
        <f t="shared" si="3"/>
        <v>Restr. Stock Comp. Exp. Tax Effect</v>
      </c>
      <c r="B205" s="218" t="s">
        <v>438</v>
      </c>
      <c r="C205" s="251" t="s">
        <v>1750</v>
      </c>
      <c r="D205" s="251" t="s">
        <v>1751</v>
      </c>
      <c r="E205" s="251" t="s">
        <v>1752</v>
      </c>
      <c r="F205" s="251" t="s">
        <v>1913</v>
      </c>
      <c r="G205" s="251" t="s">
        <v>1914</v>
      </c>
      <c r="H205" s="222" t="s">
        <v>1843</v>
      </c>
      <c r="I205" s="251" t="s">
        <v>1844</v>
      </c>
      <c r="J205" s="251" t="s">
        <v>1845</v>
      </c>
      <c r="K205" s="251" t="s">
        <v>1952</v>
      </c>
      <c r="BB205"/>
    </row>
    <row r="206" spans="1:54" x14ac:dyDescent="0.2">
      <c r="A206" s="225" t="str">
        <f t="shared" si="3"/>
        <v>Restr. Stock Comp. Exp., After Tax</v>
      </c>
      <c r="B206" s="218" t="s">
        <v>439</v>
      </c>
      <c r="C206" s="251" t="s">
        <v>1753</v>
      </c>
      <c r="D206" s="251" t="s">
        <v>1754</v>
      </c>
      <c r="E206" s="251" t="s">
        <v>1755</v>
      </c>
      <c r="F206" s="251" t="s">
        <v>1915</v>
      </c>
      <c r="G206" s="251" t="s">
        <v>1916</v>
      </c>
      <c r="H206" s="222" t="s">
        <v>1846</v>
      </c>
      <c r="I206" s="251" t="s">
        <v>1847</v>
      </c>
      <c r="J206" s="251" t="s">
        <v>1848</v>
      </c>
      <c r="K206" s="251" t="s">
        <v>1953</v>
      </c>
      <c r="BB206"/>
    </row>
    <row r="207" spans="1:54" x14ac:dyDescent="0.2">
      <c r="A207" s="225" t="str">
        <f t="shared" si="3"/>
        <v>Stock Options Comp. Exp., Before Tax</v>
      </c>
      <c r="B207" s="218" t="s">
        <v>440</v>
      </c>
      <c r="C207" s="251" t="s">
        <v>1756</v>
      </c>
      <c r="D207" s="251" t="s">
        <v>1757</v>
      </c>
      <c r="E207" s="251" t="s">
        <v>1758</v>
      </c>
      <c r="F207" s="251" t="s">
        <v>1917</v>
      </c>
      <c r="G207" s="251" t="s">
        <v>1918</v>
      </c>
      <c r="H207" s="222" t="s">
        <v>1849</v>
      </c>
      <c r="I207" s="251" t="s">
        <v>1850</v>
      </c>
      <c r="J207" s="251" t="s">
        <v>1851</v>
      </c>
      <c r="K207" s="251" t="s">
        <v>1954</v>
      </c>
      <c r="BB207"/>
    </row>
    <row r="208" spans="1:54" x14ac:dyDescent="0.2">
      <c r="A208" s="225" t="str">
        <f t="shared" si="3"/>
        <v>Stock Options Comp. Exp. Tax Effect</v>
      </c>
      <c r="B208" s="218" t="s">
        <v>441</v>
      </c>
      <c r="C208" s="251" t="s">
        <v>1759</v>
      </c>
      <c r="D208" s="251" t="s">
        <v>1760</v>
      </c>
      <c r="E208" s="251" t="s">
        <v>1761</v>
      </c>
      <c r="F208" s="251" t="s">
        <v>1919</v>
      </c>
      <c r="G208" s="251" t="s">
        <v>1920</v>
      </c>
      <c r="H208" s="222" t="s">
        <v>1852</v>
      </c>
      <c r="I208" s="251" t="s">
        <v>1853</v>
      </c>
      <c r="J208" s="251" t="s">
        <v>1854</v>
      </c>
      <c r="K208" s="251" t="s">
        <v>1955</v>
      </c>
      <c r="BB208"/>
    </row>
    <row r="209" spans="1:54" x14ac:dyDescent="0.2">
      <c r="A209" s="225" t="str">
        <f t="shared" si="3"/>
        <v>Stock Options Comp. Exp., After Tax</v>
      </c>
      <c r="B209" s="218" t="s">
        <v>442</v>
      </c>
      <c r="C209" s="251" t="s">
        <v>1762</v>
      </c>
      <c r="D209" s="251" t="s">
        <v>1763</v>
      </c>
      <c r="E209" s="251" t="s">
        <v>1764</v>
      </c>
      <c r="F209" s="251" t="s">
        <v>1921</v>
      </c>
      <c r="G209" s="251" t="s">
        <v>1922</v>
      </c>
      <c r="H209" s="222" t="s">
        <v>1855</v>
      </c>
      <c r="I209" s="251" t="s">
        <v>1856</v>
      </c>
      <c r="J209" s="251" t="s">
        <v>1857</v>
      </c>
      <c r="K209" s="251" t="s">
        <v>1956</v>
      </c>
      <c r="BB209"/>
    </row>
    <row r="210" spans="1:54" x14ac:dyDescent="0.2">
      <c r="A210" s="225" t="str">
        <f t="shared" si="3"/>
        <v>Stock Based Comp. Exp., Before Tax</v>
      </c>
      <c r="B210" s="218" t="s">
        <v>443</v>
      </c>
      <c r="C210" s="251" t="s">
        <v>1765</v>
      </c>
      <c r="D210" s="251" t="s">
        <v>1766</v>
      </c>
      <c r="E210" s="251" t="s">
        <v>1767</v>
      </c>
      <c r="F210" s="251" t="s">
        <v>1923</v>
      </c>
      <c r="G210" s="251" t="s">
        <v>1924</v>
      </c>
      <c r="H210" s="222" t="s">
        <v>1858</v>
      </c>
      <c r="I210" s="251" t="s">
        <v>1859</v>
      </c>
      <c r="J210" s="251" t="s">
        <v>1860</v>
      </c>
      <c r="K210" s="251" t="s">
        <v>1957</v>
      </c>
      <c r="BB210"/>
    </row>
    <row r="211" spans="1:54" x14ac:dyDescent="0.2">
      <c r="A211" s="225" t="str">
        <f t="shared" si="3"/>
        <v>Stock Based Comp. Exp. Tax Effect</v>
      </c>
      <c r="B211" s="218" t="s">
        <v>444</v>
      </c>
      <c r="C211" s="251" t="s">
        <v>1768</v>
      </c>
      <c r="D211" s="251" t="s">
        <v>1769</v>
      </c>
      <c r="E211" s="251" t="s">
        <v>1770</v>
      </c>
      <c r="F211" s="251" t="s">
        <v>1925</v>
      </c>
      <c r="G211" s="251" t="s">
        <v>1926</v>
      </c>
      <c r="H211" s="222" t="s">
        <v>1861</v>
      </c>
      <c r="I211" s="251" t="s">
        <v>1862</v>
      </c>
      <c r="J211" s="251" t="s">
        <v>1863</v>
      </c>
      <c r="K211" s="251" t="s">
        <v>1958</v>
      </c>
      <c r="BB211"/>
    </row>
    <row r="212" spans="1:54" x14ac:dyDescent="0.2">
      <c r="A212" s="225" t="str">
        <f t="shared" si="3"/>
        <v>Stock Based Comp. Exp., After Tax</v>
      </c>
      <c r="B212" s="218" t="s">
        <v>445</v>
      </c>
      <c r="C212" s="251" t="s">
        <v>1771</v>
      </c>
      <c r="D212" s="251" t="s">
        <v>1772</v>
      </c>
      <c r="E212" s="251" t="s">
        <v>1773</v>
      </c>
      <c r="F212" s="251" t="s">
        <v>1927</v>
      </c>
      <c r="G212" s="251" t="s">
        <v>1928</v>
      </c>
      <c r="H212" s="222" t="s">
        <v>1864</v>
      </c>
      <c r="I212" s="251" t="s">
        <v>1865</v>
      </c>
      <c r="J212" s="251" t="s">
        <v>1866</v>
      </c>
      <c r="K212" s="251" t="s">
        <v>1959</v>
      </c>
      <c r="BB212"/>
    </row>
    <row r="213" spans="1:54" x14ac:dyDescent="0.2">
      <c r="A213" s="225" t="str">
        <f t="shared" si="3"/>
        <v>Net Income</v>
      </c>
      <c r="B213" s="218" t="s">
        <v>77</v>
      </c>
      <c r="C213" s="251" t="s">
        <v>7136</v>
      </c>
      <c r="D213" t="s">
        <v>7137</v>
      </c>
      <c r="E213" t="s">
        <v>7138</v>
      </c>
      <c r="F213" t="s">
        <v>7139</v>
      </c>
      <c r="G213" t="s">
        <v>7140</v>
      </c>
      <c r="H213" t="s">
        <v>936</v>
      </c>
      <c r="I213" t="s">
        <v>7141</v>
      </c>
      <c r="J213" t="s">
        <v>7142</v>
      </c>
      <c r="K213" t="s">
        <v>7143</v>
      </c>
      <c r="BB213"/>
    </row>
    <row r="214" spans="1:54" x14ac:dyDescent="0.2">
      <c r="A214" s="225" t="str">
        <f t="shared" si="3"/>
        <v>Depreciation &amp; Amort., Total</v>
      </c>
      <c r="B214" s="218" t="s">
        <v>95</v>
      </c>
      <c r="C214" t="s">
        <v>7335</v>
      </c>
      <c r="D214" t="s">
        <v>7336</v>
      </c>
      <c r="E214" t="s">
        <v>7337</v>
      </c>
      <c r="F214" t="s">
        <v>7338</v>
      </c>
      <c r="G214" t="s">
        <v>7339</v>
      </c>
      <c r="H214" t="s">
        <v>5846</v>
      </c>
      <c r="I214" t="s">
        <v>7340</v>
      </c>
      <c r="J214" t="s">
        <v>7341</v>
      </c>
      <c r="K214" t="s">
        <v>7342</v>
      </c>
      <c r="BB214"/>
    </row>
    <row r="215" spans="1:54" x14ac:dyDescent="0.2">
      <c r="A215" s="225" t="str">
        <f t="shared" si="3"/>
        <v>Other Amortization</v>
      </c>
      <c r="B215" s="218" t="s">
        <v>731</v>
      </c>
      <c r="C215" s="218" t="s">
        <v>7343</v>
      </c>
      <c r="D215" s="218" t="s">
        <v>7344</v>
      </c>
      <c r="E215" s="218" t="s">
        <v>7345</v>
      </c>
      <c r="F215" s="218" t="s">
        <v>7349</v>
      </c>
      <c r="G215" s="218" t="s">
        <v>7350</v>
      </c>
      <c r="H215" s="218" t="s">
        <v>7346</v>
      </c>
      <c r="I215" s="218" t="s">
        <v>7347</v>
      </c>
      <c r="J215" s="218" t="s">
        <v>7348</v>
      </c>
      <c r="K215" s="218" t="s">
        <v>7351</v>
      </c>
      <c r="BB215"/>
    </row>
    <row r="216" spans="1:54" x14ac:dyDescent="0.2">
      <c r="A216" s="225" t="str">
        <f t="shared" si="3"/>
        <v>(Gain) Loss From Sale Of Asset</v>
      </c>
      <c r="B216" s="218" t="s">
        <v>234</v>
      </c>
      <c r="C216" s="251" t="s">
        <v>6052</v>
      </c>
      <c r="D216" s="251" t="s">
        <v>6053</v>
      </c>
      <c r="E216" s="251" t="s">
        <v>7144</v>
      </c>
      <c r="F216" s="251" t="s">
        <v>7173</v>
      </c>
      <c r="G216" s="251" t="s">
        <v>7174</v>
      </c>
      <c r="H216" s="215" t="s">
        <v>6060</v>
      </c>
      <c r="I216" s="251" t="s">
        <v>7158</v>
      </c>
      <c r="J216" s="251" t="s">
        <v>7159</v>
      </c>
      <c r="K216" s="251" t="s">
        <v>7185</v>
      </c>
      <c r="BB216"/>
    </row>
    <row r="217" spans="1:54" x14ac:dyDescent="0.2">
      <c r="A217" s="225" t="str">
        <f t="shared" si="3"/>
        <v>(Gain) Loss On Sale Of Invest.</v>
      </c>
      <c r="B217" s="218" t="s">
        <v>178</v>
      </c>
      <c r="C217" s="251" t="s">
        <v>6049</v>
      </c>
      <c r="D217" s="251" t="s">
        <v>6050</v>
      </c>
      <c r="E217" s="251" t="s">
        <v>7145</v>
      </c>
      <c r="F217" s="251" t="s">
        <v>7175</v>
      </c>
      <c r="G217" s="251" t="s">
        <v>7176</v>
      </c>
      <c r="H217" s="215" t="s">
        <v>6057</v>
      </c>
      <c r="I217" s="251" t="s">
        <v>7160</v>
      </c>
      <c r="J217" s="251" t="s">
        <v>7161</v>
      </c>
      <c r="K217" s="251" t="s">
        <v>7186</v>
      </c>
      <c r="BB217"/>
    </row>
    <row r="218" spans="1:54" x14ac:dyDescent="0.2">
      <c r="A218" s="225" t="str">
        <f t="shared" si="3"/>
        <v>Asset Writedown &amp; Restructuring Costs</v>
      </c>
      <c r="B218" s="218" t="s">
        <v>235</v>
      </c>
      <c r="C218" s="251" t="s">
        <v>7146</v>
      </c>
      <c r="D218" s="251" t="s">
        <v>7147</v>
      </c>
      <c r="E218" s="251" t="s">
        <v>7148</v>
      </c>
      <c r="F218" s="251" t="s">
        <v>7177</v>
      </c>
      <c r="G218" s="251" t="s">
        <v>7178</v>
      </c>
      <c r="H218" s="215" t="s">
        <v>7162</v>
      </c>
      <c r="I218" s="251" t="s">
        <v>7163</v>
      </c>
      <c r="J218" s="251" t="s">
        <v>7164</v>
      </c>
      <c r="K218" s="251" t="s">
        <v>7187</v>
      </c>
      <c r="BB218"/>
    </row>
    <row r="219" spans="1:54" x14ac:dyDescent="0.2">
      <c r="A219" s="225" t="str">
        <f t="shared" si="3"/>
        <v>Net (Increase) Decrease in Loans Orig./Sold</v>
      </c>
      <c r="B219" s="218" t="s">
        <v>236</v>
      </c>
      <c r="C219" s="251" t="s">
        <v>7149</v>
      </c>
      <c r="D219" s="251" t="s">
        <v>7150</v>
      </c>
      <c r="E219" s="251" t="s">
        <v>7151</v>
      </c>
      <c r="F219" s="251" t="s">
        <v>7179</v>
      </c>
      <c r="G219" s="251" t="s">
        <v>7180</v>
      </c>
      <c r="H219" s="215" t="s">
        <v>7165</v>
      </c>
      <c r="I219" s="251" t="s">
        <v>7166</v>
      </c>
      <c r="J219" s="251" t="s">
        <v>7167</v>
      </c>
      <c r="K219" s="251" t="s">
        <v>6177</v>
      </c>
      <c r="BB219"/>
    </row>
    <row r="220" spans="1:54" x14ac:dyDescent="0.2">
      <c r="A220" s="225" t="str">
        <f t="shared" si="3"/>
        <v>Provision for Credit Losses</v>
      </c>
      <c r="B220" s="218" t="s">
        <v>237</v>
      </c>
      <c r="C220" s="251" t="s">
        <v>7152</v>
      </c>
      <c r="D220" s="251" t="s">
        <v>7153</v>
      </c>
      <c r="E220" s="251" t="s">
        <v>7154</v>
      </c>
      <c r="F220" s="251" t="s">
        <v>7181</v>
      </c>
      <c r="G220" s="251" t="s">
        <v>7182</v>
      </c>
      <c r="H220" s="215" t="s">
        <v>7168</v>
      </c>
      <c r="I220" s="251" t="s">
        <v>7169</v>
      </c>
      <c r="J220" s="251" t="s">
        <v>7170</v>
      </c>
      <c r="K220" s="251" t="s">
        <v>7188</v>
      </c>
      <c r="BB220"/>
    </row>
    <row r="221" spans="1:54" x14ac:dyDescent="0.2">
      <c r="A221" s="225" t="str">
        <f t="shared" si="3"/>
        <v>(Income) Loss on Equity Invest.</v>
      </c>
      <c r="B221" s="218" t="s">
        <v>238</v>
      </c>
      <c r="C221" s="251" t="s">
        <v>7155</v>
      </c>
      <c r="D221" s="251" t="s">
        <v>7156</v>
      </c>
      <c r="E221" s="251" t="s">
        <v>7157</v>
      </c>
      <c r="F221" s="251" t="s">
        <v>7183</v>
      </c>
      <c r="G221" s="251" t="s">
        <v>7184</v>
      </c>
      <c r="H221" s="215" t="s">
        <v>7114</v>
      </c>
      <c r="I221" s="251" t="s">
        <v>7171</v>
      </c>
      <c r="J221" s="251" t="s">
        <v>7172</v>
      </c>
      <c r="K221" s="251" t="s">
        <v>7189</v>
      </c>
      <c r="BB221"/>
    </row>
    <row r="222" spans="1:54" x14ac:dyDescent="0.2">
      <c r="A222" s="225" t="str">
        <f t="shared" si="3"/>
        <v>Tax Benefit from Stock Options</v>
      </c>
      <c r="B222" s="218" t="s">
        <v>179</v>
      </c>
      <c r="C222" s="251" t="s">
        <v>7190</v>
      </c>
      <c r="D222" s="251" t="s">
        <v>7191</v>
      </c>
      <c r="E222" s="251" t="s">
        <v>7192</v>
      </c>
      <c r="F222" s="251" t="s">
        <v>7202</v>
      </c>
      <c r="G222" s="251" t="s">
        <v>7203</v>
      </c>
      <c r="H222" s="215" t="s">
        <v>7196</v>
      </c>
      <c r="I222" s="251" t="s">
        <v>7197</v>
      </c>
      <c r="J222" s="251" t="s">
        <v>7198</v>
      </c>
      <c r="K222" s="251" t="s">
        <v>7206</v>
      </c>
      <c r="BB222"/>
    </row>
    <row r="223" spans="1:54" x14ac:dyDescent="0.2">
      <c r="A223" s="225" t="str">
        <f t="shared" si="3"/>
        <v>Provision &amp; Write-off of Bad debts</v>
      </c>
      <c r="B223" s="218" t="s">
        <v>240</v>
      </c>
      <c r="C223" s="251" t="s">
        <v>7193</v>
      </c>
      <c r="D223" s="251" t="s">
        <v>7194</v>
      </c>
      <c r="E223" s="251" t="s">
        <v>7195</v>
      </c>
      <c r="F223" s="251" t="s">
        <v>7204</v>
      </c>
      <c r="G223" s="251" t="s">
        <v>7205</v>
      </c>
      <c r="H223" s="215" t="s">
        <v>7199</v>
      </c>
      <c r="I223" s="251" t="s">
        <v>7200</v>
      </c>
      <c r="J223" s="251" t="s">
        <v>7201</v>
      </c>
      <c r="K223" s="251" t="s">
        <v>7207</v>
      </c>
      <c r="BB223"/>
    </row>
    <row r="224" spans="1:54" x14ac:dyDescent="0.2">
      <c r="A224" s="225" t="str">
        <f t="shared" si="3"/>
        <v>Net Cash From Discontinued Ops.</v>
      </c>
      <c r="B224" s="218" t="s">
        <v>241</v>
      </c>
      <c r="C224" s="251" t="s">
        <v>7208</v>
      </c>
      <c r="D224" s="251" t="s">
        <v>7209</v>
      </c>
      <c r="E224" s="251" t="s">
        <v>7210</v>
      </c>
      <c r="F224" s="251" t="s">
        <v>7220</v>
      </c>
      <c r="G224" s="251" t="s">
        <v>7221</v>
      </c>
      <c r="H224" s="215" t="s">
        <v>7214</v>
      </c>
      <c r="I224" s="251" t="s">
        <v>7215</v>
      </c>
      <c r="J224" s="251" t="s">
        <v>7216</v>
      </c>
      <c r="K224" s="251" t="s">
        <v>7224</v>
      </c>
      <c r="BB224"/>
    </row>
    <row r="225" spans="1:54" x14ac:dyDescent="0.2">
      <c r="A225" s="225" t="str">
        <f t="shared" si="3"/>
        <v>Other Operating Activities</v>
      </c>
      <c r="B225" s="218" t="s">
        <v>242</v>
      </c>
      <c r="C225" s="251" t="s">
        <v>7211</v>
      </c>
      <c r="D225" s="251" t="s">
        <v>7212</v>
      </c>
      <c r="E225" s="251" t="s">
        <v>7213</v>
      </c>
      <c r="F225" s="251" t="s">
        <v>7222</v>
      </c>
      <c r="G225" s="251" t="s">
        <v>7223</v>
      </c>
      <c r="H225" s="215" t="s">
        <v>7217</v>
      </c>
      <c r="I225" s="251" t="s">
        <v>7218</v>
      </c>
      <c r="J225" s="251" t="s">
        <v>7219</v>
      </c>
      <c r="K225" s="251" t="s">
        <v>7225</v>
      </c>
      <c r="BB225"/>
    </row>
    <row r="226" spans="1:54" x14ac:dyDescent="0.2">
      <c r="A226" s="225" t="str">
        <f t="shared" si="3"/>
        <v>Change in Trad. Asset Securities</v>
      </c>
      <c r="B226" s="218" t="s">
        <v>243</v>
      </c>
      <c r="C226" s="251" t="s">
        <v>5663</v>
      </c>
      <c r="D226" s="251" t="s">
        <v>5664</v>
      </c>
      <c r="E226" s="251" t="s">
        <v>5665</v>
      </c>
      <c r="F226" s="251" t="s">
        <v>5675</v>
      </c>
      <c r="G226" s="251" t="s">
        <v>5676</v>
      </c>
      <c r="H226" s="222" t="s">
        <v>5669</v>
      </c>
      <c r="I226" s="251" t="s">
        <v>5670</v>
      </c>
      <c r="J226" s="251" t="s">
        <v>5671</v>
      </c>
      <c r="K226" s="251" t="s">
        <v>5679</v>
      </c>
      <c r="BB226"/>
    </row>
    <row r="227" spans="1:54" x14ac:dyDescent="0.2">
      <c r="A227" s="225" t="str">
        <f t="shared" si="3"/>
        <v>Change in Acc. Receivable</v>
      </c>
      <c r="B227" s="218" t="s">
        <v>180</v>
      </c>
      <c r="C227" s="251" t="s">
        <v>5666</v>
      </c>
      <c r="D227" s="251" t="s">
        <v>5667</v>
      </c>
      <c r="E227" s="251" t="s">
        <v>5668</v>
      </c>
      <c r="F227" s="251" t="s">
        <v>5677</v>
      </c>
      <c r="G227" s="251" t="s">
        <v>5678</v>
      </c>
      <c r="H227" s="222" t="s">
        <v>5672</v>
      </c>
      <c r="I227" s="251" t="s">
        <v>5673</v>
      </c>
      <c r="J227" s="251" t="s">
        <v>5674</v>
      </c>
      <c r="K227" s="251" t="s">
        <v>5680</v>
      </c>
      <c r="BB227"/>
    </row>
    <row r="228" spans="1:54" x14ac:dyDescent="0.2">
      <c r="A228" s="225" t="str">
        <f t="shared" si="3"/>
        <v>Change In Inventories</v>
      </c>
      <c r="B228" s="218" t="s">
        <v>181</v>
      </c>
      <c r="C228" s="218" t="s">
        <v>6098</v>
      </c>
      <c r="D228" s="218" t="s">
        <v>6099</v>
      </c>
      <c r="E228" s="218" t="s">
        <v>6100</v>
      </c>
      <c r="F228" s="218" t="s">
        <v>6104</v>
      </c>
      <c r="G228" s="218" t="s">
        <v>6105</v>
      </c>
      <c r="H228" s="218" t="s">
        <v>6101</v>
      </c>
      <c r="I228" s="218" t="s">
        <v>6102</v>
      </c>
      <c r="J228" s="218" t="s">
        <v>6103</v>
      </c>
      <c r="K228" s="218" t="s">
        <v>6106</v>
      </c>
      <c r="BB228"/>
    </row>
    <row r="229" spans="1:54" x14ac:dyDescent="0.2">
      <c r="A229" s="225" t="str">
        <f t="shared" si="3"/>
        <v>Change in Acc. Payable</v>
      </c>
      <c r="B229" s="218" t="s">
        <v>182</v>
      </c>
      <c r="C229" s="251" t="s">
        <v>5681</v>
      </c>
      <c r="D229" s="251" t="s">
        <v>5682</v>
      </c>
      <c r="E229" s="251" t="s">
        <v>5683</v>
      </c>
      <c r="F229" s="251" t="s">
        <v>5711</v>
      </c>
      <c r="G229" s="251" t="s">
        <v>5712</v>
      </c>
      <c r="H229" s="222" t="s">
        <v>5696</v>
      </c>
      <c r="I229" s="251" t="s">
        <v>5697</v>
      </c>
      <c r="J229" s="251" t="s">
        <v>5698</v>
      </c>
      <c r="K229" s="251" t="s">
        <v>5721</v>
      </c>
      <c r="BB229"/>
    </row>
    <row r="230" spans="1:54" x14ac:dyDescent="0.2">
      <c r="A230" s="225" t="str">
        <f t="shared" si="3"/>
        <v>Change in Unearned Rev.</v>
      </c>
      <c r="B230" s="218" t="s">
        <v>183</v>
      </c>
      <c r="C230" s="251" t="s">
        <v>5684</v>
      </c>
      <c r="D230" s="251" t="s">
        <v>5685</v>
      </c>
      <c r="E230" s="251" t="s">
        <v>5686</v>
      </c>
      <c r="F230" s="251" t="s">
        <v>5713</v>
      </c>
      <c r="G230" s="251" t="s">
        <v>5714</v>
      </c>
      <c r="H230" s="222" t="s">
        <v>5699</v>
      </c>
      <c r="I230" s="251" t="s">
        <v>5700</v>
      </c>
      <c r="J230" s="251" t="s">
        <v>5701</v>
      </c>
      <c r="K230" s="251" t="s">
        <v>5722</v>
      </c>
      <c r="BB230"/>
    </row>
    <row r="231" spans="1:54" x14ac:dyDescent="0.2">
      <c r="A231" s="225" t="str">
        <f t="shared" si="3"/>
        <v>Change in Inc. Taxes</v>
      </c>
      <c r="B231" s="218" t="s">
        <v>244</v>
      </c>
      <c r="C231" s="251" t="s">
        <v>5687</v>
      </c>
      <c r="D231" s="251" t="s">
        <v>5688</v>
      </c>
      <c r="E231" s="251" t="s">
        <v>5689</v>
      </c>
      <c r="F231" s="251" t="s">
        <v>5715</v>
      </c>
      <c r="G231" s="251" t="s">
        <v>5716</v>
      </c>
      <c r="H231" s="222" t="s">
        <v>5702</v>
      </c>
      <c r="I231" s="251" t="s">
        <v>5703</v>
      </c>
      <c r="J231" s="251" t="s">
        <v>5704</v>
      </c>
      <c r="K231" s="251" t="s">
        <v>5723</v>
      </c>
      <c r="BB231"/>
    </row>
    <row r="232" spans="1:54" x14ac:dyDescent="0.2">
      <c r="A232" s="225" t="str">
        <f t="shared" si="3"/>
        <v>Change in Def. Taxes</v>
      </c>
      <c r="B232" s="218" t="s">
        <v>184</v>
      </c>
      <c r="C232" s="251" t="s">
        <v>5690</v>
      </c>
      <c r="D232" s="251" t="s">
        <v>5691</v>
      </c>
      <c r="E232" s="251" t="s">
        <v>5692</v>
      </c>
      <c r="F232" s="251" t="s">
        <v>5717</v>
      </c>
      <c r="G232" s="251" t="s">
        <v>5718</v>
      </c>
      <c r="H232" s="222" t="s">
        <v>5705</v>
      </c>
      <c r="I232" s="251" t="s">
        <v>5706</v>
      </c>
      <c r="J232" s="251" t="s">
        <v>5707</v>
      </c>
      <c r="K232" s="251" t="s">
        <v>5724</v>
      </c>
      <c r="BB232"/>
    </row>
    <row r="233" spans="1:54" x14ac:dyDescent="0.2">
      <c r="A233" s="225" t="str">
        <f t="shared" si="3"/>
        <v>Change In Other Net Operating Assets</v>
      </c>
      <c r="B233" s="218" t="s">
        <v>638</v>
      </c>
      <c r="C233" s="251" t="s">
        <v>5693</v>
      </c>
      <c r="D233" s="251" t="s">
        <v>5694</v>
      </c>
      <c r="E233" s="251" t="s">
        <v>5695</v>
      </c>
      <c r="F233" s="251" t="s">
        <v>5719</v>
      </c>
      <c r="G233" s="251" t="s">
        <v>5720</v>
      </c>
      <c r="H233" s="222" t="s">
        <v>5708</v>
      </c>
      <c r="I233" s="251" t="s">
        <v>5709</v>
      </c>
      <c r="J233" s="251" t="s">
        <v>5710</v>
      </c>
      <c r="K233" s="251" t="s">
        <v>5725</v>
      </c>
      <c r="BB233"/>
    </row>
    <row r="234" spans="1:54" x14ac:dyDescent="0.2">
      <c r="A234" s="225" t="str">
        <f t="shared" si="3"/>
        <v>Cash from Ops.</v>
      </c>
      <c r="B234" s="218" t="s">
        <v>139</v>
      </c>
      <c r="C234" t="s">
        <v>7352</v>
      </c>
      <c r="D234" t="s">
        <v>7353</v>
      </c>
      <c r="E234" t="s">
        <v>7354</v>
      </c>
      <c r="F234" t="s">
        <v>7355</v>
      </c>
      <c r="G234" t="s">
        <v>7356</v>
      </c>
      <c r="H234" t="s">
        <v>7357</v>
      </c>
      <c r="I234" t="s">
        <v>7358</v>
      </c>
      <c r="J234" t="s">
        <v>7359</v>
      </c>
      <c r="K234" t="s">
        <v>7360</v>
      </c>
      <c r="BB234"/>
    </row>
    <row r="235" spans="1:54" x14ac:dyDescent="0.2">
      <c r="A235" s="225" t="str">
        <f t="shared" si="3"/>
        <v>Capital Expenditure</v>
      </c>
      <c r="B235" s="218" t="s">
        <v>140</v>
      </c>
      <c r="C235" t="s">
        <v>7361</v>
      </c>
      <c r="D235" t="s">
        <v>7362</v>
      </c>
      <c r="E235" t="s">
        <v>7363</v>
      </c>
      <c r="F235" t="s">
        <v>7364</v>
      </c>
      <c r="G235" t="s">
        <v>7365</v>
      </c>
      <c r="H235" t="s">
        <v>7366</v>
      </c>
      <c r="I235" t="s">
        <v>7367</v>
      </c>
      <c r="J235" t="s">
        <v>7368</v>
      </c>
      <c r="K235" t="s">
        <v>7369</v>
      </c>
      <c r="BB235"/>
    </row>
    <row r="236" spans="1:54" x14ac:dyDescent="0.2">
      <c r="A236" s="225" t="str">
        <f t="shared" si="3"/>
        <v>Sale of Property, Plant, and Equipment</v>
      </c>
      <c r="B236" s="218" t="s">
        <v>141</v>
      </c>
      <c r="C236" s="218" t="s">
        <v>6107</v>
      </c>
      <c r="D236" s="218" t="s">
        <v>6108</v>
      </c>
      <c r="E236" s="218" t="s">
        <v>6109</v>
      </c>
      <c r="F236" s="218" t="s">
        <v>6125</v>
      </c>
      <c r="G236" s="218" t="s">
        <v>6126</v>
      </c>
      <c r="H236" s="218" t="s">
        <v>6116</v>
      </c>
      <c r="I236" s="218" t="s">
        <v>6117</v>
      </c>
      <c r="J236" s="218" t="s">
        <v>6118</v>
      </c>
      <c r="K236" s="218" t="s">
        <v>6131</v>
      </c>
      <c r="BB236"/>
    </row>
    <row r="237" spans="1:54" x14ac:dyDescent="0.2">
      <c r="A237" s="225" t="str">
        <f t="shared" si="3"/>
        <v>Cash Acquisitions</v>
      </c>
      <c r="B237" s="218" t="s">
        <v>142</v>
      </c>
      <c r="C237" s="218" t="s">
        <v>6110</v>
      </c>
      <c r="D237" s="218" t="s">
        <v>6111</v>
      </c>
      <c r="E237" s="218" t="s">
        <v>6112</v>
      </c>
      <c r="F237" s="218" t="s">
        <v>6127</v>
      </c>
      <c r="G237" s="218" t="s">
        <v>6128</v>
      </c>
      <c r="H237" s="218" t="s">
        <v>6119</v>
      </c>
      <c r="I237" s="218" t="s">
        <v>6120</v>
      </c>
      <c r="J237" s="218" t="s">
        <v>6121</v>
      </c>
      <c r="K237" s="218" t="s">
        <v>6132</v>
      </c>
      <c r="BB237"/>
    </row>
    <row r="238" spans="1:54" x14ac:dyDescent="0.2">
      <c r="A238" s="225" t="str">
        <f t="shared" si="3"/>
        <v>Divestitures</v>
      </c>
      <c r="B238" s="218" t="s">
        <v>143</v>
      </c>
      <c r="C238" s="218" t="s">
        <v>6113</v>
      </c>
      <c r="D238" s="218" t="s">
        <v>6114</v>
      </c>
      <c r="E238" s="218" t="s">
        <v>6115</v>
      </c>
      <c r="F238" s="218" t="s">
        <v>6129</v>
      </c>
      <c r="G238" s="218" t="s">
        <v>6130</v>
      </c>
      <c r="H238" s="218" t="s">
        <v>6122</v>
      </c>
      <c r="I238" s="218" t="s">
        <v>6123</v>
      </c>
      <c r="J238" s="218" t="s">
        <v>6124</v>
      </c>
      <c r="K238" s="218" t="s">
        <v>6133</v>
      </c>
      <c r="BB238"/>
    </row>
    <row r="239" spans="1:54" x14ac:dyDescent="0.2">
      <c r="A239" s="225" t="str">
        <f t="shared" si="3"/>
        <v>Sale/(Purchase) of Real Estate Properties</v>
      </c>
      <c r="B239" s="218" t="s">
        <v>408</v>
      </c>
      <c r="C239" s="218" t="s">
        <v>6134</v>
      </c>
      <c r="D239" s="218" t="s">
        <v>6135</v>
      </c>
      <c r="E239" s="218" t="s">
        <v>6136</v>
      </c>
      <c r="F239" s="218" t="s">
        <v>6164</v>
      </c>
      <c r="G239" s="218" t="s">
        <v>6165</v>
      </c>
      <c r="H239" s="218" t="s">
        <v>6149</v>
      </c>
      <c r="I239" s="218" t="s">
        <v>6150</v>
      </c>
      <c r="J239" s="218" t="s">
        <v>6151</v>
      </c>
      <c r="K239" s="218" t="s">
        <v>6174</v>
      </c>
      <c r="BB239"/>
    </row>
    <row r="240" spans="1:54" x14ac:dyDescent="0.2">
      <c r="A240" s="225" t="str">
        <f t="shared" si="3"/>
        <v>Sale/(Purchase) of Intangible Assets</v>
      </c>
      <c r="B240" s="218" t="s">
        <v>409</v>
      </c>
      <c r="C240" s="218" t="s">
        <v>6137</v>
      </c>
      <c r="D240" s="218" t="s">
        <v>6138</v>
      </c>
      <c r="E240" s="218" t="s">
        <v>6139</v>
      </c>
      <c r="F240" s="218" t="s">
        <v>6166</v>
      </c>
      <c r="G240" s="218" t="s">
        <v>6167</v>
      </c>
      <c r="H240" s="218" t="s">
        <v>6152</v>
      </c>
      <c r="I240" s="218" t="s">
        <v>6153</v>
      </c>
      <c r="J240" s="218" t="s">
        <v>6154</v>
      </c>
      <c r="K240" s="218" t="s">
        <v>6175</v>
      </c>
      <c r="BB240"/>
    </row>
    <row r="241" spans="1:54" x14ac:dyDescent="0.2">
      <c r="A241" s="225" t="str">
        <f t="shared" si="3"/>
        <v>Invest. in Marketable &amp; Equity Sec.</v>
      </c>
      <c r="B241" s="218" t="s">
        <v>410</v>
      </c>
      <c r="C241" s="218" t="s">
        <v>6140</v>
      </c>
      <c r="D241" s="218" t="s">
        <v>6141</v>
      </c>
      <c r="E241" s="218" t="s">
        <v>6142</v>
      </c>
      <c r="F241" s="218" t="s">
        <v>6168</v>
      </c>
      <c r="G241" s="218" t="s">
        <v>6169</v>
      </c>
      <c r="H241" s="218" t="s">
        <v>6155</v>
      </c>
      <c r="I241" s="218" t="s">
        <v>6156</v>
      </c>
      <c r="J241" s="218" t="s">
        <v>6157</v>
      </c>
      <c r="K241" s="218" t="s">
        <v>6176</v>
      </c>
      <c r="BB241"/>
    </row>
    <row r="242" spans="1:54" x14ac:dyDescent="0.2">
      <c r="A242" s="225" t="str">
        <f t="shared" si="3"/>
        <v>Net (Inc.) Dec. in Loans Originated/Sold</v>
      </c>
      <c r="B242" s="218" t="s">
        <v>185</v>
      </c>
      <c r="C242" s="218" t="s">
        <v>6143</v>
      </c>
      <c r="D242" s="218" t="s">
        <v>6144</v>
      </c>
      <c r="E242" s="218" t="s">
        <v>6145</v>
      </c>
      <c r="F242" s="218" t="s">
        <v>6170</v>
      </c>
      <c r="G242" s="218" t="s">
        <v>6171</v>
      </c>
      <c r="H242" s="218" t="s">
        <v>6158</v>
      </c>
      <c r="I242" s="218" t="s">
        <v>6159</v>
      </c>
      <c r="J242" s="218" t="s">
        <v>6160</v>
      </c>
      <c r="K242" s="218" t="s">
        <v>6177</v>
      </c>
      <c r="BB242"/>
    </row>
    <row r="243" spans="1:54" x14ac:dyDescent="0.2">
      <c r="A243" s="225" t="str">
        <f t="shared" si="3"/>
        <v>Other Investing Activities</v>
      </c>
      <c r="B243" s="218" t="s">
        <v>186</v>
      </c>
      <c r="C243" s="218" t="s">
        <v>6146</v>
      </c>
      <c r="D243" s="218" t="s">
        <v>6147</v>
      </c>
      <c r="E243" s="218" t="s">
        <v>6148</v>
      </c>
      <c r="F243" s="218" t="s">
        <v>6172</v>
      </c>
      <c r="G243" s="218" t="s">
        <v>6173</v>
      </c>
      <c r="H243" s="218" t="s">
        <v>6161</v>
      </c>
      <c r="I243" s="218" t="s">
        <v>6162</v>
      </c>
      <c r="J243" s="218" t="s">
        <v>6163</v>
      </c>
      <c r="K243" s="218" t="s">
        <v>6178</v>
      </c>
      <c r="BB243"/>
    </row>
    <row r="244" spans="1:54" x14ac:dyDescent="0.2">
      <c r="A244" s="225" t="str">
        <f t="shared" si="3"/>
        <v>Cash from Investing</v>
      </c>
      <c r="B244" s="218" t="s">
        <v>144</v>
      </c>
      <c r="C244" s="215" t="s">
        <v>7370</v>
      </c>
      <c r="D244" s="215" t="s">
        <v>7371</v>
      </c>
      <c r="E244" s="215" t="s">
        <v>7372</v>
      </c>
      <c r="F244" s="215" t="s">
        <v>7373</v>
      </c>
      <c r="G244" s="215" t="s">
        <v>7374</v>
      </c>
      <c r="H244" s="215" t="s">
        <v>7375</v>
      </c>
      <c r="I244" s="215" t="s">
        <v>7376</v>
      </c>
      <c r="J244" s="215" t="s">
        <v>7377</v>
      </c>
      <c r="K244" s="215" t="s">
        <v>7378</v>
      </c>
      <c r="BB244"/>
    </row>
    <row r="245" spans="1:54" x14ac:dyDescent="0.2">
      <c r="A245" s="225" t="str">
        <f t="shared" si="3"/>
        <v>Short Term Debt Issued</v>
      </c>
      <c r="B245" s="218" t="s">
        <v>145</v>
      </c>
      <c r="C245" s="218" t="s">
        <v>6179</v>
      </c>
      <c r="D245" s="218" t="s">
        <v>6180</v>
      </c>
      <c r="E245" s="218" t="s">
        <v>6181</v>
      </c>
      <c r="F245" s="218" t="s">
        <v>6191</v>
      </c>
      <c r="G245" s="218" t="s">
        <v>6192</v>
      </c>
      <c r="H245" s="218" t="s">
        <v>6185</v>
      </c>
      <c r="I245" s="218" t="s">
        <v>6186</v>
      </c>
      <c r="J245" s="218" t="s">
        <v>6187</v>
      </c>
      <c r="K245" s="218" t="s">
        <v>6195</v>
      </c>
      <c r="BB245"/>
    </row>
    <row r="246" spans="1:54" x14ac:dyDescent="0.2">
      <c r="A246" s="225" t="str">
        <f t="shared" si="3"/>
        <v>Long-Term Debt Issued</v>
      </c>
      <c r="B246" s="218" t="s">
        <v>146</v>
      </c>
      <c r="C246" s="218" t="s">
        <v>6182</v>
      </c>
      <c r="D246" s="218" t="s">
        <v>6183</v>
      </c>
      <c r="E246" s="218" t="s">
        <v>6184</v>
      </c>
      <c r="F246" s="218" t="s">
        <v>6193</v>
      </c>
      <c r="G246" s="218" t="s">
        <v>6194</v>
      </c>
      <c r="H246" s="218" t="s">
        <v>6188</v>
      </c>
      <c r="I246" s="218" t="s">
        <v>6189</v>
      </c>
      <c r="J246" s="218" t="s">
        <v>6190</v>
      </c>
      <c r="K246" s="218" t="s">
        <v>6196</v>
      </c>
      <c r="BB246"/>
    </row>
    <row r="247" spans="1:54" x14ac:dyDescent="0.2">
      <c r="A247" s="225" t="str">
        <f t="shared" si="3"/>
        <v>Total Debt Issued</v>
      </c>
      <c r="B247" s="218" t="s">
        <v>147</v>
      </c>
      <c r="C247" t="s">
        <v>7379</v>
      </c>
      <c r="D247" t="s">
        <v>7380</v>
      </c>
      <c r="E247" t="s">
        <v>7381</v>
      </c>
      <c r="F247" t="s">
        <v>7382</v>
      </c>
      <c r="G247" t="s">
        <v>7383</v>
      </c>
      <c r="H247" t="s">
        <v>7384</v>
      </c>
      <c r="I247" t="s">
        <v>7385</v>
      </c>
      <c r="J247" t="s">
        <v>7386</v>
      </c>
      <c r="K247" t="s">
        <v>7387</v>
      </c>
      <c r="BB247"/>
    </row>
    <row r="248" spans="1:54" x14ac:dyDescent="0.2">
      <c r="A248" s="225" t="str">
        <f t="shared" si="3"/>
        <v>Short Term Debt Repaid</v>
      </c>
      <c r="B248" s="218" t="s">
        <v>148</v>
      </c>
      <c r="C248" s="218" t="s">
        <v>6197</v>
      </c>
      <c r="D248" s="218" t="s">
        <v>6198</v>
      </c>
      <c r="E248" s="218" t="s">
        <v>6199</v>
      </c>
      <c r="F248" s="218" t="s">
        <v>6209</v>
      </c>
      <c r="G248" s="218" t="s">
        <v>6210</v>
      </c>
      <c r="H248" s="218" t="s">
        <v>6203</v>
      </c>
      <c r="I248" s="218" t="s">
        <v>6204</v>
      </c>
      <c r="J248" s="218" t="s">
        <v>6205</v>
      </c>
      <c r="K248" s="218" t="s">
        <v>6213</v>
      </c>
      <c r="BB248"/>
    </row>
    <row r="249" spans="1:54" x14ac:dyDescent="0.2">
      <c r="A249" s="225" t="str">
        <f t="shared" si="3"/>
        <v>Long-Term Debt Repaid</v>
      </c>
      <c r="B249" s="218" t="s">
        <v>149</v>
      </c>
      <c r="C249" s="218" t="s">
        <v>6200</v>
      </c>
      <c r="D249" s="218" t="s">
        <v>6201</v>
      </c>
      <c r="E249" s="218" t="s">
        <v>6202</v>
      </c>
      <c r="F249" s="218" t="s">
        <v>6211</v>
      </c>
      <c r="G249" s="218" t="s">
        <v>6212</v>
      </c>
      <c r="H249" s="218" t="s">
        <v>6206</v>
      </c>
      <c r="I249" s="218" t="s">
        <v>6207</v>
      </c>
      <c r="J249" s="218" t="s">
        <v>6208</v>
      </c>
      <c r="K249" s="218" t="s">
        <v>6214</v>
      </c>
      <c r="BB249"/>
    </row>
    <row r="250" spans="1:54" x14ac:dyDescent="0.2">
      <c r="A250" s="225" t="str">
        <f t="shared" si="3"/>
        <v>Total Debt Repaid</v>
      </c>
      <c r="B250" s="218" t="s">
        <v>150</v>
      </c>
      <c r="C250" t="s">
        <v>7388</v>
      </c>
      <c r="D250" t="s">
        <v>7389</v>
      </c>
      <c r="E250" t="s">
        <v>7390</v>
      </c>
      <c r="F250" t="s">
        <v>7391</v>
      </c>
      <c r="G250" t="s">
        <v>7392</v>
      </c>
      <c r="H250" t="s">
        <v>7393</v>
      </c>
      <c r="I250" t="s">
        <v>7394</v>
      </c>
      <c r="J250" t="s">
        <v>7395</v>
      </c>
      <c r="K250" t="s">
        <v>7396</v>
      </c>
      <c r="BB250"/>
    </row>
    <row r="251" spans="1:54" x14ac:dyDescent="0.2">
      <c r="A251" s="225" t="str">
        <f t="shared" si="3"/>
        <v>Issuance of Common Stock</v>
      </c>
      <c r="B251" s="218" t="s">
        <v>151</v>
      </c>
      <c r="C251" t="s">
        <v>7397</v>
      </c>
      <c r="D251" t="s">
        <v>7398</v>
      </c>
      <c r="E251" t="s">
        <v>7399</v>
      </c>
      <c r="F251" t="s">
        <v>7400</v>
      </c>
      <c r="G251" t="s">
        <v>7401</v>
      </c>
      <c r="H251" t="s">
        <v>7402</v>
      </c>
      <c r="I251" t="s">
        <v>7403</v>
      </c>
      <c r="J251" t="s">
        <v>7404</v>
      </c>
      <c r="K251" t="s">
        <v>7405</v>
      </c>
      <c r="BB251"/>
    </row>
    <row r="252" spans="1:54" x14ac:dyDescent="0.2">
      <c r="A252" s="225" t="str">
        <f t="shared" si="3"/>
        <v>Repurchase of Common</v>
      </c>
      <c r="B252" s="218" t="s">
        <v>152</v>
      </c>
      <c r="C252" t="s">
        <v>7406</v>
      </c>
      <c r="D252" t="s">
        <v>7407</v>
      </c>
      <c r="E252" t="s">
        <v>7408</v>
      </c>
      <c r="F252" t="s">
        <v>7409</v>
      </c>
      <c r="G252" t="s">
        <v>7410</v>
      </c>
      <c r="H252" t="s">
        <v>7411</v>
      </c>
      <c r="I252" t="s">
        <v>7412</v>
      </c>
      <c r="J252" t="s">
        <v>7413</v>
      </c>
      <c r="K252" t="s">
        <v>7414</v>
      </c>
      <c r="BB252"/>
    </row>
    <row r="253" spans="1:54" x14ac:dyDescent="0.2">
      <c r="A253" s="225" t="str">
        <f t="shared" si="3"/>
        <v>Issuance of Pref. Stock</v>
      </c>
      <c r="B253" s="218" t="s">
        <v>153</v>
      </c>
      <c r="C253" t="s">
        <v>7415</v>
      </c>
      <c r="D253" t="s">
        <v>7416</v>
      </c>
      <c r="E253" t="s">
        <v>7417</v>
      </c>
      <c r="F253" t="s">
        <v>7418</v>
      </c>
      <c r="G253" t="s">
        <v>7419</v>
      </c>
      <c r="H253" t="s">
        <v>7420</v>
      </c>
      <c r="I253" t="s">
        <v>7421</v>
      </c>
      <c r="J253" t="s">
        <v>7422</v>
      </c>
      <c r="K253" t="s">
        <v>7423</v>
      </c>
      <c r="BB253"/>
    </row>
    <row r="254" spans="1:54" x14ac:dyDescent="0.2">
      <c r="A254" s="225" t="str">
        <f t="shared" si="3"/>
        <v>Repurchase of Preferred</v>
      </c>
      <c r="B254" s="218" t="s">
        <v>154</v>
      </c>
      <c r="C254" t="s">
        <v>7424</v>
      </c>
      <c r="D254" t="s">
        <v>7425</v>
      </c>
      <c r="E254" t="s">
        <v>7426</v>
      </c>
      <c r="F254" t="s">
        <v>7427</v>
      </c>
      <c r="G254" t="s">
        <v>7428</v>
      </c>
      <c r="H254" t="s">
        <v>7429</v>
      </c>
      <c r="I254" t="s">
        <v>7430</v>
      </c>
      <c r="J254" t="s">
        <v>7431</v>
      </c>
      <c r="K254" t="s">
        <v>7432</v>
      </c>
      <c r="BB254"/>
    </row>
    <row r="255" spans="1:54" x14ac:dyDescent="0.2">
      <c r="A255" s="225" t="str">
        <f t="shared" si="3"/>
        <v>Common Dividends Paid</v>
      </c>
      <c r="B255" s="218" t="s">
        <v>187</v>
      </c>
      <c r="C255" s="218" t="s">
        <v>6215</v>
      </c>
      <c r="D255" s="218" t="s">
        <v>6215</v>
      </c>
      <c r="E255" s="218" t="s">
        <v>6216</v>
      </c>
      <c r="F255" s="218" t="s">
        <v>6232</v>
      </c>
      <c r="G255" s="218" t="s">
        <v>6233</v>
      </c>
      <c r="H255" s="218" t="s">
        <v>6223</v>
      </c>
      <c r="I255" s="218" t="s">
        <v>6224</v>
      </c>
      <c r="J255" s="218" t="s">
        <v>6225</v>
      </c>
      <c r="K255" s="218" t="s">
        <v>6238</v>
      </c>
      <c r="BB255"/>
    </row>
    <row r="256" spans="1:54" x14ac:dyDescent="0.2">
      <c r="A256" s="225" t="str">
        <f t="shared" si="3"/>
        <v>Pref. Dividends Paid</v>
      </c>
      <c r="B256" s="218" t="s">
        <v>188</v>
      </c>
      <c r="C256" s="218" t="s">
        <v>6217</v>
      </c>
      <c r="D256" s="218" t="s">
        <v>6218</v>
      </c>
      <c r="E256" s="218" t="s">
        <v>6219</v>
      </c>
      <c r="F256" s="218" t="s">
        <v>6234</v>
      </c>
      <c r="G256" s="218" t="s">
        <v>6235</v>
      </c>
      <c r="H256" s="218" t="s">
        <v>6226</v>
      </c>
      <c r="I256" s="218" t="s">
        <v>6227</v>
      </c>
      <c r="J256" s="218" t="s">
        <v>6228</v>
      </c>
      <c r="K256" s="218" t="s">
        <v>6239</v>
      </c>
      <c r="BB256"/>
    </row>
    <row r="257" spans="1:54" x14ac:dyDescent="0.2">
      <c r="A257" s="225" t="str">
        <f t="shared" si="3"/>
        <v>Common and/or Pref. Dividends Paid</v>
      </c>
      <c r="B257" s="218" t="s">
        <v>189</v>
      </c>
      <c r="C257" s="218" t="s">
        <v>6220</v>
      </c>
      <c r="D257" s="218" t="s">
        <v>6221</v>
      </c>
      <c r="E257" s="218" t="s">
        <v>6222</v>
      </c>
      <c r="F257" s="218" t="s">
        <v>6236</v>
      </c>
      <c r="G257" s="218" t="s">
        <v>6237</v>
      </c>
      <c r="H257" s="218" t="s">
        <v>6229</v>
      </c>
      <c r="I257" s="218" t="s">
        <v>6230</v>
      </c>
      <c r="J257" s="218" t="s">
        <v>6231</v>
      </c>
      <c r="K257" s="218" t="s">
        <v>6240</v>
      </c>
      <c r="BB257"/>
    </row>
    <row r="258" spans="1:54" x14ac:dyDescent="0.2">
      <c r="A258" s="225" t="str">
        <f t="shared" si="3"/>
        <v>Total Dividends Paid</v>
      </c>
      <c r="B258" s="218" t="s">
        <v>155</v>
      </c>
      <c r="C258" t="s">
        <v>7433</v>
      </c>
      <c r="D258" t="s">
        <v>7434</v>
      </c>
      <c r="E258" t="s">
        <v>7435</v>
      </c>
      <c r="F258" t="s">
        <v>7436</v>
      </c>
      <c r="G258" t="s">
        <v>7437</v>
      </c>
      <c r="H258" t="s">
        <v>7438</v>
      </c>
      <c r="I258" t="s">
        <v>7439</v>
      </c>
      <c r="J258" t="s">
        <v>7440</v>
      </c>
      <c r="K258" t="s">
        <v>7441</v>
      </c>
      <c r="BB258"/>
    </row>
    <row r="259" spans="1:54" x14ac:dyDescent="0.2">
      <c r="A259" s="225" t="str">
        <f t="shared" si="3"/>
        <v>Special Dividend Paid</v>
      </c>
      <c r="B259" s="218" t="s">
        <v>190</v>
      </c>
      <c r="C259" s="218" t="s">
        <v>6241</v>
      </c>
      <c r="D259" s="218" t="s">
        <v>6242</v>
      </c>
      <c r="E259" s="218" t="s">
        <v>6243</v>
      </c>
      <c r="F259" s="218" t="s">
        <v>6253</v>
      </c>
      <c r="G259" s="218" t="s">
        <v>6254</v>
      </c>
      <c r="H259" s="218" t="s">
        <v>6247</v>
      </c>
      <c r="I259" s="218" t="s">
        <v>6248</v>
      </c>
      <c r="J259" s="218" t="s">
        <v>6249</v>
      </c>
      <c r="K259" s="218" t="s">
        <v>6257</v>
      </c>
      <c r="BB259"/>
    </row>
    <row r="260" spans="1:54" x14ac:dyDescent="0.2">
      <c r="A260" s="225" t="str">
        <f t="shared" si="3"/>
        <v>Other Financing Activities</v>
      </c>
      <c r="B260" s="218" t="s">
        <v>191</v>
      </c>
      <c r="C260" s="218" t="s">
        <v>6244</v>
      </c>
      <c r="D260" s="218" t="s">
        <v>6245</v>
      </c>
      <c r="E260" s="218" t="s">
        <v>6246</v>
      </c>
      <c r="F260" s="218" t="s">
        <v>6255</v>
      </c>
      <c r="G260" s="218" t="s">
        <v>6256</v>
      </c>
      <c r="H260" s="218" t="s">
        <v>6250</v>
      </c>
      <c r="I260" s="218" t="s">
        <v>6251</v>
      </c>
      <c r="J260" s="218" t="s">
        <v>6252</v>
      </c>
      <c r="K260" s="218" t="s">
        <v>6258</v>
      </c>
      <c r="BB260"/>
    </row>
    <row r="261" spans="1:54" x14ac:dyDescent="0.2">
      <c r="A261" s="225" t="str">
        <f t="shared" si="3"/>
        <v>Cash from Financing</v>
      </c>
      <c r="B261" s="218" t="s">
        <v>156</v>
      </c>
      <c r="C261" s="215" t="s">
        <v>7442</v>
      </c>
      <c r="D261" s="215" t="s">
        <v>7443</v>
      </c>
      <c r="E261" s="215" t="s">
        <v>7444</v>
      </c>
      <c r="F261" s="215" t="s">
        <v>7445</v>
      </c>
      <c r="G261" s="215" t="s">
        <v>7446</v>
      </c>
      <c r="H261" s="215" t="s">
        <v>7447</v>
      </c>
      <c r="I261" s="215" t="s">
        <v>7448</v>
      </c>
      <c r="J261" s="215" t="s">
        <v>7449</v>
      </c>
      <c r="K261" s="215" t="s">
        <v>7450</v>
      </c>
      <c r="BB261"/>
    </row>
    <row r="262" spans="1:54" x14ac:dyDescent="0.2">
      <c r="A262" s="225" t="str">
        <f t="shared" si="3"/>
        <v>Foreign Exchange Rate Adj.</v>
      </c>
      <c r="B262" s="218" t="s">
        <v>192</v>
      </c>
      <c r="C262" s="218" t="s">
        <v>2875</v>
      </c>
      <c r="D262" s="218" t="s">
        <v>2876</v>
      </c>
      <c r="E262" s="218" t="s">
        <v>2877</v>
      </c>
      <c r="F262" s="218" t="s">
        <v>3102</v>
      </c>
      <c r="G262" s="218" t="s">
        <v>3103</v>
      </c>
      <c r="H262" s="218" t="s">
        <v>6262</v>
      </c>
      <c r="I262" s="218" t="s">
        <v>6263</v>
      </c>
      <c r="J262" s="218" t="s">
        <v>6264</v>
      </c>
      <c r="K262" s="218" t="s">
        <v>3173</v>
      </c>
      <c r="BB262"/>
    </row>
    <row r="263" spans="1:54" x14ac:dyDescent="0.2">
      <c r="A263" s="225" t="str">
        <f t="shared" si="3"/>
        <v>Misc. Cash Flow Adj.</v>
      </c>
      <c r="B263" s="218" t="s">
        <v>248</v>
      </c>
      <c r="C263" s="218" t="s">
        <v>6259</v>
      </c>
      <c r="D263" s="218" t="s">
        <v>6260</v>
      </c>
      <c r="E263" s="218" t="s">
        <v>6261</v>
      </c>
      <c r="F263" s="218" t="s">
        <v>6268</v>
      </c>
      <c r="G263" s="218" t="s">
        <v>6269</v>
      </c>
      <c r="H263" s="218" t="s">
        <v>6265</v>
      </c>
      <c r="I263" s="218" t="s">
        <v>6266</v>
      </c>
      <c r="J263" s="218" t="s">
        <v>6267</v>
      </c>
      <c r="K263" s="218" t="s">
        <v>6270</v>
      </c>
      <c r="BB263"/>
    </row>
    <row r="264" spans="1:54" x14ac:dyDescent="0.2">
      <c r="A264" s="225" t="str">
        <f t="shared" si="3"/>
        <v>Net Change in Cash</v>
      </c>
      <c r="B264" s="218" t="s">
        <v>157</v>
      </c>
      <c r="C264" t="s">
        <v>7451</v>
      </c>
      <c r="D264" t="s">
        <v>7452</v>
      </c>
      <c r="E264" t="s">
        <v>7453</v>
      </c>
      <c r="F264" t="s">
        <v>7454</v>
      </c>
      <c r="G264" t="s">
        <v>7455</v>
      </c>
      <c r="H264" t="s">
        <v>7456</v>
      </c>
      <c r="I264" t="s">
        <v>7457</v>
      </c>
      <c r="J264" t="s">
        <v>7458</v>
      </c>
      <c r="K264" t="s">
        <v>7459</v>
      </c>
      <c r="BB264"/>
    </row>
    <row r="265" spans="1:54" x14ac:dyDescent="0.2">
      <c r="A265" s="225" t="str">
        <f t="shared" ref="A265:A328" si="4">INDEX($B265:$CV265,$A$4)</f>
        <v>Period Date</v>
      </c>
      <c r="B265" s="218" t="s">
        <v>715</v>
      </c>
      <c r="C265" s="251" t="s">
        <v>5573</v>
      </c>
      <c r="D265" s="251" t="s">
        <v>5574</v>
      </c>
      <c r="E265" s="251" t="s">
        <v>5575</v>
      </c>
      <c r="F265" s="251" t="s">
        <v>5633</v>
      </c>
      <c r="G265" s="251" t="s">
        <v>5634</v>
      </c>
      <c r="H265" s="222" t="s">
        <v>5603</v>
      </c>
      <c r="I265" s="251" t="s">
        <v>5604</v>
      </c>
      <c r="J265" s="251" t="s">
        <v>5605</v>
      </c>
      <c r="K265" s="251" t="s">
        <v>5653</v>
      </c>
      <c r="BB265"/>
    </row>
    <row r="266" spans="1:54" x14ac:dyDescent="0.2">
      <c r="A266" s="225" t="str">
        <f t="shared" si="4"/>
        <v>Depreciation And Amortization Notes for Partial CF</v>
      </c>
      <c r="B266" s="218" t="s">
        <v>9</v>
      </c>
      <c r="C266" s="251" t="s">
        <v>5576</v>
      </c>
      <c r="D266" s="251" t="s">
        <v>5577</v>
      </c>
      <c r="E266" s="251" t="s">
        <v>5578</v>
      </c>
      <c r="F266" s="251" t="s">
        <v>5635</v>
      </c>
      <c r="G266" s="251" t="s">
        <v>5636</v>
      </c>
      <c r="H266" s="222" t="s">
        <v>5606</v>
      </c>
      <c r="I266" s="251" t="s">
        <v>5607</v>
      </c>
      <c r="J266" s="251" t="s">
        <v>5608</v>
      </c>
      <c r="K266" s="251" t="s">
        <v>5654</v>
      </c>
      <c r="BB266"/>
    </row>
    <row r="267" spans="1:54" x14ac:dyDescent="0.2">
      <c r="A267" s="225" t="str">
        <f t="shared" si="4"/>
        <v>Amortization Of Goodwill Notes for Partial CF</v>
      </c>
      <c r="B267" s="218" t="s">
        <v>10</v>
      </c>
      <c r="C267" s="251" t="s">
        <v>5579</v>
      </c>
      <c r="D267" s="251" t="s">
        <v>5580</v>
      </c>
      <c r="E267" s="251" t="s">
        <v>5581</v>
      </c>
      <c r="F267" s="251" t="s">
        <v>5637</v>
      </c>
      <c r="G267" s="251" t="s">
        <v>5638</v>
      </c>
      <c r="H267" s="222" t="s">
        <v>5609</v>
      </c>
      <c r="I267" s="251" t="s">
        <v>5610</v>
      </c>
      <c r="J267" s="251" t="s">
        <v>5611</v>
      </c>
      <c r="K267" s="251" t="s">
        <v>5655</v>
      </c>
      <c r="BB267"/>
    </row>
    <row r="268" spans="1:54" x14ac:dyDescent="0.2">
      <c r="A268" s="225" t="str">
        <f t="shared" si="4"/>
        <v>Depreciation (From Notes)</v>
      </c>
      <c r="B268" s="218" t="s">
        <v>610</v>
      </c>
      <c r="C268" s="251" t="s">
        <v>5582</v>
      </c>
      <c r="D268" s="251" t="s">
        <v>5583</v>
      </c>
      <c r="E268" s="251" t="s">
        <v>5584</v>
      </c>
      <c r="F268" s="251" t="s">
        <v>5639</v>
      </c>
      <c r="G268" s="251" t="s">
        <v>5640</v>
      </c>
      <c r="H268" s="222" t="s">
        <v>5612</v>
      </c>
      <c r="I268" s="251" t="s">
        <v>5613</v>
      </c>
      <c r="J268" s="251" t="s">
        <v>5614</v>
      </c>
      <c r="K268" s="251" t="s">
        <v>5656</v>
      </c>
      <c r="BB268"/>
    </row>
    <row r="269" spans="1:54" x14ac:dyDescent="0.2">
      <c r="A269" s="225" t="str">
        <f t="shared" si="4"/>
        <v>Depreciation on Right of Use Assets</v>
      </c>
      <c r="B269" s="218" t="s">
        <v>776</v>
      </c>
      <c r="C269" s="251" t="s">
        <v>5585</v>
      </c>
      <c r="D269" s="251" t="s">
        <v>5586</v>
      </c>
      <c r="E269" s="251" t="s">
        <v>5587</v>
      </c>
      <c r="F269" s="251" t="s">
        <v>5641</v>
      </c>
      <c r="G269" s="251" t="s">
        <v>5642</v>
      </c>
      <c r="H269" s="222" t="s">
        <v>5615</v>
      </c>
      <c r="I269" s="251" t="s">
        <v>5616</v>
      </c>
      <c r="J269" s="251" t="s">
        <v>5617</v>
      </c>
      <c r="K269" s="251" t="s">
        <v>5657</v>
      </c>
      <c r="BB269"/>
    </row>
    <row r="270" spans="1:54" x14ac:dyDescent="0.2">
      <c r="A270" s="225" t="str">
        <f t="shared" si="4"/>
        <v>Depreciation &amp; Amortization - CF, Excl. Operating Leases</v>
      </c>
      <c r="B270" s="218" t="s">
        <v>797</v>
      </c>
      <c r="C270" s="251" t="s">
        <v>5588</v>
      </c>
      <c r="D270" s="251" t="s">
        <v>5589</v>
      </c>
      <c r="E270" s="251" t="s">
        <v>5590</v>
      </c>
      <c r="F270" s="251" t="s">
        <v>5643</v>
      </c>
      <c r="G270" s="251" t="s">
        <v>5644</v>
      </c>
      <c r="H270" s="252" t="s">
        <v>5618</v>
      </c>
      <c r="I270" s="251" t="s">
        <v>5619</v>
      </c>
      <c r="J270" s="251" t="s">
        <v>5620</v>
      </c>
      <c r="K270" s="251" t="s">
        <v>5658</v>
      </c>
      <c r="BB270"/>
    </row>
    <row r="271" spans="1:54" x14ac:dyDescent="0.2">
      <c r="A271" s="225" t="str">
        <f t="shared" si="4"/>
        <v>Depreciation &amp; Amort., Total, Excl. Operating Leases</v>
      </c>
      <c r="B271" s="218" t="s">
        <v>798</v>
      </c>
      <c r="C271" s="251" t="s">
        <v>5591</v>
      </c>
      <c r="D271" s="251" t="s">
        <v>5592</v>
      </c>
      <c r="E271" s="251" t="s">
        <v>5593</v>
      </c>
      <c r="F271" s="251" t="s">
        <v>5645</v>
      </c>
      <c r="G271" s="251" t="s">
        <v>5646</v>
      </c>
      <c r="H271" s="252" t="s">
        <v>5621</v>
      </c>
      <c r="I271" s="251" t="s">
        <v>5622</v>
      </c>
      <c r="J271" s="251" t="s">
        <v>5623</v>
      </c>
      <c r="K271" s="251" t="s">
        <v>5659</v>
      </c>
      <c r="BB271"/>
    </row>
    <row r="272" spans="1:54" x14ac:dyDescent="0.2">
      <c r="A272" s="225" t="str">
        <f t="shared" si="4"/>
        <v>Amortization of Debt Issuance Costs</v>
      </c>
      <c r="B272" s="218" t="s">
        <v>770</v>
      </c>
      <c r="C272" s="251" t="s">
        <v>5594</v>
      </c>
      <c r="D272" s="251" t="s">
        <v>5595</v>
      </c>
      <c r="E272" s="251" t="s">
        <v>5596</v>
      </c>
      <c r="F272" s="251" t="s">
        <v>5647</v>
      </c>
      <c r="G272" s="251" t="s">
        <v>5648</v>
      </c>
      <c r="H272" s="222" t="s">
        <v>5624</v>
      </c>
      <c r="I272" s="251" t="s">
        <v>5625</v>
      </c>
      <c r="J272" s="251" t="s">
        <v>5626</v>
      </c>
      <c r="K272" s="251" t="s">
        <v>5660</v>
      </c>
      <c r="BB272"/>
    </row>
    <row r="273" spans="1:54" x14ac:dyDescent="0.2">
      <c r="A273" s="225" t="str">
        <f t="shared" si="4"/>
        <v>Amortization of Software Assets</v>
      </c>
      <c r="B273" s="218" t="s">
        <v>771</v>
      </c>
      <c r="C273" s="251" t="s">
        <v>5597</v>
      </c>
      <c r="D273" s="251" t="s">
        <v>5598</v>
      </c>
      <c r="E273" s="251" t="s">
        <v>5599</v>
      </c>
      <c r="F273" s="251" t="s">
        <v>5649</v>
      </c>
      <c r="G273" s="251" t="s">
        <v>5650</v>
      </c>
      <c r="H273" s="222" t="s">
        <v>5627</v>
      </c>
      <c r="I273" s="251" t="s">
        <v>5628</v>
      </c>
      <c r="J273" s="251" t="s">
        <v>5629</v>
      </c>
      <c r="K273" s="251" t="s">
        <v>5661</v>
      </c>
      <c r="BB273"/>
    </row>
    <row r="274" spans="1:54" x14ac:dyDescent="0.2">
      <c r="A274" s="225" t="str">
        <f t="shared" si="4"/>
        <v>Sale Proceeds from Rental Assets</v>
      </c>
      <c r="B274" s="218" t="s">
        <v>42</v>
      </c>
      <c r="C274" s="251" t="s">
        <v>5600</v>
      </c>
      <c r="D274" s="251" t="s">
        <v>5601</v>
      </c>
      <c r="E274" s="251" t="s">
        <v>5602</v>
      </c>
      <c r="F274" s="251" t="s">
        <v>5651</v>
      </c>
      <c r="G274" s="251" t="s">
        <v>5652</v>
      </c>
      <c r="H274" s="222" t="s">
        <v>5630</v>
      </c>
      <c r="I274" s="251" t="s">
        <v>5631</v>
      </c>
      <c r="J274" s="251" t="s">
        <v>5632</v>
      </c>
      <c r="K274" s="251" t="s">
        <v>5662</v>
      </c>
      <c r="BB274"/>
    </row>
    <row r="275" spans="1:54" x14ac:dyDescent="0.2">
      <c r="A275" s="225" t="str">
        <f t="shared" si="4"/>
        <v>Cash Interest Paid</v>
      </c>
      <c r="B275" s="218" t="s">
        <v>83</v>
      </c>
      <c r="C275" t="s">
        <v>7460</v>
      </c>
      <c r="D275" t="s">
        <v>7461</v>
      </c>
      <c r="E275" t="s">
        <v>7462</v>
      </c>
      <c r="F275" t="s">
        <v>7463</v>
      </c>
      <c r="G275" t="s">
        <v>7464</v>
      </c>
      <c r="H275" t="s">
        <v>7465</v>
      </c>
      <c r="I275" t="s">
        <v>7466</v>
      </c>
      <c r="J275" t="s">
        <v>7467</v>
      </c>
      <c r="K275" t="s">
        <v>7468</v>
      </c>
      <c r="BB275"/>
    </row>
    <row r="276" spans="1:54" x14ac:dyDescent="0.2">
      <c r="A276" s="225" t="str">
        <f t="shared" si="4"/>
        <v>Cash Interest Paid Net of Interest Received</v>
      </c>
      <c r="B276" s="218" t="s">
        <v>716</v>
      </c>
      <c r="C276" s="251" t="s">
        <v>1960</v>
      </c>
      <c r="D276" s="251" t="s">
        <v>1961</v>
      </c>
      <c r="E276" s="251" t="s">
        <v>1962</v>
      </c>
      <c r="F276" s="251" t="s">
        <v>1990</v>
      </c>
      <c r="G276" s="251" t="s">
        <v>1991</v>
      </c>
      <c r="H276" s="222" t="s">
        <v>1975</v>
      </c>
      <c r="I276" s="251" t="s">
        <v>1976</v>
      </c>
      <c r="J276" s="251" t="s">
        <v>1977</v>
      </c>
      <c r="K276" s="251" t="s">
        <v>2000</v>
      </c>
      <c r="BB276"/>
    </row>
    <row r="277" spans="1:54" x14ac:dyDescent="0.2">
      <c r="A277" s="225" t="str">
        <f t="shared" si="4"/>
        <v>Cash Dividend and Interest Received</v>
      </c>
      <c r="B277" s="267" t="s">
        <v>8280</v>
      </c>
      <c r="C277" s="251" t="s">
        <v>1963</v>
      </c>
      <c r="D277" s="251" t="s">
        <v>1964</v>
      </c>
      <c r="E277" s="251" t="s">
        <v>1965</v>
      </c>
      <c r="F277" s="251" t="s">
        <v>1992</v>
      </c>
      <c r="G277" s="251" t="s">
        <v>1993</v>
      </c>
      <c r="H277" s="222" t="s">
        <v>1978</v>
      </c>
      <c r="I277" s="251" t="s">
        <v>1979</v>
      </c>
      <c r="J277" s="251" t="s">
        <v>1980</v>
      </c>
      <c r="K277" s="251" t="s">
        <v>2001</v>
      </c>
      <c r="BB277"/>
    </row>
    <row r="278" spans="1:54" x14ac:dyDescent="0.2">
      <c r="A278" s="225" t="str">
        <f t="shared" si="4"/>
        <v>Cash Interest Paid - Operating Activities</v>
      </c>
      <c r="B278" s="218" t="s">
        <v>665</v>
      </c>
      <c r="C278" s="251" t="s">
        <v>1966</v>
      </c>
      <c r="D278" s="251" t="s">
        <v>1967</v>
      </c>
      <c r="E278" s="251" t="s">
        <v>1968</v>
      </c>
      <c r="F278" s="251" t="s">
        <v>1994</v>
      </c>
      <c r="G278" s="251" t="s">
        <v>1995</v>
      </c>
      <c r="H278" s="222" t="s">
        <v>1981</v>
      </c>
      <c r="I278" s="251" t="s">
        <v>1982</v>
      </c>
      <c r="J278" s="251" t="s">
        <v>1983</v>
      </c>
      <c r="K278" s="251" t="s">
        <v>2002</v>
      </c>
      <c r="BB278"/>
    </row>
    <row r="279" spans="1:54" x14ac:dyDescent="0.2">
      <c r="A279" s="225" t="str">
        <f t="shared" si="4"/>
        <v>Cash Interest Paid - Investing Activities</v>
      </c>
      <c r="B279" s="218" t="s">
        <v>666</v>
      </c>
      <c r="C279" s="251" t="s">
        <v>1969</v>
      </c>
      <c r="D279" s="251" t="s">
        <v>1970</v>
      </c>
      <c r="E279" s="251" t="s">
        <v>1971</v>
      </c>
      <c r="F279" s="251" t="s">
        <v>1996</v>
      </c>
      <c r="G279" s="251" t="s">
        <v>1997</v>
      </c>
      <c r="H279" s="222" t="s">
        <v>1984</v>
      </c>
      <c r="I279" s="251" t="s">
        <v>1985</v>
      </c>
      <c r="J279" s="251" t="s">
        <v>1986</v>
      </c>
      <c r="K279" s="251" t="s">
        <v>2003</v>
      </c>
      <c r="BB279"/>
    </row>
    <row r="280" spans="1:54" x14ac:dyDescent="0.2">
      <c r="A280" s="225" t="str">
        <f t="shared" si="4"/>
        <v>Cash Interest Paid - Financing Activities</v>
      </c>
      <c r="B280" s="218" t="s">
        <v>667</v>
      </c>
      <c r="C280" s="251" t="s">
        <v>1972</v>
      </c>
      <c r="D280" s="251" t="s">
        <v>1973</v>
      </c>
      <c r="E280" s="251" t="s">
        <v>1974</v>
      </c>
      <c r="F280" s="251" t="s">
        <v>1998</v>
      </c>
      <c r="G280" s="251" t="s">
        <v>1999</v>
      </c>
      <c r="H280" s="222" t="s">
        <v>1987</v>
      </c>
      <c r="I280" s="251" t="s">
        <v>1988</v>
      </c>
      <c r="J280" s="251" t="s">
        <v>1989</v>
      </c>
      <c r="K280" s="251" t="s">
        <v>2004</v>
      </c>
      <c r="BB280"/>
    </row>
    <row r="281" spans="1:54" x14ac:dyDescent="0.2">
      <c r="A281" s="225" t="str">
        <f t="shared" si="4"/>
        <v>Cash Taxes Paid</v>
      </c>
      <c r="B281" s="218" t="s">
        <v>84</v>
      </c>
      <c r="C281" s="218" t="s">
        <v>7469</v>
      </c>
      <c r="D281" t="s">
        <v>7470</v>
      </c>
      <c r="E281" t="s">
        <v>7471</v>
      </c>
      <c r="F281" t="s">
        <v>7472</v>
      </c>
      <c r="G281" t="s">
        <v>7473</v>
      </c>
      <c r="H281" t="s">
        <v>7474</v>
      </c>
      <c r="I281" t="s">
        <v>7475</v>
      </c>
      <c r="J281" t="s">
        <v>7476</v>
      </c>
      <c r="K281" t="s">
        <v>7477</v>
      </c>
      <c r="BB281"/>
    </row>
    <row r="282" spans="1:54" x14ac:dyDescent="0.2">
      <c r="A282" s="225" t="str">
        <f t="shared" si="4"/>
        <v>Cash Taxes Paid - Operating Activities</v>
      </c>
      <c r="B282" s="218" t="s">
        <v>668</v>
      </c>
      <c r="C282" s="251" t="s">
        <v>2005</v>
      </c>
      <c r="D282" s="251" t="s">
        <v>2006</v>
      </c>
      <c r="E282" s="251" t="s">
        <v>2007</v>
      </c>
      <c r="F282" s="251" t="s">
        <v>2041</v>
      </c>
      <c r="G282" s="251" t="s">
        <v>2042</v>
      </c>
      <c r="H282" s="222" t="s">
        <v>2023</v>
      </c>
      <c r="I282" s="251" t="s">
        <v>2024</v>
      </c>
      <c r="J282" s="251" t="s">
        <v>2025</v>
      </c>
      <c r="K282" s="251" t="s">
        <v>2053</v>
      </c>
      <c r="BB282"/>
    </row>
    <row r="283" spans="1:54" x14ac:dyDescent="0.2">
      <c r="A283" s="225" t="str">
        <f t="shared" si="4"/>
        <v>Cash Taxes Paid - Investing Activities</v>
      </c>
      <c r="B283" s="218" t="s">
        <v>669</v>
      </c>
      <c r="C283" s="251" t="s">
        <v>2008</v>
      </c>
      <c r="D283" s="251" t="s">
        <v>2009</v>
      </c>
      <c r="E283" s="251" t="s">
        <v>2010</v>
      </c>
      <c r="F283" s="251" t="s">
        <v>2043</v>
      </c>
      <c r="G283" s="251" t="s">
        <v>2044</v>
      </c>
      <c r="H283" s="222" t="s">
        <v>2026</v>
      </c>
      <c r="I283" s="251" t="s">
        <v>2027</v>
      </c>
      <c r="J283" s="251" t="s">
        <v>2028</v>
      </c>
      <c r="K283" s="251" t="s">
        <v>2054</v>
      </c>
      <c r="BB283"/>
    </row>
    <row r="284" spans="1:54" x14ac:dyDescent="0.2">
      <c r="A284" s="225" t="str">
        <f t="shared" si="4"/>
        <v>Cash Taxes Paid - Financing Activities</v>
      </c>
      <c r="B284" s="218" t="s">
        <v>670</v>
      </c>
      <c r="C284" s="251" t="s">
        <v>2011</v>
      </c>
      <c r="D284" s="251" t="s">
        <v>2012</v>
      </c>
      <c r="E284" s="251" t="s">
        <v>2013</v>
      </c>
      <c r="F284" s="251" t="s">
        <v>2045</v>
      </c>
      <c r="G284" s="251" t="s">
        <v>2046</v>
      </c>
      <c r="H284" s="222" t="s">
        <v>2029</v>
      </c>
      <c r="I284" s="251" t="s">
        <v>2030</v>
      </c>
      <c r="J284" s="251" t="s">
        <v>2031</v>
      </c>
      <c r="K284" s="251" t="s">
        <v>2055</v>
      </c>
      <c r="BB284"/>
    </row>
    <row r="285" spans="1:54" x14ac:dyDescent="0.2">
      <c r="A285" s="225" t="str">
        <f t="shared" si="4"/>
        <v>Deferred Income Taxes, Total</v>
      </c>
      <c r="B285" s="218" t="s">
        <v>675</v>
      </c>
      <c r="C285" s="251" t="s">
        <v>2014</v>
      </c>
      <c r="D285" s="251" t="s">
        <v>2015</v>
      </c>
      <c r="E285" s="251" t="s">
        <v>2016</v>
      </c>
      <c r="F285" s="251" t="s">
        <v>2047</v>
      </c>
      <c r="G285" s="251" t="s">
        <v>2048</v>
      </c>
      <c r="H285" s="222" t="s">
        <v>2032</v>
      </c>
      <c r="I285" s="251" t="s">
        <v>2033</v>
      </c>
      <c r="J285" s="251" t="s">
        <v>2034</v>
      </c>
      <c r="K285" s="251" t="s">
        <v>2056</v>
      </c>
      <c r="BB285"/>
    </row>
    <row r="286" spans="1:54" x14ac:dyDescent="0.2">
      <c r="A286" s="225" t="str">
        <f t="shared" si="4"/>
        <v>Change in Net Working Capital</v>
      </c>
      <c r="B286" s="218" t="s">
        <v>611</v>
      </c>
      <c r="C286" s="251" t="s">
        <v>2017</v>
      </c>
      <c r="D286" s="251" t="s">
        <v>2018</v>
      </c>
      <c r="E286" s="251" t="s">
        <v>2019</v>
      </c>
      <c r="F286" s="251" t="s">
        <v>2049</v>
      </c>
      <c r="G286" s="251" t="s">
        <v>2050</v>
      </c>
      <c r="H286" s="222" t="s">
        <v>2035</v>
      </c>
      <c r="I286" s="251" t="s">
        <v>2036</v>
      </c>
      <c r="J286" s="251" t="s">
        <v>2037</v>
      </c>
      <c r="K286" s="251" t="s">
        <v>2057</v>
      </c>
      <c r="BB286"/>
    </row>
    <row r="287" spans="1:54" x14ac:dyDescent="0.2">
      <c r="A287" s="225" t="str">
        <f t="shared" si="4"/>
        <v>Levered Free Cash Flow</v>
      </c>
      <c r="B287" s="267" t="s">
        <v>8281</v>
      </c>
      <c r="C287" s="251" t="s">
        <v>2020</v>
      </c>
      <c r="D287" s="251" t="s">
        <v>2021</v>
      </c>
      <c r="E287" s="251" t="s">
        <v>2022</v>
      </c>
      <c r="F287" s="251" t="s">
        <v>2051</v>
      </c>
      <c r="G287" s="251" t="s">
        <v>2052</v>
      </c>
      <c r="H287" s="222" t="s">
        <v>2038</v>
      </c>
      <c r="I287" s="251" t="s">
        <v>2039</v>
      </c>
      <c r="J287" s="251" t="s">
        <v>2040</v>
      </c>
      <c r="K287" s="251" t="s">
        <v>2058</v>
      </c>
      <c r="BB287"/>
    </row>
    <row r="288" spans="1:54" x14ac:dyDescent="0.2">
      <c r="A288" s="225" t="str">
        <f t="shared" si="4"/>
        <v>Unlevered Free Cash Flow</v>
      </c>
      <c r="B288" s="267" t="s">
        <v>8282</v>
      </c>
      <c r="C288" s="218" t="s">
        <v>7478</v>
      </c>
      <c r="D288" s="218" t="s">
        <v>7479</v>
      </c>
      <c r="E288" s="218" t="s">
        <v>7480</v>
      </c>
      <c r="F288" s="218" t="s">
        <v>7481</v>
      </c>
      <c r="G288" s="218" t="s">
        <v>7482</v>
      </c>
      <c r="H288" s="218" t="s">
        <v>7483</v>
      </c>
      <c r="I288" s="218" t="s">
        <v>7484</v>
      </c>
      <c r="J288" s="218" t="s">
        <v>7485</v>
      </c>
      <c r="K288" s="218" t="s">
        <v>7486</v>
      </c>
      <c r="BB288"/>
    </row>
    <row r="289" spans="1:54" x14ac:dyDescent="0.2">
      <c r="A289" s="225" t="str">
        <f t="shared" si="4"/>
        <v>Cash Flow per Share</v>
      </c>
      <c r="B289" s="218" t="s">
        <v>43</v>
      </c>
      <c r="C289" s="251" t="s">
        <v>2059</v>
      </c>
      <c r="D289" s="251" t="s">
        <v>2060</v>
      </c>
      <c r="E289" s="251" t="s">
        <v>2061</v>
      </c>
      <c r="F289" s="251" t="s">
        <v>2124</v>
      </c>
      <c r="G289" s="251" t="s">
        <v>2125</v>
      </c>
      <c r="H289" s="222" t="s">
        <v>2091</v>
      </c>
      <c r="I289" s="251" t="s">
        <v>2092</v>
      </c>
      <c r="J289" s="251" t="s">
        <v>2093</v>
      </c>
      <c r="K289" s="251" t="s">
        <v>2146</v>
      </c>
      <c r="BB289"/>
    </row>
    <row r="290" spans="1:54" x14ac:dyDescent="0.2">
      <c r="A290" s="225" t="str">
        <f t="shared" si="4"/>
        <v>Net Debt Issued</v>
      </c>
      <c r="B290" s="218" t="s">
        <v>158</v>
      </c>
      <c r="C290" s="251" t="s">
        <v>2062</v>
      </c>
      <c r="D290" s="251" t="s">
        <v>2063</v>
      </c>
      <c r="E290" s="251" t="s">
        <v>2064</v>
      </c>
      <c r="F290" s="251" t="s">
        <v>2126</v>
      </c>
      <c r="G290" s="251" t="s">
        <v>2127</v>
      </c>
      <c r="H290" s="222" t="s">
        <v>2094</v>
      </c>
      <c r="I290" s="251" t="s">
        <v>2095</v>
      </c>
      <c r="J290" s="251" t="s">
        <v>2096</v>
      </c>
      <c r="K290" s="251" t="s">
        <v>2147</v>
      </c>
      <c r="BB290"/>
    </row>
    <row r="291" spans="1:54" x14ac:dyDescent="0.2">
      <c r="A291" s="225" t="str">
        <f t="shared" si="4"/>
        <v>Maintenance CAPEX</v>
      </c>
      <c r="B291" s="218" t="s">
        <v>612</v>
      </c>
      <c r="C291" s="251" t="s">
        <v>2065</v>
      </c>
      <c r="D291" s="251" t="s">
        <v>2066</v>
      </c>
      <c r="E291" s="251" t="s">
        <v>612</v>
      </c>
      <c r="F291" s="251" t="s">
        <v>2128</v>
      </c>
      <c r="G291" s="251" t="s">
        <v>2129</v>
      </c>
      <c r="H291" s="222" t="s">
        <v>2097</v>
      </c>
      <c r="I291" s="251" t="s">
        <v>2098</v>
      </c>
      <c r="J291" s="251" t="s">
        <v>2099</v>
      </c>
      <c r="K291" s="251" t="s">
        <v>2148</v>
      </c>
      <c r="BB291"/>
    </row>
    <row r="292" spans="1:54" x14ac:dyDescent="0.2">
      <c r="A292" s="225" t="str">
        <f t="shared" si="4"/>
        <v>Net Cash from Discontinued Ops. - Investing</v>
      </c>
      <c r="B292" s="218" t="s">
        <v>44</v>
      </c>
      <c r="C292" s="251" t="s">
        <v>2067</v>
      </c>
      <c r="D292" s="251" t="s">
        <v>2068</v>
      </c>
      <c r="E292" s="251" t="s">
        <v>2069</v>
      </c>
      <c r="F292" s="251" t="s">
        <v>2130</v>
      </c>
      <c r="G292" s="251" t="s">
        <v>2131</v>
      </c>
      <c r="H292" s="222" t="s">
        <v>2100</v>
      </c>
      <c r="I292" s="251" t="s">
        <v>2101</v>
      </c>
      <c r="J292" s="251" t="s">
        <v>2102</v>
      </c>
      <c r="K292" s="251" t="s">
        <v>2149</v>
      </c>
      <c r="BB292"/>
    </row>
    <row r="293" spans="1:54" x14ac:dyDescent="0.2">
      <c r="A293" s="225" t="str">
        <f t="shared" si="4"/>
        <v>Net Cash from Discontinued Ops. - Financing</v>
      </c>
      <c r="B293" s="218" t="s">
        <v>45</v>
      </c>
      <c r="C293" s="251" t="s">
        <v>2070</v>
      </c>
      <c r="D293" s="251" t="s">
        <v>2071</v>
      </c>
      <c r="E293" s="251" t="s">
        <v>2072</v>
      </c>
      <c r="F293" s="251" t="s">
        <v>2132</v>
      </c>
      <c r="G293" s="251" t="s">
        <v>2133</v>
      </c>
      <c r="H293" s="222" t="s">
        <v>2103</v>
      </c>
      <c r="I293" s="251" t="s">
        <v>2104</v>
      </c>
      <c r="J293" s="251" t="s">
        <v>2105</v>
      </c>
      <c r="K293" s="251" t="s">
        <v>2150</v>
      </c>
      <c r="BB293"/>
    </row>
    <row r="294" spans="1:54" x14ac:dyDescent="0.2">
      <c r="A294" s="225" t="str">
        <f t="shared" si="4"/>
        <v>Operating Lease Payments</v>
      </c>
      <c r="B294" s="218" t="s">
        <v>777</v>
      </c>
      <c r="C294" s="251" t="s">
        <v>2073</v>
      </c>
      <c r="D294" s="251" t="s">
        <v>2074</v>
      </c>
      <c r="E294" s="251" t="s">
        <v>2075</v>
      </c>
      <c r="F294" s="251" t="s">
        <v>2134</v>
      </c>
      <c r="G294" s="251" t="s">
        <v>2135</v>
      </c>
      <c r="H294" s="252" t="s">
        <v>2106</v>
      </c>
      <c r="I294" s="251" t="s">
        <v>2107</v>
      </c>
      <c r="J294" s="251" t="s">
        <v>2108</v>
      </c>
      <c r="K294" s="251" t="s">
        <v>2151</v>
      </c>
      <c r="BB294"/>
    </row>
    <row r="295" spans="1:54" x14ac:dyDescent="0.2">
      <c r="A295" s="225" t="str">
        <f t="shared" si="4"/>
        <v>Change in Operating Lease Liabilities</v>
      </c>
      <c r="B295" s="218" t="s">
        <v>778</v>
      </c>
      <c r="C295" s="251" t="s">
        <v>2076</v>
      </c>
      <c r="D295" s="251" t="s">
        <v>2077</v>
      </c>
      <c r="E295" s="251" t="s">
        <v>2078</v>
      </c>
      <c r="F295" s="251" t="s">
        <v>2136</v>
      </c>
      <c r="G295" s="251" t="s">
        <v>2137</v>
      </c>
      <c r="H295" s="252" t="s">
        <v>2109</v>
      </c>
      <c r="I295" s="251" t="s">
        <v>2110</v>
      </c>
      <c r="J295" s="251" t="s">
        <v>2111</v>
      </c>
      <c r="K295" s="251" t="s">
        <v>2152</v>
      </c>
      <c r="BB295"/>
    </row>
    <row r="296" spans="1:54" x14ac:dyDescent="0.2">
      <c r="A296" s="225" t="str">
        <f t="shared" si="4"/>
        <v>Change in Operating Lease Liabilities Non-Cash</v>
      </c>
      <c r="B296" s="218" t="s">
        <v>779</v>
      </c>
      <c r="C296" s="251" t="s">
        <v>2079</v>
      </c>
      <c r="D296" s="251" t="s">
        <v>2080</v>
      </c>
      <c r="E296" s="251" t="s">
        <v>2081</v>
      </c>
      <c r="F296" s="251" t="s">
        <v>2138</v>
      </c>
      <c r="G296" s="251" t="s">
        <v>2139</v>
      </c>
      <c r="H296" s="252" t="s">
        <v>2112</v>
      </c>
      <c r="I296" s="251" t="s">
        <v>2113</v>
      </c>
      <c r="J296" s="251" t="s">
        <v>2114</v>
      </c>
      <c r="K296" s="251" t="s">
        <v>2153</v>
      </c>
      <c r="BB296"/>
    </row>
    <row r="297" spans="1:54" x14ac:dyDescent="0.2">
      <c r="A297" s="225" t="str">
        <f t="shared" si="4"/>
        <v>Long-Term Debt Repaid, Excl. Leases</v>
      </c>
      <c r="B297" s="218" t="s">
        <v>799</v>
      </c>
      <c r="C297" s="251" t="s">
        <v>2082</v>
      </c>
      <c r="D297" s="251" t="s">
        <v>2083</v>
      </c>
      <c r="E297" s="251" t="s">
        <v>2084</v>
      </c>
      <c r="F297" s="251" t="s">
        <v>2140</v>
      </c>
      <c r="G297" s="251" t="s">
        <v>2141</v>
      </c>
      <c r="H297" s="252" t="s">
        <v>2115</v>
      </c>
      <c r="I297" s="251" t="s">
        <v>2116</v>
      </c>
      <c r="J297" s="251" t="s">
        <v>2117</v>
      </c>
      <c r="K297" s="251" t="s">
        <v>2154</v>
      </c>
      <c r="BB297"/>
    </row>
    <row r="298" spans="1:54" x14ac:dyDescent="0.2">
      <c r="A298" s="225" t="str">
        <f t="shared" si="4"/>
        <v>Total Debt Repaid, Excl. Leases</v>
      </c>
      <c r="B298" s="218" t="s">
        <v>800</v>
      </c>
      <c r="C298" s="251" t="s">
        <v>2085</v>
      </c>
      <c r="D298" s="251" t="s">
        <v>2086</v>
      </c>
      <c r="E298" s="251" t="s">
        <v>2087</v>
      </c>
      <c r="F298" s="251" t="s">
        <v>2142</v>
      </c>
      <c r="G298" s="251" t="s">
        <v>2143</v>
      </c>
      <c r="H298" s="252" t="s">
        <v>2118</v>
      </c>
      <c r="I298" s="251" t="s">
        <v>2119</v>
      </c>
      <c r="J298" s="251" t="s">
        <v>2120</v>
      </c>
      <c r="K298" s="251" t="s">
        <v>2155</v>
      </c>
      <c r="BB298"/>
    </row>
    <row r="299" spans="1:54" x14ac:dyDescent="0.2">
      <c r="A299" s="225" t="str">
        <f t="shared" si="4"/>
        <v>Gain on Bargain Acquisition - (CF)</v>
      </c>
      <c r="B299" s="218" t="s">
        <v>801</v>
      </c>
      <c r="C299" s="251" t="s">
        <v>2088</v>
      </c>
      <c r="D299" s="251" t="s">
        <v>2089</v>
      </c>
      <c r="E299" s="251" t="s">
        <v>2090</v>
      </c>
      <c r="F299" s="251" t="s">
        <v>2144</v>
      </c>
      <c r="G299" s="251" t="s">
        <v>2145</v>
      </c>
      <c r="H299" s="252" t="s">
        <v>2121</v>
      </c>
      <c r="I299" s="251" t="s">
        <v>2122</v>
      </c>
      <c r="J299" s="251" t="s">
        <v>2123</v>
      </c>
      <c r="K299" s="251" t="s">
        <v>2156</v>
      </c>
      <c r="BB299"/>
    </row>
    <row r="300" spans="1:54" x14ac:dyDescent="0.2">
      <c r="A300" s="225" t="str">
        <f t="shared" si="4"/>
        <v>ASSETS</v>
      </c>
      <c r="B300" s="218" t="s">
        <v>78</v>
      </c>
      <c r="C300" s="218" t="s">
        <v>6475</v>
      </c>
      <c r="D300" s="218" t="s">
        <v>6476</v>
      </c>
      <c r="E300" s="218" t="s">
        <v>6477</v>
      </c>
      <c r="F300" s="218" t="s">
        <v>6478</v>
      </c>
      <c r="G300" s="218" t="s">
        <v>6479</v>
      </c>
      <c r="H300" s="218" t="s">
        <v>6480</v>
      </c>
      <c r="I300" s="218" t="s">
        <v>6481</v>
      </c>
      <c r="J300" s="218" t="s">
        <v>6482</v>
      </c>
      <c r="K300" s="218" t="s">
        <v>6483</v>
      </c>
      <c r="BB300"/>
    </row>
    <row r="301" spans="1:54" x14ac:dyDescent="0.2">
      <c r="A301" s="225" t="str">
        <f t="shared" si="4"/>
        <v>Cash And Equivalents</v>
      </c>
      <c r="B301" s="218" t="s">
        <v>121</v>
      </c>
      <c r="C301" s="218" t="s">
        <v>6271</v>
      </c>
      <c r="D301" s="218" t="s">
        <v>6272</v>
      </c>
      <c r="E301" s="218" t="s">
        <v>6273</v>
      </c>
      <c r="F301" s="218" t="s">
        <v>6274</v>
      </c>
      <c r="G301" s="218" t="s">
        <v>6275</v>
      </c>
      <c r="H301" s="218" t="s">
        <v>6276</v>
      </c>
      <c r="I301" s="218" t="s">
        <v>6277</v>
      </c>
      <c r="J301" s="218" t="s">
        <v>6278</v>
      </c>
      <c r="K301" s="218" t="s">
        <v>6279</v>
      </c>
      <c r="BB301"/>
    </row>
    <row r="302" spans="1:54" x14ac:dyDescent="0.2">
      <c r="A302" s="225" t="str">
        <f t="shared" si="4"/>
        <v>Short Term Investments</v>
      </c>
      <c r="B302" s="218" t="s">
        <v>122</v>
      </c>
      <c r="C302" s="218" t="s">
        <v>6484</v>
      </c>
      <c r="D302" s="218" t="s">
        <v>6485</v>
      </c>
      <c r="E302" s="218" t="s">
        <v>6486</v>
      </c>
      <c r="F302" s="218" t="s">
        <v>6487</v>
      </c>
      <c r="G302" s="218" t="s">
        <v>6488</v>
      </c>
      <c r="H302" s="218" t="s">
        <v>6489</v>
      </c>
      <c r="I302" s="218" t="s">
        <v>6490</v>
      </c>
      <c r="J302" s="218" t="s">
        <v>6491</v>
      </c>
      <c r="K302" s="218" t="s">
        <v>6492</v>
      </c>
      <c r="BB302"/>
    </row>
    <row r="303" spans="1:54" x14ac:dyDescent="0.2">
      <c r="A303" s="225" t="str">
        <f t="shared" si="4"/>
        <v>Trading Asset Securities</v>
      </c>
      <c r="B303" s="218" t="s">
        <v>206</v>
      </c>
      <c r="C303" s="218" t="s">
        <v>7487</v>
      </c>
      <c r="D303" s="218" t="s">
        <v>7488</v>
      </c>
      <c r="E303" s="218" t="s">
        <v>7489</v>
      </c>
      <c r="F303" s="218" t="s">
        <v>7493</v>
      </c>
      <c r="G303" s="218" t="s">
        <v>7494</v>
      </c>
      <c r="H303" s="218" t="s">
        <v>7490</v>
      </c>
      <c r="I303" s="218" t="s">
        <v>7491</v>
      </c>
      <c r="J303" s="218" t="s">
        <v>7492</v>
      </c>
      <c r="K303" s="218" t="s">
        <v>7495</v>
      </c>
      <c r="BB303"/>
    </row>
    <row r="304" spans="1:54" x14ac:dyDescent="0.2">
      <c r="A304" s="225" t="str">
        <f t="shared" si="4"/>
        <v>Total Cash &amp; ST Investments</v>
      </c>
      <c r="B304" s="218" t="s">
        <v>123</v>
      </c>
      <c r="C304" s="218" t="s">
        <v>6493</v>
      </c>
      <c r="D304" t="s">
        <v>6494</v>
      </c>
      <c r="E304" t="s">
        <v>6495</v>
      </c>
      <c r="F304" t="s">
        <v>6496</v>
      </c>
      <c r="G304" t="s">
        <v>6497</v>
      </c>
      <c r="H304" t="s">
        <v>6498</v>
      </c>
      <c r="I304" t="s">
        <v>6499</v>
      </c>
      <c r="J304" t="s">
        <v>6500</v>
      </c>
      <c r="K304" t="s">
        <v>6501</v>
      </c>
      <c r="BB304"/>
    </row>
    <row r="305" spans="1:54" x14ac:dyDescent="0.2">
      <c r="A305" s="225" t="str">
        <f t="shared" si="4"/>
        <v>Accounts Receivable</v>
      </c>
      <c r="B305" s="218" t="s">
        <v>90</v>
      </c>
      <c r="C305" t="s">
        <v>6502</v>
      </c>
      <c r="D305" t="s">
        <v>6503</v>
      </c>
      <c r="E305" s="218" t="s">
        <v>6504</v>
      </c>
      <c r="F305" s="218" t="s">
        <v>6505</v>
      </c>
      <c r="G305" s="218" t="s">
        <v>6506</v>
      </c>
      <c r="H305" s="218" t="s">
        <v>6507</v>
      </c>
      <c r="I305" s="218" t="s">
        <v>6508</v>
      </c>
      <c r="J305" s="218" t="s">
        <v>6509</v>
      </c>
      <c r="K305" s="218" t="s">
        <v>6510</v>
      </c>
      <c r="BB305"/>
    </row>
    <row r="306" spans="1:54" x14ac:dyDescent="0.2">
      <c r="A306" s="225" t="str">
        <f t="shared" si="4"/>
        <v>Other Receivables</v>
      </c>
      <c r="B306" s="218" t="s">
        <v>207</v>
      </c>
      <c r="C306" s="218" t="s">
        <v>6511</v>
      </c>
      <c r="D306" t="s">
        <v>6512</v>
      </c>
      <c r="E306" s="218" t="s">
        <v>6513</v>
      </c>
      <c r="F306" s="218" t="s">
        <v>6514</v>
      </c>
      <c r="G306" s="218" t="s">
        <v>6515</v>
      </c>
      <c r="H306" s="218" t="s">
        <v>6516</v>
      </c>
      <c r="I306" s="218" t="s">
        <v>6517</v>
      </c>
      <c r="J306" s="218" t="s">
        <v>6518</v>
      </c>
      <c r="K306" s="218" t="s">
        <v>6519</v>
      </c>
      <c r="BB306"/>
    </row>
    <row r="307" spans="1:54" x14ac:dyDescent="0.2">
      <c r="A307" s="225" t="str">
        <f t="shared" si="4"/>
        <v>Notes Receivable</v>
      </c>
      <c r="B307" s="218" t="s">
        <v>124</v>
      </c>
      <c r="C307" s="218" t="s">
        <v>6520</v>
      </c>
      <c r="D307" t="s">
        <v>6521</v>
      </c>
      <c r="E307" s="218" t="s">
        <v>6522</v>
      </c>
      <c r="F307" s="218" t="s">
        <v>6523</v>
      </c>
      <c r="G307" s="218" t="s">
        <v>6524</v>
      </c>
      <c r="H307" s="218" t="s">
        <v>6525</v>
      </c>
      <c r="I307" s="218" t="s">
        <v>6526</v>
      </c>
      <c r="J307" s="218" t="s">
        <v>6527</v>
      </c>
      <c r="K307" s="218" t="s">
        <v>6528</v>
      </c>
      <c r="BB307"/>
    </row>
    <row r="308" spans="1:54" x14ac:dyDescent="0.2">
      <c r="A308" s="225" t="str">
        <f t="shared" si="4"/>
        <v>Total Receivables</v>
      </c>
      <c r="B308" s="218" t="s">
        <v>125</v>
      </c>
      <c r="C308" t="s">
        <v>6280</v>
      </c>
      <c r="D308" t="s">
        <v>6281</v>
      </c>
      <c r="E308" t="s">
        <v>6282</v>
      </c>
      <c r="F308" t="s">
        <v>6283</v>
      </c>
      <c r="G308" t="s">
        <v>6284</v>
      </c>
      <c r="H308" t="s">
        <v>6285</v>
      </c>
      <c r="I308" t="s">
        <v>6286</v>
      </c>
      <c r="J308" t="s">
        <v>6287</v>
      </c>
      <c r="K308" t="s">
        <v>6288</v>
      </c>
      <c r="BB308"/>
    </row>
    <row r="309" spans="1:54" x14ac:dyDescent="0.2">
      <c r="A309" s="225" t="str">
        <f t="shared" si="4"/>
        <v>Inventory</v>
      </c>
      <c r="B309" s="218" t="s">
        <v>126</v>
      </c>
      <c r="C309" t="s">
        <v>6529</v>
      </c>
      <c r="D309" t="s">
        <v>6530</v>
      </c>
      <c r="E309" t="s">
        <v>6531</v>
      </c>
      <c r="F309" t="s">
        <v>6532</v>
      </c>
      <c r="G309" t="s">
        <v>6533</v>
      </c>
      <c r="H309" t="s">
        <v>6534</v>
      </c>
      <c r="I309" t="s">
        <v>6535</v>
      </c>
      <c r="J309" t="s">
        <v>6533</v>
      </c>
      <c r="K309" t="s">
        <v>6536</v>
      </c>
      <c r="BB309"/>
    </row>
    <row r="310" spans="1:54" x14ac:dyDescent="0.2">
      <c r="A310" s="225" t="str">
        <f t="shared" si="4"/>
        <v>Prepaid Exp.</v>
      </c>
      <c r="B310" s="218" t="s">
        <v>127</v>
      </c>
      <c r="C310" s="218" t="s">
        <v>6537</v>
      </c>
      <c r="D310" s="218" t="s">
        <v>6538</v>
      </c>
      <c r="E310" s="218" t="s">
        <v>6539</v>
      </c>
      <c r="F310" s="218" t="s">
        <v>6540</v>
      </c>
      <c r="G310" s="218" t="s">
        <v>6541</v>
      </c>
      <c r="H310" s="218" t="s">
        <v>6542</v>
      </c>
      <c r="I310" s="218" t="s">
        <v>6543</v>
      </c>
      <c r="J310" s="218" t="s">
        <v>6544</v>
      </c>
      <c r="K310" s="218" t="s">
        <v>6545</v>
      </c>
      <c r="BB310"/>
    </row>
    <row r="311" spans="1:54" x14ac:dyDescent="0.2">
      <c r="A311" s="225" t="str">
        <f t="shared" si="4"/>
        <v>Finance Div. Loans and Leases, ST</v>
      </c>
      <c r="B311" s="218" t="s">
        <v>208</v>
      </c>
      <c r="C311" s="251" t="s">
        <v>5448</v>
      </c>
      <c r="D311" s="251" t="s">
        <v>5449</v>
      </c>
      <c r="E311" s="251" t="s">
        <v>5450</v>
      </c>
      <c r="F311" s="251" t="s">
        <v>5460</v>
      </c>
      <c r="G311" s="251" t="s">
        <v>5461</v>
      </c>
      <c r="H311" s="252" t="s">
        <v>5454</v>
      </c>
      <c r="I311" s="251" t="s">
        <v>5455</v>
      </c>
      <c r="J311" s="251" t="s">
        <v>5456</v>
      </c>
      <c r="K311" s="251" t="s">
        <v>5464</v>
      </c>
      <c r="BB311"/>
    </row>
    <row r="312" spans="1:54" x14ac:dyDescent="0.2">
      <c r="A312" s="225" t="str">
        <f t="shared" si="4"/>
        <v>Finance Div. Other Curr. Assets</v>
      </c>
      <c r="B312" s="218" t="s">
        <v>209</v>
      </c>
      <c r="C312" s="251" t="s">
        <v>5451</v>
      </c>
      <c r="D312" s="251" t="s">
        <v>5452</v>
      </c>
      <c r="E312" s="251" t="s">
        <v>5453</v>
      </c>
      <c r="F312" s="251" t="s">
        <v>5462</v>
      </c>
      <c r="G312" s="251" t="s">
        <v>5463</v>
      </c>
      <c r="H312" s="252" t="s">
        <v>5457</v>
      </c>
      <c r="I312" s="251" t="s">
        <v>5458</v>
      </c>
      <c r="J312" s="251" t="s">
        <v>5459</v>
      </c>
      <c r="K312" s="251" t="s">
        <v>5465</v>
      </c>
      <c r="BB312"/>
    </row>
    <row r="313" spans="1:54" x14ac:dyDescent="0.2">
      <c r="A313" s="225" t="str">
        <f t="shared" si="4"/>
        <v>Loans Held For Sale</v>
      </c>
      <c r="B313" s="218" t="s">
        <v>210</v>
      </c>
      <c r="C313" s="218" t="s">
        <v>7496</v>
      </c>
      <c r="D313" s="218" t="s">
        <v>7497</v>
      </c>
      <c r="E313" s="218" t="s">
        <v>7498</v>
      </c>
      <c r="F313" s="218" t="s">
        <v>7514</v>
      </c>
      <c r="G313" s="218" t="s">
        <v>7515</v>
      </c>
      <c r="H313" s="218" t="s">
        <v>7505</v>
      </c>
      <c r="I313" s="218" t="s">
        <v>7506</v>
      </c>
      <c r="J313" s="218" t="s">
        <v>7507</v>
      </c>
      <c r="K313" s="218" t="s">
        <v>7520</v>
      </c>
      <c r="BB313"/>
    </row>
    <row r="314" spans="1:54" x14ac:dyDescent="0.2">
      <c r="A314" s="225" t="str">
        <f t="shared" si="4"/>
        <v>Deferred Tax Assets, Curr.</v>
      </c>
      <c r="B314" s="218" t="s">
        <v>166</v>
      </c>
      <c r="C314" s="218" t="s">
        <v>7499</v>
      </c>
      <c r="D314" s="218" t="s">
        <v>7500</v>
      </c>
      <c r="E314" s="218" t="s">
        <v>7501</v>
      </c>
      <c r="F314" s="218" t="s">
        <v>7516</v>
      </c>
      <c r="G314" s="218" t="s">
        <v>7517</v>
      </c>
      <c r="H314" s="218" t="s">
        <v>7508</v>
      </c>
      <c r="I314" s="218" t="s">
        <v>7509</v>
      </c>
      <c r="J314" s="218" t="s">
        <v>7510</v>
      </c>
      <c r="K314" s="218" t="s">
        <v>7521</v>
      </c>
      <c r="BB314"/>
    </row>
    <row r="315" spans="1:54" x14ac:dyDescent="0.2">
      <c r="A315" s="225" t="str">
        <f t="shared" si="4"/>
        <v>Restricted Cash</v>
      </c>
      <c r="B315" s="218" t="s">
        <v>211</v>
      </c>
      <c r="C315" s="218" t="s">
        <v>7502</v>
      </c>
      <c r="D315" s="218" t="s">
        <v>7503</v>
      </c>
      <c r="E315" s="218" t="s">
        <v>7504</v>
      </c>
      <c r="F315" s="218" t="s">
        <v>7518</v>
      </c>
      <c r="G315" s="218" t="s">
        <v>7519</v>
      </c>
      <c r="H315" s="218" t="s">
        <v>7511</v>
      </c>
      <c r="I315" s="218" t="s">
        <v>7512</v>
      </c>
      <c r="J315" s="218" t="s">
        <v>7513</v>
      </c>
      <c r="K315" s="218" t="s">
        <v>7522</v>
      </c>
      <c r="BB315"/>
    </row>
    <row r="316" spans="1:54" x14ac:dyDescent="0.2">
      <c r="A316" s="225" t="str">
        <f t="shared" si="4"/>
        <v>Other Current Assets</v>
      </c>
      <c r="B316" s="218" t="s">
        <v>167</v>
      </c>
      <c r="C316" t="s">
        <v>6289</v>
      </c>
      <c r="D316" t="s">
        <v>6290</v>
      </c>
      <c r="E316" t="s">
        <v>6291</v>
      </c>
      <c r="F316" t="s">
        <v>6292</v>
      </c>
      <c r="G316" t="s">
        <v>6293</v>
      </c>
      <c r="H316" t="s">
        <v>6294</v>
      </c>
      <c r="I316" t="s">
        <v>6295</v>
      </c>
      <c r="J316" t="s">
        <v>6296</v>
      </c>
      <c r="K316" t="s">
        <v>6297</v>
      </c>
      <c r="BB316"/>
    </row>
    <row r="317" spans="1:54" x14ac:dyDescent="0.2">
      <c r="A317" s="225" t="str">
        <f t="shared" si="4"/>
        <v>Total Current Assets</v>
      </c>
      <c r="B317" s="218" t="s">
        <v>79</v>
      </c>
      <c r="C317" t="s">
        <v>6298</v>
      </c>
      <c r="D317" t="s">
        <v>6299</v>
      </c>
      <c r="E317" t="s">
        <v>6300</v>
      </c>
      <c r="F317" t="s">
        <v>6301</v>
      </c>
      <c r="G317" t="s">
        <v>6302</v>
      </c>
      <c r="H317" t="s">
        <v>6303</v>
      </c>
      <c r="I317" t="s">
        <v>6304</v>
      </c>
      <c r="J317" t="s">
        <v>6305</v>
      </c>
      <c r="K317" t="s">
        <v>6306</v>
      </c>
      <c r="BB317"/>
    </row>
    <row r="318" spans="1:54" x14ac:dyDescent="0.2">
      <c r="A318" s="225" t="str">
        <f t="shared" si="4"/>
        <v>Gross Property, Plant &amp; Equipment</v>
      </c>
      <c r="B318" s="218" t="s">
        <v>128</v>
      </c>
      <c r="C318" s="218" t="s">
        <v>6546</v>
      </c>
      <c r="D318" s="218" t="s">
        <v>6547</v>
      </c>
      <c r="E318" s="218" t="s">
        <v>6548</v>
      </c>
      <c r="F318" s="218" t="s">
        <v>6549</v>
      </c>
      <c r="G318" s="218" t="s">
        <v>6550</v>
      </c>
      <c r="H318" s="218" t="s">
        <v>6551</v>
      </c>
      <c r="I318" s="218" t="s">
        <v>6552</v>
      </c>
      <c r="J318" s="218" t="s">
        <v>6553</v>
      </c>
      <c r="K318" s="218" t="s">
        <v>6554</v>
      </c>
      <c r="BB318"/>
    </row>
    <row r="319" spans="1:54" x14ac:dyDescent="0.2">
      <c r="A319" s="225" t="str">
        <f t="shared" si="4"/>
        <v>Accumulated Depreciation</v>
      </c>
      <c r="B319" s="218" t="s">
        <v>129</v>
      </c>
      <c r="C319" s="218" t="s">
        <v>6555</v>
      </c>
      <c r="D319" s="218" t="s">
        <v>6556</v>
      </c>
      <c r="E319" s="218" t="s">
        <v>6557</v>
      </c>
      <c r="F319" s="218" t="s">
        <v>6558</v>
      </c>
      <c r="G319" s="218" t="s">
        <v>6559</v>
      </c>
      <c r="H319" s="218" t="s">
        <v>6560</v>
      </c>
      <c r="I319" s="218" t="s">
        <v>6561</v>
      </c>
      <c r="J319" s="218" t="s">
        <v>6562</v>
      </c>
      <c r="K319" s="218" t="s">
        <v>6563</v>
      </c>
      <c r="BB319"/>
    </row>
    <row r="320" spans="1:54" x14ac:dyDescent="0.2">
      <c r="A320" s="225" t="str">
        <f t="shared" si="4"/>
        <v>Net Property, Plant &amp; Equipment</v>
      </c>
      <c r="B320" s="218" t="s">
        <v>130</v>
      </c>
      <c r="C320" t="s">
        <v>6307</v>
      </c>
      <c r="D320" t="s">
        <v>6308</v>
      </c>
      <c r="E320" t="s">
        <v>6309</v>
      </c>
      <c r="F320" t="s">
        <v>6310</v>
      </c>
      <c r="G320" t="s">
        <v>6311</v>
      </c>
      <c r="H320" t="s">
        <v>6312</v>
      </c>
      <c r="I320" t="s">
        <v>6313</v>
      </c>
      <c r="J320" t="s">
        <v>6314</v>
      </c>
      <c r="K320" t="s">
        <v>6315</v>
      </c>
      <c r="BB320"/>
    </row>
    <row r="321" spans="1:54" x14ac:dyDescent="0.2">
      <c r="A321" s="225" t="str">
        <f t="shared" si="4"/>
        <v>Long-term Investments</v>
      </c>
      <c r="B321" s="218" t="s">
        <v>212</v>
      </c>
      <c r="C321" t="s">
        <v>6564</v>
      </c>
      <c r="D321" t="s">
        <v>6565</v>
      </c>
      <c r="E321" t="s">
        <v>6566</v>
      </c>
      <c r="F321" t="s">
        <v>6567</v>
      </c>
      <c r="G321" t="s">
        <v>6568</v>
      </c>
      <c r="H321" t="s">
        <v>6565</v>
      </c>
      <c r="I321" t="s">
        <v>6569</v>
      </c>
      <c r="J321" t="s">
        <v>6570</v>
      </c>
      <c r="K321" t="s">
        <v>6571</v>
      </c>
      <c r="BB321"/>
    </row>
    <row r="322" spans="1:54" x14ac:dyDescent="0.2">
      <c r="A322" s="225" t="str">
        <f t="shared" si="4"/>
        <v>Goodwill</v>
      </c>
      <c r="B322" s="218" t="s">
        <v>91</v>
      </c>
      <c r="C322" s="218" t="s">
        <v>6572</v>
      </c>
      <c r="D322" s="218" t="s">
        <v>6573</v>
      </c>
      <c r="E322" s="218" t="s">
        <v>6574</v>
      </c>
      <c r="F322" s="218" t="s">
        <v>91</v>
      </c>
      <c r="G322" s="218" t="s">
        <v>6575</v>
      </c>
      <c r="H322" s="218" t="s">
        <v>6576</v>
      </c>
      <c r="I322" s="218" t="s">
        <v>6577</v>
      </c>
      <c r="J322" s="218" t="s">
        <v>6578</v>
      </c>
      <c r="K322" s="218" t="s">
        <v>6579</v>
      </c>
      <c r="BB322"/>
    </row>
    <row r="323" spans="1:54" x14ac:dyDescent="0.2">
      <c r="A323" s="225" t="str">
        <f t="shared" si="4"/>
        <v>Other Intangibles</v>
      </c>
      <c r="B323" s="218" t="s">
        <v>131</v>
      </c>
      <c r="C323" s="218" t="s">
        <v>6580</v>
      </c>
      <c r="D323" s="218" t="s">
        <v>6581</v>
      </c>
      <c r="E323" s="218" t="s">
        <v>6582</v>
      </c>
      <c r="F323" s="218" t="s">
        <v>6583</v>
      </c>
      <c r="G323" s="218" t="s">
        <v>6584</v>
      </c>
      <c r="H323" s="218" t="s">
        <v>6585</v>
      </c>
      <c r="I323" s="218" t="s">
        <v>6586</v>
      </c>
      <c r="J323" s="218" t="s">
        <v>6587</v>
      </c>
      <c r="K323" s="218" t="s">
        <v>6588</v>
      </c>
      <c r="BB323"/>
    </row>
    <row r="324" spans="1:54" x14ac:dyDescent="0.2">
      <c r="A324" s="225" t="str">
        <f t="shared" si="4"/>
        <v>Finance Div. Loans and Leases, LT</v>
      </c>
      <c r="B324" s="218" t="s">
        <v>213</v>
      </c>
      <c r="C324" s="251" t="s">
        <v>5466</v>
      </c>
      <c r="D324" s="251" t="s">
        <v>5467</v>
      </c>
      <c r="E324" s="251" t="s">
        <v>5468</v>
      </c>
      <c r="F324" s="251" t="s">
        <v>5490</v>
      </c>
      <c r="G324" s="251" t="s">
        <v>5491</v>
      </c>
      <c r="H324" s="252" t="s">
        <v>5478</v>
      </c>
      <c r="I324" s="251" t="s">
        <v>5479</v>
      </c>
      <c r="J324" s="251" t="s">
        <v>5480</v>
      </c>
      <c r="K324" s="251" t="s">
        <v>5497</v>
      </c>
      <c r="BB324"/>
    </row>
    <row r="325" spans="1:54" x14ac:dyDescent="0.2">
      <c r="A325" s="225" t="str">
        <f t="shared" si="4"/>
        <v>Finance Div. Other LT Assets</v>
      </c>
      <c r="B325" s="218" t="s">
        <v>214</v>
      </c>
      <c r="C325" s="251" t="s">
        <v>5469</v>
      </c>
      <c r="D325" s="251" t="s">
        <v>5470</v>
      </c>
      <c r="E325" s="251" t="s">
        <v>5471</v>
      </c>
      <c r="F325" s="251" t="s">
        <v>5492</v>
      </c>
      <c r="G325" s="251" t="s">
        <v>5493</v>
      </c>
      <c r="H325" s="252" t="s">
        <v>5481</v>
      </c>
      <c r="I325" s="251" t="s">
        <v>5482</v>
      </c>
      <c r="J325" s="251" t="s">
        <v>5483</v>
      </c>
      <c r="K325" s="251" t="s">
        <v>5498</v>
      </c>
      <c r="BB325"/>
    </row>
    <row r="326" spans="1:54" x14ac:dyDescent="0.2">
      <c r="A326" s="225" t="str">
        <f t="shared" si="4"/>
        <v>Accounts Receivable Long-Term</v>
      </c>
      <c r="B326" s="218" t="s">
        <v>215</v>
      </c>
      <c r="C326" s="251" t="s">
        <v>5472</v>
      </c>
      <c r="D326" s="251" t="s">
        <v>5473</v>
      </c>
      <c r="E326" s="251" t="s">
        <v>5474</v>
      </c>
      <c r="F326" s="251" t="s">
        <v>5494</v>
      </c>
      <c r="G326" s="251" t="s">
        <v>5495</v>
      </c>
      <c r="H326" s="252" t="s">
        <v>5484</v>
      </c>
      <c r="I326" s="251" t="s">
        <v>5485</v>
      </c>
      <c r="J326" s="251" t="s">
        <v>5486</v>
      </c>
      <c r="K326" s="251" t="s">
        <v>5499</v>
      </c>
      <c r="BB326"/>
    </row>
    <row r="327" spans="1:54" x14ac:dyDescent="0.2">
      <c r="A327" s="225" t="str">
        <f t="shared" si="4"/>
        <v>Loans Receivable Long-Term</v>
      </c>
      <c r="B327" s="218" t="s">
        <v>168</v>
      </c>
      <c r="C327" s="251" t="s">
        <v>5475</v>
      </c>
      <c r="D327" s="251" t="s">
        <v>5476</v>
      </c>
      <c r="E327" s="251" t="s">
        <v>5477</v>
      </c>
      <c r="F327" s="251" t="s">
        <v>5496</v>
      </c>
      <c r="G327" s="251" t="s">
        <v>5495</v>
      </c>
      <c r="H327" s="252" t="s">
        <v>5487</v>
      </c>
      <c r="I327" s="251" t="s">
        <v>5488</v>
      </c>
      <c r="J327" s="251" t="s">
        <v>5489</v>
      </c>
      <c r="K327" s="251" t="s">
        <v>5500</v>
      </c>
      <c r="BB327"/>
    </row>
    <row r="328" spans="1:54" x14ac:dyDescent="0.2">
      <c r="A328" s="225" t="str">
        <f t="shared" si="4"/>
        <v>Deferred Tax Assets, LT</v>
      </c>
      <c r="B328" s="218" t="s">
        <v>169</v>
      </c>
      <c r="C328" s="218" t="s">
        <v>6589</v>
      </c>
      <c r="D328" s="218" t="s">
        <v>6590</v>
      </c>
      <c r="E328" s="218" t="s">
        <v>6591</v>
      </c>
      <c r="F328" s="218" t="s">
        <v>6592</v>
      </c>
      <c r="G328" s="218" t="s">
        <v>6593</v>
      </c>
      <c r="H328" s="218" t="s">
        <v>6594</v>
      </c>
      <c r="I328" s="218" t="s">
        <v>6595</v>
      </c>
      <c r="J328" s="218" t="s">
        <v>6596</v>
      </c>
      <c r="K328" s="218" t="s">
        <v>6597</v>
      </c>
      <c r="BB328"/>
    </row>
    <row r="329" spans="1:54" x14ac:dyDescent="0.2">
      <c r="A329" s="225" t="str">
        <f t="shared" ref="A329:A392" si="5">INDEX($B329:$CV329,$A$4)</f>
        <v>Deferred Charges, LT</v>
      </c>
      <c r="B329" s="218" t="s">
        <v>216</v>
      </c>
      <c r="C329" s="218" t="s">
        <v>6598</v>
      </c>
      <c r="D329" s="218" t="s">
        <v>6599</v>
      </c>
      <c r="E329" s="218" t="s">
        <v>6600</v>
      </c>
      <c r="F329" s="218" t="s">
        <v>6601</v>
      </c>
      <c r="G329" s="218" t="s">
        <v>6602</v>
      </c>
      <c r="H329" s="218" t="s">
        <v>6603</v>
      </c>
      <c r="I329" s="218" t="s">
        <v>6604</v>
      </c>
      <c r="J329" s="218" t="s">
        <v>6605</v>
      </c>
      <c r="K329" s="218" t="s">
        <v>6606</v>
      </c>
      <c r="BB329"/>
    </row>
    <row r="330" spans="1:54" x14ac:dyDescent="0.2">
      <c r="A330" s="225" t="str">
        <f t="shared" si="5"/>
        <v>Other Long-Term Assets</v>
      </c>
      <c r="B330" s="218" t="s">
        <v>170</v>
      </c>
      <c r="C330" t="s">
        <v>6607</v>
      </c>
      <c r="D330" t="s">
        <v>6608</v>
      </c>
      <c r="E330" t="s">
        <v>6609</v>
      </c>
      <c r="F330" t="s">
        <v>6610</v>
      </c>
      <c r="G330" t="s">
        <v>6611</v>
      </c>
      <c r="H330" t="s">
        <v>6612</v>
      </c>
      <c r="I330" t="s">
        <v>6613</v>
      </c>
      <c r="J330" t="s">
        <v>6614</v>
      </c>
      <c r="K330" t="s">
        <v>6615</v>
      </c>
      <c r="BB330"/>
    </row>
    <row r="331" spans="1:54" x14ac:dyDescent="0.2">
      <c r="A331" s="225" t="str">
        <f t="shared" si="5"/>
        <v>Total Assets</v>
      </c>
      <c r="B331" s="218" t="s">
        <v>365</v>
      </c>
      <c r="C331" s="215" t="s">
        <v>8253</v>
      </c>
      <c r="D331" s="215" t="s">
        <v>8254</v>
      </c>
      <c r="E331" s="215" t="s">
        <v>6316</v>
      </c>
      <c r="F331" t="s">
        <v>6317</v>
      </c>
      <c r="G331" t="s">
        <v>6318</v>
      </c>
      <c r="H331" t="s">
        <v>6319</v>
      </c>
      <c r="I331" t="s">
        <v>6320</v>
      </c>
      <c r="J331" t="s">
        <v>6321</v>
      </c>
      <c r="K331" t="s">
        <v>6322</v>
      </c>
      <c r="BB331"/>
    </row>
    <row r="332" spans="1:54" x14ac:dyDescent="0.2">
      <c r="A332" s="225" t="str">
        <f t="shared" si="5"/>
        <v>LIABILITIES</v>
      </c>
      <c r="B332" s="218" t="s">
        <v>80</v>
      </c>
      <c r="C332" s="218" t="s">
        <v>6616</v>
      </c>
      <c r="D332" s="218" t="s">
        <v>6617</v>
      </c>
      <c r="E332" s="218" t="s">
        <v>6618</v>
      </c>
      <c r="F332" s="218" t="s">
        <v>6619</v>
      </c>
      <c r="G332" s="218" t="s">
        <v>6620</v>
      </c>
      <c r="H332" s="218" t="s">
        <v>6617</v>
      </c>
      <c r="I332" s="218" t="s">
        <v>6621</v>
      </c>
      <c r="J332" s="218" t="s">
        <v>6622</v>
      </c>
      <c r="K332" s="218" t="s">
        <v>6623</v>
      </c>
      <c r="BB332"/>
    </row>
    <row r="333" spans="1:54" x14ac:dyDescent="0.2">
      <c r="A333" s="225" t="str">
        <f t="shared" si="5"/>
        <v>Accounts Payable</v>
      </c>
      <c r="B333" s="218" t="s">
        <v>85</v>
      </c>
      <c r="C333" t="s">
        <v>6323</v>
      </c>
      <c r="D333" t="s">
        <v>6324</v>
      </c>
      <c r="E333" t="s">
        <v>6325</v>
      </c>
      <c r="F333" t="s">
        <v>6326</v>
      </c>
      <c r="G333" t="s">
        <v>6327</v>
      </c>
      <c r="H333" t="s">
        <v>6328</v>
      </c>
      <c r="I333" t="s">
        <v>6329</v>
      </c>
      <c r="J333" t="s">
        <v>6330</v>
      </c>
      <c r="K333" t="s">
        <v>6331</v>
      </c>
      <c r="BB333"/>
    </row>
    <row r="334" spans="1:54" x14ac:dyDescent="0.2">
      <c r="A334" s="225" t="str">
        <f t="shared" si="5"/>
        <v>Accrued Exp.</v>
      </c>
      <c r="B334" s="218" t="s">
        <v>132</v>
      </c>
      <c r="C334" s="218" t="s">
        <v>6624</v>
      </c>
      <c r="D334" s="218" t="s">
        <v>6625</v>
      </c>
      <c r="E334" s="218" t="s">
        <v>6626</v>
      </c>
      <c r="F334" s="218" t="s">
        <v>6627</v>
      </c>
      <c r="G334" s="218" t="s">
        <v>6628</v>
      </c>
      <c r="H334" s="218" t="s">
        <v>6629</v>
      </c>
      <c r="I334" s="218" t="s">
        <v>6630</v>
      </c>
      <c r="J334" s="218" t="s">
        <v>6631</v>
      </c>
      <c r="K334" s="218" t="s">
        <v>6632</v>
      </c>
      <c r="BB334"/>
    </row>
    <row r="335" spans="1:54" x14ac:dyDescent="0.2">
      <c r="A335" s="225" t="str">
        <f t="shared" si="5"/>
        <v>Short-term Borrowings</v>
      </c>
      <c r="B335" s="218" t="s">
        <v>217</v>
      </c>
      <c r="C335" s="218" t="s">
        <v>6633</v>
      </c>
      <c r="D335" s="218" t="s">
        <v>6634</v>
      </c>
      <c r="E335" s="218" t="s">
        <v>6635</v>
      </c>
      <c r="F335" s="218" t="s">
        <v>6636</v>
      </c>
      <c r="G335" s="218" t="s">
        <v>6637</v>
      </c>
      <c r="H335" s="218" t="s">
        <v>6638</v>
      </c>
      <c r="I335" s="218" t="s">
        <v>6639</v>
      </c>
      <c r="J335" s="218" t="s">
        <v>6640</v>
      </c>
      <c r="K335" s="218" t="s">
        <v>6641</v>
      </c>
      <c r="BB335"/>
    </row>
    <row r="336" spans="1:54" x14ac:dyDescent="0.2">
      <c r="A336" s="225" t="str">
        <f t="shared" si="5"/>
        <v>Current Portion of Long Term Debt</v>
      </c>
      <c r="B336" s="218" t="s">
        <v>218</v>
      </c>
      <c r="C336" t="s">
        <v>6332</v>
      </c>
      <c r="D336" t="s">
        <v>6333</v>
      </c>
      <c r="E336" t="s">
        <v>6334</v>
      </c>
      <c r="F336" t="s">
        <v>6335</v>
      </c>
      <c r="G336" t="s">
        <v>6336</v>
      </c>
      <c r="H336" t="s">
        <v>6337</v>
      </c>
      <c r="I336" t="s">
        <v>6338</v>
      </c>
      <c r="J336" t="s">
        <v>6339</v>
      </c>
      <c r="K336" t="s">
        <v>6340</v>
      </c>
      <c r="BB336"/>
    </row>
    <row r="337" spans="1:54" x14ac:dyDescent="0.2">
      <c r="A337" s="225" t="str">
        <f t="shared" si="5"/>
        <v>Current Portion of Leases</v>
      </c>
      <c r="B337" s="218" t="s">
        <v>802</v>
      </c>
      <c r="C337" s="251" t="s">
        <v>5501</v>
      </c>
      <c r="D337" s="251" t="s">
        <v>5502</v>
      </c>
      <c r="E337" s="251" t="s">
        <v>5503</v>
      </c>
      <c r="F337" s="251" t="s">
        <v>5519</v>
      </c>
      <c r="G337" s="251" t="s">
        <v>5520</v>
      </c>
      <c r="H337" s="252" t="s">
        <v>5510</v>
      </c>
      <c r="I337" s="251" t="s">
        <v>5511</v>
      </c>
      <c r="J337" s="251" t="s">
        <v>5512</v>
      </c>
      <c r="K337" s="251" t="s">
        <v>5525</v>
      </c>
      <c r="BB337"/>
    </row>
    <row r="338" spans="1:54" x14ac:dyDescent="0.2">
      <c r="A338" s="225" t="str">
        <f t="shared" si="5"/>
        <v>Finance Div. Debt Current</v>
      </c>
      <c r="B338" s="218" t="s">
        <v>219</v>
      </c>
      <c r="C338" s="251" t="s">
        <v>5504</v>
      </c>
      <c r="D338" s="251" t="s">
        <v>5505</v>
      </c>
      <c r="E338" s="251" t="s">
        <v>5506</v>
      </c>
      <c r="F338" s="251" t="s">
        <v>5521</v>
      </c>
      <c r="G338" s="251" t="s">
        <v>5522</v>
      </c>
      <c r="H338" s="252" t="s">
        <v>5513</v>
      </c>
      <c r="I338" s="251" t="s">
        <v>5514</v>
      </c>
      <c r="J338" s="251" t="s">
        <v>5515</v>
      </c>
      <c r="K338" s="251" t="s">
        <v>5526</v>
      </c>
      <c r="BB338"/>
    </row>
    <row r="339" spans="1:54" x14ac:dyDescent="0.2">
      <c r="A339" s="225" t="str">
        <f t="shared" si="5"/>
        <v>Finance Div. Other Curr. Liab.</v>
      </c>
      <c r="B339" s="218" t="s">
        <v>220</v>
      </c>
      <c r="C339" s="251" t="s">
        <v>5507</v>
      </c>
      <c r="D339" s="251" t="s">
        <v>5508</v>
      </c>
      <c r="E339" s="251" t="s">
        <v>5509</v>
      </c>
      <c r="F339" s="251" t="s">
        <v>5523</v>
      </c>
      <c r="G339" s="251" t="s">
        <v>5524</v>
      </c>
      <c r="H339" s="252" t="s">
        <v>5516</v>
      </c>
      <c r="I339" s="251" t="s">
        <v>5517</v>
      </c>
      <c r="J339" s="251" t="s">
        <v>5518</v>
      </c>
      <c r="K339" s="251" t="s">
        <v>5527</v>
      </c>
      <c r="BB339"/>
    </row>
    <row r="340" spans="1:54" x14ac:dyDescent="0.2">
      <c r="A340" s="225" t="str">
        <f t="shared" si="5"/>
        <v>Curr. Income Taxes Payable</v>
      </c>
      <c r="B340" s="218" t="s">
        <v>221</v>
      </c>
      <c r="C340" t="s">
        <v>6642</v>
      </c>
      <c r="D340" t="s">
        <v>6643</v>
      </c>
      <c r="E340" s="218" t="s">
        <v>6644</v>
      </c>
      <c r="F340" s="218" t="s">
        <v>6645</v>
      </c>
      <c r="G340" s="218" t="s">
        <v>6646</v>
      </c>
      <c r="H340" s="218" t="s">
        <v>6647</v>
      </c>
      <c r="I340" s="218" t="s">
        <v>6648</v>
      </c>
      <c r="J340" s="218" t="s">
        <v>6649</v>
      </c>
      <c r="K340" s="218" t="s">
        <v>6650</v>
      </c>
      <c r="BB340"/>
    </row>
    <row r="341" spans="1:54" x14ac:dyDescent="0.2">
      <c r="A341" s="225" t="str">
        <f t="shared" si="5"/>
        <v>Unearned Revenue, Current</v>
      </c>
      <c r="B341" s="218" t="s">
        <v>171</v>
      </c>
      <c r="C341" s="218" t="s">
        <v>6651</v>
      </c>
      <c r="D341" t="s">
        <v>6652</v>
      </c>
      <c r="E341" s="218" t="s">
        <v>6653</v>
      </c>
      <c r="F341" s="218" t="s">
        <v>6654</v>
      </c>
      <c r="G341" s="218" t="s">
        <v>6655</v>
      </c>
      <c r="H341" s="218" t="s">
        <v>6656</v>
      </c>
      <c r="I341" s="218" t="s">
        <v>6657</v>
      </c>
      <c r="J341" s="218" t="s">
        <v>6658</v>
      </c>
      <c r="K341" s="218" t="s">
        <v>6659</v>
      </c>
      <c r="BB341"/>
    </row>
    <row r="342" spans="1:54" x14ac:dyDescent="0.2">
      <c r="A342" s="225" t="str">
        <f t="shared" si="5"/>
        <v>Def. Tax Liability, Curr.</v>
      </c>
      <c r="B342" s="218" t="s">
        <v>222</v>
      </c>
      <c r="C342" s="251" t="s">
        <v>5528</v>
      </c>
      <c r="D342" s="251" t="s">
        <v>5529</v>
      </c>
      <c r="E342" s="251" t="s">
        <v>5530</v>
      </c>
      <c r="F342" s="251" t="s">
        <v>5534</v>
      </c>
      <c r="G342" s="251" t="s">
        <v>5535</v>
      </c>
      <c r="H342" s="252" t="s">
        <v>5531</v>
      </c>
      <c r="I342" s="251" t="s">
        <v>5532</v>
      </c>
      <c r="J342" s="251" t="s">
        <v>5533</v>
      </c>
      <c r="K342" s="251" t="s">
        <v>5536</v>
      </c>
      <c r="BB342"/>
    </row>
    <row r="343" spans="1:54" x14ac:dyDescent="0.2">
      <c r="A343" s="225" t="str">
        <f t="shared" si="5"/>
        <v>Other Current Liabilities</v>
      </c>
      <c r="B343" s="218" t="s">
        <v>172</v>
      </c>
      <c r="C343" s="218" t="s">
        <v>6341</v>
      </c>
      <c r="D343" t="s">
        <v>6342</v>
      </c>
      <c r="E343" t="s">
        <v>6343</v>
      </c>
      <c r="F343" t="s">
        <v>6344</v>
      </c>
      <c r="G343" t="s">
        <v>6345</v>
      </c>
      <c r="H343" t="s">
        <v>6346</v>
      </c>
      <c r="I343" t="s">
        <v>6347</v>
      </c>
      <c r="J343" t="s">
        <v>6348</v>
      </c>
      <c r="K343" t="s">
        <v>6349</v>
      </c>
      <c r="BB343"/>
    </row>
    <row r="344" spans="1:54" x14ac:dyDescent="0.2">
      <c r="A344" s="225" t="str">
        <f t="shared" si="5"/>
        <v>Total Current Liabilities</v>
      </c>
      <c r="B344" s="218" t="s">
        <v>133</v>
      </c>
      <c r="C344" t="s">
        <v>6350</v>
      </c>
      <c r="D344" t="s">
        <v>6351</v>
      </c>
      <c r="E344" t="s">
        <v>6352</v>
      </c>
      <c r="F344" t="s">
        <v>6353</v>
      </c>
      <c r="G344" t="s">
        <v>6354</v>
      </c>
      <c r="H344" t="s">
        <v>6355</v>
      </c>
      <c r="I344" t="s">
        <v>6356</v>
      </c>
      <c r="J344" t="s">
        <v>6357</v>
      </c>
      <c r="K344" t="s">
        <v>6358</v>
      </c>
      <c r="BB344"/>
    </row>
    <row r="345" spans="1:54" x14ac:dyDescent="0.2">
      <c r="A345" s="225" t="str">
        <f t="shared" si="5"/>
        <v>Long-Term Debt</v>
      </c>
      <c r="B345" s="218" t="s">
        <v>223</v>
      </c>
      <c r="C345" s="218" t="s">
        <v>6359</v>
      </c>
      <c r="D345" t="s">
        <v>6360</v>
      </c>
      <c r="E345" t="s">
        <v>6361</v>
      </c>
      <c r="F345" t="s">
        <v>6362</v>
      </c>
      <c r="G345" t="s">
        <v>6363</v>
      </c>
      <c r="H345" t="s">
        <v>6364</v>
      </c>
      <c r="I345" t="s">
        <v>6365</v>
      </c>
      <c r="J345" t="s">
        <v>6366</v>
      </c>
      <c r="K345" t="s">
        <v>2855</v>
      </c>
      <c r="BB345"/>
    </row>
    <row r="346" spans="1:54" x14ac:dyDescent="0.2">
      <c r="A346" s="225" t="str">
        <f t="shared" si="5"/>
        <v>Long-Term Leases</v>
      </c>
      <c r="B346" s="218" t="s">
        <v>803</v>
      </c>
      <c r="C346" t="s">
        <v>6367</v>
      </c>
      <c r="D346" t="s">
        <v>6368</v>
      </c>
      <c r="E346" t="s">
        <v>6369</v>
      </c>
      <c r="F346" t="s">
        <v>6370</v>
      </c>
      <c r="G346" t="s">
        <v>6371</v>
      </c>
      <c r="H346" t="s">
        <v>6372</v>
      </c>
      <c r="I346" t="s">
        <v>6373</v>
      </c>
      <c r="J346" t="s">
        <v>6374</v>
      </c>
      <c r="K346" t="s">
        <v>6375</v>
      </c>
      <c r="BB346"/>
    </row>
    <row r="347" spans="1:54" x14ac:dyDescent="0.2">
      <c r="A347" s="225" t="str">
        <f t="shared" si="5"/>
        <v>Finance Div. Debt Non-Curr.</v>
      </c>
      <c r="B347" s="218" t="s">
        <v>225</v>
      </c>
      <c r="C347" s="251" t="s">
        <v>5537</v>
      </c>
      <c r="D347" s="251" t="s">
        <v>5538</v>
      </c>
      <c r="E347" s="251" t="s">
        <v>5539</v>
      </c>
      <c r="F347" s="251" t="s">
        <v>5555</v>
      </c>
      <c r="G347" s="251" t="s">
        <v>5556</v>
      </c>
      <c r="H347" s="252" t="s">
        <v>5546</v>
      </c>
      <c r="I347" s="251" t="s">
        <v>5547</v>
      </c>
      <c r="J347" s="251" t="s">
        <v>5548</v>
      </c>
      <c r="K347" s="251" t="s">
        <v>5561</v>
      </c>
      <c r="BB347"/>
    </row>
    <row r="348" spans="1:54" x14ac:dyDescent="0.2">
      <c r="A348" s="225" t="str">
        <f t="shared" si="5"/>
        <v>Finance Div. Other Non-Curr. Liab.</v>
      </c>
      <c r="B348" s="218" t="s">
        <v>226</v>
      </c>
      <c r="C348" s="251" t="s">
        <v>5540</v>
      </c>
      <c r="D348" s="251" t="s">
        <v>5541</v>
      </c>
      <c r="E348" s="251" t="s">
        <v>5542</v>
      </c>
      <c r="F348" s="251" t="s">
        <v>5557</v>
      </c>
      <c r="G348" s="251" t="s">
        <v>5558</v>
      </c>
      <c r="H348" s="252" t="s">
        <v>5549</v>
      </c>
      <c r="I348" s="251" t="s">
        <v>5550</v>
      </c>
      <c r="J348" s="251" t="s">
        <v>5551</v>
      </c>
      <c r="K348" s="251" t="s">
        <v>5562</v>
      </c>
      <c r="BB348"/>
    </row>
    <row r="349" spans="1:54" x14ac:dyDescent="0.2">
      <c r="A349" s="225" t="str">
        <f t="shared" si="5"/>
        <v>Unearned Revenue, Non-Current</v>
      </c>
      <c r="B349" s="218" t="s">
        <v>227</v>
      </c>
      <c r="C349" s="251" t="s">
        <v>5543</v>
      </c>
      <c r="D349" s="251" t="s">
        <v>5544</v>
      </c>
      <c r="E349" s="251" t="s">
        <v>5545</v>
      </c>
      <c r="F349" s="251" t="s">
        <v>5559</v>
      </c>
      <c r="G349" s="251" t="s">
        <v>5560</v>
      </c>
      <c r="H349" s="252" t="s">
        <v>5552</v>
      </c>
      <c r="I349" s="251" t="s">
        <v>5553</v>
      </c>
      <c r="J349" s="251" t="s">
        <v>5554</v>
      </c>
      <c r="K349" s="251" t="s">
        <v>5563</v>
      </c>
      <c r="BB349"/>
    </row>
    <row r="350" spans="1:54" x14ac:dyDescent="0.2">
      <c r="A350" s="225" t="str">
        <f t="shared" si="5"/>
        <v>Pension &amp; Other Post-Retire. Benefits</v>
      </c>
      <c r="B350" s="218" t="s">
        <v>228</v>
      </c>
      <c r="C350" s="218" t="s">
        <v>6660</v>
      </c>
      <c r="D350" s="218" t="s">
        <v>6661</v>
      </c>
      <c r="E350" s="218" t="s">
        <v>6662</v>
      </c>
      <c r="F350" s="218" t="s">
        <v>6663</v>
      </c>
      <c r="G350" s="218" t="s">
        <v>6664</v>
      </c>
      <c r="H350" s="218" t="s">
        <v>6665</v>
      </c>
      <c r="I350" s="218" t="s">
        <v>6666</v>
      </c>
      <c r="J350" s="218" t="s">
        <v>6667</v>
      </c>
      <c r="K350" s="218" t="s">
        <v>6668</v>
      </c>
      <c r="BB350"/>
    </row>
    <row r="351" spans="1:54" x14ac:dyDescent="0.2">
      <c r="A351" s="225" t="str">
        <f t="shared" si="5"/>
        <v>Def. Tax Liability, Non-Curr.</v>
      </c>
      <c r="B351" s="218" t="s">
        <v>173</v>
      </c>
      <c r="C351" s="218" t="s">
        <v>6669</v>
      </c>
      <c r="D351" s="218" t="s">
        <v>6670</v>
      </c>
      <c r="E351" s="218" t="s">
        <v>6671</v>
      </c>
      <c r="F351" s="218" t="s">
        <v>6672</v>
      </c>
      <c r="G351" s="218" t="s">
        <v>6673</v>
      </c>
      <c r="H351" s="218" t="s">
        <v>6674</v>
      </c>
      <c r="I351" s="218" t="s">
        <v>6675</v>
      </c>
      <c r="J351" s="218" t="s">
        <v>6676</v>
      </c>
      <c r="K351" s="218" t="s">
        <v>6677</v>
      </c>
      <c r="BB351"/>
    </row>
    <row r="352" spans="1:54" x14ac:dyDescent="0.2">
      <c r="A352" s="225" t="str">
        <f t="shared" si="5"/>
        <v>Other Non-Current Liabilities</v>
      </c>
      <c r="B352" s="218" t="s">
        <v>174</v>
      </c>
      <c r="C352" t="s">
        <v>6376</v>
      </c>
      <c r="D352" t="s">
        <v>6377</v>
      </c>
      <c r="E352" t="s">
        <v>6378</v>
      </c>
      <c r="F352" t="s">
        <v>6379</v>
      </c>
      <c r="G352" t="s">
        <v>6380</v>
      </c>
      <c r="H352" t="s">
        <v>6381</v>
      </c>
      <c r="I352" t="s">
        <v>6382</v>
      </c>
      <c r="J352" t="s">
        <v>6383</v>
      </c>
      <c r="K352" t="s">
        <v>6384</v>
      </c>
      <c r="BB352"/>
    </row>
    <row r="353" spans="1:54" x14ac:dyDescent="0.2">
      <c r="A353" s="225" t="str">
        <f t="shared" si="5"/>
        <v>Total Liabilities</v>
      </c>
      <c r="B353" s="267" t="s">
        <v>8283</v>
      </c>
      <c r="C353" t="s">
        <v>6385</v>
      </c>
      <c r="D353" t="s">
        <v>6386</v>
      </c>
      <c r="E353" t="s">
        <v>6387</v>
      </c>
      <c r="F353" t="s">
        <v>6388</v>
      </c>
      <c r="G353" t="s">
        <v>6389</v>
      </c>
      <c r="H353" t="s">
        <v>6390</v>
      </c>
      <c r="I353" t="s">
        <v>6391</v>
      </c>
      <c r="J353" t="s">
        <v>6392</v>
      </c>
      <c r="K353" t="s">
        <v>6393</v>
      </c>
      <c r="BB353"/>
    </row>
    <row r="354" spans="1:54" x14ac:dyDescent="0.2">
      <c r="A354" s="225" t="str">
        <f t="shared" si="5"/>
        <v>EQUITY</v>
      </c>
      <c r="B354" s="218" t="s">
        <v>53</v>
      </c>
      <c r="C354" s="218" t="s">
        <v>7523</v>
      </c>
      <c r="D354" s="218" t="s">
        <v>7524</v>
      </c>
      <c r="E354" s="218" t="s">
        <v>7525</v>
      </c>
      <c r="F354" s="218" t="s">
        <v>7526</v>
      </c>
      <c r="G354" s="218" t="s">
        <v>7527</v>
      </c>
      <c r="H354" s="218" t="s">
        <v>6717</v>
      </c>
      <c r="I354" s="267" t="s">
        <v>8304</v>
      </c>
      <c r="J354" s="218" t="s">
        <v>7525</v>
      </c>
      <c r="K354" s="218" t="s">
        <v>7528</v>
      </c>
      <c r="BB354"/>
    </row>
    <row r="355" spans="1:54" x14ac:dyDescent="0.2">
      <c r="A355" s="225" t="str">
        <f t="shared" si="5"/>
        <v>Pref. Stock, Redeemable</v>
      </c>
      <c r="B355" s="218" t="s">
        <v>229</v>
      </c>
      <c r="C355" s="251" t="s">
        <v>5421</v>
      </c>
      <c r="D355" s="251" t="s">
        <v>5422</v>
      </c>
      <c r="E355" s="251" t="s">
        <v>5423</v>
      </c>
      <c r="F355" s="251" t="s">
        <v>5439</v>
      </c>
      <c r="G355" s="251" t="s">
        <v>5440</v>
      </c>
      <c r="H355" s="252" t="s">
        <v>5430</v>
      </c>
      <c r="I355" s="251" t="s">
        <v>5431</v>
      </c>
      <c r="J355" s="251" t="s">
        <v>5432</v>
      </c>
      <c r="K355" s="251" t="s">
        <v>5445</v>
      </c>
      <c r="BB355"/>
    </row>
    <row r="356" spans="1:54" x14ac:dyDescent="0.2">
      <c r="A356" s="225" t="str">
        <f t="shared" si="5"/>
        <v>Pref. Stock, Non-Redeem.</v>
      </c>
      <c r="B356" s="218" t="s">
        <v>230</v>
      </c>
      <c r="C356" s="251" t="s">
        <v>5424</v>
      </c>
      <c r="D356" s="251" t="s">
        <v>5425</v>
      </c>
      <c r="E356" s="251" t="s">
        <v>5426</v>
      </c>
      <c r="F356" s="251" t="s">
        <v>5441</v>
      </c>
      <c r="G356" s="251" t="s">
        <v>5442</v>
      </c>
      <c r="H356" s="252" t="s">
        <v>5433</v>
      </c>
      <c r="I356" s="251" t="s">
        <v>5434</v>
      </c>
      <c r="J356" s="251" t="s">
        <v>5435</v>
      </c>
      <c r="K356" s="251" t="s">
        <v>5446</v>
      </c>
      <c r="BB356"/>
    </row>
    <row r="357" spans="1:54" x14ac:dyDescent="0.2">
      <c r="A357" s="225" t="str">
        <f t="shared" si="5"/>
        <v>Pref. Stock, Convertible</v>
      </c>
      <c r="B357" s="218" t="s">
        <v>231</v>
      </c>
      <c r="C357" s="251" t="s">
        <v>5427</v>
      </c>
      <c r="D357" s="251" t="s">
        <v>5428</v>
      </c>
      <c r="E357" s="251" t="s">
        <v>5429</v>
      </c>
      <c r="F357" s="251" t="s">
        <v>5443</v>
      </c>
      <c r="G357" s="251" t="s">
        <v>5444</v>
      </c>
      <c r="H357" s="252" t="s">
        <v>5436</v>
      </c>
      <c r="I357" s="251" t="s">
        <v>5437</v>
      </c>
      <c r="J357" s="251" t="s">
        <v>5438</v>
      </c>
      <c r="K357" s="251" t="s">
        <v>5447</v>
      </c>
      <c r="BB357"/>
    </row>
    <row r="358" spans="1:54" x14ac:dyDescent="0.2">
      <c r="A358" s="225" t="str">
        <f t="shared" si="5"/>
        <v>Pref. Stock, Other</v>
      </c>
      <c r="B358" s="218" t="s">
        <v>232</v>
      </c>
      <c r="C358" s="218" t="s">
        <v>7529</v>
      </c>
      <c r="D358" s="218" t="s">
        <v>7530</v>
      </c>
      <c r="E358" s="218" t="s">
        <v>7531</v>
      </c>
      <c r="F358" s="218" t="s">
        <v>7532</v>
      </c>
      <c r="G358" s="218" t="s">
        <v>7533</v>
      </c>
      <c r="H358" s="218" t="s">
        <v>7534</v>
      </c>
      <c r="I358" s="218" t="s">
        <v>7535</v>
      </c>
      <c r="J358" s="218" t="s">
        <v>7536</v>
      </c>
      <c r="K358" s="218" t="s">
        <v>7537</v>
      </c>
      <c r="BB358"/>
    </row>
    <row r="359" spans="1:54" x14ac:dyDescent="0.2">
      <c r="A359" s="225" t="str">
        <f t="shared" si="5"/>
        <v>Total Pref. Equity</v>
      </c>
      <c r="B359" s="267" t="s">
        <v>8284</v>
      </c>
      <c r="C359" s="215" t="s">
        <v>8285</v>
      </c>
      <c r="D359" s="215" t="s">
        <v>8286</v>
      </c>
      <c r="E359" s="215" t="s">
        <v>8287</v>
      </c>
      <c r="F359" s="215" t="s">
        <v>8288</v>
      </c>
      <c r="G359" s="215" t="s">
        <v>8289</v>
      </c>
      <c r="H359" s="215" t="s">
        <v>8290</v>
      </c>
      <c r="I359" s="215" t="s">
        <v>8291</v>
      </c>
      <c r="J359" s="215" t="s">
        <v>8292</v>
      </c>
      <c r="K359" s="215" t="s">
        <v>8293</v>
      </c>
      <c r="BB359"/>
    </row>
    <row r="360" spans="1:54" x14ac:dyDescent="0.2">
      <c r="A360" s="225" t="str">
        <f t="shared" si="5"/>
        <v>Common Stock</v>
      </c>
      <c r="B360" s="218" t="s">
        <v>82</v>
      </c>
      <c r="C360" s="218" t="s">
        <v>6678</v>
      </c>
      <c r="D360" s="218" t="s">
        <v>6678</v>
      </c>
      <c r="E360" s="218" t="s">
        <v>6679</v>
      </c>
      <c r="F360" s="218" t="s">
        <v>6680</v>
      </c>
      <c r="G360" s="218" t="s">
        <v>6681</v>
      </c>
      <c r="H360" s="218" t="s">
        <v>6682</v>
      </c>
      <c r="I360" s="218" t="s">
        <v>6683</v>
      </c>
      <c r="J360" s="218" t="s">
        <v>6684</v>
      </c>
      <c r="K360" s="218" t="s">
        <v>6685</v>
      </c>
      <c r="BB360"/>
    </row>
    <row r="361" spans="1:54" x14ac:dyDescent="0.2">
      <c r="A361" s="225" t="str">
        <f t="shared" si="5"/>
        <v>Additional Paid In Capital</v>
      </c>
      <c r="B361" s="218" t="s">
        <v>175</v>
      </c>
      <c r="C361" s="218" t="s">
        <v>6686</v>
      </c>
      <c r="D361" s="218" t="s">
        <v>6687</v>
      </c>
      <c r="E361" s="218" t="s">
        <v>6688</v>
      </c>
      <c r="F361" s="218" t="s">
        <v>6689</v>
      </c>
      <c r="G361" s="218" t="s">
        <v>6690</v>
      </c>
      <c r="H361" s="218" t="s">
        <v>6691</v>
      </c>
      <c r="I361" s="218" t="s">
        <v>6692</v>
      </c>
      <c r="J361" s="218" t="s">
        <v>6693</v>
      </c>
      <c r="K361" s="218" t="s">
        <v>6694</v>
      </c>
      <c r="BB361"/>
    </row>
    <row r="362" spans="1:54" x14ac:dyDescent="0.2">
      <c r="A362" s="225" t="str">
        <f t="shared" si="5"/>
        <v>Retained Earnings</v>
      </c>
      <c r="B362" s="218" t="s">
        <v>134</v>
      </c>
      <c r="C362" s="218" t="s">
        <v>6695</v>
      </c>
      <c r="D362" s="218" t="s">
        <v>6695</v>
      </c>
      <c r="E362" s="218" t="s">
        <v>6696</v>
      </c>
      <c r="F362" s="218" t="s">
        <v>6697</v>
      </c>
      <c r="G362" s="218" t="s">
        <v>6698</v>
      </c>
      <c r="H362" s="218" t="s">
        <v>6699</v>
      </c>
      <c r="I362" s="218" t="s">
        <v>6700</v>
      </c>
      <c r="J362" s="218" t="s">
        <v>6701</v>
      </c>
      <c r="K362" s="218" t="s">
        <v>6702</v>
      </c>
      <c r="BB362"/>
    </row>
    <row r="363" spans="1:54" x14ac:dyDescent="0.2">
      <c r="A363" s="225" t="str">
        <f t="shared" si="5"/>
        <v>Treasury Stock</v>
      </c>
      <c r="B363" s="218" t="s">
        <v>89</v>
      </c>
      <c r="C363" s="218" t="s">
        <v>7538</v>
      </c>
      <c r="D363" s="218" t="s">
        <v>7539</v>
      </c>
      <c r="E363" s="218" t="s">
        <v>7540</v>
      </c>
      <c r="F363" s="218" t="s">
        <v>7544</v>
      </c>
      <c r="G363" s="218" t="s">
        <v>7545</v>
      </c>
      <c r="H363" s="218" t="s">
        <v>7541</v>
      </c>
      <c r="I363" s="218" t="s">
        <v>7542</v>
      </c>
      <c r="J363" s="218" t="s">
        <v>7543</v>
      </c>
      <c r="K363" s="218" t="s">
        <v>7546</v>
      </c>
      <c r="BB363"/>
    </row>
    <row r="364" spans="1:54" x14ac:dyDescent="0.2">
      <c r="A364" s="225" t="str">
        <f t="shared" si="5"/>
        <v>Comprehensive Inc. and Other</v>
      </c>
      <c r="B364" s="218" t="s">
        <v>176</v>
      </c>
      <c r="C364" s="218" t="s">
        <v>6703</v>
      </c>
      <c r="D364" s="218" t="s">
        <v>6704</v>
      </c>
      <c r="E364" s="218" t="s">
        <v>6705</v>
      </c>
      <c r="F364" s="218" t="s">
        <v>6706</v>
      </c>
      <c r="G364" s="218" t="s">
        <v>6707</v>
      </c>
      <c r="H364" s="218" t="s">
        <v>6708</v>
      </c>
      <c r="I364" s="218" t="s">
        <v>6709</v>
      </c>
      <c r="J364" s="218" t="s">
        <v>6710</v>
      </c>
      <c r="K364" s="218" t="s">
        <v>6711</v>
      </c>
      <c r="BB364"/>
    </row>
    <row r="365" spans="1:54" x14ac:dyDescent="0.2">
      <c r="A365" s="225" t="str">
        <f t="shared" si="5"/>
        <v>Total Common Equity</v>
      </c>
      <c r="B365" s="218" t="s">
        <v>135</v>
      </c>
      <c r="C365" t="s">
        <v>6712</v>
      </c>
      <c r="D365" t="s">
        <v>6713</v>
      </c>
      <c r="E365" t="s">
        <v>6714</v>
      </c>
      <c r="F365" t="s">
        <v>6715</v>
      </c>
      <c r="G365" t="s">
        <v>6716</v>
      </c>
      <c r="H365" t="s">
        <v>6717</v>
      </c>
      <c r="I365" t="s">
        <v>6718</v>
      </c>
      <c r="J365" t="s">
        <v>6719</v>
      </c>
      <c r="K365" t="s">
        <v>6720</v>
      </c>
      <c r="BB365"/>
    </row>
    <row r="366" spans="1:54" x14ac:dyDescent="0.2">
      <c r="A366" s="225" t="str">
        <f t="shared" si="5"/>
        <v>Minority Interest</v>
      </c>
      <c r="B366" s="218" t="s">
        <v>224</v>
      </c>
      <c r="C366" t="s">
        <v>7547</v>
      </c>
      <c r="D366" t="s">
        <v>7548</v>
      </c>
      <c r="E366" t="s">
        <v>7549</v>
      </c>
      <c r="F366" t="s">
        <v>7550</v>
      </c>
      <c r="G366" t="s">
        <v>7551</v>
      </c>
      <c r="H366" t="s">
        <v>5415</v>
      </c>
      <c r="I366" t="s">
        <v>7552</v>
      </c>
      <c r="J366" t="s">
        <v>7553</v>
      </c>
      <c r="K366" t="s">
        <v>7554</v>
      </c>
      <c r="BB366"/>
    </row>
    <row r="367" spans="1:54" x14ac:dyDescent="0.2">
      <c r="A367" s="225" t="str">
        <f t="shared" si="5"/>
        <v>Total Equity</v>
      </c>
      <c r="B367" s="218" t="s">
        <v>81</v>
      </c>
      <c r="C367" s="215" t="s">
        <v>6721</v>
      </c>
      <c r="D367" s="215" t="s">
        <v>6722</v>
      </c>
      <c r="E367" s="215" t="s">
        <v>6723</v>
      </c>
      <c r="F367" s="215" t="s">
        <v>6724</v>
      </c>
      <c r="G367" s="215" t="s">
        <v>6725</v>
      </c>
      <c r="H367" s="215" t="s">
        <v>6726</v>
      </c>
      <c r="I367" s="215" t="s">
        <v>6727</v>
      </c>
      <c r="J367" s="215" t="s">
        <v>6728</v>
      </c>
      <c r="K367" s="215" t="s">
        <v>6729</v>
      </c>
      <c r="BB367"/>
    </row>
    <row r="368" spans="1:54" x14ac:dyDescent="0.2">
      <c r="A368" s="225" t="str">
        <f t="shared" si="5"/>
        <v>Total Liabilities And Equity</v>
      </c>
      <c r="B368" s="218" t="s">
        <v>136</v>
      </c>
      <c r="C368" t="s">
        <v>6730</v>
      </c>
      <c r="D368" t="s">
        <v>6731</v>
      </c>
      <c r="E368" t="s">
        <v>6732</v>
      </c>
      <c r="F368" t="s">
        <v>6733</v>
      </c>
      <c r="G368" t="s">
        <v>6734</v>
      </c>
      <c r="H368" t="s">
        <v>6735</v>
      </c>
      <c r="I368" t="s">
        <v>6736</v>
      </c>
      <c r="J368" t="s">
        <v>6737</v>
      </c>
      <c r="K368" t="s">
        <v>6738</v>
      </c>
      <c r="BB368"/>
    </row>
    <row r="369" spans="1:54" x14ac:dyDescent="0.2">
      <c r="A369" s="225" t="str">
        <f t="shared" si="5"/>
        <v>Right-of-Use Asset-Gross</v>
      </c>
      <c r="B369" s="218" t="s">
        <v>780</v>
      </c>
      <c r="C369" s="251" t="s">
        <v>2157</v>
      </c>
      <c r="D369" s="251" t="s">
        <v>2158</v>
      </c>
      <c r="E369" s="251" t="s">
        <v>2159</v>
      </c>
      <c r="F369" s="251" t="s">
        <v>2247</v>
      </c>
      <c r="G369" s="251" t="s">
        <v>2248</v>
      </c>
      <c r="H369" s="252" t="s">
        <v>2202</v>
      </c>
      <c r="I369" s="251" t="s">
        <v>2203</v>
      </c>
      <c r="J369" s="251" t="s">
        <v>2204</v>
      </c>
      <c r="K369" s="251" t="s">
        <v>2277</v>
      </c>
      <c r="BB369"/>
    </row>
    <row r="370" spans="1:54" x14ac:dyDescent="0.2">
      <c r="A370" s="225" t="str">
        <f t="shared" si="5"/>
        <v>Right-of-Use Asset-Accumulated Depreciation</v>
      </c>
      <c r="B370" s="218" t="s">
        <v>781</v>
      </c>
      <c r="C370" s="251" t="s">
        <v>2160</v>
      </c>
      <c r="D370" s="251" t="s">
        <v>2161</v>
      </c>
      <c r="E370" s="251" t="s">
        <v>2162</v>
      </c>
      <c r="F370" s="251" t="s">
        <v>2249</v>
      </c>
      <c r="G370" s="251" t="s">
        <v>2250</v>
      </c>
      <c r="H370" s="252" t="s">
        <v>2205</v>
      </c>
      <c r="I370" s="251" t="s">
        <v>2206</v>
      </c>
      <c r="J370" s="251" t="s">
        <v>2207</v>
      </c>
      <c r="K370" s="251" t="s">
        <v>2278</v>
      </c>
      <c r="BB370"/>
    </row>
    <row r="371" spans="1:54" x14ac:dyDescent="0.2">
      <c r="A371" s="225" t="str">
        <f t="shared" si="5"/>
        <v>Right-of-Use Asset-Net</v>
      </c>
      <c r="B371" s="218" t="s">
        <v>782</v>
      </c>
      <c r="C371" s="251" t="s">
        <v>2163</v>
      </c>
      <c r="D371" s="251" t="s">
        <v>2164</v>
      </c>
      <c r="E371" s="251" t="s">
        <v>2165</v>
      </c>
      <c r="F371" s="251" t="s">
        <v>2251</v>
      </c>
      <c r="G371" s="251" t="s">
        <v>2252</v>
      </c>
      <c r="H371" s="252" t="s">
        <v>2208</v>
      </c>
      <c r="I371" s="251" t="s">
        <v>2209</v>
      </c>
      <c r="J371" s="251" t="s">
        <v>2210</v>
      </c>
      <c r="K371" s="251" t="s">
        <v>2279</v>
      </c>
      <c r="BB371"/>
    </row>
    <row r="372" spans="1:54" x14ac:dyDescent="0.2">
      <c r="A372" s="225" t="str">
        <f t="shared" si="5"/>
        <v>Right-of-Use Asset-Capital Lease-Gross</v>
      </c>
      <c r="B372" s="218" t="s">
        <v>783</v>
      </c>
      <c r="C372" s="251" t="s">
        <v>2166</v>
      </c>
      <c r="D372" s="251" t="s">
        <v>2167</v>
      </c>
      <c r="E372" s="251" t="s">
        <v>2168</v>
      </c>
      <c r="F372" s="251" t="s">
        <v>2253</v>
      </c>
      <c r="G372" s="251" t="s">
        <v>2254</v>
      </c>
      <c r="H372" s="252" t="s">
        <v>2211</v>
      </c>
      <c r="I372" s="251" t="s">
        <v>2212</v>
      </c>
      <c r="J372" s="251" t="s">
        <v>2213</v>
      </c>
      <c r="K372" s="251" t="s">
        <v>2280</v>
      </c>
      <c r="BB372"/>
    </row>
    <row r="373" spans="1:54" x14ac:dyDescent="0.2">
      <c r="A373" s="225" t="str">
        <f t="shared" si="5"/>
        <v>Right-of-Use Asset-Capital Lease-Accumulated Depreciation</v>
      </c>
      <c r="B373" s="218" t="s">
        <v>784</v>
      </c>
      <c r="C373" s="251" t="s">
        <v>2169</v>
      </c>
      <c r="D373" s="251" t="s">
        <v>2170</v>
      </c>
      <c r="E373" s="251" t="s">
        <v>2171</v>
      </c>
      <c r="F373" s="251" t="s">
        <v>2255</v>
      </c>
      <c r="G373" s="251" t="s">
        <v>2256</v>
      </c>
      <c r="H373" s="252" t="s">
        <v>2214</v>
      </c>
      <c r="I373" s="251" t="s">
        <v>2215</v>
      </c>
      <c r="J373" s="251" t="s">
        <v>2216</v>
      </c>
      <c r="K373" s="251" t="s">
        <v>2281</v>
      </c>
      <c r="BB373"/>
    </row>
    <row r="374" spans="1:54" x14ac:dyDescent="0.2">
      <c r="A374" s="225" t="str">
        <f t="shared" si="5"/>
        <v>Right-of-Use Asset-Capital Lease-Net</v>
      </c>
      <c r="B374" s="218" t="s">
        <v>785</v>
      </c>
      <c r="C374" s="251" t="s">
        <v>2172</v>
      </c>
      <c r="D374" s="251" t="s">
        <v>2173</v>
      </c>
      <c r="E374" s="251" t="s">
        <v>2174</v>
      </c>
      <c r="F374" s="251" t="s">
        <v>2257</v>
      </c>
      <c r="G374" s="251" t="s">
        <v>2258</v>
      </c>
      <c r="H374" s="252" t="s">
        <v>2217</v>
      </c>
      <c r="I374" s="251" t="s">
        <v>2218</v>
      </c>
      <c r="J374" s="251" t="s">
        <v>2219</v>
      </c>
      <c r="K374" s="251" t="s">
        <v>2282</v>
      </c>
      <c r="BB374"/>
    </row>
    <row r="375" spans="1:54" x14ac:dyDescent="0.2">
      <c r="A375" s="225" t="str">
        <f t="shared" si="5"/>
        <v>Right-of-Use Asset-Operating Lease-Gross</v>
      </c>
      <c r="B375" s="218" t="s">
        <v>786</v>
      </c>
      <c r="C375" s="251" t="s">
        <v>2175</v>
      </c>
      <c r="D375" s="251" t="s">
        <v>2176</v>
      </c>
      <c r="E375" s="251" t="s">
        <v>2177</v>
      </c>
      <c r="F375" s="251" t="s">
        <v>2259</v>
      </c>
      <c r="G375" s="251" t="s">
        <v>2260</v>
      </c>
      <c r="H375" s="252" t="s">
        <v>2220</v>
      </c>
      <c r="I375" s="251" t="s">
        <v>2221</v>
      </c>
      <c r="J375" s="251" t="s">
        <v>2222</v>
      </c>
      <c r="K375" s="251" t="s">
        <v>2283</v>
      </c>
      <c r="BB375"/>
    </row>
    <row r="376" spans="1:54" x14ac:dyDescent="0.2">
      <c r="A376" s="225" t="str">
        <f t="shared" si="5"/>
        <v>Right-of-Use Asset-Operating Lease-Accumulated Depreciation</v>
      </c>
      <c r="B376" s="218" t="s">
        <v>787</v>
      </c>
      <c r="C376" s="251" t="s">
        <v>2178</v>
      </c>
      <c r="D376" s="251" t="s">
        <v>2179</v>
      </c>
      <c r="E376" s="251" t="s">
        <v>2180</v>
      </c>
      <c r="F376" s="251" t="s">
        <v>2261</v>
      </c>
      <c r="G376" s="251" t="s">
        <v>2262</v>
      </c>
      <c r="H376" s="252" t="s">
        <v>2223</v>
      </c>
      <c r="I376" s="251" t="s">
        <v>2224</v>
      </c>
      <c r="J376" s="251" t="s">
        <v>2225</v>
      </c>
      <c r="K376" s="251" t="s">
        <v>2284</v>
      </c>
      <c r="BB376"/>
    </row>
    <row r="377" spans="1:54" x14ac:dyDescent="0.2">
      <c r="A377" s="225" t="str">
        <f t="shared" si="5"/>
        <v>Right-of-Use Asset-Operating Lease-Net</v>
      </c>
      <c r="B377" s="218" t="s">
        <v>788</v>
      </c>
      <c r="C377" s="251" t="s">
        <v>2181</v>
      </c>
      <c r="D377" s="251" t="s">
        <v>2182</v>
      </c>
      <c r="E377" s="251" t="s">
        <v>2183</v>
      </c>
      <c r="F377" s="251" t="s">
        <v>2263</v>
      </c>
      <c r="G377" s="251" t="s">
        <v>2264</v>
      </c>
      <c r="H377" s="252" t="s">
        <v>2226</v>
      </c>
      <c r="I377" s="251" t="s">
        <v>2227</v>
      </c>
      <c r="J377" s="251" t="s">
        <v>2228</v>
      </c>
      <c r="K377" s="251" t="s">
        <v>2285</v>
      </c>
      <c r="BB377"/>
    </row>
    <row r="378" spans="1:54" x14ac:dyDescent="0.2">
      <c r="A378" s="225" t="str">
        <f t="shared" si="5"/>
        <v>Gross PP&amp;E, Excl. Operating Leases</v>
      </c>
      <c r="B378" s="218" t="s">
        <v>804</v>
      </c>
      <c r="C378" s="251" t="s">
        <v>2184</v>
      </c>
      <c r="D378" s="251" t="s">
        <v>2185</v>
      </c>
      <c r="E378" s="251" t="s">
        <v>2186</v>
      </c>
      <c r="F378" s="251" t="s">
        <v>2265</v>
      </c>
      <c r="G378" s="251" t="s">
        <v>2266</v>
      </c>
      <c r="H378" s="252" t="s">
        <v>2229</v>
      </c>
      <c r="I378" s="251" t="s">
        <v>2230</v>
      </c>
      <c r="J378" s="251" t="s">
        <v>2231</v>
      </c>
      <c r="K378" s="251" t="s">
        <v>2286</v>
      </c>
      <c r="BB378"/>
    </row>
    <row r="379" spans="1:54" x14ac:dyDescent="0.2">
      <c r="A379" s="225" t="str">
        <f t="shared" si="5"/>
        <v>Accumulated Depreciation, Excl. Operating Leases</v>
      </c>
      <c r="B379" s="218" t="s">
        <v>805</v>
      </c>
      <c r="C379" s="251" t="s">
        <v>2187</v>
      </c>
      <c r="D379" s="251" t="s">
        <v>2188</v>
      </c>
      <c r="E379" s="251" t="s">
        <v>2189</v>
      </c>
      <c r="F379" s="251" t="s">
        <v>2267</v>
      </c>
      <c r="G379" s="251" t="s">
        <v>2268</v>
      </c>
      <c r="H379" s="252" t="s">
        <v>2232</v>
      </c>
      <c r="I379" s="251" t="s">
        <v>2233</v>
      </c>
      <c r="J379" s="251" t="s">
        <v>2234</v>
      </c>
      <c r="K379" s="251" t="s">
        <v>2287</v>
      </c>
      <c r="BB379"/>
    </row>
    <row r="380" spans="1:54" x14ac:dyDescent="0.2">
      <c r="A380" s="225" t="str">
        <f t="shared" si="5"/>
        <v>Net PP&amp;E, Excl. Operating Leases</v>
      </c>
      <c r="B380" s="218" t="s">
        <v>806</v>
      </c>
      <c r="C380" s="251" t="s">
        <v>2190</v>
      </c>
      <c r="D380" s="251" t="s">
        <v>2191</v>
      </c>
      <c r="E380" s="251" t="s">
        <v>2192</v>
      </c>
      <c r="F380" s="251" t="s">
        <v>2269</v>
      </c>
      <c r="G380" s="251" t="s">
        <v>2270</v>
      </c>
      <c r="H380" s="252" t="s">
        <v>2235</v>
      </c>
      <c r="I380" s="251" t="s">
        <v>2236</v>
      </c>
      <c r="J380" s="251" t="s">
        <v>2237</v>
      </c>
      <c r="K380" s="251" t="s">
        <v>2288</v>
      </c>
      <c r="BB380"/>
    </row>
    <row r="381" spans="1:54" x14ac:dyDescent="0.2">
      <c r="A381" s="225" t="str">
        <f t="shared" si="5"/>
        <v>Finance Leases, Current</v>
      </c>
      <c r="B381" s="218" t="s">
        <v>807</v>
      </c>
      <c r="C381" s="251" t="s">
        <v>2193</v>
      </c>
      <c r="D381" s="251" t="s">
        <v>2194</v>
      </c>
      <c r="E381" s="251" t="s">
        <v>2195</v>
      </c>
      <c r="F381" s="251" t="s">
        <v>2271</v>
      </c>
      <c r="G381" s="251" t="s">
        <v>2272</v>
      </c>
      <c r="H381" s="252" t="s">
        <v>2238</v>
      </c>
      <c r="I381" s="251" t="s">
        <v>2239</v>
      </c>
      <c r="J381" s="251" t="s">
        <v>2240</v>
      </c>
      <c r="K381" s="251" t="s">
        <v>2289</v>
      </c>
      <c r="BB381"/>
    </row>
    <row r="382" spans="1:54" x14ac:dyDescent="0.2">
      <c r="A382" s="225" t="str">
        <f t="shared" si="5"/>
        <v>Finance Leases, Long Term</v>
      </c>
      <c r="B382" s="218" t="s">
        <v>808</v>
      </c>
      <c r="C382" s="251" t="s">
        <v>2196</v>
      </c>
      <c r="D382" s="251" t="s">
        <v>2197</v>
      </c>
      <c r="E382" s="251" t="s">
        <v>2198</v>
      </c>
      <c r="F382" s="251" t="s">
        <v>2273</v>
      </c>
      <c r="G382" s="251" t="s">
        <v>2274</v>
      </c>
      <c r="H382" s="252" t="s">
        <v>2241</v>
      </c>
      <c r="I382" s="251" t="s">
        <v>2242</v>
      </c>
      <c r="J382" s="251" t="s">
        <v>2243</v>
      </c>
      <c r="K382" s="251" t="s">
        <v>2290</v>
      </c>
      <c r="BB382"/>
    </row>
    <row r="383" spans="1:54" x14ac:dyDescent="0.2">
      <c r="A383" s="225" t="str">
        <f t="shared" si="5"/>
        <v>Total Finance Leases</v>
      </c>
      <c r="B383" s="218" t="s">
        <v>809</v>
      </c>
      <c r="C383" s="251" t="s">
        <v>2199</v>
      </c>
      <c r="D383" s="251" t="s">
        <v>2200</v>
      </c>
      <c r="E383" s="251" t="s">
        <v>2201</v>
      </c>
      <c r="F383" s="251" t="s">
        <v>2275</v>
      </c>
      <c r="G383" s="251" t="s">
        <v>2276</v>
      </c>
      <c r="H383" s="252" t="s">
        <v>2244</v>
      </c>
      <c r="I383" s="251" t="s">
        <v>2245</v>
      </c>
      <c r="J383" s="251" t="s">
        <v>2246</v>
      </c>
      <c r="K383" s="251" t="s">
        <v>2291</v>
      </c>
      <c r="BB383"/>
    </row>
    <row r="384" spans="1:54" x14ac:dyDescent="0.2">
      <c r="A384" s="225" t="str">
        <f t="shared" si="5"/>
        <v>Current Portion of Operating Lease Liabilities</v>
      </c>
      <c r="B384" s="218" t="s">
        <v>810</v>
      </c>
      <c r="C384" s="251" t="s">
        <v>2292</v>
      </c>
      <c r="D384" s="251" t="s">
        <v>2293</v>
      </c>
      <c r="E384" s="251" t="s">
        <v>2294</v>
      </c>
      <c r="F384" s="251" t="s">
        <v>2310</v>
      </c>
      <c r="G384" s="251" t="s">
        <v>2311</v>
      </c>
      <c r="H384" s="252" t="s">
        <v>2301</v>
      </c>
      <c r="I384" s="251" t="s">
        <v>2302</v>
      </c>
      <c r="J384" s="251" t="s">
        <v>2303</v>
      </c>
      <c r="K384" s="251" t="s">
        <v>2316</v>
      </c>
      <c r="BB384"/>
    </row>
    <row r="385" spans="1:54" x14ac:dyDescent="0.2">
      <c r="A385" s="225" t="str">
        <f t="shared" si="5"/>
        <v>Long-Term Portion of Operating Lease Liabilities</v>
      </c>
      <c r="B385" s="218" t="s">
        <v>811</v>
      </c>
      <c r="C385" s="251" t="s">
        <v>2295</v>
      </c>
      <c r="D385" s="251" t="s">
        <v>2296</v>
      </c>
      <c r="E385" s="251" t="s">
        <v>2297</v>
      </c>
      <c r="F385" s="251" t="s">
        <v>2312</v>
      </c>
      <c r="G385" s="251" t="s">
        <v>2313</v>
      </c>
      <c r="H385" s="252" t="s">
        <v>2304</v>
      </c>
      <c r="I385" s="251" t="s">
        <v>2305</v>
      </c>
      <c r="J385" s="251" t="s">
        <v>2306</v>
      </c>
      <c r="K385" s="251" t="s">
        <v>2317</v>
      </c>
      <c r="BB385"/>
    </row>
    <row r="386" spans="1:54" x14ac:dyDescent="0.2">
      <c r="A386" s="225" t="str">
        <f t="shared" si="5"/>
        <v>Total Operating Leases</v>
      </c>
      <c r="B386" s="218" t="s">
        <v>812</v>
      </c>
      <c r="C386" s="251" t="s">
        <v>2298</v>
      </c>
      <c r="D386" s="251" t="s">
        <v>2299</v>
      </c>
      <c r="E386" s="251" t="s">
        <v>2300</v>
      </c>
      <c r="F386" s="251" t="s">
        <v>2314</v>
      </c>
      <c r="G386" s="251" t="s">
        <v>2315</v>
      </c>
      <c r="H386" s="252" t="s">
        <v>2307</v>
      </c>
      <c r="I386" s="251" t="s">
        <v>2308</v>
      </c>
      <c r="J386" s="251" t="s">
        <v>2309</v>
      </c>
      <c r="K386" s="251" t="s">
        <v>2318</v>
      </c>
      <c r="BB386"/>
    </row>
    <row r="387" spans="1:54" x14ac:dyDescent="0.2">
      <c r="A387" s="225" t="str">
        <f t="shared" si="5"/>
        <v>Total Leases</v>
      </c>
      <c r="B387" s="218" t="s">
        <v>813</v>
      </c>
      <c r="C387" s="251" t="s">
        <v>7555</v>
      </c>
      <c r="D387" s="251" t="s">
        <v>7556</v>
      </c>
      <c r="E387" s="218" t="s">
        <v>7557</v>
      </c>
      <c r="F387" s="218" t="s">
        <v>7558</v>
      </c>
      <c r="G387" s="218" t="s">
        <v>6284</v>
      </c>
      <c r="H387" s="218" t="s">
        <v>7559</v>
      </c>
      <c r="I387" s="218" t="s">
        <v>7560</v>
      </c>
      <c r="J387" s="218" t="s">
        <v>7561</v>
      </c>
      <c r="K387" s="218" t="s">
        <v>7562</v>
      </c>
      <c r="BB387"/>
    </row>
    <row r="388" spans="1:54" x14ac:dyDescent="0.2">
      <c r="A388" s="225" t="str">
        <f t="shared" si="5"/>
        <v>Current Financing Obligations, Excl. Operating Leases</v>
      </c>
      <c r="B388" s="218" t="s">
        <v>814</v>
      </c>
      <c r="C388" s="251" t="s">
        <v>2319</v>
      </c>
      <c r="D388" s="251" t="s">
        <v>2320</v>
      </c>
      <c r="E388" s="251" t="s">
        <v>2321</v>
      </c>
      <c r="F388" s="251" t="s">
        <v>2391</v>
      </c>
      <c r="G388" s="251" t="s">
        <v>2392</v>
      </c>
      <c r="H388" s="252" t="s">
        <v>2355</v>
      </c>
      <c r="I388" s="251" t="s">
        <v>2356</v>
      </c>
      <c r="J388" s="251" t="s">
        <v>2357</v>
      </c>
      <c r="K388" s="251" t="s">
        <v>2415</v>
      </c>
      <c r="BB388"/>
    </row>
    <row r="389" spans="1:54" x14ac:dyDescent="0.2">
      <c r="A389" s="225" t="str">
        <f t="shared" si="5"/>
        <v>Non-Current Financing Obligations Excl. Operating Leases</v>
      </c>
      <c r="B389" s="218" t="s">
        <v>815</v>
      </c>
      <c r="C389" s="251" t="s">
        <v>2322</v>
      </c>
      <c r="D389" s="251" t="s">
        <v>2323</v>
      </c>
      <c r="E389" s="251" t="s">
        <v>2324</v>
      </c>
      <c r="F389" s="251" t="s">
        <v>2393</v>
      </c>
      <c r="G389" s="251" t="s">
        <v>2394</v>
      </c>
      <c r="H389" s="252" t="s">
        <v>2358</v>
      </c>
      <c r="I389" s="251" t="s">
        <v>2359</v>
      </c>
      <c r="J389" s="251" t="s">
        <v>2360</v>
      </c>
      <c r="K389" s="251" t="s">
        <v>2416</v>
      </c>
      <c r="BB389"/>
    </row>
    <row r="390" spans="1:54" x14ac:dyDescent="0.2">
      <c r="A390" s="225" t="str">
        <f t="shared" si="5"/>
        <v>Total Debt, Excl. Operating Leases</v>
      </c>
      <c r="B390" s="218" t="s">
        <v>816</v>
      </c>
      <c r="C390" s="251" t="s">
        <v>2325</v>
      </c>
      <c r="D390" s="251" t="s">
        <v>2326</v>
      </c>
      <c r="E390" s="251" t="s">
        <v>2327</v>
      </c>
      <c r="F390" s="251" t="s">
        <v>2395</v>
      </c>
      <c r="G390" s="251" t="s">
        <v>2396</v>
      </c>
      <c r="H390" s="252" t="s">
        <v>2361</v>
      </c>
      <c r="I390" s="251" t="s">
        <v>2362</v>
      </c>
      <c r="J390" s="251" t="s">
        <v>2363</v>
      </c>
      <c r="K390" s="251" t="s">
        <v>2417</v>
      </c>
      <c r="BB390"/>
    </row>
    <row r="391" spans="1:54" x14ac:dyDescent="0.2">
      <c r="A391" s="225" t="str">
        <f t="shared" si="5"/>
        <v>Total Debt, Excl. Leases</v>
      </c>
      <c r="B391" s="218" t="s">
        <v>817</v>
      </c>
      <c r="C391" s="251" t="s">
        <v>2328</v>
      </c>
      <c r="D391" s="251" t="s">
        <v>2329</v>
      </c>
      <c r="E391" s="251" t="s">
        <v>2330</v>
      </c>
      <c r="F391" s="251" t="s">
        <v>2397</v>
      </c>
      <c r="G391" s="251" t="s">
        <v>2398</v>
      </c>
      <c r="H391" s="252" t="s">
        <v>2364</v>
      </c>
      <c r="I391" s="251" t="s">
        <v>2365</v>
      </c>
      <c r="J391" s="251" t="s">
        <v>2366</v>
      </c>
      <c r="K391" s="251" t="s">
        <v>2418</v>
      </c>
      <c r="BB391"/>
    </row>
    <row r="392" spans="1:54" x14ac:dyDescent="0.2">
      <c r="A392" s="225" t="str">
        <f t="shared" si="5"/>
        <v>IFRS 16 / ASC 842 Items</v>
      </c>
      <c r="B392" s="218" t="s">
        <v>818</v>
      </c>
      <c r="C392" s="251" t="s">
        <v>2331</v>
      </c>
      <c r="D392" s="251" t="s">
        <v>2332</v>
      </c>
      <c r="E392" s="251" t="s">
        <v>2333</v>
      </c>
      <c r="F392" s="251" t="s">
        <v>2399</v>
      </c>
      <c r="G392" s="251" t="s">
        <v>2400</v>
      </c>
      <c r="H392" s="252" t="s">
        <v>2367</v>
      </c>
      <c r="I392" s="251" t="s">
        <v>2368</v>
      </c>
      <c r="J392" s="251" t="s">
        <v>2369</v>
      </c>
      <c r="K392" s="251" t="s">
        <v>2419</v>
      </c>
      <c r="BB392"/>
    </row>
    <row r="393" spans="1:54" x14ac:dyDescent="0.2">
      <c r="A393" s="225" t="str">
        <f t="shared" ref="A393:A456" si="6">INDEX($B393:$CV393,$A$4)</f>
        <v>Total Shares Out. on Filing Date</v>
      </c>
      <c r="B393" s="218" t="s">
        <v>726</v>
      </c>
      <c r="C393" s="251" t="s">
        <v>2334</v>
      </c>
      <c r="D393" s="251" t="s">
        <v>2335</v>
      </c>
      <c r="E393" s="251" t="s">
        <v>2336</v>
      </c>
      <c r="F393" s="251" t="s">
        <v>2401</v>
      </c>
      <c r="G393" s="251" t="s">
        <v>2402</v>
      </c>
      <c r="H393" s="222" t="s">
        <v>2370</v>
      </c>
      <c r="I393" s="251" t="s">
        <v>2371</v>
      </c>
      <c r="J393" s="251" t="s">
        <v>2372</v>
      </c>
      <c r="K393" s="251" t="s">
        <v>2420</v>
      </c>
      <c r="BB393"/>
    </row>
    <row r="394" spans="1:54" x14ac:dyDescent="0.2">
      <c r="A394" s="225" t="str">
        <f t="shared" si="6"/>
        <v>Total Shares Out. on Balance Sheet Date</v>
      </c>
      <c r="B394" s="218" t="s">
        <v>414</v>
      </c>
      <c r="C394" s="251" t="s">
        <v>2337</v>
      </c>
      <c r="D394" s="251" t="s">
        <v>2338</v>
      </c>
      <c r="E394" s="251" t="s">
        <v>2339</v>
      </c>
      <c r="F394" s="251" t="s">
        <v>2403</v>
      </c>
      <c r="G394" s="251" t="s">
        <v>2404</v>
      </c>
      <c r="H394" s="222" t="s">
        <v>2373</v>
      </c>
      <c r="I394" s="251" t="s">
        <v>2374</v>
      </c>
      <c r="J394" s="251" t="s">
        <v>2375</v>
      </c>
      <c r="K394" s="251" t="s">
        <v>2421</v>
      </c>
      <c r="BB394"/>
    </row>
    <row r="395" spans="1:54" x14ac:dyDescent="0.2">
      <c r="A395" s="225" t="str">
        <f t="shared" si="6"/>
        <v>Book Value/Share</v>
      </c>
      <c r="B395" s="218" t="s">
        <v>137</v>
      </c>
      <c r="C395" s="251" t="s">
        <v>2340</v>
      </c>
      <c r="D395" s="251" t="s">
        <v>2341</v>
      </c>
      <c r="E395" s="251" t="s">
        <v>2342</v>
      </c>
      <c r="F395" s="251" t="s">
        <v>2405</v>
      </c>
      <c r="G395" s="251" t="s">
        <v>2406</v>
      </c>
      <c r="H395" s="222" t="s">
        <v>2376</v>
      </c>
      <c r="I395" s="251" t="s">
        <v>2377</v>
      </c>
      <c r="J395" s="251" t="s">
        <v>2378</v>
      </c>
      <c r="K395" s="251" t="s">
        <v>2422</v>
      </c>
      <c r="BB395"/>
    </row>
    <row r="396" spans="1:54" x14ac:dyDescent="0.2">
      <c r="A396" s="225" t="str">
        <f t="shared" si="6"/>
        <v>Book Value/Share (Reported)</v>
      </c>
      <c r="B396" s="218" t="s">
        <v>60</v>
      </c>
      <c r="C396" s="251" t="s">
        <v>2343</v>
      </c>
      <c r="D396" s="215" t="s">
        <v>2344</v>
      </c>
      <c r="E396" s="251" t="s">
        <v>2345</v>
      </c>
      <c r="F396" s="251" t="s">
        <v>2407</v>
      </c>
      <c r="G396" s="251" t="s">
        <v>2408</v>
      </c>
      <c r="H396" s="222" t="s">
        <v>2379</v>
      </c>
      <c r="I396" s="251" t="s">
        <v>2380</v>
      </c>
      <c r="J396" s="251" t="s">
        <v>2381</v>
      </c>
      <c r="K396" s="251" t="s">
        <v>2423</v>
      </c>
      <c r="BB396"/>
    </row>
    <row r="397" spans="1:54" x14ac:dyDescent="0.2">
      <c r="A397" s="225" t="str">
        <f t="shared" si="6"/>
        <v>Tangible Book Value/Share</v>
      </c>
      <c r="B397" s="218" t="s">
        <v>253</v>
      </c>
      <c r="C397" s="251" t="s">
        <v>2346</v>
      </c>
      <c r="D397" s="251" t="s">
        <v>2347</v>
      </c>
      <c r="E397" s="251" t="s">
        <v>2348</v>
      </c>
      <c r="F397" s="251" t="s">
        <v>2409</v>
      </c>
      <c r="G397" s="251" t="s">
        <v>2410</v>
      </c>
      <c r="H397" s="222" t="s">
        <v>2382</v>
      </c>
      <c r="I397" s="251" t="s">
        <v>2383</v>
      </c>
      <c r="J397" s="251" t="s">
        <v>2384</v>
      </c>
      <c r="K397" s="251" t="s">
        <v>2424</v>
      </c>
      <c r="BB397"/>
    </row>
    <row r="398" spans="1:54" x14ac:dyDescent="0.2">
      <c r="A398" s="225" t="str">
        <f t="shared" si="6"/>
        <v>Tangible Book Value Per Share (Reported)</v>
      </c>
      <c r="B398" s="218" t="s">
        <v>743</v>
      </c>
      <c r="C398" s="251" t="s">
        <v>2349</v>
      </c>
      <c r="D398" s="251" t="s">
        <v>2350</v>
      </c>
      <c r="E398" s="251" t="s">
        <v>2351</v>
      </c>
      <c r="F398" s="251" t="s">
        <v>2411</v>
      </c>
      <c r="G398" s="251" t="s">
        <v>2412</v>
      </c>
      <c r="H398" s="222" t="s">
        <v>2385</v>
      </c>
      <c r="I398" s="251" t="s">
        <v>2386</v>
      </c>
      <c r="J398" s="251" t="s">
        <v>2387</v>
      </c>
      <c r="K398" s="251" t="s">
        <v>2425</v>
      </c>
      <c r="BB398"/>
    </row>
    <row r="399" spans="1:54" x14ac:dyDescent="0.2">
      <c r="A399" s="225" t="str">
        <f t="shared" si="6"/>
        <v>Tangible Book Value</v>
      </c>
      <c r="B399" s="218" t="s">
        <v>413</v>
      </c>
      <c r="C399" s="251" t="s">
        <v>2352</v>
      </c>
      <c r="D399" s="251" t="s">
        <v>2353</v>
      </c>
      <c r="E399" s="251" t="s">
        <v>2354</v>
      </c>
      <c r="F399" s="251" t="s">
        <v>2413</v>
      </c>
      <c r="G399" s="251" t="s">
        <v>2414</v>
      </c>
      <c r="H399" s="222" t="s">
        <v>2388</v>
      </c>
      <c r="I399" s="251" t="s">
        <v>2389</v>
      </c>
      <c r="J399" s="251" t="s">
        <v>2390</v>
      </c>
      <c r="K399" s="251" t="s">
        <v>2426</v>
      </c>
      <c r="BB399"/>
    </row>
    <row r="400" spans="1:54" x14ac:dyDescent="0.2">
      <c r="A400" s="225" t="str">
        <f t="shared" si="6"/>
        <v>Total Intangibles</v>
      </c>
      <c r="B400" s="218" t="s">
        <v>747</v>
      </c>
      <c r="C400" s="251" t="s">
        <v>7563</v>
      </c>
      <c r="D400" s="251" t="s">
        <v>7564</v>
      </c>
      <c r="E400" s="218" t="s">
        <v>7565</v>
      </c>
      <c r="F400" s="218" t="s">
        <v>7569</v>
      </c>
      <c r="G400" s="218" t="s">
        <v>7570</v>
      </c>
      <c r="H400" s="218" t="s">
        <v>7566</v>
      </c>
      <c r="I400" s="218" t="s">
        <v>7567</v>
      </c>
      <c r="J400" s="218" t="s">
        <v>7568</v>
      </c>
      <c r="K400" s="218" t="s">
        <v>5327</v>
      </c>
      <c r="BB400"/>
    </row>
    <row r="401" spans="1:54" x14ac:dyDescent="0.2">
      <c r="A401" s="225" t="str">
        <f t="shared" si="6"/>
        <v>Cash per Share</v>
      </c>
      <c r="B401" s="218" t="s">
        <v>613</v>
      </c>
      <c r="C401" s="251" t="s">
        <v>2427</v>
      </c>
      <c r="D401" s="251" t="s">
        <v>2428</v>
      </c>
      <c r="E401" s="251" t="s">
        <v>2429</v>
      </c>
      <c r="F401" s="251" t="s">
        <v>2433</v>
      </c>
      <c r="G401" s="251" t="s">
        <v>2125</v>
      </c>
      <c r="H401" s="222" t="s">
        <v>2430</v>
      </c>
      <c r="I401" s="251" t="s">
        <v>2431</v>
      </c>
      <c r="J401" s="251" t="s">
        <v>2432</v>
      </c>
      <c r="K401" s="251" t="s">
        <v>2434</v>
      </c>
      <c r="BB401"/>
    </row>
    <row r="402" spans="1:54" x14ac:dyDescent="0.2">
      <c r="A402" s="225" t="str">
        <f t="shared" si="6"/>
        <v>Total Debt</v>
      </c>
      <c r="B402" s="218" t="s">
        <v>86</v>
      </c>
      <c r="C402" s="218" t="s">
        <v>7571</v>
      </c>
      <c r="D402" s="251" t="s">
        <v>7572</v>
      </c>
      <c r="E402" s="215" t="s">
        <v>7573</v>
      </c>
      <c r="F402" s="215" t="s">
        <v>7574</v>
      </c>
      <c r="G402" s="215" t="s">
        <v>7575</v>
      </c>
      <c r="H402" s="215" t="s">
        <v>7576</v>
      </c>
      <c r="I402" s="222" t="s">
        <v>7577</v>
      </c>
      <c r="J402" s="215" t="s">
        <v>7578</v>
      </c>
      <c r="K402" s="222" t="s">
        <v>6393</v>
      </c>
      <c r="BB402"/>
    </row>
    <row r="403" spans="1:54" x14ac:dyDescent="0.2">
      <c r="A403" s="225" t="str">
        <f t="shared" si="6"/>
        <v>Total Debt Current</v>
      </c>
      <c r="B403" s="218" t="s">
        <v>659</v>
      </c>
      <c r="C403" s="251" t="s">
        <v>2435</v>
      </c>
      <c r="D403" s="251" t="s">
        <v>2436</v>
      </c>
      <c r="E403" s="251" t="s">
        <v>2437</v>
      </c>
      <c r="F403" s="251" t="s">
        <v>2447</v>
      </c>
      <c r="G403" s="251" t="s">
        <v>2448</v>
      </c>
      <c r="H403" s="222" t="s">
        <v>2441</v>
      </c>
      <c r="I403" s="251" t="s">
        <v>2442</v>
      </c>
      <c r="J403" s="251" t="s">
        <v>2443</v>
      </c>
      <c r="K403" s="251" t="s">
        <v>2451</v>
      </c>
      <c r="BB403"/>
    </row>
    <row r="404" spans="1:54" x14ac:dyDescent="0.2">
      <c r="A404" s="225" t="str">
        <f t="shared" si="6"/>
        <v>Total Non-Current Debt</v>
      </c>
      <c r="B404" s="267" t="s">
        <v>8294</v>
      </c>
      <c r="C404" s="251" t="s">
        <v>2438</v>
      </c>
      <c r="D404" s="251" t="s">
        <v>2439</v>
      </c>
      <c r="E404" s="251" t="s">
        <v>2440</v>
      </c>
      <c r="F404" s="251" t="s">
        <v>2449</v>
      </c>
      <c r="G404" s="251" t="s">
        <v>2450</v>
      </c>
      <c r="H404" s="222" t="s">
        <v>2444</v>
      </c>
      <c r="I404" s="251" t="s">
        <v>2445</v>
      </c>
      <c r="J404" s="251" t="s">
        <v>2446</v>
      </c>
      <c r="K404" s="251" t="s">
        <v>2452</v>
      </c>
      <c r="BB404"/>
    </row>
    <row r="405" spans="1:54" x14ac:dyDescent="0.2">
      <c r="A405" s="225" t="str">
        <f t="shared" si="6"/>
        <v>Net Debt</v>
      </c>
      <c r="B405" s="218" t="s">
        <v>138</v>
      </c>
      <c r="C405" s="215" t="s">
        <v>7579</v>
      </c>
      <c r="D405" s="251" t="s">
        <v>7580</v>
      </c>
      <c r="E405" s="218" t="s">
        <v>7581</v>
      </c>
      <c r="F405" s="218" t="s">
        <v>4805</v>
      </c>
      <c r="G405" s="218" t="s">
        <v>7582</v>
      </c>
      <c r="H405" s="218" t="s">
        <v>7583</v>
      </c>
      <c r="I405" s="218" t="s">
        <v>7584</v>
      </c>
      <c r="J405" s="218" t="s">
        <v>7585</v>
      </c>
      <c r="K405" s="218" t="s">
        <v>7586</v>
      </c>
      <c r="BB405"/>
    </row>
    <row r="406" spans="1:54" x14ac:dyDescent="0.2">
      <c r="A406" s="225" t="str">
        <f t="shared" si="6"/>
        <v>Minority Interest, Total</v>
      </c>
      <c r="B406" s="218" t="s">
        <v>629</v>
      </c>
      <c r="C406" s="251" t="s">
        <v>5412</v>
      </c>
      <c r="D406" s="251" t="s">
        <v>5413</v>
      </c>
      <c r="E406" s="251" t="s">
        <v>5414</v>
      </c>
      <c r="F406" s="251" t="s">
        <v>5418</v>
      </c>
      <c r="G406" s="251" t="s">
        <v>5419</v>
      </c>
      <c r="H406" s="222" t="s">
        <v>5415</v>
      </c>
      <c r="I406" s="251" t="s">
        <v>5416</v>
      </c>
      <c r="J406" s="251" t="s">
        <v>5417</v>
      </c>
      <c r="K406" s="251" t="s">
        <v>5420</v>
      </c>
      <c r="BB406"/>
    </row>
    <row r="407" spans="1:54" x14ac:dyDescent="0.2">
      <c r="A407" s="225" t="str">
        <f t="shared" si="6"/>
        <v>Total Capitalization</v>
      </c>
      <c r="B407" s="218" t="s">
        <v>254</v>
      </c>
      <c r="C407" s="251" t="s">
        <v>7587</v>
      </c>
      <c r="D407" s="251" t="s">
        <v>7588</v>
      </c>
      <c r="E407" s="218" t="s">
        <v>7589</v>
      </c>
      <c r="F407" s="218" t="s">
        <v>7590</v>
      </c>
      <c r="G407" s="218" t="s">
        <v>7591</v>
      </c>
      <c r="H407" s="218" t="s">
        <v>7592</v>
      </c>
      <c r="I407" s="218" t="s">
        <v>7593</v>
      </c>
      <c r="J407" s="218" t="s">
        <v>7594</v>
      </c>
      <c r="K407" s="218" t="s">
        <v>7595</v>
      </c>
      <c r="BB407"/>
    </row>
    <row r="408" spans="1:54" x14ac:dyDescent="0.2">
      <c r="A408" s="225" t="str">
        <f t="shared" si="6"/>
        <v>Working Capital</v>
      </c>
      <c r="B408" s="218" t="s">
        <v>614</v>
      </c>
      <c r="C408" s="251" t="s">
        <v>5394</v>
      </c>
      <c r="D408" s="251" t="s">
        <v>5395</v>
      </c>
      <c r="E408" s="251" t="s">
        <v>5396</v>
      </c>
      <c r="F408" s="251" t="s">
        <v>5406</v>
      </c>
      <c r="G408" s="251" t="s">
        <v>5407</v>
      </c>
      <c r="H408" s="222" t="s">
        <v>5400</v>
      </c>
      <c r="I408" s="251" t="s">
        <v>5401</v>
      </c>
      <c r="J408" s="251" t="s">
        <v>5402</v>
      </c>
      <c r="K408" s="251" t="s">
        <v>5410</v>
      </c>
      <c r="BB408"/>
    </row>
    <row r="409" spans="1:54" x14ac:dyDescent="0.2">
      <c r="A409" s="225" t="str">
        <f t="shared" si="6"/>
        <v>Net Working Capital</v>
      </c>
      <c r="B409" s="218" t="s">
        <v>615</v>
      </c>
      <c r="C409" s="251" t="s">
        <v>5397</v>
      </c>
      <c r="D409" s="251" t="s">
        <v>5398</v>
      </c>
      <c r="E409" s="251" t="s">
        <v>5399</v>
      </c>
      <c r="F409" s="251" t="s">
        <v>5408</v>
      </c>
      <c r="G409" s="251" t="s">
        <v>5409</v>
      </c>
      <c r="H409" s="222" t="s">
        <v>5403</v>
      </c>
      <c r="I409" s="251" t="s">
        <v>5404</v>
      </c>
      <c r="J409" s="251" t="s">
        <v>5405</v>
      </c>
      <c r="K409" s="251" t="s">
        <v>5411</v>
      </c>
      <c r="BB409"/>
    </row>
    <row r="410" spans="1:54" x14ac:dyDescent="0.2">
      <c r="A410" s="225" t="str">
        <f t="shared" si="6"/>
        <v>Accumulated Allowance for Doubtful Accounts</v>
      </c>
      <c r="B410" s="218" t="s">
        <v>628</v>
      </c>
      <c r="C410" s="218" t="s">
        <v>7596</v>
      </c>
      <c r="D410" s="218" t="s">
        <v>7597</v>
      </c>
      <c r="E410" s="218" t="s">
        <v>7598</v>
      </c>
      <c r="F410" s="218" t="s">
        <v>7599</v>
      </c>
      <c r="G410" s="218" t="s">
        <v>7600</v>
      </c>
      <c r="H410" s="218" t="s">
        <v>7601</v>
      </c>
      <c r="I410" s="218" t="s">
        <v>7602</v>
      </c>
      <c r="J410" s="218" t="s">
        <v>7603</v>
      </c>
      <c r="K410" s="218" t="s">
        <v>7604</v>
      </c>
      <c r="BB410"/>
    </row>
    <row r="411" spans="1:54" x14ac:dyDescent="0.2">
      <c r="A411" s="225" t="str">
        <f t="shared" si="6"/>
        <v>Equity Method Investments</v>
      </c>
      <c r="B411" s="218" t="s">
        <v>616</v>
      </c>
      <c r="C411" s="218" t="s">
        <v>7605</v>
      </c>
      <c r="D411" s="218" t="s">
        <v>7606</v>
      </c>
      <c r="E411" s="218" t="s">
        <v>7607</v>
      </c>
      <c r="F411" s="218" t="s">
        <v>7608</v>
      </c>
      <c r="G411" s="218" t="s">
        <v>7609</v>
      </c>
      <c r="H411" s="218" t="s">
        <v>7610</v>
      </c>
      <c r="I411" s="218" t="s">
        <v>7611</v>
      </c>
      <c r="J411" s="218" t="s">
        <v>7612</v>
      </c>
      <c r="K411" s="218" t="s">
        <v>7613</v>
      </c>
      <c r="BB411"/>
    </row>
    <row r="412" spans="1:54" x14ac:dyDescent="0.2">
      <c r="A412" s="225" t="str">
        <f t="shared" si="6"/>
        <v>Accounts Receivables - Unbilled</v>
      </c>
      <c r="B412" s="218" t="s">
        <v>61</v>
      </c>
      <c r="C412" s="251" t="s">
        <v>5367</v>
      </c>
      <c r="D412" s="251" t="s">
        <v>5368</v>
      </c>
      <c r="E412" s="251" t="s">
        <v>5369</v>
      </c>
      <c r="F412" s="251" t="s">
        <v>5385</v>
      </c>
      <c r="G412" s="251" t="s">
        <v>5386</v>
      </c>
      <c r="H412" s="222" t="s">
        <v>5376</v>
      </c>
      <c r="I412" s="251" t="s">
        <v>5377</v>
      </c>
      <c r="J412" s="251" t="s">
        <v>5378</v>
      </c>
      <c r="K412" s="251" t="s">
        <v>5391</v>
      </c>
      <c r="BB412"/>
    </row>
    <row r="413" spans="1:54" x14ac:dyDescent="0.2">
      <c r="A413" s="225" t="str">
        <f t="shared" si="6"/>
        <v>Inventory Method</v>
      </c>
      <c r="B413" s="218" t="s">
        <v>617</v>
      </c>
      <c r="C413" s="215" t="s">
        <v>5370</v>
      </c>
      <c r="D413" s="215" t="s">
        <v>5371</v>
      </c>
      <c r="E413" s="251" t="s">
        <v>5372</v>
      </c>
      <c r="F413" s="251" t="s">
        <v>5387</v>
      </c>
      <c r="G413" s="251" t="s">
        <v>5388</v>
      </c>
      <c r="H413" s="222" t="s">
        <v>5379</v>
      </c>
      <c r="I413" s="251" t="s">
        <v>5380</v>
      </c>
      <c r="J413" s="251" t="s">
        <v>5381</v>
      </c>
      <c r="K413" s="251" t="s">
        <v>5392</v>
      </c>
      <c r="BB413"/>
    </row>
    <row r="414" spans="1:54" x14ac:dyDescent="0.2">
      <c r="A414" s="225" t="str">
        <f t="shared" si="6"/>
        <v>LIFO Reserve</v>
      </c>
      <c r="B414" s="218" t="s">
        <v>255</v>
      </c>
      <c r="C414" s="215" t="s">
        <v>5373</v>
      </c>
      <c r="D414" s="215" t="s">
        <v>5374</v>
      </c>
      <c r="E414" s="251" t="s">
        <v>5375</v>
      </c>
      <c r="F414" s="251" t="s">
        <v>5389</v>
      </c>
      <c r="G414" s="251" t="s">
        <v>5390</v>
      </c>
      <c r="H414" s="222" t="s">
        <v>5382</v>
      </c>
      <c r="I414" s="251" t="s">
        <v>5383</v>
      </c>
      <c r="J414" s="251" t="s">
        <v>5384</v>
      </c>
      <c r="K414" s="251" t="s">
        <v>5393</v>
      </c>
      <c r="BB414"/>
    </row>
    <row r="415" spans="1:54" x14ac:dyDescent="0.2">
      <c r="A415" s="225" t="str">
        <f t="shared" si="6"/>
        <v>Raw Materials Inventory</v>
      </c>
      <c r="B415" s="218" t="s">
        <v>256</v>
      </c>
      <c r="C415" s="218" t="s">
        <v>6739</v>
      </c>
      <c r="D415" s="218" t="s">
        <v>6740</v>
      </c>
      <c r="E415" s="218" t="s">
        <v>6741</v>
      </c>
      <c r="F415" s="218" t="s">
        <v>6742</v>
      </c>
      <c r="G415" s="218" t="s">
        <v>6743</v>
      </c>
      <c r="H415" s="218" t="s">
        <v>6744</v>
      </c>
      <c r="I415" s="218" t="s">
        <v>6745</v>
      </c>
      <c r="J415" s="218" t="s">
        <v>6746</v>
      </c>
      <c r="K415" s="218" t="s">
        <v>6747</v>
      </c>
      <c r="BB415"/>
    </row>
    <row r="416" spans="1:54" x14ac:dyDescent="0.2">
      <c r="A416" s="225" t="str">
        <f t="shared" si="6"/>
        <v>Work in Progress Inventory</v>
      </c>
      <c r="B416" s="218" t="s">
        <v>257</v>
      </c>
      <c r="C416" s="218" t="s">
        <v>6748</v>
      </c>
      <c r="D416" s="218" t="s">
        <v>6749</v>
      </c>
      <c r="E416" s="218" t="s">
        <v>6750</v>
      </c>
      <c r="F416" s="218" t="s">
        <v>6751</v>
      </c>
      <c r="G416" s="218" t="s">
        <v>6752</v>
      </c>
      <c r="H416" s="218" t="s">
        <v>6753</v>
      </c>
      <c r="I416" s="218" t="s">
        <v>6754</v>
      </c>
      <c r="J416" s="218" t="s">
        <v>6755</v>
      </c>
      <c r="K416" s="218" t="s">
        <v>6756</v>
      </c>
      <c r="BB416"/>
    </row>
    <row r="417" spans="1:54" x14ac:dyDescent="0.2">
      <c r="A417" s="225" t="str">
        <f t="shared" si="6"/>
        <v>Finished Goods Inventory</v>
      </c>
      <c r="B417" s="218" t="s">
        <v>258</v>
      </c>
      <c r="C417" s="218" t="s">
        <v>6757</v>
      </c>
      <c r="D417" s="218" t="s">
        <v>6758</v>
      </c>
      <c r="E417" s="218" t="s">
        <v>6759</v>
      </c>
      <c r="F417" s="218" t="s">
        <v>6760</v>
      </c>
      <c r="G417" s="218" t="s">
        <v>6761</v>
      </c>
      <c r="H417" s="218" t="s">
        <v>6762</v>
      </c>
      <c r="I417" s="218" t="s">
        <v>6763</v>
      </c>
      <c r="J417" s="218" t="s">
        <v>6764</v>
      </c>
      <c r="K417" s="218" t="s">
        <v>6765</v>
      </c>
      <c r="BB417"/>
    </row>
    <row r="418" spans="1:54" x14ac:dyDescent="0.2">
      <c r="A418" s="225" t="str">
        <f t="shared" si="6"/>
        <v>Other Inventory Accounts</v>
      </c>
      <c r="B418" s="218" t="s">
        <v>259</v>
      </c>
      <c r="C418" s="218" t="s">
        <v>6766</v>
      </c>
      <c r="D418" s="218" t="s">
        <v>6767</v>
      </c>
      <c r="E418" s="218" t="s">
        <v>6768</v>
      </c>
      <c r="F418" s="218" t="s">
        <v>6769</v>
      </c>
      <c r="G418" s="218" t="s">
        <v>6770</v>
      </c>
      <c r="H418" s="218" t="s">
        <v>6771</v>
      </c>
      <c r="I418" s="218" t="s">
        <v>6772</v>
      </c>
      <c r="J418" s="218" t="s">
        <v>6773</v>
      </c>
      <c r="K418" s="218" t="s">
        <v>6774</v>
      </c>
      <c r="BB418"/>
    </row>
    <row r="419" spans="1:54" x14ac:dyDescent="0.2">
      <c r="A419" s="225" t="str">
        <f t="shared" si="6"/>
        <v>Land</v>
      </c>
      <c r="B419" s="218" t="s">
        <v>260</v>
      </c>
      <c r="C419" s="218" t="s">
        <v>6775</v>
      </c>
      <c r="D419" s="218" t="s">
        <v>6775</v>
      </c>
      <c r="E419" s="218" t="s">
        <v>6776</v>
      </c>
      <c r="F419" s="218" t="s">
        <v>260</v>
      </c>
      <c r="G419" s="218" t="s">
        <v>6777</v>
      </c>
      <c r="H419" s="218" t="s">
        <v>6775</v>
      </c>
      <c r="I419" s="218" t="s">
        <v>6778</v>
      </c>
      <c r="J419" s="218" t="s">
        <v>6779</v>
      </c>
      <c r="K419" s="218" t="s">
        <v>6780</v>
      </c>
      <c r="BB419"/>
    </row>
    <row r="420" spans="1:54" x14ac:dyDescent="0.2">
      <c r="A420" s="225" t="str">
        <f t="shared" si="6"/>
        <v>Buildings</v>
      </c>
      <c r="B420" s="218" t="s">
        <v>261</v>
      </c>
      <c r="C420" s="218" t="s">
        <v>6781</v>
      </c>
      <c r="D420" s="218" t="s">
        <v>6782</v>
      </c>
      <c r="E420" s="218" t="s">
        <v>6783</v>
      </c>
      <c r="F420" s="218" t="s">
        <v>6784</v>
      </c>
      <c r="G420" s="218" t="s">
        <v>6785</v>
      </c>
      <c r="H420" s="218" t="s">
        <v>6786</v>
      </c>
      <c r="I420" s="218" t="s">
        <v>6787</v>
      </c>
      <c r="J420" s="218" t="s">
        <v>6788</v>
      </c>
      <c r="K420" s="218" t="s">
        <v>6789</v>
      </c>
      <c r="BB420"/>
    </row>
    <row r="421" spans="1:54" x14ac:dyDescent="0.2">
      <c r="A421" s="225" t="str">
        <f t="shared" si="6"/>
        <v>Machinery</v>
      </c>
      <c r="B421" s="218" t="s">
        <v>262</v>
      </c>
      <c r="C421" s="218" t="s">
        <v>6790</v>
      </c>
      <c r="D421" s="218" t="s">
        <v>6791</v>
      </c>
      <c r="E421" s="218" t="s">
        <v>6792</v>
      </c>
      <c r="F421" s="218" t="s">
        <v>6793</v>
      </c>
      <c r="G421" s="218" t="s">
        <v>6794</v>
      </c>
      <c r="H421" s="218" t="s">
        <v>6795</v>
      </c>
      <c r="I421" s="218" t="s">
        <v>6796</v>
      </c>
      <c r="J421" s="218" t="s">
        <v>6797</v>
      </c>
      <c r="K421" s="218" t="s">
        <v>6798</v>
      </c>
      <c r="BB421"/>
    </row>
    <row r="422" spans="1:54" x14ac:dyDescent="0.2">
      <c r="A422" s="225" t="str">
        <f t="shared" si="6"/>
        <v>Capitalized/Purchased Software</v>
      </c>
      <c r="B422" s="218" t="s">
        <v>38</v>
      </c>
      <c r="C422" s="215" t="s">
        <v>2453</v>
      </c>
      <c r="D422" s="215" t="s">
        <v>2454</v>
      </c>
      <c r="E422" s="251" t="s">
        <v>2455</v>
      </c>
      <c r="F422" s="251" t="s">
        <v>2602</v>
      </c>
      <c r="G422" s="251" t="s">
        <v>2603</v>
      </c>
      <c r="H422" s="222" t="s">
        <v>2527</v>
      </c>
      <c r="I422" s="251" t="s">
        <v>2528</v>
      </c>
      <c r="J422" s="251" t="s">
        <v>2529</v>
      </c>
      <c r="K422" s="251" t="s">
        <v>2652</v>
      </c>
      <c r="BB422"/>
    </row>
    <row r="423" spans="1:54" x14ac:dyDescent="0.2">
      <c r="A423" s="225" t="str">
        <f t="shared" si="6"/>
        <v>Natural Resources, at Cost</v>
      </c>
      <c r="B423" s="267" t="s">
        <v>8255</v>
      </c>
      <c r="C423" s="251" t="s">
        <v>2456</v>
      </c>
      <c r="D423" s="251" t="s">
        <v>2457</v>
      </c>
      <c r="E423" s="251" t="s">
        <v>2458</v>
      </c>
      <c r="F423" s="251" t="s">
        <v>2604</v>
      </c>
      <c r="G423" s="251" t="s">
        <v>2605</v>
      </c>
      <c r="H423" s="222" t="s">
        <v>2530</v>
      </c>
      <c r="I423" s="251" t="s">
        <v>2531</v>
      </c>
      <c r="J423" s="251" t="s">
        <v>2532</v>
      </c>
      <c r="K423" s="251" t="s">
        <v>2653</v>
      </c>
      <c r="BB423"/>
    </row>
    <row r="424" spans="1:54" x14ac:dyDescent="0.2">
      <c r="A424" s="225" t="str">
        <f t="shared" si="6"/>
        <v>Construction in Progress</v>
      </c>
      <c r="B424" s="218" t="s">
        <v>749</v>
      </c>
      <c r="C424" s="251" t="s">
        <v>2459</v>
      </c>
      <c r="D424" s="251" t="s">
        <v>2459</v>
      </c>
      <c r="E424" s="251" t="s">
        <v>2460</v>
      </c>
      <c r="F424" s="251" t="s">
        <v>2606</v>
      </c>
      <c r="G424" s="251" t="s">
        <v>2607</v>
      </c>
      <c r="H424" s="222" t="s">
        <v>2533</v>
      </c>
      <c r="I424" s="251" t="s">
        <v>2534</v>
      </c>
      <c r="J424" s="251" t="s">
        <v>2535</v>
      </c>
      <c r="K424" s="251" t="s">
        <v>2654</v>
      </c>
      <c r="BB424"/>
    </row>
    <row r="425" spans="1:54" x14ac:dyDescent="0.2">
      <c r="A425" s="225" t="str">
        <f t="shared" si="6"/>
        <v>Leasehold Improvements</v>
      </c>
      <c r="B425" s="218" t="s">
        <v>750</v>
      </c>
      <c r="C425" s="251" t="s">
        <v>2461</v>
      </c>
      <c r="D425" s="251" t="s">
        <v>2462</v>
      </c>
      <c r="E425" s="251" t="s">
        <v>2463</v>
      </c>
      <c r="F425" s="251" t="s">
        <v>2608</v>
      </c>
      <c r="G425" s="251" t="s">
        <v>2609</v>
      </c>
      <c r="H425" s="222" t="s">
        <v>2536</v>
      </c>
      <c r="I425" s="251" t="s">
        <v>2537</v>
      </c>
      <c r="J425" s="251" t="s">
        <v>2538</v>
      </c>
      <c r="K425" s="251" t="s">
        <v>2655</v>
      </c>
      <c r="BB425"/>
    </row>
    <row r="426" spans="1:54" x14ac:dyDescent="0.2">
      <c r="A426" s="225" t="str">
        <f t="shared" si="6"/>
        <v>Redeemable Minority Interest</v>
      </c>
      <c r="B426" s="218" t="s">
        <v>34</v>
      </c>
      <c r="C426" s="251" t="s">
        <v>2464</v>
      </c>
      <c r="D426" s="251" t="s">
        <v>2465</v>
      </c>
      <c r="E426" s="251" t="s">
        <v>2466</v>
      </c>
      <c r="F426" s="251" t="s">
        <v>2610</v>
      </c>
      <c r="G426" s="251" t="s">
        <v>2611</v>
      </c>
      <c r="H426" s="222" t="s">
        <v>2539</v>
      </c>
      <c r="I426" s="251" t="s">
        <v>2540</v>
      </c>
      <c r="J426" s="251" t="s">
        <v>2541</v>
      </c>
      <c r="K426" s="251" t="s">
        <v>2656</v>
      </c>
      <c r="BB426"/>
    </row>
    <row r="427" spans="1:54" x14ac:dyDescent="0.2">
      <c r="A427" s="225" t="str">
        <f t="shared" si="6"/>
        <v>Finance Division Redeemable Minority Interest</v>
      </c>
      <c r="B427" s="218" t="s">
        <v>35</v>
      </c>
      <c r="C427" s="251" t="s">
        <v>2467</v>
      </c>
      <c r="D427" s="251" t="s">
        <v>2468</v>
      </c>
      <c r="E427" s="251" t="s">
        <v>2469</v>
      </c>
      <c r="F427" s="251" t="s">
        <v>2612</v>
      </c>
      <c r="G427" s="251" t="s">
        <v>2613</v>
      </c>
      <c r="H427" s="222" t="s">
        <v>2542</v>
      </c>
      <c r="I427" s="251" t="s">
        <v>2543</v>
      </c>
      <c r="J427" s="251" t="s">
        <v>2544</v>
      </c>
      <c r="K427" s="251" t="s">
        <v>2657</v>
      </c>
      <c r="BB427"/>
    </row>
    <row r="428" spans="1:54" x14ac:dyDescent="0.2">
      <c r="A428" s="225" t="str">
        <f t="shared" si="6"/>
        <v>Total Redeemable Minority Interest</v>
      </c>
      <c r="B428" s="218" t="s">
        <v>36</v>
      </c>
      <c r="C428" s="251" t="s">
        <v>2470</v>
      </c>
      <c r="D428" s="251" t="s">
        <v>2471</v>
      </c>
      <c r="E428" s="251" t="s">
        <v>2472</v>
      </c>
      <c r="F428" s="251" t="s">
        <v>2614</v>
      </c>
      <c r="G428" s="251" t="s">
        <v>2615</v>
      </c>
      <c r="H428" s="222" t="s">
        <v>2545</v>
      </c>
      <c r="I428" s="251" t="s">
        <v>2546</v>
      </c>
      <c r="J428" s="251" t="s">
        <v>2547</v>
      </c>
      <c r="K428" s="251" t="s">
        <v>2658</v>
      </c>
      <c r="BB428"/>
    </row>
    <row r="429" spans="1:54" x14ac:dyDescent="0.2">
      <c r="A429" s="225" t="str">
        <f t="shared" si="6"/>
        <v>Finance Division Minority Interest</v>
      </c>
      <c r="B429" s="218" t="s">
        <v>37</v>
      </c>
      <c r="C429" s="251" t="s">
        <v>2473</v>
      </c>
      <c r="D429" s="251" t="s">
        <v>2474</v>
      </c>
      <c r="E429" s="251" t="s">
        <v>2475</v>
      </c>
      <c r="F429" s="251" t="s">
        <v>2616</v>
      </c>
      <c r="G429" s="251" t="s">
        <v>2617</v>
      </c>
      <c r="H429" s="222" t="s">
        <v>2548</v>
      </c>
      <c r="I429" s="251" t="s">
        <v>2549</v>
      </c>
      <c r="J429" s="251" t="s">
        <v>2550</v>
      </c>
      <c r="K429" s="251" t="s">
        <v>2659</v>
      </c>
      <c r="BB429"/>
    </row>
    <row r="430" spans="1:54" x14ac:dyDescent="0.2">
      <c r="A430" s="225" t="str">
        <f t="shared" si="6"/>
        <v>Deferred Tax Valuation Allowance</v>
      </c>
      <c r="B430" s="218" t="s">
        <v>772</v>
      </c>
      <c r="C430" s="251" t="s">
        <v>2476</v>
      </c>
      <c r="D430" s="251" t="s">
        <v>2477</v>
      </c>
      <c r="E430" s="251" t="s">
        <v>2478</v>
      </c>
      <c r="F430" s="251" t="s">
        <v>2618</v>
      </c>
      <c r="G430" s="251" t="s">
        <v>2619</v>
      </c>
      <c r="H430" s="252" t="s">
        <v>2551</v>
      </c>
      <c r="I430" s="251" t="s">
        <v>2552</v>
      </c>
      <c r="J430" s="251" t="s">
        <v>2553</v>
      </c>
      <c r="K430" s="251" t="s">
        <v>2660</v>
      </c>
      <c r="BB430"/>
    </row>
    <row r="431" spans="1:54" x14ac:dyDescent="0.2">
      <c r="A431" s="225" t="str">
        <f t="shared" si="6"/>
        <v>General Partner - Common Equity</v>
      </c>
      <c r="B431" s="218" t="s">
        <v>5</v>
      </c>
      <c r="C431" s="251" t="s">
        <v>2479</v>
      </c>
      <c r="D431" s="251" t="s">
        <v>2480</v>
      </c>
      <c r="E431" s="251" t="s">
        <v>2481</v>
      </c>
      <c r="F431" s="251" t="s">
        <v>2620</v>
      </c>
      <c r="G431" s="251" t="s">
        <v>2621</v>
      </c>
      <c r="H431" s="222" t="s">
        <v>2554</v>
      </c>
      <c r="I431" s="251" t="s">
        <v>2555</v>
      </c>
      <c r="J431" s="251" t="s">
        <v>2556</v>
      </c>
      <c r="K431" s="251" t="s">
        <v>2661</v>
      </c>
      <c r="BB431"/>
    </row>
    <row r="432" spans="1:54" x14ac:dyDescent="0.2">
      <c r="A432" s="225" t="str">
        <f t="shared" si="6"/>
        <v>General Partner - Preferred Equity</v>
      </c>
      <c r="B432" s="218" t="s">
        <v>6</v>
      </c>
      <c r="C432" s="251" t="s">
        <v>2482</v>
      </c>
      <c r="D432" s="251" t="s">
        <v>2483</v>
      </c>
      <c r="E432" s="251" t="s">
        <v>2484</v>
      </c>
      <c r="F432" s="251" t="s">
        <v>2622</v>
      </c>
      <c r="G432" s="251" t="s">
        <v>2623</v>
      </c>
      <c r="H432" s="222" t="s">
        <v>2557</v>
      </c>
      <c r="I432" s="251" t="s">
        <v>2558</v>
      </c>
      <c r="J432" s="251" t="s">
        <v>2559</v>
      </c>
      <c r="K432" s="251" t="s">
        <v>2662</v>
      </c>
      <c r="BB432"/>
    </row>
    <row r="433" spans="1:54" x14ac:dyDescent="0.2">
      <c r="A433" s="225" t="str">
        <f t="shared" si="6"/>
        <v>General Partner - Minority Interest</v>
      </c>
      <c r="B433" s="218" t="s">
        <v>7</v>
      </c>
      <c r="C433" s="251" t="s">
        <v>2485</v>
      </c>
      <c r="D433" s="251" t="s">
        <v>2486</v>
      </c>
      <c r="E433" s="251" t="s">
        <v>2487</v>
      </c>
      <c r="F433" s="251" t="s">
        <v>2624</v>
      </c>
      <c r="G433" s="251" t="s">
        <v>2625</v>
      </c>
      <c r="H433" s="222" t="s">
        <v>2560</v>
      </c>
      <c r="I433" s="251" t="s">
        <v>2561</v>
      </c>
      <c r="J433" s="251" t="s">
        <v>2562</v>
      </c>
      <c r="K433" s="251" t="s">
        <v>2663</v>
      </c>
      <c r="BB433"/>
    </row>
    <row r="434" spans="1:54" x14ac:dyDescent="0.2">
      <c r="A434" s="225" t="str">
        <f t="shared" si="6"/>
        <v>General Partner Interest (Supple)</v>
      </c>
      <c r="B434" s="218" t="s">
        <v>8</v>
      </c>
      <c r="C434" s="251" t="s">
        <v>2488</v>
      </c>
      <c r="D434" s="251" t="s">
        <v>2489</v>
      </c>
      <c r="E434" s="251" t="s">
        <v>2490</v>
      </c>
      <c r="F434" s="251" t="s">
        <v>2626</v>
      </c>
      <c r="G434" s="251" t="s">
        <v>2627</v>
      </c>
      <c r="H434" s="222" t="s">
        <v>2563</v>
      </c>
      <c r="I434" s="251" t="s">
        <v>2564</v>
      </c>
      <c r="J434" s="251" t="s">
        <v>2565</v>
      </c>
      <c r="K434" s="251" t="s">
        <v>2664</v>
      </c>
      <c r="BB434"/>
    </row>
    <row r="435" spans="1:54" x14ac:dyDescent="0.2">
      <c r="A435" s="225" t="str">
        <f t="shared" si="6"/>
        <v>Liquidation Value of Preferred Stock - Convertible</v>
      </c>
      <c r="B435" s="218" t="s">
        <v>703</v>
      </c>
      <c r="C435" s="251" t="s">
        <v>2491</v>
      </c>
      <c r="D435" s="251" t="s">
        <v>2492</v>
      </c>
      <c r="E435" s="251" t="s">
        <v>2493</v>
      </c>
      <c r="F435" s="251" t="s">
        <v>2628</v>
      </c>
      <c r="G435" s="251" t="s">
        <v>2629</v>
      </c>
      <c r="H435" s="222" t="s">
        <v>2566</v>
      </c>
      <c r="I435" s="251" t="s">
        <v>2567</v>
      </c>
      <c r="J435" s="251" t="s">
        <v>2568</v>
      </c>
      <c r="K435" s="251" t="s">
        <v>2665</v>
      </c>
      <c r="BB435"/>
    </row>
    <row r="436" spans="1:54" x14ac:dyDescent="0.2">
      <c r="A436" s="225" t="str">
        <f t="shared" si="6"/>
        <v>Liquidation Value of Preferred Stock - Non-Redeemable</v>
      </c>
      <c r="B436" s="218" t="s">
        <v>704</v>
      </c>
      <c r="C436" s="251" t="s">
        <v>2494</v>
      </c>
      <c r="D436" s="251" t="s">
        <v>2495</v>
      </c>
      <c r="E436" s="251" t="s">
        <v>2496</v>
      </c>
      <c r="F436" s="251" t="s">
        <v>2630</v>
      </c>
      <c r="G436" s="251" t="s">
        <v>2631</v>
      </c>
      <c r="H436" s="222" t="s">
        <v>2569</v>
      </c>
      <c r="I436" s="251" t="s">
        <v>2570</v>
      </c>
      <c r="J436" s="251" t="s">
        <v>2571</v>
      </c>
      <c r="K436" s="251" t="s">
        <v>2666</v>
      </c>
      <c r="BB436"/>
    </row>
    <row r="437" spans="1:54" x14ac:dyDescent="0.2">
      <c r="A437" s="225" t="str">
        <f t="shared" si="6"/>
        <v>Liquidation Value of Preferred Stock - Redeemable</v>
      </c>
      <c r="B437" s="218" t="s">
        <v>705</v>
      </c>
      <c r="C437" s="251" t="s">
        <v>2497</v>
      </c>
      <c r="D437" s="251" t="s">
        <v>2498</v>
      </c>
      <c r="E437" s="251" t="s">
        <v>2499</v>
      </c>
      <c r="F437" s="251" t="s">
        <v>2632</v>
      </c>
      <c r="G437" s="251" t="s">
        <v>2633</v>
      </c>
      <c r="H437" s="222" t="s">
        <v>2572</v>
      </c>
      <c r="I437" s="251" t="s">
        <v>2573</v>
      </c>
      <c r="J437" s="251" t="s">
        <v>2574</v>
      </c>
      <c r="K437" s="251" t="s">
        <v>2667</v>
      </c>
      <c r="BB437"/>
    </row>
    <row r="438" spans="1:54" x14ac:dyDescent="0.2">
      <c r="A438" s="225" t="str">
        <f t="shared" si="6"/>
        <v>Level 1 Assets - Quoted Prices</v>
      </c>
      <c r="B438" s="218" t="s">
        <v>706</v>
      </c>
      <c r="C438" s="251" t="s">
        <v>2500</v>
      </c>
      <c r="D438" s="251" t="s">
        <v>2501</v>
      </c>
      <c r="E438" s="251" t="s">
        <v>2502</v>
      </c>
      <c r="F438" s="251" t="s">
        <v>2634</v>
      </c>
      <c r="G438" s="251" t="s">
        <v>2635</v>
      </c>
      <c r="H438" s="222" t="s">
        <v>2575</v>
      </c>
      <c r="I438" s="251" t="s">
        <v>2576</v>
      </c>
      <c r="J438" s="251" t="s">
        <v>2577</v>
      </c>
      <c r="K438" s="251" t="s">
        <v>2668</v>
      </c>
      <c r="BB438"/>
    </row>
    <row r="439" spans="1:54" x14ac:dyDescent="0.2">
      <c r="A439" s="225" t="str">
        <f t="shared" si="6"/>
        <v>Level 2 Assets - Observable Prices</v>
      </c>
      <c r="B439" s="218" t="s">
        <v>727</v>
      </c>
      <c r="C439" s="251" t="s">
        <v>2503</v>
      </c>
      <c r="D439" s="251" t="s">
        <v>2504</v>
      </c>
      <c r="E439" s="251" t="s">
        <v>2505</v>
      </c>
      <c r="F439" s="251" t="s">
        <v>2636</v>
      </c>
      <c r="G439" s="251" t="s">
        <v>2637</v>
      </c>
      <c r="H439" s="222" t="s">
        <v>2578</v>
      </c>
      <c r="I439" s="251" t="s">
        <v>2579</v>
      </c>
      <c r="J439" s="251" t="s">
        <v>2580</v>
      </c>
      <c r="K439" s="251" t="s">
        <v>2669</v>
      </c>
      <c r="BB439"/>
    </row>
    <row r="440" spans="1:54" x14ac:dyDescent="0.2">
      <c r="A440" s="225" t="str">
        <f t="shared" si="6"/>
        <v>Level 3 Assets - Unobservable Prices</v>
      </c>
      <c r="B440" s="218" t="s">
        <v>728</v>
      </c>
      <c r="C440" s="251" t="s">
        <v>2506</v>
      </c>
      <c r="D440" s="251" t="s">
        <v>2507</v>
      </c>
      <c r="E440" s="251" t="s">
        <v>2508</v>
      </c>
      <c r="F440" s="251" t="s">
        <v>2638</v>
      </c>
      <c r="G440" s="251" t="s">
        <v>2639</v>
      </c>
      <c r="H440" s="222" t="s">
        <v>2581</v>
      </c>
      <c r="I440" s="251" t="s">
        <v>2582</v>
      </c>
      <c r="J440" s="251" t="s">
        <v>2583</v>
      </c>
      <c r="K440" s="251" t="s">
        <v>2670</v>
      </c>
      <c r="BB440"/>
    </row>
    <row r="441" spans="1:54" x14ac:dyDescent="0.2">
      <c r="A441" s="225" t="str">
        <f t="shared" si="6"/>
        <v>Netting and Other Adj. to Assets</v>
      </c>
      <c r="B441" s="218" t="s">
        <v>707</v>
      </c>
      <c r="C441" s="251" t="s">
        <v>2509</v>
      </c>
      <c r="D441" s="251" t="s">
        <v>2510</v>
      </c>
      <c r="E441" s="251" t="s">
        <v>2511</v>
      </c>
      <c r="F441" s="251" t="s">
        <v>2640</v>
      </c>
      <c r="G441" s="251" t="s">
        <v>2641</v>
      </c>
      <c r="H441" s="222" t="s">
        <v>2584</v>
      </c>
      <c r="I441" s="251" t="s">
        <v>2585</v>
      </c>
      <c r="J441" s="251" t="s">
        <v>2586</v>
      </c>
      <c r="K441" s="251" t="s">
        <v>2671</v>
      </c>
      <c r="BB441"/>
    </row>
    <row r="442" spans="1:54" x14ac:dyDescent="0.2">
      <c r="A442" s="225" t="str">
        <f t="shared" si="6"/>
        <v>Fair Value of Assets</v>
      </c>
      <c r="B442" s="218" t="s">
        <v>708</v>
      </c>
      <c r="C442" s="251" t="s">
        <v>2512</v>
      </c>
      <c r="D442" s="251" t="s">
        <v>2513</v>
      </c>
      <c r="E442" s="251" t="s">
        <v>2514</v>
      </c>
      <c r="F442" s="251" t="s">
        <v>2642</v>
      </c>
      <c r="G442" s="251" t="s">
        <v>2643</v>
      </c>
      <c r="H442" s="222" t="s">
        <v>2587</v>
      </c>
      <c r="I442" s="251" t="s">
        <v>2588</v>
      </c>
      <c r="J442" s="251" t="s">
        <v>2589</v>
      </c>
      <c r="K442" s="251" t="s">
        <v>2672</v>
      </c>
      <c r="BB442"/>
    </row>
    <row r="443" spans="1:54" x14ac:dyDescent="0.2">
      <c r="A443" s="225" t="str">
        <f t="shared" si="6"/>
        <v>Level 1 Liabilities - Quoted Prices</v>
      </c>
      <c r="B443" s="218" t="s">
        <v>709</v>
      </c>
      <c r="C443" s="251" t="s">
        <v>2515</v>
      </c>
      <c r="D443" s="251" t="s">
        <v>2516</v>
      </c>
      <c r="E443" s="251" t="s">
        <v>2517</v>
      </c>
      <c r="F443" s="251" t="s">
        <v>2644</v>
      </c>
      <c r="G443" s="251" t="s">
        <v>2645</v>
      </c>
      <c r="H443" s="222" t="s">
        <v>2590</v>
      </c>
      <c r="I443" s="251" t="s">
        <v>2591</v>
      </c>
      <c r="J443" s="251" t="s">
        <v>2592</v>
      </c>
      <c r="K443" s="251" t="s">
        <v>2673</v>
      </c>
      <c r="BB443"/>
    </row>
    <row r="444" spans="1:54" x14ac:dyDescent="0.2">
      <c r="A444" s="225" t="str">
        <f t="shared" si="6"/>
        <v>Level 2 Liabilities - Observable Prices</v>
      </c>
      <c r="B444" s="218" t="s">
        <v>729</v>
      </c>
      <c r="C444" s="251" t="s">
        <v>2518</v>
      </c>
      <c r="D444" s="251" t="s">
        <v>2519</v>
      </c>
      <c r="E444" s="251" t="s">
        <v>2520</v>
      </c>
      <c r="F444" s="251" t="s">
        <v>2646</v>
      </c>
      <c r="G444" s="251" t="s">
        <v>2647</v>
      </c>
      <c r="H444" s="222" t="s">
        <v>2593</v>
      </c>
      <c r="I444" s="251" t="s">
        <v>2594</v>
      </c>
      <c r="J444" s="251" t="s">
        <v>2595</v>
      </c>
      <c r="K444" s="251" t="s">
        <v>2674</v>
      </c>
      <c r="BB444"/>
    </row>
    <row r="445" spans="1:54" x14ac:dyDescent="0.2">
      <c r="A445" s="225" t="str">
        <f t="shared" si="6"/>
        <v>Level 3 Liabilities - Unobservable Prices</v>
      </c>
      <c r="B445" s="218" t="s">
        <v>730</v>
      </c>
      <c r="C445" s="251" t="s">
        <v>2521</v>
      </c>
      <c r="D445" s="251" t="s">
        <v>2522</v>
      </c>
      <c r="E445" s="251" t="s">
        <v>2523</v>
      </c>
      <c r="F445" s="251" t="s">
        <v>2648</v>
      </c>
      <c r="G445" s="251" t="s">
        <v>2649</v>
      </c>
      <c r="H445" s="222" t="s">
        <v>2596</v>
      </c>
      <c r="I445" s="251" t="s">
        <v>2597</v>
      </c>
      <c r="J445" s="251" t="s">
        <v>2598</v>
      </c>
      <c r="K445" s="251" t="s">
        <v>2675</v>
      </c>
      <c r="BB445"/>
    </row>
    <row r="446" spans="1:54" x14ac:dyDescent="0.2">
      <c r="A446" s="225" t="str">
        <f t="shared" si="6"/>
        <v>Netting and Other Adj. to Liabilities</v>
      </c>
      <c r="B446" s="218" t="s">
        <v>710</v>
      </c>
      <c r="C446" s="251" t="s">
        <v>2524</v>
      </c>
      <c r="D446" s="251" t="s">
        <v>2525</v>
      </c>
      <c r="E446" s="251" t="s">
        <v>2526</v>
      </c>
      <c r="F446" s="251" t="s">
        <v>2650</v>
      </c>
      <c r="G446" s="251" t="s">
        <v>2651</v>
      </c>
      <c r="H446" s="222" t="s">
        <v>2599</v>
      </c>
      <c r="I446" s="251" t="s">
        <v>2600</v>
      </c>
      <c r="J446" s="251" t="s">
        <v>2601</v>
      </c>
      <c r="K446" s="251" t="s">
        <v>2676</v>
      </c>
      <c r="BB446"/>
    </row>
    <row r="447" spans="1:54" x14ac:dyDescent="0.2">
      <c r="A447" s="225" t="str">
        <f t="shared" si="6"/>
        <v>Fair Value of Liabilities</v>
      </c>
      <c r="B447" s="218" t="s">
        <v>711</v>
      </c>
      <c r="C447" s="251" t="s">
        <v>5070</v>
      </c>
      <c r="D447" s="251" t="s">
        <v>5071</v>
      </c>
      <c r="E447" s="251" t="s">
        <v>5072</v>
      </c>
      <c r="F447" s="251" t="s">
        <v>5082</v>
      </c>
      <c r="G447" s="251" t="s">
        <v>5083</v>
      </c>
      <c r="H447" s="222" t="s">
        <v>5076</v>
      </c>
      <c r="I447" s="251" t="s">
        <v>5077</v>
      </c>
      <c r="J447" s="251" t="s">
        <v>5078</v>
      </c>
      <c r="K447" s="251" t="s">
        <v>5086</v>
      </c>
      <c r="BB447"/>
    </row>
    <row r="448" spans="1:54" x14ac:dyDescent="0.2">
      <c r="A448" s="225" t="str">
        <f t="shared" si="6"/>
        <v>Fair Value Change Included in Earnings</v>
      </c>
      <c r="B448" s="218" t="s">
        <v>712</v>
      </c>
      <c r="C448" s="251" t="s">
        <v>5073</v>
      </c>
      <c r="D448" s="251" t="s">
        <v>5074</v>
      </c>
      <c r="E448" s="251" t="s">
        <v>5075</v>
      </c>
      <c r="F448" s="251" t="s">
        <v>5084</v>
      </c>
      <c r="G448" s="251" t="s">
        <v>5085</v>
      </c>
      <c r="H448" s="222" t="s">
        <v>5079</v>
      </c>
      <c r="I448" s="251" t="s">
        <v>5080</v>
      </c>
      <c r="J448" s="251" t="s">
        <v>5081</v>
      </c>
      <c r="K448" s="251" t="s">
        <v>5087</v>
      </c>
      <c r="BB448"/>
    </row>
    <row r="449" spans="1:54" x14ac:dyDescent="0.2">
      <c r="A449" s="225" t="str">
        <f t="shared" si="6"/>
        <v>Full Time Employees</v>
      </c>
      <c r="B449" s="218" t="s">
        <v>618</v>
      </c>
      <c r="C449" s="251" t="s">
        <v>6799</v>
      </c>
      <c r="D449" s="251" t="s">
        <v>6800</v>
      </c>
      <c r="E449" s="218" t="s">
        <v>6801</v>
      </c>
      <c r="F449" s="218" t="s">
        <v>6802</v>
      </c>
      <c r="G449" s="218" t="s">
        <v>6803</v>
      </c>
      <c r="H449" s="218" t="s">
        <v>6804</v>
      </c>
      <c r="I449" s="218" t="s">
        <v>6805</v>
      </c>
      <c r="J449" s="218" t="s">
        <v>6806</v>
      </c>
      <c r="K449" s="218" t="s">
        <v>6807</v>
      </c>
      <c r="BB449"/>
    </row>
    <row r="450" spans="1:54" x14ac:dyDescent="0.2">
      <c r="A450" s="225" t="str">
        <f t="shared" si="6"/>
        <v>Part Time Employees</v>
      </c>
      <c r="B450" s="218" t="s">
        <v>619</v>
      </c>
      <c r="C450" s="251" t="s">
        <v>5088</v>
      </c>
      <c r="D450" s="251" t="s">
        <v>5089</v>
      </c>
      <c r="E450" s="251" t="s">
        <v>5090</v>
      </c>
      <c r="F450" s="251" t="s">
        <v>5172</v>
      </c>
      <c r="G450" s="251" t="s">
        <v>5173</v>
      </c>
      <c r="H450" s="222" t="s">
        <v>5130</v>
      </c>
      <c r="I450" s="251" t="s">
        <v>5131</v>
      </c>
      <c r="J450" s="251" t="s">
        <v>5132</v>
      </c>
      <c r="K450" s="251" t="s">
        <v>5200</v>
      </c>
      <c r="BB450"/>
    </row>
    <row r="451" spans="1:54" x14ac:dyDescent="0.2">
      <c r="A451" s="225" t="str">
        <f t="shared" si="6"/>
        <v>Total Employees</v>
      </c>
      <c r="B451" s="218" t="s">
        <v>620</v>
      </c>
      <c r="C451" s="251" t="s">
        <v>5091</v>
      </c>
      <c r="D451" s="251" t="s">
        <v>5092</v>
      </c>
      <c r="E451" s="251" t="s">
        <v>5093</v>
      </c>
      <c r="F451" s="251" t="s">
        <v>5174</v>
      </c>
      <c r="G451" s="251" t="s">
        <v>5175</v>
      </c>
      <c r="H451" s="222" t="s">
        <v>5133</v>
      </c>
      <c r="I451" s="251" t="s">
        <v>5134</v>
      </c>
      <c r="J451" s="251" t="s">
        <v>5135</v>
      </c>
      <c r="K451" s="251" t="s">
        <v>5201</v>
      </c>
      <c r="BB451"/>
    </row>
    <row r="452" spans="1:54" x14ac:dyDescent="0.2">
      <c r="A452" s="225" t="str">
        <f t="shared" si="6"/>
        <v>Employees Under Union Contracts</v>
      </c>
      <c r="B452" s="218" t="s">
        <v>683</v>
      </c>
      <c r="C452" s="251" t="s">
        <v>5094</v>
      </c>
      <c r="D452" s="251" t="s">
        <v>5095</v>
      </c>
      <c r="E452" s="251" t="s">
        <v>5096</v>
      </c>
      <c r="F452" s="251" t="s">
        <v>5176</v>
      </c>
      <c r="G452" s="251" t="s">
        <v>5177</v>
      </c>
      <c r="H452" s="222" t="s">
        <v>5136</v>
      </c>
      <c r="I452" s="251" t="s">
        <v>5137</v>
      </c>
      <c r="J452" s="251" t="s">
        <v>5138</v>
      </c>
      <c r="K452" s="251" t="s">
        <v>5202</v>
      </c>
      <c r="BB452"/>
    </row>
    <row r="453" spans="1:54" x14ac:dyDescent="0.2">
      <c r="A453" s="225" t="str">
        <f t="shared" si="6"/>
        <v>Avg Employees</v>
      </c>
      <c r="B453" s="218" t="s">
        <v>650</v>
      </c>
      <c r="C453" s="251" t="s">
        <v>5097</v>
      </c>
      <c r="D453" s="251" t="s">
        <v>5098</v>
      </c>
      <c r="E453" s="251" t="s">
        <v>5099</v>
      </c>
      <c r="F453" s="251" t="s">
        <v>5178</v>
      </c>
      <c r="G453" s="251" t="s">
        <v>5179</v>
      </c>
      <c r="H453" s="222" t="s">
        <v>5139</v>
      </c>
      <c r="I453" s="251" t="s">
        <v>5140</v>
      </c>
      <c r="J453" s="251" t="s">
        <v>5141</v>
      </c>
      <c r="K453" s="251" t="s">
        <v>5203</v>
      </c>
      <c r="BB453"/>
    </row>
    <row r="454" spans="1:54" x14ac:dyDescent="0.2">
      <c r="A454" s="225" t="str">
        <f t="shared" si="6"/>
        <v>Temporary/Seasonal Employees</v>
      </c>
      <c r="B454" s="218" t="s">
        <v>651</v>
      </c>
      <c r="C454" s="251" t="s">
        <v>5100</v>
      </c>
      <c r="D454" s="251" t="s">
        <v>5101</v>
      </c>
      <c r="E454" s="251" t="s">
        <v>5102</v>
      </c>
      <c r="F454" s="251" t="s">
        <v>5180</v>
      </c>
      <c r="G454" s="251" t="s">
        <v>5181</v>
      </c>
      <c r="H454" s="222" t="s">
        <v>5142</v>
      </c>
      <c r="I454" s="251" t="s">
        <v>5143</v>
      </c>
      <c r="J454" s="251" t="s">
        <v>5144</v>
      </c>
      <c r="K454" s="251" t="s">
        <v>5204</v>
      </c>
      <c r="BB454"/>
    </row>
    <row r="455" spans="1:54" x14ac:dyDescent="0.2">
      <c r="A455" s="225" t="str">
        <f t="shared" si="6"/>
        <v>Number Of ADR Holders</v>
      </c>
      <c r="B455" s="267" t="s">
        <v>8256</v>
      </c>
      <c r="C455" s="251" t="s">
        <v>5103</v>
      </c>
      <c r="D455" s="251" t="s">
        <v>5104</v>
      </c>
      <c r="E455" s="251" t="s">
        <v>5105</v>
      </c>
      <c r="F455" s="251" t="s">
        <v>5182</v>
      </c>
      <c r="G455" s="251" t="s">
        <v>5183</v>
      </c>
      <c r="H455" s="222" t="s">
        <v>5145</v>
      </c>
      <c r="I455" s="251" t="s">
        <v>5146</v>
      </c>
      <c r="J455" s="251" t="s">
        <v>5147</v>
      </c>
      <c r="K455" s="251" t="s">
        <v>5205</v>
      </c>
      <c r="BB455"/>
    </row>
    <row r="456" spans="1:54" x14ac:dyDescent="0.2">
      <c r="A456" s="225" t="str">
        <f t="shared" si="6"/>
        <v>Finance Division Long-term Debt, Total</v>
      </c>
      <c r="B456" s="218" t="s">
        <v>621</v>
      </c>
      <c r="C456" s="251" t="s">
        <v>5106</v>
      </c>
      <c r="D456" s="251" t="s">
        <v>5107</v>
      </c>
      <c r="E456" s="251" t="s">
        <v>5108</v>
      </c>
      <c r="F456" s="251" t="s">
        <v>5184</v>
      </c>
      <c r="G456" s="251" t="s">
        <v>5185</v>
      </c>
      <c r="H456" s="222" t="s">
        <v>5148</v>
      </c>
      <c r="I456" s="251" t="s">
        <v>5149</v>
      </c>
      <c r="J456" s="251" t="s">
        <v>5150</v>
      </c>
      <c r="K456" s="251" t="s">
        <v>5206</v>
      </c>
      <c r="BB456"/>
    </row>
    <row r="457" spans="1:54" x14ac:dyDescent="0.2">
      <c r="A457" s="225" t="str">
        <f t="shared" ref="A457:A520" si="7">INDEX($B457:$CV457,$A$4)</f>
        <v>Finance Division Short-term Debt, Total</v>
      </c>
      <c r="B457" s="218" t="s">
        <v>622</v>
      </c>
      <c r="C457" s="251" t="s">
        <v>5109</v>
      </c>
      <c r="D457" s="251" t="s">
        <v>5110</v>
      </c>
      <c r="E457" s="251" t="s">
        <v>5111</v>
      </c>
      <c r="F457" s="251" t="s">
        <v>5186</v>
      </c>
      <c r="G457" s="251" t="s">
        <v>5187</v>
      </c>
      <c r="H457" s="222" t="s">
        <v>5151</v>
      </c>
      <c r="I457" s="251" t="s">
        <v>5152</v>
      </c>
      <c r="J457" s="251" t="s">
        <v>5153</v>
      </c>
      <c r="K457" s="251" t="s">
        <v>5207</v>
      </c>
      <c r="BB457"/>
    </row>
    <row r="458" spans="1:54" x14ac:dyDescent="0.2">
      <c r="A458" s="225" t="str">
        <f t="shared" si="7"/>
        <v>Finance Division Debt, Total</v>
      </c>
      <c r="B458" s="218" t="s">
        <v>657</v>
      </c>
      <c r="C458" s="251" t="s">
        <v>5112</v>
      </c>
      <c r="D458" s="251" t="s">
        <v>5113</v>
      </c>
      <c r="E458" s="251" t="s">
        <v>5114</v>
      </c>
      <c r="F458" s="251" t="s">
        <v>5188</v>
      </c>
      <c r="G458" s="251" t="s">
        <v>5189</v>
      </c>
      <c r="H458" s="222" t="s">
        <v>5154</v>
      </c>
      <c r="I458" s="251" t="s">
        <v>5155</v>
      </c>
      <c r="J458" s="251" t="s">
        <v>5156</v>
      </c>
      <c r="K458" s="251" t="s">
        <v>5208</v>
      </c>
      <c r="BB458"/>
    </row>
    <row r="459" spans="1:54" x14ac:dyDescent="0.2">
      <c r="A459" s="225" t="str">
        <f t="shared" si="7"/>
        <v>Finance Division Cash and Equivalents</v>
      </c>
      <c r="B459" s="218" t="s">
        <v>663</v>
      </c>
      <c r="C459" s="251" t="s">
        <v>5115</v>
      </c>
      <c r="D459" s="251" t="s">
        <v>5116</v>
      </c>
      <c r="E459" s="251" t="s">
        <v>5117</v>
      </c>
      <c r="F459" s="251" t="s">
        <v>5190</v>
      </c>
      <c r="G459" s="251" t="s">
        <v>5191</v>
      </c>
      <c r="H459" s="222" t="s">
        <v>5157</v>
      </c>
      <c r="I459" s="251" t="s">
        <v>5158</v>
      </c>
      <c r="J459" s="251" t="s">
        <v>5159</v>
      </c>
      <c r="K459" s="251" t="s">
        <v>5209</v>
      </c>
      <c r="BB459"/>
    </row>
    <row r="460" spans="1:54" x14ac:dyDescent="0.2">
      <c r="A460" s="225" t="str">
        <f t="shared" si="7"/>
        <v>Finance Division Short-Term Investments</v>
      </c>
      <c r="B460" s="218" t="s">
        <v>664</v>
      </c>
      <c r="C460" s="251" t="s">
        <v>5118</v>
      </c>
      <c r="D460" s="251" t="s">
        <v>5119</v>
      </c>
      <c r="E460" s="251" t="s">
        <v>5120</v>
      </c>
      <c r="F460" s="251" t="s">
        <v>5192</v>
      </c>
      <c r="G460" s="251" t="s">
        <v>5193</v>
      </c>
      <c r="H460" s="222" t="s">
        <v>5160</v>
      </c>
      <c r="I460" s="251" t="s">
        <v>5161</v>
      </c>
      <c r="J460" s="251" t="s">
        <v>5162</v>
      </c>
      <c r="K460" s="251" t="s">
        <v>5210</v>
      </c>
      <c r="BB460"/>
    </row>
    <row r="461" spans="1:54" x14ac:dyDescent="0.2">
      <c r="A461" s="225" t="str">
        <f t="shared" si="7"/>
        <v>Debt Equiv. of Unfunded Proj. Benefit Obligation</v>
      </c>
      <c r="B461" s="267" t="s">
        <v>8257</v>
      </c>
      <c r="C461" s="251" t="s">
        <v>5121</v>
      </c>
      <c r="D461" s="251" t="s">
        <v>5122</v>
      </c>
      <c r="E461" s="251" t="s">
        <v>5123</v>
      </c>
      <c r="F461" s="251" t="s">
        <v>5194</v>
      </c>
      <c r="G461" s="251" t="s">
        <v>5195</v>
      </c>
      <c r="H461" s="222" t="s">
        <v>5163</v>
      </c>
      <c r="I461" s="251" t="s">
        <v>5164</v>
      </c>
      <c r="J461" s="251" t="s">
        <v>5165</v>
      </c>
      <c r="K461" s="251" t="s">
        <v>5211</v>
      </c>
      <c r="BB461"/>
    </row>
    <row r="462" spans="1:54" x14ac:dyDescent="0.2">
      <c r="A462" s="225" t="str">
        <f t="shared" si="7"/>
        <v>Debt Equivalent Oper. Leases</v>
      </c>
      <c r="B462" s="267" t="s">
        <v>8258</v>
      </c>
      <c r="C462" s="251" t="s">
        <v>5124</v>
      </c>
      <c r="D462" s="251" t="s">
        <v>5125</v>
      </c>
      <c r="E462" s="251" t="s">
        <v>5126</v>
      </c>
      <c r="F462" s="251" t="s">
        <v>5196</v>
      </c>
      <c r="G462" s="251" t="s">
        <v>5197</v>
      </c>
      <c r="H462" s="222" t="s">
        <v>5166</v>
      </c>
      <c r="I462" s="251" t="s">
        <v>5167</v>
      </c>
      <c r="J462" s="251" t="s">
        <v>5168</v>
      </c>
      <c r="K462" s="251" t="s">
        <v>5212</v>
      </c>
      <c r="BB462"/>
    </row>
    <row r="463" spans="1:54" x14ac:dyDescent="0.2">
      <c r="A463" s="225" t="str">
        <f t="shared" si="7"/>
        <v>Cost of Borrowing</v>
      </c>
      <c r="B463" s="218" t="s">
        <v>623</v>
      </c>
      <c r="C463" s="251" t="s">
        <v>5127</v>
      </c>
      <c r="D463" s="251" t="s">
        <v>5128</v>
      </c>
      <c r="E463" s="251" t="s">
        <v>5129</v>
      </c>
      <c r="F463" s="251" t="s">
        <v>5198</v>
      </c>
      <c r="G463" s="251" t="s">
        <v>5199</v>
      </c>
      <c r="H463" s="222" t="s">
        <v>5169</v>
      </c>
      <c r="I463" s="251" t="s">
        <v>5170</v>
      </c>
      <c r="J463" s="251" t="s">
        <v>5171</v>
      </c>
      <c r="K463" s="251" t="s">
        <v>5213</v>
      </c>
      <c r="BB463"/>
    </row>
    <row r="464" spans="1:54" x14ac:dyDescent="0.2">
      <c r="A464" s="225" t="str">
        <f t="shared" si="7"/>
        <v>Restricted Cash (Non-Current)</v>
      </c>
      <c r="B464" s="218" t="s">
        <v>662</v>
      </c>
      <c r="C464" s="251" t="s">
        <v>5331</v>
      </c>
      <c r="D464" s="251" t="s">
        <v>5332</v>
      </c>
      <c r="E464" s="251" t="s">
        <v>5333</v>
      </c>
      <c r="F464" s="251" t="s">
        <v>5355</v>
      </c>
      <c r="G464" s="251" t="s">
        <v>5356</v>
      </c>
      <c r="H464" s="222" t="s">
        <v>5343</v>
      </c>
      <c r="I464" s="251" t="s">
        <v>5344</v>
      </c>
      <c r="J464" s="251" t="s">
        <v>5345</v>
      </c>
      <c r="K464" s="251" t="s">
        <v>5363</v>
      </c>
      <c r="BB464"/>
    </row>
    <row r="465" spans="1:54" x14ac:dyDescent="0.2">
      <c r="A465" s="225" t="str">
        <f t="shared" si="7"/>
        <v>Total Restricted Cash</v>
      </c>
      <c r="B465" s="267" t="s">
        <v>8259</v>
      </c>
      <c r="C465" s="251" t="s">
        <v>5334</v>
      </c>
      <c r="D465" s="251" t="s">
        <v>5335</v>
      </c>
      <c r="E465" s="251" t="s">
        <v>5336</v>
      </c>
      <c r="F465" s="251" t="s">
        <v>5357</v>
      </c>
      <c r="G465" s="251" t="s">
        <v>5358</v>
      </c>
      <c r="H465" s="222" t="s">
        <v>5346</v>
      </c>
      <c r="I465" s="251" t="s">
        <v>5347</v>
      </c>
      <c r="J465" s="251" t="s">
        <v>5348</v>
      </c>
      <c r="K465" s="251" t="s">
        <v>5364</v>
      </c>
      <c r="BB465"/>
    </row>
    <row r="466" spans="1:54" x14ac:dyDescent="0.2">
      <c r="A466" s="225" t="str">
        <f t="shared" si="7"/>
        <v>Total Debt (Excl.Fin.Div.Debt)</v>
      </c>
      <c r="B466" s="218" t="s">
        <v>624</v>
      </c>
      <c r="C466" s="251" t="s">
        <v>5337</v>
      </c>
      <c r="D466" s="251" t="s">
        <v>5338</v>
      </c>
      <c r="E466" s="251" t="s">
        <v>5339</v>
      </c>
      <c r="F466" s="251" t="s">
        <v>5359</v>
      </c>
      <c r="G466" s="251" t="s">
        <v>5360</v>
      </c>
      <c r="H466" s="222" t="s">
        <v>5349</v>
      </c>
      <c r="I466" s="251" t="s">
        <v>5350</v>
      </c>
      <c r="J466" s="251" t="s">
        <v>5351</v>
      </c>
      <c r="K466" s="251" t="s">
        <v>5365</v>
      </c>
      <c r="BB466"/>
    </row>
    <row r="467" spans="1:54" x14ac:dyDescent="0.2">
      <c r="A467" s="225" t="str">
        <f t="shared" si="7"/>
        <v>Order Backlog</v>
      </c>
      <c r="B467" s="218" t="s">
        <v>625</v>
      </c>
      <c r="C467" s="251" t="s">
        <v>5340</v>
      </c>
      <c r="D467" s="251" t="s">
        <v>5341</v>
      </c>
      <c r="E467" s="251" t="s">
        <v>5342</v>
      </c>
      <c r="F467" s="251" t="s">
        <v>5361</v>
      </c>
      <c r="G467" s="251" t="s">
        <v>5362</v>
      </c>
      <c r="H467" s="222" t="s">
        <v>5352</v>
      </c>
      <c r="I467" s="251" t="s">
        <v>5353</v>
      </c>
      <c r="J467" s="251" t="s">
        <v>5354</v>
      </c>
      <c r="K467" s="251" t="s">
        <v>5366</v>
      </c>
      <c r="BB467"/>
    </row>
    <row r="468" spans="1:54" x14ac:dyDescent="0.2">
      <c r="A468" s="225" t="str">
        <f t="shared" si="7"/>
        <v>Contingent Liabilities</v>
      </c>
      <c r="B468" s="218" t="s">
        <v>684</v>
      </c>
      <c r="C468" s="251" t="s">
        <v>7614</v>
      </c>
      <c r="D468" s="251" t="s">
        <v>7615</v>
      </c>
      <c r="E468" s="218" t="s">
        <v>7616</v>
      </c>
      <c r="F468" s="218" t="s">
        <v>7617</v>
      </c>
      <c r="G468" s="218" t="s">
        <v>7618</v>
      </c>
      <c r="H468" s="218" t="s">
        <v>7619</v>
      </c>
      <c r="I468" s="218" t="s">
        <v>7620</v>
      </c>
      <c r="J468" s="218" t="s">
        <v>7621</v>
      </c>
      <c r="K468" s="218" t="s">
        <v>7622</v>
      </c>
      <c r="BB468"/>
    </row>
    <row r="469" spans="1:54" x14ac:dyDescent="0.2">
      <c r="A469" s="225" t="str">
        <f t="shared" si="7"/>
        <v>Warranty Liabilities</v>
      </c>
      <c r="B469" s="218" t="s">
        <v>774</v>
      </c>
      <c r="C469" s="251" t="s">
        <v>5214</v>
      </c>
      <c r="D469" s="251" t="s">
        <v>5215</v>
      </c>
      <c r="E469" s="251" t="s">
        <v>5216</v>
      </c>
      <c r="F469" s="251" t="s">
        <v>5292</v>
      </c>
      <c r="G469" s="251" t="s">
        <v>5293</v>
      </c>
      <c r="H469" s="252" t="s">
        <v>5253</v>
      </c>
      <c r="I469" s="251" t="s">
        <v>5254</v>
      </c>
      <c r="J469" s="251" t="s">
        <v>5255</v>
      </c>
      <c r="K469" s="251" t="s">
        <v>5318</v>
      </c>
      <c r="BB469"/>
    </row>
    <row r="470" spans="1:54" x14ac:dyDescent="0.2">
      <c r="A470" s="225" t="str">
        <f t="shared" si="7"/>
        <v>Short-Term Borrowing Derivatives</v>
      </c>
      <c r="B470" s="218" t="s">
        <v>17</v>
      </c>
      <c r="C470" s="251" t="s">
        <v>5217</v>
      </c>
      <c r="D470" s="251" t="s">
        <v>5218</v>
      </c>
      <c r="E470" s="251" t="s">
        <v>5219</v>
      </c>
      <c r="F470" s="251" t="s">
        <v>5294</v>
      </c>
      <c r="G470" s="251" t="s">
        <v>5295</v>
      </c>
      <c r="H470" s="222" t="s">
        <v>5256</v>
      </c>
      <c r="I470" s="251" t="s">
        <v>5257</v>
      </c>
      <c r="J470" s="251" t="s">
        <v>5258</v>
      </c>
      <c r="K470" s="251" t="s">
        <v>5319</v>
      </c>
      <c r="BB470"/>
    </row>
    <row r="471" spans="1:54" x14ac:dyDescent="0.2">
      <c r="A471" s="225" t="str">
        <f t="shared" si="7"/>
        <v>Curr. Port. of LT Debt Derivatives</v>
      </c>
      <c r="B471" s="218" t="s">
        <v>18</v>
      </c>
      <c r="C471" s="251" t="s">
        <v>5220</v>
      </c>
      <c r="D471" s="251" t="s">
        <v>5221</v>
      </c>
      <c r="E471" s="251" t="s">
        <v>5222</v>
      </c>
      <c r="F471" s="251" t="s">
        <v>5296</v>
      </c>
      <c r="G471" s="251" t="s">
        <v>5297</v>
      </c>
      <c r="H471" s="222" t="s">
        <v>5259</v>
      </c>
      <c r="I471" s="251" t="s">
        <v>5260</v>
      </c>
      <c r="J471" s="251" t="s">
        <v>5261</v>
      </c>
      <c r="K471" s="251" t="s">
        <v>5320</v>
      </c>
      <c r="BB471"/>
    </row>
    <row r="472" spans="1:54" x14ac:dyDescent="0.2">
      <c r="A472" s="225" t="str">
        <f t="shared" si="7"/>
        <v>Long-Term Debt Derivatives</v>
      </c>
      <c r="B472" s="218" t="s">
        <v>19</v>
      </c>
      <c r="C472" s="251" t="s">
        <v>5223</v>
      </c>
      <c r="D472" s="251" t="s">
        <v>5224</v>
      </c>
      <c r="E472" s="251" t="s">
        <v>5225</v>
      </c>
      <c r="F472" s="251" t="s">
        <v>5298</v>
      </c>
      <c r="G472" s="251" t="s">
        <v>5299</v>
      </c>
      <c r="H472" s="222" t="s">
        <v>5262</v>
      </c>
      <c r="I472" s="251" t="s">
        <v>5263</v>
      </c>
      <c r="J472" s="251" t="s">
        <v>5264</v>
      </c>
      <c r="K472" s="251" t="s">
        <v>5321</v>
      </c>
      <c r="BB472"/>
    </row>
    <row r="473" spans="1:54" x14ac:dyDescent="0.2">
      <c r="A473" s="225" t="str">
        <f t="shared" si="7"/>
        <v>Current Derivative Liabilities</v>
      </c>
      <c r="B473" s="218" t="s">
        <v>27</v>
      </c>
      <c r="C473" s="251" t="s">
        <v>5226</v>
      </c>
      <c r="D473" s="251" t="s">
        <v>5227</v>
      </c>
      <c r="E473" s="251" t="s">
        <v>5228</v>
      </c>
      <c r="F473" s="251" t="s">
        <v>5300</v>
      </c>
      <c r="G473" s="251" t="s">
        <v>5301</v>
      </c>
      <c r="H473" s="222" t="s">
        <v>5265</v>
      </c>
      <c r="I473" s="251" t="s">
        <v>5266</v>
      </c>
      <c r="J473" s="251" t="s">
        <v>5267</v>
      </c>
      <c r="K473" s="251" t="s">
        <v>5322</v>
      </c>
      <c r="BB473"/>
    </row>
    <row r="474" spans="1:54" x14ac:dyDescent="0.2">
      <c r="A474" s="225" t="str">
        <f t="shared" si="7"/>
        <v>Non-Current Derivative Liabilities</v>
      </c>
      <c r="B474" s="218" t="s">
        <v>28</v>
      </c>
      <c r="C474" s="251" t="s">
        <v>5229</v>
      </c>
      <c r="D474" s="251" t="s">
        <v>5230</v>
      </c>
      <c r="E474" s="251" t="s">
        <v>5231</v>
      </c>
      <c r="F474" s="251" t="s">
        <v>5302</v>
      </c>
      <c r="G474" s="251" t="s">
        <v>5303</v>
      </c>
      <c r="H474" s="222" t="s">
        <v>5268</v>
      </c>
      <c r="I474" s="251" t="s">
        <v>5269</v>
      </c>
      <c r="J474" s="251" t="s">
        <v>5270</v>
      </c>
      <c r="K474" s="251" t="s">
        <v>5323</v>
      </c>
      <c r="BB474"/>
    </row>
    <row r="475" spans="1:54" x14ac:dyDescent="0.2">
      <c r="A475" s="225" t="str">
        <f t="shared" si="7"/>
        <v>Derivative Trading Asset Securities</v>
      </c>
      <c r="B475" s="218" t="s">
        <v>29</v>
      </c>
      <c r="C475" s="251" t="s">
        <v>5232</v>
      </c>
      <c r="D475" s="251" t="s">
        <v>5233</v>
      </c>
      <c r="E475" s="251" t="s">
        <v>5234</v>
      </c>
      <c r="F475" s="251" t="s">
        <v>5304</v>
      </c>
      <c r="G475" s="251" t="s">
        <v>5305</v>
      </c>
      <c r="H475" s="222" t="s">
        <v>5271</v>
      </c>
      <c r="I475" s="251" t="s">
        <v>5272</v>
      </c>
      <c r="J475" s="251" t="s">
        <v>5273</v>
      </c>
      <c r="K475" s="251" t="s">
        <v>5324</v>
      </c>
      <c r="BB475"/>
    </row>
    <row r="476" spans="1:54" x14ac:dyDescent="0.2">
      <c r="A476" s="225" t="str">
        <f t="shared" si="7"/>
        <v>Current Derivative Assets</v>
      </c>
      <c r="B476" s="218" t="s">
        <v>20</v>
      </c>
      <c r="C476" s="251" t="s">
        <v>5235</v>
      </c>
      <c r="D476" s="251" t="s">
        <v>5236</v>
      </c>
      <c r="E476" s="251" t="s">
        <v>5237</v>
      </c>
      <c r="F476" s="251" t="s">
        <v>5306</v>
      </c>
      <c r="G476" s="251" t="s">
        <v>5307</v>
      </c>
      <c r="H476" s="222" t="s">
        <v>5274</v>
      </c>
      <c r="I476" s="251" t="s">
        <v>5275</v>
      </c>
      <c r="J476" s="251" t="s">
        <v>5276</v>
      </c>
      <c r="K476" s="251" t="s">
        <v>5325</v>
      </c>
      <c r="BB476"/>
    </row>
    <row r="477" spans="1:54" x14ac:dyDescent="0.2">
      <c r="A477" s="225" t="str">
        <f t="shared" si="7"/>
        <v>Long-Term Derivative Assets</v>
      </c>
      <c r="B477" s="218" t="s">
        <v>21</v>
      </c>
      <c r="C477" s="251" t="s">
        <v>5238</v>
      </c>
      <c r="D477" s="251" t="s">
        <v>5239</v>
      </c>
      <c r="E477" s="251" t="s">
        <v>5240</v>
      </c>
      <c r="F477" s="251" t="s">
        <v>5308</v>
      </c>
      <c r="G477" s="251" t="s">
        <v>5309</v>
      </c>
      <c r="H477" s="222" t="s">
        <v>5277</v>
      </c>
      <c r="I477" s="251" t="s">
        <v>5278</v>
      </c>
      <c r="J477" s="251" t="s">
        <v>5279</v>
      </c>
      <c r="K477" s="251" t="s">
        <v>5326</v>
      </c>
      <c r="BB477"/>
    </row>
    <row r="478" spans="1:54" x14ac:dyDescent="0.2">
      <c r="A478" s="225" t="str">
        <f t="shared" si="7"/>
        <v>Gross Intangible Assets</v>
      </c>
      <c r="B478" s="218" t="s">
        <v>22</v>
      </c>
      <c r="C478" s="251" t="s">
        <v>5241</v>
      </c>
      <c r="D478" s="251" t="s">
        <v>5242</v>
      </c>
      <c r="E478" s="251" t="s">
        <v>5243</v>
      </c>
      <c r="F478" s="251" t="s">
        <v>5310</v>
      </c>
      <c r="G478" s="251" t="s">
        <v>5311</v>
      </c>
      <c r="H478" s="222" t="s">
        <v>5280</v>
      </c>
      <c r="I478" s="251" t="s">
        <v>5281</v>
      </c>
      <c r="J478" s="251" t="s">
        <v>5282</v>
      </c>
      <c r="K478" s="251" t="s">
        <v>5327</v>
      </c>
      <c r="BB478"/>
    </row>
    <row r="479" spans="1:54" x14ac:dyDescent="0.2">
      <c r="A479" s="225" t="str">
        <f t="shared" si="7"/>
        <v>Accumulated Amortization of Intangible Assets</v>
      </c>
      <c r="B479" s="218" t="s">
        <v>23</v>
      </c>
      <c r="C479" s="251" t="s">
        <v>5244</v>
      </c>
      <c r="D479" s="251" t="s">
        <v>5245</v>
      </c>
      <c r="E479" s="251" t="s">
        <v>5246</v>
      </c>
      <c r="F479" s="251" t="s">
        <v>5312</v>
      </c>
      <c r="G479" s="251" t="s">
        <v>5313</v>
      </c>
      <c r="H479" s="222" t="s">
        <v>5283</v>
      </c>
      <c r="I479" s="251" t="s">
        <v>5284</v>
      </c>
      <c r="J479" s="251" t="s">
        <v>5285</v>
      </c>
      <c r="K479" s="251" t="s">
        <v>5328</v>
      </c>
      <c r="BB479"/>
    </row>
    <row r="480" spans="1:54" x14ac:dyDescent="0.2">
      <c r="A480" s="225" t="str">
        <f t="shared" si="7"/>
        <v>Gross Goodwill</v>
      </c>
      <c r="B480" s="218" t="s">
        <v>24</v>
      </c>
      <c r="C480" s="251" t="s">
        <v>5247</v>
      </c>
      <c r="D480" s="251" t="s">
        <v>5248</v>
      </c>
      <c r="E480" s="251" t="s">
        <v>5249</v>
      </c>
      <c r="F480" s="251" t="s">
        <v>5314</v>
      </c>
      <c r="G480" s="251" t="s">
        <v>5315</v>
      </c>
      <c r="H480" s="222" t="s">
        <v>5286</v>
      </c>
      <c r="I480" s="251" t="s">
        <v>5287</v>
      </c>
      <c r="J480" s="251" t="s">
        <v>5288</v>
      </c>
      <c r="K480" s="251" t="s">
        <v>5329</v>
      </c>
      <c r="BB480"/>
    </row>
    <row r="481" spans="1:54" x14ac:dyDescent="0.2">
      <c r="A481" s="225" t="str">
        <f t="shared" si="7"/>
        <v>Accumulated Amortization of Goodwill</v>
      </c>
      <c r="B481" s="218" t="s">
        <v>25</v>
      </c>
      <c r="C481" s="251" t="s">
        <v>5250</v>
      </c>
      <c r="D481" s="251" t="s">
        <v>5251</v>
      </c>
      <c r="E481" s="251" t="s">
        <v>5252</v>
      </c>
      <c r="F481" s="251" t="s">
        <v>5316</v>
      </c>
      <c r="G481" s="251" t="s">
        <v>5317</v>
      </c>
      <c r="H481" s="222" t="s">
        <v>5289</v>
      </c>
      <c r="I481" s="251" t="s">
        <v>5290</v>
      </c>
      <c r="J481" s="251" t="s">
        <v>5291</v>
      </c>
      <c r="K481" s="251" t="s">
        <v>5330</v>
      </c>
      <c r="BB481"/>
    </row>
    <row r="482" spans="1:54" x14ac:dyDescent="0.2">
      <c r="A482" s="225" t="str">
        <f t="shared" si="7"/>
        <v>Long Term Marketable Securities</v>
      </c>
      <c r="B482" s="218" t="s">
        <v>819</v>
      </c>
      <c r="C482" s="251" t="s">
        <v>4172</v>
      </c>
      <c r="D482" s="251" t="s">
        <v>4173</v>
      </c>
      <c r="E482" s="251" t="s">
        <v>4174</v>
      </c>
      <c r="F482" s="251" t="s">
        <v>4297</v>
      </c>
      <c r="G482" s="251" t="s">
        <v>4298</v>
      </c>
      <c r="H482" s="252" t="s">
        <v>4234</v>
      </c>
      <c r="I482" s="251" t="s">
        <v>4235</v>
      </c>
      <c r="J482" s="251" t="s">
        <v>4236</v>
      </c>
      <c r="K482" s="251" t="s">
        <v>4338</v>
      </c>
      <c r="BB482"/>
    </row>
    <row r="483" spans="1:54" x14ac:dyDescent="0.2">
      <c r="A483" s="225" t="str">
        <f t="shared" si="7"/>
        <v>Advances for Supplies</v>
      </c>
      <c r="B483" s="218" t="s">
        <v>820</v>
      </c>
      <c r="C483" s="251" t="s">
        <v>4175</v>
      </c>
      <c r="D483" s="251" t="s">
        <v>4176</v>
      </c>
      <c r="E483" s="251" t="s">
        <v>4177</v>
      </c>
      <c r="F483" s="251" t="s">
        <v>4299</v>
      </c>
      <c r="G483" s="251" t="s">
        <v>4300</v>
      </c>
      <c r="H483" s="252" t="s">
        <v>4237</v>
      </c>
      <c r="I483" s="251" t="s">
        <v>4238</v>
      </c>
      <c r="J483" s="251" t="s">
        <v>4239</v>
      </c>
      <c r="K483" s="251" t="s">
        <v>4339</v>
      </c>
      <c r="BB483"/>
    </row>
    <row r="484" spans="1:54" x14ac:dyDescent="0.2">
      <c r="A484" s="225" t="str">
        <f t="shared" si="7"/>
        <v>Goodwill and Intangibles (Net)</v>
      </c>
      <c r="B484" s="218" t="s">
        <v>821</v>
      </c>
      <c r="C484" s="251" t="s">
        <v>4178</v>
      </c>
      <c r="D484" s="251" t="s">
        <v>4179</v>
      </c>
      <c r="E484" s="251" t="s">
        <v>4180</v>
      </c>
      <c r="F484" s="251" t="s">
        <v>4301</v>
      </c>
      <c r="G484" s="251" t="s">
        <v>4302</v>
      </c>
      <c r="H484" s="252" t="s">
        <v>4240</v>
      </c>
      <c r="I484" s="251" t="s">
        <v>4241</v>
      </c>
      <c r="J484" s="251" t="s">
        <v>4242</v>
      </c>
      <c r="K484" s="251" t="s">
        <v>4340</v>
      </c>
      <c r="BB484"/>
    </row>
    <row r="485" spans="1:54" x14ac:dyDescent="0.2">
      <c r="A485" s="225" t="str">
        <f t="shared" si="7"/>
        <v>Goodwill (Net)</v>
      </c>
      <c r="B485" s="218" t="s">
        <v>822</v>
      </c>
      <c r="C485" s="251" t="s">
        <v>4181</v>
      </c>
      <c r="D485" s="251" t="s">
        <v>4182</v>
      </c>
      <c r="E485" s="251" t="s">
        <v>4183</v>
      </c>
      <c r="F485" s="251" t="s">
        <v>4303</v>
      </c>
      <c r="G485" s="251" t="s">
        <v>4304</v>
      </c>
      <c r="H485" s="252" t="s">
        <v>4243</v>
      </c>
      <c r="I485" s="251" t="s">
        <v>4244</v>
      </c>
      <c r="J485" s="251" t="s">
        <v>4245</v>
      </c>
      <c r="K485" s="251" t="s">
        <v>4341</v>
      </c>
      <c r="BB485"/>
    </row>
    <row r="486" spans="1:54" x14ac:dyDescent="0.2">
      <c r="A486" s="225" t="str">
        <f t="shared" si="7"/>
        <v>Intangibles (Net)</v>
      </c>
      <c r="B486" s="218" t="s">
        <v>823</v>
      </c>
      <c r="C486" s="251" t="s">
        <v>4184</v>
      </c>
      <c r="D486" s="251" t="s">
        <v>4185</v>
      </c>
      <c r="E486" s="251" t="s">
        <v>4186</v>
      </c>
      <c r="F486" s="251" t="s">
        <v>4305</v>
      </c>
      <c r="G486" s="251" t="s">
        <v>4306</v>
      </c>
      <c r="H486" s="252" t="s">
        <v>4246</v>
      </c>
      <c r="I486" s="251" t="s">
        <v>4247</v>
      </c>
      <c r="J486" s="251" t="s">
        <v>4248</v>
      </c>
      <c r="K486" s="251" t="s">
        <v>4342</v>
      </c>
      <c r="BB486"/>
    </row>
    <row r="487" spans="1:54" x14ac:dyDescent="0.2">
      <c r="A487" s="225" t="str">
        <f t="shared" si="7"/>
        <v>Intercompany Current Assets</v>
      </c>
      <c r="B487" s="267" t="s">
        <v>8260</v>
      </c>
      <c r="C487" s="251" t="s">
        <v>4187</v>
      </c>
      <c r="D487" s="251" t="s">
        <v>4188</v>
      </c>
      <c r="E487" s="251" t="s">
        <v>4189</v>
      </c>
      <c r="F487" s="251" t="s">
        <v>4307</v>
      </c>
      <c r="G487" s="251" t="s">
        <v>4308</v>
      </c>
      <c r="H487" s="252" t="s">
        <v>4249</v>
      </c>
      <c r="I487" s="251" t="s">
        <v>4250</v>
      </c>
      <c r="J487" s="251" t="s">
        <v>4251</v>
      </c>
      <c r="K487" s="251" t="s">
        <v>4343</v>
      </c>
      <c r="BB487"/>
    </row>
    <row r="488" spans="1:54" x14ac:dyDescent="0.2">
      <c r="A488" s="225" t="str">
        <f t="shared" si="7"/>
        <v>Intercompany Non-Current Assets</v>
      </c>
      <c r="B488" s="218" t="s">
        <v>824</v>
      </c>
      <c r="C488" s="251" t="s">
        <v>4190</v>
      </c>
      <c r="D488" s="251" t="s">
        <v>4191</v>
      </c>
      <c r="E488" s="251" t="s">
        <v>4192</v>
      </c>
      <c r="F488" s="251" t="s">
        <v>4309</v>
      </c>
      <c r="G488" s="251" t="s">
        <v>4310</v>
      </c>
      <c r="H488" s="252" t="s">
        <v>4252</v>
      </c>
      <c r="I488" s="251" t="s">
        <v>4253</v>
      </c>
      <c r="J488" s="251" t="s">
        <v>4254</v>
      </c>
      <c r="K488" s="251" t="s">
        <v>4344</v>
      </c>
      <c r="BB488"/>
    </row>
    <row r="489" spans="1:54" x14ac:dyDescent="0.2">
      <c r="A489" s="225" t="str">
        <f t="shared" si="7"/>
        <v>Intercompany Current Liabilities</v>
      </c>
      <c r="B489" s="218" t="s">
        <v>825</v>
      </c>
      <c r="C489" s="251" t="s">
        <v>4193</v>
      </c>
      <c r="D489" s="251" t="s">
        <v>4194</v>
      </c>
      <c r="E489" s="251" t="s">
        <v>4195</v>
      </c>
      <c r="F489" s="251" t="s">
        <v>4311</v>
      </c>
      <c r="G489" s="251" t="s">
        <v>4312</v>
      </c>
      <c r="H489" s="252" t="s">
        <v>4255</v>
      </c>
      <c r="I489" s="251" t="s">
        <v>4256</v>
      </c>
      <c r="J489" s="251" t="s">
        <v>4257</v>
      </c>
      <c r="K489" s="251" t="s">
        <v>4345</v>
      </c>
      <c r="BB489"/>
    </row>
    <row r="490" spans="1:54" x14ac:dyDescent="0.2">
      <c r="A490" s="225" t="str">
        <f t="shared" si="7"/>
        <v>Intercompany Non-Current Liabilities</v>
      </c>
      <c r="B490" s="218" t="s">
        <v>826</v>
      </c>
      <c r="C490" s="251" t="s">
        <v>4196</v>
      </c>
      <c r="D490" s="251" t="s">
        <v>4197</v>
      </c>
      <c r="E490" s="251" t="s">
        <v>4198</v>
      </c>
      <c r="F490" s="251" t="s">
        <v>4313</v>
      </c>
      <c r="G490" s="251" t="s">
        <v>4314</v>
      </c>
      <c r="H490" s="252" t="s">
        <v>4258</v>
      </c>
      <c r="I490" s="251" t="s">
        <v>4259</v>
      </c>
      <c r="J490" s="251" t="s">
        <v>4260</v>
      </c>
      <c r="K490" s="251" t="s">
        <v>4346</v>
      </c>
      <c r="BB490"/>
    </row>
    <row r="491" spans="1:54" x14ac:dyDescent="0.2">
      <c r="A491" s="225" t="str">
        <f t="shared" si="7"/>
        <v>Auditor Name</v>
      </c>
      <c r="B491" s="218" t="s">
        <v>660</v>
      </c>
      <c r="C491" s="251" t="s">
        <v>4199</v>
      </c>
      <c r="D491" s="251" t="s">
        <v>4200</v>
      </c>
      <c r="E491" s="251" t="s">
        <v>4201</v>
      </c>
      <c r="F491" s="251" t="s">
        <v>4315</v>
      </c>
      <c r="G491" s="251" t="s">
        <v>4316</v>
      </c>
      <c r="H491" s="252" t="s">
        <v>4261</v>
      </c>
      <c r="I491" s="251" t="s">
        <v>4262</v>
      </c>
      <c r="J491" s="251" t="s">
        <v>4263</v>
      </c>
      <c r="K491" s="251" t="s">
        <v>4347</v>
      </c>
      <c r="BB491"/>
    </row>
    <row r="492" spans="1:54" x14ac:dyDescent="0.2">
      <c r="A492" s="225" t="str">
        <f t="shared" si="7"/>
        <v>Auditor Opinion</v>
      </c>
      <c r="B492" s="218" t="s">
        <v>661</v>
      </c>
      <c r="C492" s="251" t="s">
        <v>4202</v>
      </c>
      <c r="D492" s="251" t="s">
        <v>4203</v>
      </c>
      <c r="E492" s="251" t="s">
        <v>4204</v>
      </c>
      <c r="F492" s="251" t="s">
        <v>4317</v>
      </c>
      <c r="G492" s="251" t="s">
        <v>4318</v>
      </c>
      <c r="H492" s="252" t="s">
        <v>4264</v>
      </c>
      <c r="I492" s="251" t="s">
        <v>4265</v>
      </c>
      <c r="J492" s="251" t="s">
        <v>4266</v>
      </c>
      <c r="K492" s="251" t="s">
        <v>4348</v>
      </c>
      <c r="BB492"/>
    </row>
    <row r="493" spans="1:54" x14ac:dyDescent="0.2">
      <c r="A493" s="225" t="str">
        <f t="shared" si="7"/>
        <v>Pension</v>
      </c>
      <c r="B493" s="218" t="s">
        <v>632</v>
      </c>
      <c r="C493" s="251" t="s">
        <v>4205</v>
      </c>
      <c r="D493" s="251" t="s">
        <v>4206</v>
      </c>
      <c r="E493" s="251" t="s">
        <v>632</v>
      </c>
      <c r="F493" s="251" t="s">
        <v>632</v>
      </c>
      <c r="G493" s="251" t="s">
        <v>4319</v>
      </c>
      <c r="H493" s="252" t="s">
        <v>4267</v>
      </c>
      <c r="I493" s="251" t="s">
        <v>4268</v>
      </c>
      <c r="J493" s="251" t="s">
        <v>4269</v>
      </c>
      <c r="K493" s="251" t="s">
        <v>4349</v>
      </c>
      <c r="BB493"/>
    </row>
    <row r="494" spans="1:54" x14ac:dyDescent="0.2">
      <c r="A494" s="225" t="str">
        <f t="shared" si="7"/>
        <v>Defined Benefit Net Periodic Cost</v>
      </c>
      <c r="B494" s="218" t="s">
        <v>456</v>
      </c>
      <c r="C494" s="251" t="s">
        <v>4207</v>
      </c>
      <c r="D494" s="251" t="s">
        <v>4208</v>
      </c>
      <c r="E494" s="251" t="s">
        <v>4209</v>
      </c>
      <c r="F494" s="251" t="s">
        <v>4320</v>
      </c>
      <c r="G494" s="251" t="s">
        <v>4321</v>
      </c>
      <c r="H494" s="252" t="s">
        <v>4270</v>
      </c>
      <c r="I494" s="251" t="s">
        <v>4271</v>
      </c>
      <c r="J494" s="251" t="s">
        <v>4272</v>
      </c>
      <c r="K494" s="251" t="s">
        <v>4350</v>
      </c>
      <c r="BB494"/>
    </row>
    <row r="495" spans="1:54" x14ac:dyDescent="0.2">
      <c r="A495" s="225" t="str">
        <f t="shared" si="7"/>
        <v>Def. Benefit Service Cost</v>
      </c>
      <c r="B495" s="218" t="s">
        <v>449</v>
      </c>
      <c r="C495" s="251" t="s">
        <v>4210</v>
      </c>
      <c r="D495" s="251" t="s">
        <v>4211</v>
      </c>
      <c r="E495" s="251" t="s">
        <v>4212</v>
      </c>
      <c r="F495" s="251" t="s">
        <v>4322</v>
      </c>
      <c r="G495" s="251" t="s">
        <v>4323</v>
      </c>
      <c r="H495" s="252" t="s">
        <v>4273</v>
      </c>
      <c r="I495" s="251" t="s">
        <v>4274</v>
      </c>
      <c r="J495" s="251" t="s">
        <v>4275</v>
      </c>
      <c r="K495" s="251" t="s">
        <v>4351</v>
      </c>
      <c r="BB495"/>
    </row>
    <row r="496" spans="1:54" x14ac:dyDescent="0.2">
      <c r="A496" s="225" t="str">
        <f t="shared" si="7"/>
        <v>Def. Benefit Interest Cost</v>
      </c>
      <c r="B496" s="218" t="s">
        <v>450</v>
      </c>
      <c r="C496" s="251" t="s">
        <v>4213</v>
      </c>
      <c r="D496" s="251" t="s">
        <v>4214</v>
      </c>
      <c r="E496" s="251" t="s">
        <v>4215</v>
      </c>
      <c r="F496" s="251" t="s">
        <v>4324</v>
      </c>
      <c r="G496" s="251" t="s">
        <v>4325</v>
      </c>
      <c r="H496" s="252" t="s">
        <v>4276</v>
      </c>
      <c r="I496" s="251" t="s">
        <v>4277</v>
      </c>
      <c r="J496" s="251" t="s">
        <v>4278</v>
      </c>
      <c r="K496" s="251" t="s">
        <v>4352</v>
      </c>
      <c r="BB496"/>
    </row>
    <row r="497" spans="1:54" x14ac:dyDescent="0.2">
      <c r="A497" s="225" t="str">
        <f t="shared" si="7"/>
        <v>Def. Benefit Return on Assets</v>
      </c>
      <c r="B497" s="218" t="s">
        <v>451</v>
      </c>
      <c r="C497" s="251" t="s">
        <v>4216</v>
      </c>
      <c r="D497" s="251" t="s">
        <v>4217</v>
      </c>
      <c r="E497" s="251" t="s">
        <v>4218</v>
      </c>
      <c r="F497" s="251" t="s">
        <v>4326</v>
      </c>
      <c r="G497" s="251" t="s">
        <v>4327</v>
      </c>
      <c r="H497" s="252" t="s">
        <v>4279</v>
      </c>
      <c r="I497" s="251" t="s">
        <v>4280</v>
      </c>
      <c r="J497" s="251" t="s">
        <v>4281</v>
      </c>
      <c r="K497" s="251" t="s">
        <v>4353</v>
      </c>
      <c r="BB497"/>
    </row>
    <row r="498" spans="1:54" x14ac:dyDescent="0.2">
      <c r="A498" s="225" t="str">
        <f t="shared" si="7"/>
        <v>Def. Benefit Other Cost</v>
      </c>
      <c r="B498" s="218" t="s">
        <v>452</v>
      </c>
      <c r="C498" s="251" t="s">
        <v>4219</v>
      </c>
      <c r="D498" s="251" t="s">
        <v>4220</v>
      </c>
      <c r="E498" s="251" t="s">
        <v>4221</v>
      </c>
      <c r="F498" s="251" t="s">
        <v>4328</v>
      </c>
      <c r="G498" s="251" t="s">
        <v>4329</v>
      </c>
      <c r="H498" s="252" t="s">
        <v>4282</v>
      </c>
      <c r="I498" s="251" t="s">
        <v>4283</v>
      </c>
      <c r="J498" s="251" t="s">
        <v>4284</v>
      </c>
      <c r="K498" s="251" t="s">
        <v>4354</v>
      </c>
      <c r="BB498"/>
    </row>
    <row r="499" spans="1:54" x14ac:dyDescent="0.2">
      <c r="A499" s="225" t="str">
        <f t="shared" si="7"/>
        <v>Def. Benefit Total Cost</v>
      </c>
      <c r="B499" s="218" t="s">
        <v>453</v>
      </c>
      <c r="C499" s="251" t="s">
        <v>4222</v>
      </c>
      <c r="D499" s="251" t="s">
        <v>4223</v>
      </c>
      <c r="E499" s="251" t="s">
        <v>4224</v>
      </c>
      <c r="F499" s="251" t="s">
        <v>4330</v>
      </c>
      <c r="G499" s="251" t="s">
        <v>4331</v>
      </c>
      <c r="H499" s="252" t="s">
        <v>4285</v>
      </c>
      <c r="I499" s="251" t="s">
        <v>4286</v>
      </c>
      <c r="J499" s="251" t="s">
        <v>4287</v>
      </c>
      <c r="K499" s="251" t="s">
        <v>4355</v>
      </c>
      <c r="BB499"/>
    </row>
    <row r="500" spans="1:54" x14ac:dyDescent="0.2">
      <c r="A500" s="225" t="str">
        <f t="shared" si="7"/>
        <v>Def. Benefit Total Cost of Supple Plans</v>
      </c>
      <c r="B500" s="218" t="s">
        <v>2</v>
      </c>
      <c r="C500" s="251" t="s">
        <v>4225</v>
      </c>
      <c r="D500" s="251" t="s">
        <v>4226</v>
      </c>
      <c r="E500" s="251" t="s">
        <v>4227</v>
      </c>
      <c r="F500" s="251" t="s">
        <v>4332</v>
      </c>
      <c r="G500" s="251" t="s">
        <v>4333</v>
      </c>
      <c r="H500" s="252" t="s">
        <v>4288</v>
      </c>
      <c r="I500" s="251" t="s">
        <v>4289</v>
      </c>
      <c r="J500" s="251" t="s">
        <v>4290</v>
      </c>
      <c r="K500" s="251" t="s">
        <v>4356</v>
      </c>
      <c r="BB500"/>
    </row>
    <row r="501" spans="1:54" x14ac:dyDescent="0.2">
      <c r="A501" s="225" t="str">
        <f t="shared" si="7"/>
        <v>Def. Contribution Cost</v>
      </c>
      <c r="B501" s="218" t="s">
        <v>454</v>
      </c>
      <c r="C501" s="251" t="s">
        <v>4228</v>
      </c>
      <c r="D501" s="251" t="s">
        <v>4229</v>
      </c>
      <c r="E501" s="251" t="s">
        <v>4230</v>
      </c>
      <c r="F501" s="251" t="s">
        <v>4334</v>
      </c>
      <c r="G501" s="251" t="s">
        <v>4335</v>
      </c>
      <c r="H501" s="252" t="s">
        <v>4291</v>
      </c>
      <c r="I501" s="251" t="s">
        <v>4292</v>
      </c>
      <c r="J501" s="251" t="s">
        <v>4293</v>
      </c>
      <c r="K501" s="251" t="s">
        <v>4357</v>
      </c>
      <c r="BB501"/>
    </row>
    <row r="502" spans="1:54" x14ac:dyDescent="0.2">
      <c r="A502" s="225" t="str">
        <f t="shared" si="7"/>
        <v>Total Pension Expense</v>
      </c>
      <c r="B502" s="218" t="s">
        <v>455</v>
      </c>
      <c r="C502" s="251" t="s">
        <v>4231</v>
      </c>
      <c r="D502" s="251" t="s">
        <v>4232</v>
      </c>
      <c r="E502" s="251" t="s">
        <v>4233</v>
      </c>
      <c r="F502" s="251" t="s">
        <v>4336</v>
      </c>
      <c r="G502" s="251" t="s">
        <v>4337</v>
      </c>
      <c r="H502" s="252" t="s">
        <v>4294</v>
      </c>
      <c r="I502" s="251" t="s">
        <v>4295</v>
      </c>
      <c r="J502" s="251" t="s">
        <v>4296</v>
      </c>
      <c r="K502" s="251" t="s">
        <v>4358</v>
      </c>
      <c r="BB502"/>
    </row>
    <row r="503" spans="1:54" x14ac:dyDescent="0.2">
      <c r="A503" s="225" t="str">
        <f t="shared" si="7"/>
        <v>Defined Benefit Obligation</v>
      </c>
      <c r="B503" s="218" t="s">
        <v>457</v>
      </c>
      <c r="C503" s="251" t="s">
        <v>4359</v>
      </c>
      <c r="D503" s="251" t="s">
        <v>4360</v>
      </c>
      <c r="E503" s="251" t="s">
        <v>4361</v>
      </c>
      <c r="F503" s="251" t="s">
        <v>4371</v>
      </c>
      <c r="G503" s="251" t="s">
        <v>4372</v>
      </c>
      <c r="H503" s="252" t="s">
        <v>4365</v>
      </c>
      <c r="I503" s="251" t="s">
        <v>4366</v>
      </c>
      <c r="J503" s="251" t="s">
        <v>4367</v>
      </c>
      <c r="K503" s="251" t="s">
        <v>4375</v>
      </c>
      <c r="BB503"/>
    </row>
    <row r="504" spans="1:54" x14ac:dyDescent="0.2">
      <c r="A504" s="225" t="str">
        <f t="shared" si="7"/>
        <v>Beg. Def. Benefit Obligation</v>
      </c>
      <c r="B504" s="218" t="s">
        <v>458</v>
      </c>
      <c r="C504" s="251" t="s">
        <v>4362</v>
      </c>
      <c r="D504" s="251" t="s">
        <v>4363</v>
      </c>
      <c r="E504" s="251" t="s">
        <v>4364</v>
      </c>
      <c r="F504" s="251" t="s">
        <v>4373</v>
      </c>
      <c r="G504" s="251" t="s">
        <v>4374</v>
      </c>
      <c r="H504" s="252" t="s">
        <v>4368</v>
      </c>
      <c r="I504" s="251" t="s">
        <v>4369</v>
      </c>
      <c r="J504" s="251" t="s">
        <v>4370</v>
      </c>
      <c r="K504" s="251" t="s">
        <v>4376</v>
      </c>
      <c r="BB504"/>
    </row>
    <row r="505" spans="1:54" x14ac:dyDescent="0.2">
      <c r="A505" s="225" t="str">
        <f t="shared" si="7"/>
        <v>Def. Benefit Employee Contributions</v>
      </c>
      <c r="B505" s="218" t="s">
        <v>459</v>
      </c>
      <c r="C505" s="251" t="s">
        <v>4377</v>
      </c>
      <c r="D505" s="251" t="s">
        <v>4378</v>
      </c>
      <c r="E505" s="251" t="s">
        <v>4379</v>
      </c>
      <c r="F505" s="251" t="s">
        <v>4423</v>
      </c>
      <c r="G505" s="251" t="s">
        <v>4424</v>
      </c>
      <c r="H505" s="252" t="s">
        <v>4399</v>
      </c>
      <c r="I505" s="251" t="s">
        <v>4400</v>
      </c>
      <c r="J505" s="251" t="s">
        <v>4401</v>
      </c>
      <c r="K505" s="251" t="s">
        <v>4438</v>
      </c>
      <c r="BB505"/>
    </row>
    <row r="506" spans="1:54" x14ac:dyDescent="0.2">
      <c r="A506" s="225" t="str">
        <f t="shared" si="7"/>
        <v>Def. Benefit Actuarial Gain/Losses</v>
      </c>
      <c r="B506" s="218" t="s">
        <v>460</v>
      </c>
      <c r="C506" s="251" t="s">
        <v>4380</v>
      </c>
      <c r="D506" s="251" t="s">
        <v>4381</v>
      </c>
      <c r="E506" s="251" t="s">
        <v>4382</v>
      </c>
      <c r="F506" s="251" t="s">
        <v>4425</v>
      </c>
      <c r="G506" s="251" t="s">
        <v>4426</v>
      </c>
      <c r="H506" s="252" t="s">
        <v>4402</v>
      </c>
      <c r="I506" s="251" t="s">
        <v>4403</v>
      </c>
      <c r="J506" s="251" t="s">
        <v>4404</v>
      </c>
      <c r="K506" s="251" t="s">
        <v>4439</v>
      </c>
      <c r="BB506"/>
    </row>
    <row r="507" spans="1:54" x14ac:dyDescent="0.2">
      <c r="A507" s="225" t="str">
        <f t="shared" si="7"/>
        <v>Def. Benefits Paid</v>
      </c>
      <c r="B507" s="218" t="s">
        <v>8248</v>
      </c>
      <c r="C507" s="251" t="s">
        <v>4383</v>
      </c>
      <c r="D507" s="251" t="s">
        <v>4384</v>
      </c>
      <c r="E507" s="251" t="s">
        <v>4385</v>
      </c>
      <c r="F507" s="251" t="s">
        <v>4427</v>
      </c>
      <c r="G507" s="251" t="s">
        <v>4428</v>
      </c>
      <c r="H507" s="252" t="s">
        <v>4405</v>
      </c>
      <c r="I507" s="251" t="s">
        <v>4406</v>
      </c>
      <c r="J507" s="251" t="s">
        <v>4407</v>
      </c>
      <c r="K507" s="251" t="s">
        <v>4440</v>
      </c>
      <c r="BB507"/>
    </row>
    <row r="508" spans="1:54" x14ac:dyDescent="0.2">
      <c r="A508" s="225" t="str">
        <f t="shared" si="7"/>
        <v>Foreign Exchange Adj.</v>
      </c>
      <c r="B508" s="218" t="s">
        <v>461</v>
      </c>
      <c r="C508" s="251" t="s">
        <v>2875</v>
      </c>
      <c r="D508" s="251" t="s">
        <v>2876</v>
      </c>
      <c r="E508" s="251" t="s">
        <v>4386</v>
      </c>
      <c r="F508" s="251" t="s">
        <v>4429</v>
      </c>
      <c r="G508" s="251" t="s">
        <v>4430</v>
      </c>
      <c r="H508" s="252" t="s">
        <v>4408</v>
      </c>
      <c r="I508" s="251" t="s">
        <v>4409</v>
      </c>
      <c r="J508" s="251" t="s">
        <v>4410</v>
      </c>
      <c r="K508" s="251" t="s">
        <v>3173</v>
      </c>
      <c r="BB508"/>
    </row>
    <row r="509" spans="1:54" x14ac:dyDescent="0.2">
      <c r="A509" s="225" t="str">
        <f t="shared" si="7"/>
        <v>Acq. Benefit Obligation</v>
      </c>
      <c r="B509" s="218" t="s">
        <v>462</v>
      </c>
      <c r="C509" s="251" t="s">
        <v>4387</v>
      </c>
      <c r="D509" s="251" t="s">
        <v>4388</v>
      </c>
      <c r="E509" s="251" t="s">
        <v>4389</v>
      </c>
      <c r="F509" s="251" t="s">
        <v>2824</v>
      </c>
      <c r="G509" s="251" t="s">
        <v>4431</v>
      </c>
      <c r="H509" s="252" t="s">
        <v>4411</v>
      </c>
      <c r="I509" s="251" t="s">
        <v>4412</v>
      </c>
      <c r="J509" s="251" t="s">
        <v>4413</v>
      </c>
      <c r="K509" s="251" t="s">
        <v>4441</v>
      </c>
      <c r="BB509"/>
    </row>
    <row r="510" spans="1:54" x14ac:dyDescent="0.2">
      <c r="A510" s="225" t="str">
        <f t="shared" si="7"/>
        <v>Def. Benefit Settlement/Curtailment</v>
      </c>
      <c r="B510" s="218" t="s">
        <v>463</v>
      </c>
      <c r="C510" s="251" t="s">
        <v>4390</v>
      </c>
      <c r="D510" s="251" t="s">
        <v>4391</v>
      </c>
      <c r="E510" s="251" t="s">
        <v>4392</v>
      </c>
      <c r="F510" s="251" t="s">
        <v>4432</v>
      </c>
      <c r="G510" s="251" t="s">
        <v>4433</v>
      </c>
      <c r="H510" s="252" t="s">
        <v>4414</v>
      </c>
      <c r="I510" s="251" t="s">
        <v>4415</v>
      </c>
      <c r="J510" s="251" t="s">
        <v>4416</v>
      </c>
      <c r="K510" s="251" t="s">
        <v>4442</v>
      </c>
      <c r="BB510"/>
    </row>
    <row r="511" spans="1:54" x14ac:dyDescent="0.2">
      <c r="A511" s="225" t="str">
        <f t="shared" si="7"/>
        <v>Other Adj. To Def. Benefit Obligation</v>
      </c>
      <c r="B511" s="218" t="s">
        <v>464</v>
      </c>
      <c r="C511" s="251" t="s">
        <v>4393</v>
      </c>
      <c r="D511" s="251" t="s">
        <v>4394</v>
      </c>
      <c r="E511" s="251" t="s">
        <v>4395</v>
      </c>
      <c r="F511" s="251" t="s">
        <v>4434</v>
      </c>
      <c r="G511" s="251" t="s">
        <v>4435</v>
      </c>
      <c r="H511" s="252" t="s">
        <v>4417</v>
      </c>
      <c r="I511" s="251" t="s">
        <v>4418</v>
      </c>
      <c r="J511" s="251" t="s">
        <v>4419</v>
      </c>
      <c r="K511" s="251" t="s">
        <v>4443</v>
      </c>
      <c r="BB511"/>
    </row>
    <row r="512" spans="1:54" x14ac:dyDescent="0.2">
      <c r="A512" s="225" t="str">
        <f t="shared" si="7"/>
        <v>Proj. Benefit Obligation</v>
      </c>
      <c r="B512" s="218" t="s">
        <v>465</v>
      </c>
      <c r="C512" s="251" t="s">
        <v>4396</v>
      </c>
      <c r="D512" s="251" t="s">
        <v>4397</v>
      </c>
      <c r="E512" s="251" t="s">
        <v>4398</v>
      </c>
      <c r="F512" s="251" t="s">
        <v>4436</v>
      </c>
      <c r="G512" s="251" t="s">
        <v>4437</v>
      </c>
      <c r="H512" s="252" t="s">
        <v>4420</v>
      </c>
      <c r="I512" s="251" t="s">
        <v>4421</v>
      </c>
      <c r="J512" s="251" t="s">
        <v>4422</v>
      </c>
      <c r="K512" s="251" t="s">
        <v>4444</v>
      </c>
      <c r="BB512"/>
    </row>
    <row r="513" spans="1:54" x14ac:dyDescent="0.2">
      <c r="A513" s="225" t="str">
        <f t="shared" si="7"/>
        <v>Accum. Benefit Obligation (Pension)</v>
      </c>
      <c r="B513" s="218" t="s">
        <v>466</v>
      </c>
      <c r="C513" s="251" t="s">
        <v>2856</v>
      </c>
      <c r="D513" s="251" t="s">
        <v>2857</v>
      </c>
      <c r="E513" s="251" t="s">
        <v>2858</v>
      </c>
      <c r="F513" s="251" t="s">
        <v>3088</v>
      </c>
      <c r="G513" s="251" t="s">
        <v>3089</v>
      </c>
      <c r="H513" s="252" t="s">
        <v>2971</v>
      </c>
      <c r="I513" s="251" t="s">
        <v>2972</v>
      </c>
      <c r="J513" s="251" t="s">
        <v>2973</v>
      </c>
      <c r="K513" s="251" t="s">
        <v>3166</v>
      </c>
      <c r="BB513"/>
    </row>
    <row r="514" spans="1:54" x14ac:dyDescent="0.2">
      <c r="A514" s="225" t="str">
        <f t="shared" si="7"/>
        <v>Plan Assets</v>
      </c>
      <c r="B514" s="218" t="s">
        <v>467</v>
      </c>
      <c r="C514" s="251" t="s">
        <v>2859</v>
      </c>
      <c r="D514" s="251" t="s">
        <v>2860</v>
      </c>
      <c r="E514" s="251" t="s">
        <v>2861</v>
      </c>
      <c r="F514" s="251" t="s">
        <v>3090</v>
      </c>
      <c r="G514" s="251" t="s">
        <v>3091</v>
      </c>
      <c r="H514" s="252" t="s">
        <v>2974</v>
      </c>
      <c r="I514" s="251" t="s">
        <v>2975</v>
      </c>
      <c r="J514" s="251" t="s">
        <v>2976</v>
      </c>
      <c r="K514" s="251" t="s">
        <v>3167</v>
      </c>
      <c r="BB514"/>
    </row>
    <row r="515" spans="1:54" x14ac:dyDescent="0.2">
      <c r="A515" s="225" t="str">
        <f t="shared" si="7"/>
        <v>Beg. Plan Assets</v>
      </c>
      <c r="B515" s="218" t="s">
        <v>468</v>
      </c>
      <c r="C515" s="251" t="s">
        <v>2862</v>
      </c>
      <c r="D515" s="251" t="s">
        <v>2863</v>
      </c>
      <c r="E515" s="251" t="s">
        <v>2864</v>
      </c>
      <c r="F515" s="251" t="s">
        <v>3092</v>
      </c>
      <c r="G515" s="251" t="s">
        <v>3093</v>
      </c>
      <c r="H515" s="252" t="s">
        <v>2977</v>
      </c>
      <c r="I515" s="251" t="s">
        <v>2978</v>
      </c>
      <c r="J515" s="251" t="s">
        <v>2979</v>
      </c>
      <c r="K515" s="251" t="s">
        <v>3168</v>
      </c>
      <c r="BB515"/>
    </row>
    <row r="516" spans="1:54" x14ac:dyDescent="0.2">
      <c r="A516" s="225" t="str">
        <f t="shared" si="7"/>
        <v>Actual Return on Plan Assets</v>
      </c>
      <c r="B516" s="218" t="s">
        <v>469</v>
      </c>
      <c r="C516" s="251" t="s">
        <v>2865</v>
      </c>
      <c r="D516" s="251" t="s">
        <v>2866</v>
      </c>
      <c r="E516" s="251" t="s">
        <v>2867</v>
      </c>
      <c r="F516" s="251" t="s">
        <v>3094</v>
      </c>
      <c r="G516" s="251" t="s">
        <v>3095</v>
      </c>
      <c r="H516" s="252" t="s">
        <v>2980</v>
      </c>
      <c r="I516" s="251" t="s">
        <v>2981</v>
      </c>
      <c r="J516" s="251" t="s">
        <v>2982</v>
      </c>
      <c r="K516" s="251" t="s">
        <v>3169</v>
      </c>
      <c r="BB516"/>
    </row>
    <row r="517" spans="1:54" x14ac:dyDescent="0.2">
      <c r="A517" s="225" t="str">
        <f t="shared" si="7"/>
        <v>Employer Contributions</v>
      </c>
      <c r="B517" s="218" t="s">
        <v>470</v>
      </c>
      <c r="C517" s="251" t="s">
        <v>2868</v>
      </c>
      <c r="D517" s="251" t="s">
        <v>2868</v>
      </c>
      <c r="E517" s="251" t="s">
        <v>2869</v>
      </c>
      <c r="F517" s="251" t="s">
        <v>3096</v>
      </c>
      <c r="G517" s="251" t="s">
        <v>3097</v>
      </c>
      <c r="H517" s="252" t="s">
        <v>2983</v>
      </c>
      <c r="I517" s="251" t="s">
        <v>2984</v>
      </c>
      <c r="J517" s="251" t="s">
        <v>2985</v>
      </c>
      <c r="K517" s="251" t="s">
        <v>3170</v>
      </c>
      <c r="BB517"/>
    </row>
    <row r="518" spans="1:54" x14ac:dyDescent="0.2">
      <c r="A518" s="225" t="str">
        <f t="shared" si="7"/>
        <v>Participant Contributions</v>
      </c>
      <c r="B518" s="218" t="s">
        <v>471</v>
      </c>
      <c r="C518" s="251" t="s">
        <v>2870</v>
      </c>
      <c r="D518" s="251" t="s">
        <v>2871</v>
      </c>
      <c r="E518" s="251" t="s">
        <v>2872</v>
      </c>
      <c r="F518" s="251" t="s">
        <v>3098</v>
      </c>
      <c r="G518" s="251" t="s">
        <v>3099</v>
      </c>
      <c r="H518" s="252" t="s">
        <v>2986</v>
      </c>
      <c r="I518" s="251" t="s">
        <v>2987</v>
      </c>
      <c r="J518" s="251" t="s">
        <v>2988</v>
      </c>
      <c r="K518" s="251" t="s">
        <v>3171</v>
      </c>
      <c r="BB518"/>
    </row>
    <row r="519" spans="1:54" x14ac:dyDescent="0.2">
      <c r="A519" s="225" t="str">
        <f t="shared" si="7"/>
        <v>Benefits Paid</v>
      </c>
      <c r="B519" s="218" t="s">
        <v>472</v>
      </c>
      <c r="C519" s="251" t="s">
        <v>2873</v>
      </c>
      <c r="D519" s="251" t="s">
        <v>2873</v>
      </c>
      <c r="E519" s="251" t="s">
        <v>2874</v>
      </c>
      <c r="F519" s="251" t="s">
        <v>3100</v>
      </c>
      <c r="G519" s="251" t="s">
        <v>3101</v>
      </c>
      <c r="H519" s="252" t="s">
        <v>2989</v>
      </c>
      <c r="I519" s="251" t="s">
        <v>2990</v>
      </c>
      <c r="J519" s="251" t="s">
        <v>2991</v>
      </c>
      <c r="K519" s="251" t="s">
        <v>3172</v>
      </c>
      <c r="BB519"/>
    </row>
    <row r="520" spans="1:54" x14ac:dyDescent="0.2">
      <c r="A520" s="225" t="str">
        <f t="shared" si="7"/>
        <v>Foreign Exchange Adjustments</v>
      </c>
      <c r="B520" s="218" t="s">
        <v>473</v>
      </c>
      <c r="C520" s="251" t="s">
        <v>2875</v>
      </c>
      <c r="D520" s="251" t="s">
        <v>2876</v>
      </c>
      <c r="E520" s="251" t="s">
        <v>2877</v>
      </c>
      <c r="F520" s="251" t="s">
        <v>3102</v>
      </c>
      <c r="G520" s="251" t="s">
        <v>3103</v>
      </c>
      <c r="H520" s="252" t="s">
        <v>2992</v>
      </c>
      <c r="I520" s="251" t="s">
        <v>2993</v>
      </c>
      <c r="J520" s="251" t="s">
        <v>2994</v>
      </c>
      <c r="K520" s="251" t="s">
        <v>3173</v>
      </c>
      <c r="BB520"/>
    </row>
    <row r="521" spans="1:54" x14ac:dyDescent="0.2">
      <c r="A521" s="225" t="str">
        <f t="shared" ref="A521:A584" si="8">INDEX($B521:$CV521,$A$4)</f>
        <v>Acquired Plan Assets</v>
      </c>
      <c r="B521" s="218" t="s">
        <v>474</v>
      </c>
      <c r="C521" s="251" t="s">
        <v>2878</v>
      </c>
      <c r="D521" s="251" t="s">
        <v>2879</v>
      </c>
      <c r="E521" s="251" t="s">
        <v>2880</v>
      </c>
      <c r="F521" s="251" t="s">
        <v>3104</v>
      </c>
      <c r="G521" s="251" t="s">
        <v>3105</v>
      </c>
      <c r="H521" s="252" t="s">
        <v>2995</v>
      </c>
      <c r="I521" s="251" t="s">
        <v>2996</v>
      </c>
      <c r="J521" s="251" t="s">
        <v>2997</v>
      </c>
      <c r="K521" s="251" t="s">
        <v>3174</v>
      </c>
      <c r="BB521"/>
    </row>
    <row r="522" spans="1:54" x14ac:dyDescent="0.2">
      <c r="A522" s="225" t="str">
        <f t="shared" si="8"/>
        <v>Plan Settlement/Curtailment</v>
      </c>
      <c r="B522" s="218" t="s">
        <v>475</v>
      </c>
      <c r="C522" s="251" t="s">
        <v>2881</v>
      </c>
      <c r="D522" s="251" t="s">
        <v>2882</v>
      </c>
      <c r="E522" s="251" t="s">
        <v>2883</v>
      </c>
      <c r="F522" s="251" t="s">
        <v>3106</v>
      </c>
      <c r="G522" s="251" t="s">
        <v>3107</v>
      </c>
      <c r="H522" s="252" t="s">
        <v>2998</v>
      </c>
      <c r="I522" s="251" t="s">
        <v>2999</v>
      </c>
      <c r="J522" s="251" t="s">
        <v>3000</v>
      </c>
      <c r="K522" s="251" t="s">
        <v>3175</v>
      </c>
      <c r="BB522"/>
    </row>
    <row r="523" spans="1:54" x14ac:dyDescent="0.2">
      <c r="A523" s="225" t="str">
        <f t="shared" si="8"/>
        <v>Other Plan Adjustments</v>
      </c>
      <c r="B523" s="218" t="s">
        <v>476</v>
      </c>
      <c r="C523" s="251" t="s">
        <v>2884</v>
      </c>
      <c r="D523" s="251" t="s">
        <v>2885</v>
      </c>
      <c r="E523" s="251" t="s">
        <v>2886</v>
      </c>
      <c r="F523" s="251" t="s">
        <v>3108</v>
      </c>
      <c r="G523" s="251" t="s">
        <v>3109</v>
      </c>
      <c r="H523" s="252" t="s">
        <v>3001</v>
      </c>
      <c r="I523" s="251" t="s">
        <v>3002</v>
      </c>
      <c r="J523" s="251" t="s">
        <v>3003</v>
      </c>
      <c r="K523" s="251" t="s">
        <v>3176</v>
      </c>
      <c r="BB523"/>
    </row>
    <row r="524" spans="1:54" x14ac:dyDescent="0.2">
      <c r="A524" s="225" t="str">
        <f t="shared" si="8"/>
        <v>Total Plan Assets</v>
      </c>
      <c r="B524" s="218" t="s">
        <v>477</v>
      </c>
      <c r="C524" s="251" t="s">
        <v>2887</v>
      </c>
      <c r="D524" s="251" t="s">
        <v>2888</v>
      </c>
      <c r="E524" s="251" t="s">
        <v>2889</v>
      </c>
      <c r="F524" s="251" t="s">
        <v>3110</v>
      </c>
      <c r="G524" s="251" t="s">
        <v>3111</v>
      </c>
      <c r="H524" s="252" t="s">
        <v>3004</v>
      </c>
      <c r="I524" s="251" t="s">
        <v>3005</v>
      </c>
      <c r="J524" s="251" t="s">
        <v>3006</v>
      </c>
      <c r="K524" s="251" t="s">
        <v>3177</v>
      </c>
      <c r="BB524"/>
    </row>
    <row r="525" spans="1:54" x14ac:dyDescent="0.2">
      <c r="A525" s="225" t="str">
        <f t="shared" si="8"/>
        <v>Weighted Avg. Assumptions on Net Periodic Cost</v>
      </c>
      <c r="B525" s="218" t="s">
        <v>478</v>
      </c>
      <c r="C525" s="251" t="s">
        <v>2890</v>
      </c>
      <c r="D525" s="251" t="s">
        <v>2891</v>
      </c>
      <c r="E525" s="251" t="s">
        <v>2892</v>
      </c>
      <c r="F525" s="251" t="s">
        <v>3112</v>
      </c>
      <c r="G525" s="251" t="s">
        <v>3113</v>
      </c>
      <c r="H525" s="252" t="s">
        <v>3007</v>
      </c>
      <c r="I525" s="251" t="s">
        <v>3008</v>
      </c>
      <c r="J525" s="251" t="s">
        <v>3009</v>
      </c>
      <c r="K525" s="251" t="s">
        <v>3178</v>
      </c>
      <c r="BB525"/>
    </row>
    <row r="526" spans="1:54" x14ac:dyDescent="0.2">
      <c r="A526" s="225" t="str">
        <f t="shared" si="8"/>
        <v>Net Periodic Cost Disc. Rate - Min</v>
      </c>
      <c r="B526" s="218" t="s">
        <v>479</v>
      </c>
      <c r="C526" s="251" t="s">
        <v>2893</v>
      </c>
      <c r="D526" s="251" t="s">
        <v>2894</v>
      </c>
      <c r="E526" s="251" t="s">
        <v>2895</v>
      </c>
      <c r="F526" s="251" t="s">
        <v>3114</v>
      </c>
      <c r="G526" s="251" t="s">
        <v>3115</v>
      </c>
      <c r="H526" s="252" t="s">
        <v>3010</v>
      </c>
      <c r="I526" s="251" t="s">
        <v>3011</v>
      </c>
      <c r="J526" s="251" t="s">
        <v>3012</v>
      </c>
      <c r="K526" s="251" t="s">
        <v>3179</v>
      </c>
      <c r="BB526"/>
    </row>
    <row r="527" spans="1:54" x14ac:dyDescent="0.2">
      <c r="A527" s="225" t="str">
        <f t="shared" si="8"/>
        <v>Net Periodic Cost Disc. Rate - Max</v>
      </c>
      <c r="B527" s="218" t="s">
        <v>480</v>
      </c>
      <c r="C527" s="251" t="s">
        <v>2896</v>
      </c>
      <c r="D527" s="251" t="s">
        <v>2897</v>
      </c>
      <c r="E527" s="251" t="s">
        <v>2898</v>
      </c>
      <c r="F527" s="251" t="s">
        <v>3116</v>
      </c>
      <c r="G527" s="251" t="s">
        <v>3117</v>
      </c>
      <c r="H527" s="252" t="s">
        <v>3013</v>
      </c>
      <c r="I527" s="251" t="s">
        <v>3014</v>
      </c>
      <c r="J527" s="251" t="s">
        <v>3015</v>
      </c>
      <c r="K527" s="251" t="s">
        <v>3180</v>
      </c>
      <c r="BB527"/>
    </row>
    <row r="528" spans="1:54" x14ac:dyDescent="0.2">
      <c r="A528" s="225" t="str">
        <f t="shared" si="8"/>
        <v>Rate of Comp. Increase - Min</v>
      </c>
      <c r="B528" s="218" t="s">
        <v>481</v>
      </c>
      <c r="C528" s="251" t="s">
        <v>2899</v>
      </c>
      <c r="D528" s="251" t="s">
        <v>2900</v>
      </c>
      <c r="E528" s="251" t="s">
        <v>2901</v>
      </c>
      <c r="F528" s="251" t="s">
        <v>3118</v>
      </c>
      <c r="G528" s="251" t="s">
        <v>3119</v>
      </c>
      <c r="H528" s="252" t="s">
        <v>3016</v>
      </c>
      <c r="I528" s="251" t="s">
        <v>3017</v>
      </c>
      <c r="J528" s="251" t="s">
        <v>3018</v>
      </c>
      <c r="K528" s="251" t="s">
        <v>3181</v>
      </c>
      <c r="BB528"/>
    </row>
    <row r="529" spans="1:54" x14ac:dyDescent="0.2">
      <c r="A529" s="225" t="str">
        <f t="shared" si="8"/>
        <v>Rate of Comp. Increase - Max</v>
      </c>
      <c r="B529" s="218" t="s">
        <v>8249</v>
      </c>
      <c r="C529" s="251" t="s">
        <v>2902</v>
      </c>
      <c r="D529" s="251" t="s">
        <v>2903</v>
      </c>
      <c r="E529" s="251" t="s">
        <v>2904</v>
      </c>
      <c r="F529" s="251" t="s">
        <v>3120</v>
      </c>
      <c r="G529" s="251" t="s">
        <v>3121</v>
      </c>
      <c r="H529" s="252" t="s">
        <v>3019</v>
      </c>
      <c r="I529" s="251" t="s">
        <v>3020</v>
      </c>
      <c r="J529" s="251" t="s">
        <v>3021</v>
      </c>
      <c r="K529" s="251" t="s">
        <v>3182</v>
      </c>
      <c r="BB529"/>
    </row>
    <row r="530" spans="1:54" x14ac:dyDescent="0.2">
      <c r="A530" s="225" t="str">
        <f t="shared" si="8"/>
        <v>Exp. Long-Term Rate of Return on Assets - Min</v>
      </c>
      <c r="B530" s="218" t="s">
        <v>482</v>
      </c>
      <c r="C530" s="251" t="s">
        <v>2905</v>
      </c>
      <c r="D530" s="251" t="s">
        <v>2906</v>
      </c>
      <c r="E530" s="251" t="s">
        <v>2907</v>
      </c>
      <c r="F530" s="251" t="s">
        <v>3122</v>
      </c>
      <c r="G530" s="251" t="s">
        <v>3123</v>
      </c>
      <c r="H530" s="252" t="s">
        <v>3022</v>
      </c>
      <c r="I530" s="251" t="s">
        <v>3023</v>
      </c>
      <c r="J530" s="251" t="s">
        <v>3024</v>
      </c>
      <c r="K530" s="251" t="s">
        <v>3183</v>
      </c>
      <c r="BB530"/>
    </row>
    <row r="531" spans="1:54" x14ac:dyDescent="0.2">
      <c r="A531" s="225" t="str">
        <f t="shared" si="8"/>
        <v>Exp. Long-Term Rate of Return on Assets - Max</v>
      </c>
      <c r="B531" s="218" t="s">
        <v>483</v>
      </c>
      <c r="C531" s="251" t="s">
        <v>2908</v>
      </c>
      <c r="D531" s="251" t="s">
        <v>2909</v>
      </c>
      <c r="E531" s="251" t="s">
        <v>2910</v>
      </c>
      <c r="F531" s="251" t="s">
        <v>3124</v>
      </c>
      <c r="G531" s="251" t="s">
        <v>3125</v>
      </c>
      <c r="H531" s="252" t="s">
        <v>3025</v>
      </c>
      <c r="I531" s="251" t="s">
        <v>3026</v>
      </c>
      <c r="J531" s="251" t="s">
        <v>3027</v>
      </c>
      <c r="K531" s="251" t="s">
        <v>3184</v>
      </c>
      <c r="BB531"/>
    </row>
    <row r="532" spans="1:54" x14ac:dyDescent="0.2">
      <c r="A532" s="225" t="str">
        <f t="shared" si="8"/>
        <v>Breakdown of Plan Assets</v>
      </c>
      <c r="B532" s="218" t="s">
        <v>484</v>
      </c>
      <c r="C532" s="251" t="s">
        <v>2911</v>
      </c>
      <c r="D532" s="251" t="s">
        <v>2912</v>
      </c>
      <c r="E532" s="251" t="s">
        <v>2913</v>
      </c>
      <c r="F532" s="251" t="s">
        <v>3126</v>
      </c>
      <c r="G532" s="251" t="s">
        <v>3127</v>
      </c>
      <c r="H532" s="252" t="s">
        <v>3028</v>
      </c>
      <c r="I532" s="251" t="s">
        <v>3029</v>
      </c>
      <c r="J532" s="251" t="s">
        <v>3030</v>
      </c>
      <c r="K532" s="251" t="s">
        <v>3185</v>
      </c>
      <c r="BB532"/>
    </row>
    <row r="533" spans="1:54" x14ac:dyDescent="0.2">
      <c r="A533" s="225" t="str">
        <f t="shared" si="8"/>
        <v>Plan Assets - Equities (%)</v>
      </c>
      <c r="B533" s="218" t="s">
        <v>485</v>
      </c>
      <c r="C533" s="251" t="s">
        <v>2914</v>
      </c>
      <c r="D533" s="251" t="s">
        <v>2915</v>
      </c>
      <c r="E533" s="251" t="s">
        <v>2916</v>
      </c>
      <c r="F533" s="251" t="s">
        <v>3128</v>
      </c>
      <c r="G533" s="251" t="s">
        <v>3129</v>
      </c>
      <c r="H533" s="252" t="s">
        <v>3031</v>
      </c>
      <c r="I533" s="251" t="s">
        <v>3032</v>
      </c>
      <c r="J533" s="251" t="s">
        <v>3033</v>
      </c>
      <c r="K533" s="251" t="s">
        <v>3186</v>
      </c>
      <c r="BB533"/>
    </row>
    <row r="534" spans="1:54" x14ac:dyDescent="0.2">
      <c r="A534" s="225" t="str">
        <f t="shared" si="8"/>
        <v>Plan Assets - Fixed Income (%)</v>
      </c>
      <c r="B534" s="218" t="s">
        <v>486</v>
      </c>
      <c r="C534" s="251" t="s">
        <v>2917</v>
      </c>
      <c r="D534" s="251" t="s">
        <v>2918</v>
      </c>
      <c r="E534" s="251" t="s">
        <v>2919</v>
      </c>
      <c r="F534" s="251" t="s">
        <v>3130</v>
      </c>
      <c r="G534" s="251" t="s">
        <v>3131</v>
      </c>
      <c r="H534" s="252" t="s">
        <v>3034</v>
      </c>
      <c r="I534" s="251" t="s">
        <v>3035</v>
      </c>
      <c r="J534" s="251" t="s">
        <v>3036</v>
      </c>
      <c r="K534" s="251" t="s">
        <v>3187</v>
      </c>
      <c r="BB534"/>
    </row>
    <row r="535" spans="1:54" x14ac:dyDescent="0.2">
      <c r="A535" s="225" t="str">
        <f t="shared" si="8"/>
        <v>Plan Assets- Real Estate (%)</v>
      </c>
      <c r="B535" s="218" t="s">
        <v>487</v>
      </c>
      <c r="C535" s="251" t="s">
        <v>2920</v>
      </c>
      <c r="D535" s="251" t="s">
        <v>2921</v>
      </c>
      <c r="E535" s="251" t="s">
        <v>2922</v>
      </c>
      <c r="F535" s="251" t="s">
        <v>3132</v>
      </c>
      <c r="G535" s="251" t="s">
        <v>3133</v>
      </c>
      <c r="H535" s="252" t="s">
        <v>3037</v>
      </c>
      <c r="I535" s="251" t="s">
        <v>3038</v>
      </c>
      <c r="J535" s="251" t="s">
        <v>3039</v>
      </c>
      <c r="K535" s="251" t="s">
        <v>3188</v>
      </c>
      <c r="BB535"/>
    </row>
    <row r="536" spans="1:54" x14ac:dyDescent="0.2">
      <c r="A536" s="225" t="str">
        <f t="shared" si="8"/>
        <v>Other Plan Assets (%)</v>
      </c>
      <c r="B536" s="218" t="s">
        <v>488</v>
      </c>
      <c r="C536" s="251" t="s">
        <v>2923</v>
      </c>
      <c r="D536" s="251" t="s">
        <v>2924</v>
      </c>
      <c r="E536" s="251" t="s">
        <v>2925</v>
      </c>
      <c r="F536" s="251" t="s">
        <v>3134</v>
      </c>
      <c r="G536" s="251" t="s">
        <v>3135</v>
      </c>
      <c r="H536" s="252" t="s">
        <v>3040</v>
      </c>
      <c r="I536" s="251" t="s">
        <v>3041</v>
      </c>
      <c r="J536" s="251" t="s">
        <v>3042</v>
      </c>
      <c r="K536" s="251" t="s">
        <v>3189</v>
      </c>
      <c r="BB536"/>
    </row>
    <row r="537" spans="1:54" x14ac:dyDescent="0.2">
      <c r="A537" s="225" t="str">
        <f t="shared" si="8"/>
        <v>Plan Assets - Equities</v>
      </c>
      <c r="B537" s="218" t="s">
        <v>489</v>
      </c>
      <c r="C537" s="251" t="s">
        <v>2926</v>
      </c>
      <c r="D537" s="251" t="s">
        <v>2927</v>
      </c>
      <c r="E537" s="251" t="s">
        <v>2928</v>
      </c>
      <c r="F537" s="251" t="s">
        <v>3136</v>
      </c>
      <c r="G537" s="251" t="s">
        <v>3137</v>
      </c>
      <c r="H537" s="252" t="s">
        <v>3043</v>
      </c>
      <c r="I537" s="251" t="s">
        <v>3044</v>
      </c>
      <c r="J537" s="251" t="s">
        <v>3045</v>
      </c>
      <c r="K537" s="251" t="s">
        <v>3190</v>
      </c>
      <c r="BB537"/>
    </row>
    <row r="538" spans="1:54" x14ac:dyDescent="0.2">
      <c r="A538" s="225" t="str">
        <f t="shared" si="8"/>
        <v>Plan Assets - Fixed Income</v>
      </c>
      <c r="B538" s="218" t="s">
        <v>490</v>
      </c>
      <c r="C538" s="251" t="s">
        <v>2929</v>
      </c>
      <c r="D538" s="251" t="s">
        <v>2930</v>
      </c>
      <c r="E538" s="251" t="s">
        <v>2931</v>
      </c>
      <c r="F538" s="251" t="s">
        <v>3138</v>
      </c>
      <c r="G538" s="251" t="s">
        <v>3139</v>
      </c>
      <c r="H538" s="252" t="s">
        <v>3046</v>
      </c>
      <c r="I538" s="251" t="s">
        <v>3047</v>
      </c>
      <c r="J538" s="251" t="s">
        <v>3048</v>
      </c>
      <c r="K538" s="251" t="s">
        <v>3191</v>
      </c>
      <c r="BB538"/>
    </row>
    <row r="539" spans="1:54" x14ac:dyDescent="0.2">
      <c r="A539" s="225" t="str">
        <f t="shared" si="8"/>
        <v>Plan Assets- Real Estate</v>
      </c>
      <c r="B539" s="218" t="s">
        <v>491</v>
      </c>
      <c r="C539" s="251" t="s">
        <v>2932</v>
      </c>
      <c r="D539" s="251" t="s">
        <v>2933</v>
      </c>
      <c r="E539" s="251" t="s">
        <v>2934</v>
      </c>
      <c r="F539" s="251" t="s">
        <v>3140</v>
      </c>
      <c r="G539" s="251" t="s">
        <v>3141</v>
      </c>
      <c r="H539" s="252" t="s">
        <v>3049</v>
      </c>
      <c r="I539" s="251" t="s">
        <v>3050</v>
      </c>
      <c r="J539" s="251" t="s">
        <v>3051</v>
      </c>
      <c r="K539" s="251" t="s">
        <v>3192</v>
      </c>
      <c r="BB539"/>
    </row>
    <row r="540" spans="1:54" x14ac:dyDescent="0.2">
      <c r="A540" s="225" t="str">
        <f t="shared" si="8"/>
        <v>Other Plan Assets</v>
      </c>
      <c r="B540" s="218" t="s">
        <v>492</v>
      </c>
      <c r="C540" s="251" t="s">
        <v>2935</v>
      </c>
      <c r="D540" s="251" t="s">
        <v>2936</v>
      </c>
      <c r="E540" s="251" t="s">
        <v>2937</v>
      </c>
      <c r="F540" s="251" t="s">
        <v>3142</v>
      </c>
      <c r="G540" s="251" t="s">
        <v>3143</v>
      </c>
      <c r="H540" s="252" t="s">
        <v>3052</v>
      </c>
      <c r="I540" s="251" t="s">
        <v>3053</v>
      </c>
      <c r="J540" s="251" t="s">
        <v>3054</v>
      </c>
      <c r="K540" s="251" t="s">
        <v>3193</v>
      </c>
      <c r="BB540"/>
    </row>
    <row r="541" spans="1:54" x14ac:dyDescent="0.2">
      <c r="A541" s="225" t="str">
        <f t="shared" si="8"/>
        <v>Breakdown of Amounts recognized in Other Comprehensive Income in BS</v>
      </c>
      <c r="B541" s="218" t="s">
        <v>652</v>
      </c>
      <c r="C541" s="251" t="s">
        <v>2938</v>
      </c>
      <c r="D541" s="251" t="s">
        <v>2939</v>
      </c>
      <c r="E541" s="251" t="s">
        <v>2940</v>
      </c>
      <c r="F541" s="251" t="s">
        <v>3144</v>
      </c>
      <c r="G541" s="251" t="s">
        <v>3145</v>
      </c>
      <c r="H541" s="251" t="s">
        <v>3055</v>
      </c>
      <c r="I541" s="251" t="s">
        <v>3056</v>
      </c>
      <c r="J541" s="251" t="s">
        <v>3057</v>
      </c>
      <c r="K541" s="251" t="s">
        <v>3194</v>
      </c>
      <c r="BB541"/>
    </row>
    <row r="542" spans="1:54" x14ac:dyDescent="0.2">
      <c r="A542" s="225" t="str">
        <f t="shared" si="8"/>
        <v>Net Actuarial Loss/Gain – Compr. Inc.</v>
      </c>
      <c r="B542" s="218" t="s">
        <v>639</v>
      </c>
      <c r="C542" s="251" t="s">
        <v>2941</v>
      </c>
      <c r="D542" s="251" t="s">
        <v>2942</v>
      </c>
      <c r="E542" s="251" t="s">
        <v>2943</v>
      </c>
      <c r="F542" s="251" t="s">
        <v>3146</v>
      </c>
      <c r="G542" s="251" t="s">
        <v>3147</v>
      </c>
      <c r="H542" s="252" t="s">
        <v>3058</v>
      </c>
      <c r="I542" s="251" t="s">
        <v>3059</v>
      </c>
      <c r="J542" s="251" t="s">
        <v>3060</v>
      </c>
      <c r="K542" s="251" t="s">
        <v>3195</v>
      </c>
      <c r="BB542"/>
    </row>
    <row r="543" spans="1:54" x14ac:dyDescent="0.2">
      <c r="A543" s="225" t="str">
        <f t="shared" si="8"/>
        <v>Prior Service Cost/Benefit – Compr. Inc.</v>
      </c>
      <c r="B543" s="218" t="s">
        <v>640</v>
      </c>
      <c r="C543" s="251" t="s">
        <v>2944</v>
      </c>
      <c r="D543" s="251" t="s">
        <v>2945</v>
      </c>
      <c r="E543" s="251" t="s">
        <v>2946</v>
      </c>
      <c r="F543" s="251" t="s">
        <v>3148</v>
      </c>
      <c r="G543" s="251" t="s">
        <v>3149</v>
      </c>
      <c r="H543" s="252" t="s">
        <v>3061</v>
      </c>
      <c r="I543" s="251" t="s">
        <v>3062</v>
      </c>
      <c r="J543" s="251" t="s">
        <v>3063</v>
      </c>
      <c r="K543" s="251" t="s">
        <v>3196</v>
      </c>
      <c r="BB543"/>
    </row>
    <row r="544" spans="1:54" x14ac:dyDescent="0.2">
      <c r="A544" s="225" t="str">
        <f t="shared" si="8"/>
        <v>Transition Asset/Obligation – Compr. Inc.</v>
      </c>
      <c r="B544" s="218" t="s">
        <v>641</v>
      </c>
      <c r="C544" s="251" t="s">
        <v>2947</v>
      </c>
      <c r="D544" s="251" t="s">
        <v>2948</v>
      </c>
      <c r="E544" s="251" t="s">
        <v>2949</v>
      </c>
      <c r="F544" s="251" t="s">
        <v>3150</v>
      </c>
      <c r="G544" s="251" t="s">
        <v>3151</v>
      </c>
      <c r="H544" s="252" t="s">
        <v>3064</v>
      </c>
      <c r="I544" s="251" t="s">
        <v>3065</v>
      </c>
      <c r="J544" s="251" t="s">
        <v>3066</v>
      </c>
      <c r="K544" s="251" t="s">
        <v>3197</v>
      </c>
      <c r="BB544"/>
    </row>
    <row r="545" spans="1:54" x14ac:dyDescent="0.2">
      <c r="A545" s="225" t="str">
        <f t="shared" si="8"/>
        <v>Other Misc. Adj. – Compr. Inc.</v>
      </c>
      <c r="B545" s="218" t="s">
        <v>642</v>
      </c>
      <c r="C545" s="251" t="s">
        <v>2950</v>
      </c>
      <c r="D545" s="251" t="s">
        <v>2951</v>
      </c>
      <c r="E545" s="251" t="s">
        <v>2952</v>
      </c>
      <c r="F545" s="251" t="s">
        <v>3152</v>
      </c>
      <c r="G545" s="251" t="s">
        <v>3153</v>
      </c>
      <c r="H545" s="252" t="s">
        <v>3067</v>
      </c>
      <c r="I545" s="251" t="s">
        <v>3068</v>
      </c>
      <c r="J545" s="251" t="s">
        <v>3069</v>
      </c>
      <c r="K545" s="251" t="s">
        <v>3198</v>
      </c>
      <c r="BB545"/>
    </row>
    <row r="546" spans="1:54" x14ac:dyDescent="0.2">
      <c r="A546" s="225" t="str">
        <f t="shared" si="8"/>
        <v>Net Amount Recognized – Compr. Inc.</v>
      </c>
      <c r="B546" s="218" t="s">
        <v>653</v>
      </c>
      <c r="C546" s="251" t="s">
        <v>2953</v>
      </c>
      <c r="D546" s="251" t="s">
        <v>2954</v>
      </c>
      <c r="E546" s="251" t="s">
        <v>2955</v>
      </c>
      <c r="F546" s="251" t="s">
        <v>3154</v>
      </c>
      <c r="G546" s="251" t="s">
        <v>3155</v>
      </c>
      <c r="H546" s="252" t="s">
        <v>3070</v>
      </c>
      <c r="I546" s="251" t="s">
        <v>3071</v>
      </c>
      <c r="J546" s="251" t="s">
        <v>3072</v>
      </c>
      <c r="K546" s="251" t="s">
        <v>3199</v>
      </c>
      <c r="BB546"/>
    </row>
    <row r="547" spans="1:54" x14ac:dyDescent="0.2">
      <c r="A547" s="225" t="str">
        <f t="shared" si="8"/>
        <v>Expected to be recognized as components of net periodic benefit cost in the next year</v>
      </c>
      <c r="B547" s="218" t="s">
        <v>654</v>
      </c>
      <c r="C547" s="251" t="s">
        <v>2956</v>
      </c>
      <c r="D547" s="251" t="s">
        <v>2957</v>
      </c>
      <c r="E547" s="251" t="s">
        <v>2958</v>
      </c>
      <c r="F547" s="251" t="s">
        <v>3156</v>
      </c>
      <c r="G547" s="251" t="s">
        <v>3157</v>
      </c>
      <c r="H547" s="252" t="s">
        <v>3073</v>
      </c>
      <c r="I547" s="251" t="s">
        <v>3074</v>
      </c>
      <c r="J547" s="251" t="s">
        <v>3075</v>
      </c>
      <c r="K547" s="251" t="s">
        <v>3200</v>
      </c>
      <c r="BB547"/>
    </row>
    <row r="548" spans="1:54" x14ac:dyDescent="0.2">
      <c r="A548" s="225" t="str">
        <f t="shared" si="8"/>
        <v>Prior Service Cost/Benefit Recog. Next Period</v>
      </c>
      <c r="B548" s="218" t="s">
        <v>644</v>
      </c>
      <c r="C548" s="251" t="s">
        <v>2959</v>
      </c>
      <c r="D548" s="251" t="s">
        <v>2960</v>
      </c>
      <c r="E548" s="251" t="s">
        <v>2961</v>
      </c>
      <c r="F548" s="251" t="s">
        <v>3158</v>
      </c>
      <c r="G548" s="251" t="s">
        <v>3159</v>
      </c>
      <c r="H548" s="252" t="s">
        <v>3076</v>
      </c>
      <c r="I548" s="251" t="s">
        <v>3077</v>
      </c>
      <c r="J548" s="251" t="s">
        <v>3078</v>
      </c>
      <c r="K548" s="251" t="s">
        <v>3201</v>
      </c>
      <c r="BB548"/>
    </row>
    <row r="549" spans="1:54" x14ac:dyDescent="0.2">
      <c r="A549" s="225" t="str">
        <f t="shared" si="8"/>
        <v>Net Actuarial Loss/Gain Recog. Next Period</v>
      </c>
      <c r="B549" s="218" t="s">
        <v>643</v>
      </c>
      <c r="C549" s="251" t="s">
        <v>2962</v>
      </c>
      <c r="D549" s="251" t="s">
        <v>2963</v>
      </c>
      <c r="E549" s="251" t="s">
        <v>2964</v>
      </c>
      <c r="F549" s="251" t="s">
        <v>3160</v>
      </c>
      <c r="G549" s="251" t="s">
        <v>3161</v>
      </c>
      <c r="H549" s="252" t="s">
        <v>3079</v>
      </c>
      <c r="I549" s="251" t="s">
        <v>3080</v>
      </c>
      <c r="J549" s="251" t="s">
        <v>3081</v>
      </c>
      <c r="K549" s="251" t="s">
        <v>3202</v>
      </c>
      <c r="BB549"/>
    </row>
    <row r="550" spans="1:54" x14ac:dyDescent="0.2">
      <c r="A550" s="225" t="str">
        <f t="shared" si="8"/>
        <v>Transition Asset/Obligation Recog. Next Period</v>
      </c>
      <c r="B550" s="218" t="s">
        <v>645</v>
      </c>
      <c r="C550" s="251" t="s">
        <v>2965</v>
      </c>
      <c r="D550" s="251" t="s">
        <v>2966</v>
      </c>
      <c r="E550" s="251" t="s">
        <v>2967</v>
      </c>
      <c r="F550" s="251" t="s">
        <v>3162</v>
      </c>
      <c r="G550" s="251" t="s">
        <v>3163</v>
      </c>
      <c r="H550" s="252" t="s">
        <v>3082</v>
      </c>
      <c r="I550" s="251" t="s">
        <v>3083</v>
      </c>
      <c r="J550" s="251" t="s">
        <v>3084</v>
      </c>
      <c r="K550" s="251" t="s">
        <v>3203</v>
      </c>
      <c r="BB550"/>
    </row>
    <row r="551" spans="1:54" x14ac:dyDescent="0.2">
      <c r="A551" s="225" t="str">
        <f t="shared" si="8"/>
        <v>Total Amount to be Recognized Next Period</v>
      </c>
      <c r="B551" s="218" t="s">
        <v>646</v>
      </c>
      <c r="C551" s="251" t="s">
        <v>2968</v>
      </c>
      <c r="D551" s="251" t="s">
        <v>2969</v>
      </c>
      <c r="E551" s="251" t="s">
        <v>2970</v>
      </c>
      <c r="F551" s="251" t="s">
        <v>3164</v>
      </c>
      <c r="G551" s="251" t="s">
        <v>3165</v>
      </c>
      <c r="H551" s="252" t="s">
        <v>3085</v>
      </c>
      <c r="I551" s="251" t="s">
        <v>3086</v>
      </c>
      <c r="J551" s="251" t="s">
        <v>3087</v>
      </c>
      <c r="K551" s="251" t="s">
        <v>3204</v>
      </c>
      <c r="BB551"/>
    </row>
    <row r="552" spans="1:54" x14ac:dyDescent="0.2">
      <c r="A552" s="225" t="str">
        <f t="shared" si="8"/>
        <v>Weighted Avg. Assumptions on Def. Benefit Obligation</v>
      </c>
      <c r="B552" s="218" t="s">
        <v>493</v>
      </c>
      <c r="C552" s="251" t="s">
        <v>2677</v>
      </c>
      <c r="D552" s="251" t="s">
        <v>2678</v>
      </c>
      <c r="E552" s="251" t="s">
        <v>2679</v>
      </c>
      <c r="F552" s="251" t="s">
        <v>2796</v>
      </c>
      <c r="G552" s="251" t="s">
        <v>2797</v>
      </c>
      <c r="H552" s="252" t="s">
        <v>2737</v>
      </c>
      <c r="I552" s="251" t="s">
        <v>2738</v>
      </c>
      <c r="J552" s="251" t="s">
        <v>2739</v>
      </c>
      <c r="K552" s="251" t="s">
        <v>2836</v>
      </c>
      <c r="BB552"/>
    </row>
    <row r="553" spans="1:54" x14ac:dyDescent="0.2">
      <c r="A553" s="225" t="str">
        <f t="shared" si="8"/>
        <v>PBO Assumed Rate of Return - Min</v>
      </c>
      <c r="B553" s="218" t="s">
        <v>494</v>
      </c>
      <c r="C553" s="251" t="s">
        <v>2680</v>
      </c>
      <c r="D553" s="251" t="s">
        <v>2681</v>
      </c>
      <c r="E553" s="251" t="s">
        <v>2682</v>
      </c>
      <c r="F553" s="251" t="s">
        <v>2798</v>
      </c>
      <c r="G553" s="251" t="s">
        <v>2799</v>
      </c>
      <c r="H553" s="252" t="s">
        <v>2740</v>
      </c>
      <c r="I553" s="251" t="s">
        <v>2741</v>
      </c>
      <c r="J553" s="251" t="s">
        <v>2742</v>
      </c>
      <c r="K553" s="251" t="s">
        <v>2837</v>
      </c>
      <c r="BB553"/>
    </row>
    <row r="554" spans="1:54" x14ac:dyDescent="0.2">
      <c r="A554" s="225" t="str">
        <f t="shared" si="8"/>
        <v>PBO Assumed Rate of Return - Max</v>
      </c>
      <c r="B554" s="218" t="s">
        <v>495</v>
      </c>
      <c r="C554" s="251" t="s">
        <v>2683</v>
      </c>
      <c r="D554" s="251" t="s">
        <v>2684</v>
      </c>
      <c r="E554" s="251" t="s">
        <v>2685</v>
      </c>
      <c r="F554" s="251" t="s">
        <v>2800</v>
      </c>
      <c r="G554" s="251" t="s">
        <v>2801</v>
      </c>
      <c r="H554" s="252" t="s">
        <v>2743</v>
      </c>
      <c r="I554" s="251" t="s">
        <v>2744</v>
      </c>
      <c r="J554" s="251" t="s">
        <v>2745</v>
      </c>
      <c r="K554" s="251" t="s">
        <v>2838</v>
      </c>
      <c r="BB554"/>
    </row>
    <row r="555" spans="1:54" x14ac:dyDescent="0.2">
      <c r="A555" s="225" t="str">
        <f t="shared" si="8"/>
        <v>Rate of PBO Compensation Increase - Min</v>
      </c>
      <c r="B555" s="218" t="s">
        <v>496</v>
      </c>
      <c r="C555" s="251" t="s">
        <v>2686</v>
      </c>
      <c r="D555" s="251" t="s">
        <v>2687</v>
      </c>
      <c r="E555" s="251" t="s">
        <v>2688</v>
      </c>
      <c r="F555" s="251" t="s">
        <v>2802</v>
      </c>
      <c r="G555" s="251" t="s">
        <v>2803</v>
      </c>
      <c r="H555" s="252" t="s">
        <v>2746</v>
      </c>
      <c r="I555" s="251" t="s">
        <v>2747</v>
      </c>
      <c r="J555" s="251" t="s">
        <v>2748</v>
      </c>
      <c r="K555" s="251" t="s">
        <v>2839</v>
      </c>
      <c r="BB555"/>
    </row>
    <row r="556" spans="1:54" x14ac:dyDescent="0.2">
      <c r="A556" s="225" t="str">
        <f t="shared" si="8"/>
        <v>Rate of PBO Compensation Increase - Max</v>
      </c>
      <c r="B556" s="218" t="s">
        <v>497</v>
      </c>
      <c r="C556" s="251" t="s">
        <v>2689</v>
      </c>
      <c r="D556" s="251" t="s">
        <v>2690</v>
      </c>
      <c r="E556" s="251" t="s">
        <v>2691</v>
      </c>
      <c r="F556" s="251" t="s">
        <v>2804</v>
      </c>
      <c r="G556" s="251" t="s">
        <v>2805</v>
      </c>
      <c r="H556" s="252" t="s">
        <v>2749</v>
      </c>
      <c r="I556" s="251" t="s">
        <v>2750</v>
      </c>
      <c r="J556" s="251" t="s">
        <v>2751</v>
      </c>
      <c r="K556" s="251" t="s">
        <v>2840</v>
      </c>
      <c r="BB556"/>
    </row>
    <row r="557" spans="1:54" x14ac:dyDescent="0.2">
      <c r="A557" s="225" t="str">
        <f t="shared" si="8"/>
        <v>Estimated Future Benefits Paid</v>
      </c>
      <c r="B557" s="218" t="s">
        <v>498</v>
      </c>
      <c r="C557" s="251" t="s">
        <v>2692</v>
      </c>
      <c r="D557" s="251" t="s">
        <v>2693</v>
      </c>
      <c r="E557" s="251" t="s">
        <v>2694</v>
      </c>
      <c r="F557" s="251" t="s">
        <v>2806</v>
      </c>
      <c r="G557" s="251" t="s">
        <v>2807</v>
      </c>
      <c r="H557" s="252" t="s">
        <v>2752</v>
      </c>
      <c r="I557" s="251" t="s">
        <v>2753</v>
      </c>
      <c r="J557" s="251" t="s">
        <v>2754</v>
      </c>
      <c r="K557" s="251" t="s">
        <v>2841</v>
      </c>
      <c r="BB557"/>
    </row>
    <row r="558" spans="1:54" x14ac:dyDescent="0.2">
      <c r="A558" s="225" t="str">
        <f t="shared" si="8"/>
        <v>Est. Future Benefits Paid - 1st Yr</v>
      </c>
      <c r="B558" s="218" t="s">
        <v>499</v>
      </c>
      <c r="C558" s="251" t="s">
        <v>2695</v>
      </c>
      <c r="D558" s="251" t="s">
        <v>2696</v>
      </c>
      <c r="E558" s="251" t="s">
        <v>2697</v>
      </c>
      <c r="F558" s="251" t="s">
        <v>2808</v>
      </c>
      <c r="G558" s="251" t="s">
        <v>2809</v>
      </c>
      <c r="H558" s="252" t="s">
        <v>2755</v>
      </c>
      <c r="I558" s="251" t="s">
        <v>2756</v>
      </c>
      <c r="J558" s="251" t="s">
        <v>2757</v>
      </c>
      <c r="K558" s="251" t="s">
        <v>2842</v>
      </c>
      <c r="BB558"/>
    </row>
    <row r="559" spans="1:54" x14ac:dyDescent="0.2">
      <c r="A559" s="225" t="str">
        <f t="shared" si="8"/>
        <v>Est. Future Benefits Paid - 2nd Yr</v>
      </c>
      <c r="B559" s="218" t="s">
        <v>500</v>
      </c>
      <c r="C559" s="251" t="s">
        <v>2698</v>
      </c>
      <c r="D559" s="251" t="s">
        <v>2699</v>
      </c>
      <c r="E559" s="251" t="s">
        <v>2700</v>
      </c>
      <c r="F559" s="251" t="s">
        <v>2810</v>
      </c>
      <c r="G559" s="251" t="s">
        <v>2811</v>
      </c>
      <c r="H559" s="252" t="s">
        <v>2758</v>
      </c>
      <c r="I559" s="251" t="s">
        <v>2759</v>
      </c>
      <c r="J559" s="251" t="s">
        <v>2760</v>
      </c>
      <c r="K559" s="251" t="s">
        <v>2843</v>
      </c>
      <c r="BB559"/>
    </row>
    <row r="560" spans="1:54" x14ac:dyDescent="0.2">
      <c r="A560" s="225" t="str">
        <f t="shared" si="8"/>
        <v>Est. Future Benefits Paid - 3rd Yr</v>
      </c>
      <c r="B560" s="218" t="s">
        <v>501</v>
      </c>
      <c r="C560" s="251" t="s">
        <v>2701</v>
      </c>
      <c r="D560" s="251" t="s">
        <v>2702</v>
      </c>
      <c r="E560" s="251" t="s">
        <v>2703</v>
      </c>
      <c r="F560" s="251" t="s">
        <v>2812</v>
      </c>
      <c r="G560" s="251" t="s">
        <v>2813</v>
      </c>
      <c r="H560" s="252" t="s">
        <v>2761</v>
      </c>
      <c r="I560" s="251" t="s">
        <v>2762</v>
      </c>
      <c r="J560" s="251" t="s">
        <v>2763</v>
      </c>
      <c r="K560" s="251" t="s">
        <v>2844</v>
      </c>
      <c r="BB560"/>
    </row>
    <row r="561" spans="1:54" x14ac:dyDescent="0.2">
      <c r="A561" s="225" t="str">
        <f t="shared" si="8"/>
        <v>Est. Future Benefits Paid - 4th Yr</v>
      </c>
      <c r="B561" s="218" t="s">
        <v>502</v>
      </c>
      <c r="C561" s="251" t="s">
        <v>2704</v>
      </c>
      <c r="D561" s="251" t="s">
        <v>2705</v>
      </c>
      <c r="E561" s="251" t="s">
        <v>2706</v>
      </c>
      <c r="F561" s="251" t="s">
        <v>2814</v>
      </c>
      <c r="G561" s="251" t="s">
        <v>2815</v>
      </c>
      <c r="H561" s="252" t="s">
        <v>2764</v>
      </c>
      <c r="I561" s="251" t="s">
        <v>2765</v>
      </c>
      <c r="J561" s="251" t="s">
        <v>2766</v>
      </c>
      <c r="K561" s="251" t="s">
        <v>2845</v>
      </c>
      <c r="BB561"/>
    </row>
    <row r="562" spans="1:54" x14ac:dyDescent="0.2">
      <c r="A562" s="225" t="str">
        <f t="shared" si="8"/>
        <v>Est. Future Benefits Paid - 5th Yr</v>
      </c>
      <c r="B562" s="218" t="s">
        <v>503</v>
      </c>
      <c r="C562" s="251" t="s">
        <v>2707</v>
      </c>
      <c r="D562" s="251" t="s">
        <v>2708</v>
      </c>
      <c r="E562" s="251" t="s">
        <v>2709</v>
      </c>
      <c r="F562" s="251" t="s">
        <v>2816</v>
      </c>
      <c r="G562" s="251" t="s">
        <v>2817</v>
      </c>
      <c r="H562" s="252" t="s">
        <v>2767</v>
      </c>
      <c r="I562" s="251" t="s">
        <v>2768</v>
      </c>
      <c r="J562" s="251" t="s">
        <v>2769</v>
      </c>
      <c r="K562" s="251" t="s">
        <v>2846</v>
      </c>
      <c r="BB562"/>
    </row>
    <row r="563" spans="1:54" x14ac:dyDescent="0.2">
      <c r="A563" s="225" t="str">
        <f t="shared" si="8"/>
        <v>Est. Future Benefits Paid - Thereafter</v>
      </c>
      <c r="B563" s="218" t="s">
        <v>504</v>
      </c>
      <c r="C563" s="251" t="s">
        <v>2710</v>
      </c>
      <c r="D563" s="251" t="s">
        <v>2711</v>
      </c>
      <c r="E563" s="251" t="s">
        <v>2712</v>
      </c>
      <c r="F563" s="251" t="s">
        <v>2818</v>
      </c>
      <c r="G563" s="251" t="s">
        <v>2819</v>
      </c>
      <c r="H563" s="252" t="s">
        <v>2770</v>
      </c>
      <c r="I563" s="251" t="s">
        <v>2771</v>
      </c>
      <c r="J563" s="251" t="s">
        <v>2772</v>
      </c>
      <c r="K563" s="251" t="s">
        <v>2847</v>
      </c>
      <c r="BB563"/>
    </row>
    <row r="564" spans="1:54" x14ac:dyDescent="0.2">
      <c r="A564" s="225" t="str">
        <f t="shared" si="8"/>
        <v>Balance Sheet Reconciliation Items</v>
      </c>
      <c r="B564" s="218" t="s">
        <v>505</v>
      </c>
      <c r="C564" s="251" t="s">
        <v>2713</v>
      </c>
      <c r="D564" s="251" t="s">
        <v>2714</v>
      </c>
      <c r="E564" s="251" t="s">
        <v>2715</v>
      </c>
      <c r="F564" s="251" t="s">
        <v>2820</v>
      </c>
      <c r="G564" s="251" t="s">
        <v>2821</v>
      </c>
      <c r="H564" s="252" t="s">
        <v>2773</v>
      </c>
      <c r="I564" s="251" t="s">
        <v>2774</v>
      </c>
      <c r="J564" s="251" t="s">
        <v>2775</v>
      </c>
      <c r="K564" s="251" t="s">
        <v>2848</v>
      </c>
      <c r="BB564"/>
    </row>
    <row r="565" spans="1:54" x14ac:dyDescent="0.2">
      <c r="A565" s="225" t="str">
        <f t="shared" si="8"/>
        <v>Prepaid Benefit Cost</v>
      </c>
      <c r="B565" s="218" t="s">
        <v>506</v>
      </c>
      <c r="C565" s="251" t="s">
        <v>2716</v>
      </c>
      <c r="D565" s="251" t="s">
        <v>2717</v>
      </c>
      <c r="E565" s="251" t="s">
        <v>2718</v>
      </c>
      <c r="F565" s="251" t="s">
        <v>2822</v>
      </c>
      <c r="G565" s="251" t="s">
        <v>2823</v>
      </c>
      <c r="H565" s="252" t="s">
        <v>2776</v>
      </c>
      <c r="I565" s="251" t="s">
        <v>2777</v>
      </c>
      <c r="J565" s="251" t="s">
        <v>2778</v>
      </c>
      <c r="K565" s="251" t="s">
        <v>2849</v>
      </c>
      <c r="BB565"/>
    </row>
    <row r="566" spans="1:54" x14ac:dyDescent="0.2">
      <c r="A566" s="225" t="str">
        <f t="shared" si="8"/>
        <v>Accrued Benefit Liability</v>
      </c>
      <c r="B566" s="218" t="s">
        <v>507</v>
      </c>
      <c r="C566" s="251" t="s">
        <v>2719</v>
      </c>
      <c r="D566" s="251" t="s">
        <v>2720</v>
      </c>
      <c r="E566" s="251" t="s">
        <v>2721</v>
      </c>
      <c r="F566" s="251" t="s">
        <v>2824</v>
      </c>
      <c r="G566" s="251" t="s">
        <v>2825</v>
      </c>
      <c r="H566" s="252" t="s">
        <v>2779</v>
      </c>
      <c r="I566" s="251" t="s">
        <v>2780</v>
      </c>
      <c r="J566" s="251" t="s">
        <v>2781</v>
      </c>
      <c r="K566" s="251" t="s">
        <v>2850</v>
      </c>
      <c r="BB566"/>
    </row>
    <row r="567" spans="1:54" x14ac:dyDescent="0.2">
      <c r="A567" s="225" t="str">
        <f t="shared" si="8"/>
        <v>Intangible Assets</v>
      </c>
      <c r="B567" s="218" t="s">
        <v>508</v>
      </c>
      <c r="C567" s="251" t="s">
        <v>2722</v>
      </c>
      <c r="D567" s="251" t="s">
        <v>2723</v>
      </c>
      <c r="E567" s="251" t="s">
        <v>2724</v>
      </c>
      <c r="F567" s="251" t="s">
        <v>2826</v>
      </c>
      <c r="G567" s="251" t="s">
        <v>2827</v>
      </c>
      <c r="H567" s="252" t="s">
        <v>2782</v>
      </c>
      <c r="I567" s="251" t="s">
        <v>2783</v>
      </c>
      <c r="J567" s="251" t="s">
        <v>2784</v>
      </c>
      <c r="K567" s="251" t="s">
        <v>2851</v>
      </c>
      <c r="BB567"/>
    </row>
    <row r="568" spans="1:54" x14ac:dyDescent="0.2">
      <c r="A568" s="225" t="str">
        <f t="shared" si="8"/>
        <v>Accum. Other Comp. Income</v>
      </c>
      <c r="B568" s="218" t="s">
        <v>509</v>
      </c>
      <c r="C568" s="251" t="s">
        <v>2725</v>
      </c>
      <c r="D568" s="251" t="s">
        <v>2726</v>
      </c>
      <c r="E568" s="251" t="s">
        <v>2727</v>
      </c>
      <c r="F568" s="251" t="s">
        <v>2828</v>
      </c>
      <c r="G568" s="251" t="s">
        <v>2829</v>
      </c>
      <c r="H568" s="252" t="s">
        <v>2785</v>
      </c>
      <c r="I568" s="251" t="s">
        <v>2786</v>
      </c>
      <c r="J568" s="251" t="s">
        <v>2787</v>
      </c>
      <c r="K568" s="251" t="s">
        <v>2852</v>
      </c>
      <c r="BB568"/>
    </row>
    <row r="569" spans="1:54" x14ac:dyDescent="0.2">
      <c r="A569" s="225" t="str">
        <f t="shared" si="8"/>
        <v>Long Term Assets</v>
      </c>
      <c r="B569" s="218" t="s">
        <v>647</v>
      </c>
      <c r="C569" s="251" t="s">
        <v>2728</v>
      </c>
      <c r="D569" s="251" t="s">
        <v>2729</v>
      </c>
      <c r="E569" s="251" t="s">
        <v>2730</v>
      </c>
      <c r="F569" s="251" t="s">
        <v>2830</v>
      </c>
      <c r="G569" s="251" t="s">
        <v>2831</v>
      </c>
      <c r="H569" s="252" t="s">
        <v>2788</v>
      </c>
      <c r="I569" s="251" t="s">
        <v>2789</v>
      </c>
      <c r="J569" s="251" t="s">
        <v>2790</v>
      </c>
      <c r="K569" s="251" t="s">
        <v>2853</v>
      </c>
      <c r="BB569"/>
    </row>
    <row r="570" spans="1:54" x14ac:dyDescent="0.2">
      <c r="A570" s="225" t="str">
        <f t="shared" si="8"/>
        <v>Current Liabilities</v>
      </c>
      <c r="B570" s="218" t="s">
        <v>648</v>
      </c>
      <c r="C570" s="251" t="s">
        <v>2731</v>
      </c>
      <c r="D570" s="251" t="s">
        <v>2732</v>
      </c>
      <c r="E570" s="251" t="s">
        <v>2733</v>
      </c>
      <c r="F570" s="251" t="s">
        <v>2832</v>
      </c>
      <c r="G570" s="251" t="s">
        <v>2833</v>
      </c>
      <c r="H570" s="252" t="s">
        <v>2732</v>
      </c>
      <c r="I570" s="251" t="s">
        <v>2791</v>
      </c>
      <c r="J570" s="251" t="s">
        <v>2792</v>
      </c>
      <c r="K570" s="251" t="s">
        <v>2854</v>
      </c>
      <c r="BB570"/>
    </row>
    <row r="571" spans="1:54" x14ac:dyDescent="0.2">
      <c r="A571" s="225" t="str">
        <f t="shared" si="8"/>
        <v>Long Term Liabilities</v>
      </c>
      <c r="B571" s="218" t="s">
        <v>649</v>
      </c>
      <c r="C571" s="251" t="s">
        <v>2734</v>
      </c>
      <c r="D571" s="251" t="s">
        <v>2735</v>
      </c>
      <c r="E571" s="251" t="s">
        <v>2736</v>
      </c>
      <c r="F571" s="251" t="s">
        <v>2834</v>
      </c>
      <c r="G571" s="251" t="s">
        <v>2835</v>
      </c>
      <c r="H571" s="252" t="s">
        <v>2793</v>
      </c>
      <c r="I571" s="251" t="s">
        <v>2794</v>
      </c>
      <c r="J571" s="251" t="s">
        <v>2795</v>
      </c>
      <c r="K571" s="251" t="s">
        <v>2855</v>
      </c>
      <c r="BB571"/>
    </row>
    <row r="572" spans="1:54" x14ac:dyDescent="0.2">
      <c r="A572" s="225" t="str">
        <f t="shared" si="8"/>
        <v>Other Assets/Liabilities</v>
      </c>
      <c r="B572" s="218" t="s">
        <v>510</v>
      </c>
      <c r="C572" s="251" t="s">
        <v>4964</v>
      </c>
      <c r="D572" s="251" t="s">
        <v>4965</v>
      </c>
      <c r="E572" s="251" t="s">
        <v>4966</v>
      </c>
      <c r="F572" s="251" t="s">
        <v>5034</v>
      </c>
      <c r="G572" s="251" t="s">
        <v>5035</v>
      </c>
      <c r="H572" s="252" t="s">
        <v>4998</v>
      </c>
      <c r="I572" s="251" t="s">
        <v>4999</v>
      </c>
      <c r="J572" s="251" t="s">
        <v>5000</v>
      </c>
      <c r="K572" s="251" t="s">
        <v>5058</v>
      </c>
      <c r="BB572"/>
    </row>
    <row r="573" spans="1:54" x14ac:dyDescent="0.2">
      <c r="A573" s="225" t="str">
        <f t="shared" si="8"/>
        <v>Adj. for Liability Recognized on Balance Sheet</v>
      </c>
      <c r="B573" s="218" t="s">
        <v>511</v>
      </c>
      <c r="C573" s="251" t="s">
        <v>4967</v>
      </c>
      <c r="D573" s="251" t="s">
        <v>4968</v>
      </c>
      <c r="E573" s="251" t="s">
        <v>4969</v>
      </c>
      <c r="F573" s="251" t="s">
        <v>5036</v>
      </c>
      <c r="G573" s="251" t="s">
        <v>5037</v>
      </c>
      <c r="H573" s="251" t="s">
        <v>5001</v>
      </c>
      <c r="I573" s="251" t="s">
        <v>5002</v>
      </c>
      <c r="J573" s="251" t="s">
        <v>5003</v>
      </c>
      <c r="K573" s="251" t="s">
        <v>5059</v>
      </c>
      <c r="BB573"/>
    </row>
    <row r="574" spans="1:54" x14ac:dyDescent="0.2">
      <c r="A574" s="225" t="str">
        <f t="shared" si="8"/>
        <v>Unrecog. Prior Plan Service Cost</v>
      </c>
      <c r="B574" s="218" t="s">
        <v>512</v>
      </c>
      <c r="C574" s="251" t="s">
        <v>4970</v>
      </c>
      <c r="D574" s="251" t="s">
        <v>4971</v>
      </c>
      <c r="E574" s="251" t="s">
        <v>4972</v>
      </c>
      <c r="F574" s="251" t="s">
        <v>5038</v>
      </c>
      <c r="G574" s="251" t="s">
        <v>5039</v>
      </c>
      <c r="H574" s="252" t="s">
        <v>5004</v>
      </c>
      <c r="I574" s="251" t="s">
        <v>5005</v>
      </c>
      <c r="J574" s="251" t="s">
        <v>5006</v>
      </c>
      <c r="K574" s="251" t="s">
        <v>5060</v>
      </c>
      <c r="BB574"/>
    </row>
    <row r="575" spans="1:54" x14ac:dyDescent="0.2">
      <c r="A575" s="225" t="str">
        <f t="shared" si="8"/>
        <v>Other Adj. (Net Benefit Asset/Liab.)</v>
      </c>
      <c r="B575" s="218" t="s">
        <v>513</v>
      </c>
      <c r="C575" s="251" t="s">
        <v>4973</v>
      </c>
      <c r="D575" s="251" t="s">
        <v>4974</v>
      </c>
      <c r="E575" s="251" t="s">
        <v>4975</v>
      </c>
      <c r="F575" s="251" t="s">
        <v>5040</v>
      </c>
      <c r="G575" s="251" t="s">
        <v>5041</v>
      </c>
      <c r="H575" s="252" t="s">
        <v>5007</v>
      </c>
      <c r="I575" s="251" t="s">
        <v>5008</v>
      </c>
      <c r="J575" s="251" t="s">
        <v>5009</v>
      </c>
      <c r="K575" s="251" t="s">
        <v>5061</v>
      </c>
      <c r="BB575"/>
    </row>
    <row r="576" spans="1:54" x14ac:dyDescent="0.2">
      <c r="A576" s="225" t="str">
        <f t="shared" si="8"/>
        <v>Net Asset/Liability Recognized on Balance Sheet</v>
      </c>
      <c r="B576" s="218" t="s">
        <v>514</v>
      </c>
      <c r="C576" s="251" t="s">
        <v>4976</v>
      </c>
      <c r="D576" s="251" t="s">
        <v>4977</v>
      </c>
      <c r="E576" s="251" t="s">
        <v>4978</v>
      </c>
      <c r="F576" s="251" t="s">
        <v>5042</v>
      </c>
      <c r="G576" s="251" t="s">
        <v>5043</v>
      </c>
      <c r="H576" s="252" t="s">
        <v>5010</v>
      </c>
      <c r="I576" s="251" t="s">
        <v>5011</v>
      </c>
      <c r="J576" s="251" t="s">
        <v>5012</v>
      </c>
      <c r="K576" s="251" t="s">
        <v>5062</v>
      </c>
      <c r="BB576"/>
    </row>
    <row r="577" spans="1:54" x14ac:dyDescent="0.2">
      <c r="A577" s="225" t="str">
        <f t="shared" si="8"/>
        <v>Other Pension Related Items</v>
      </c>
      <c r="B577" s="218" t="s">
        <v>515</v>
      </c>
      <c r="C577" s="251" t="s">
        <v>4979</v>
      </c>
      <c r="D577" s="251" t="s">
        <v>4980</v>
      </c>
      <c r="E577" s="251" t="s">
        <v>4981</v>
      </c>
      <c r="F577" s="251" t="s">
        <v>5044</v>
      </c>
      <c r="G577" s="251" t="s">
        <v>5045</v>
      </c>
      <c r="H577" s="252" t="s">
        <v>5013</v>
      </c>
      <c r="I577" s="251" t="s">
        <v>5014</v>
      </c>
      <c r="J577" s="251" t="s">
        <v>5015</v>
      </c>
      <c r="K577" s="251" t="s">
        <v>5063</v>
      </c>
      <c r="BB577"/>
    </row>
    <row r="578" spans="1:54" x14ac:dyDescent="0.2">
      <c r="A578" s="225" t="str">
        <f t="shared" si="8"/>
        <v>Unfunded &amp; Vested Pension Liab.</v>
      </c>
      <c r="B578" s="218" t="s">
        <v>516</v>
      </c>
      <c r="C578" s="251" t="s">
        <v>4982</v>
      </c>
      <c r="D578" s="251" t="s">
        <v>4983</v>
      </c>
      <c r="E578" s="251" t="s">
        <v>4984</v>
      </c>
      <c r="F578" s="251" t="s">
        <v>5046</v>
      </c>
      <c r="G578" s="251" t="s">
        <v>5047</v>
      </c>
      <c r="H578" s="252" t="s">
        <v>5016</v>
      </c>
      <c r="I578" s="251" t="s">
        <v>5017</v>
      </c>
      <c r="J578" s="251" t="s">
        <v>5018</v>
      </c>
      <c r="K578" s="251" t="s">
        <v>5064</v>
      </c>
      <c r="BB578"/>
    </row>
    <row r="579" spans="1:54" x14ac:dyDescent="0.2">
      <c r="A579" s="225" t="str">
        <f t="shared" si="8"/>
        <v>Est. Contributions - Next Year</v>
      </c>
      <c r="B579" s="218" t="s">
        <v>517</v>
      </c>
      <c r="C579" s="251" t="s">
        <v>4985</v>
      </c>
      <c r="D579" s="251" t="s">
        <v>4986</v>
      </c>
      <c r="E579" s="251" t="s">
        <v>4987</v>
      </c>
      <c r="F579" s="251" t="s">
        <v>5048</v>
      </c>
      <c r="G579" s="251" t="s">
        <v>5049</v>
      </c>
      <c r="H579" s="252" t="s">
        <v>5019</v>
      </c>
      <c r="I579" s="251" t="s">
        <v>5020</v>
      </c>
      <c r="J579" s="251" t="s">
        <v>5021</v>
      </c>
      <c r="K579" s="251" t="s">
        <v>5065</v>
      </c>
      <c r="BB579"/>
    </row>
    <row r="580" spans="1:54" x14ac:dyDescent="0.2">
      <c r="A580" s="225" t="str">
        <f t="shared" si="8"/>
        <v>Quarterly Employer Contribution</v>
      </c>
      <c r="B580" s="218" t="s">
        <v>518</v>
      </c>
      <c r="C580" s="251" t="s">
        <v>4988</v>
      </c>
      <c r="D580" s="251" t="s">
        <v>4988</v>
      </c>
      <c r="E580" s="251" t="s">
        <v>4989</v>
      </c>
      <c r="F580" s="251" t="s">
        <v>5050</v>
      </c>
      <c r="G580" s="251" t="s">
        <v>5051</v>
      </c>
      <c r="H580" s="252" t="s">
        <v>5022</v>
      </c>
      <c r="I580" s="251" t="s">
        <v>5023</v>
      </c>
      <c r="J580" s="251" t="s">
        <v>5024</v>
      </c>
      <c r="K580" s="251" t="s">
        <v>5066</v>
      </c>
      <c r="BB580"/>
    </row>
    <row r="581" spans="1:54" x14ac:dyDescent="0.2">
      <c r="A581" s="225" t="str">
        <f t="shared" si="8"/>
        <v>Quarterly Additional Contributions Expected</v>
      </c>
      <c r="B581" s="218" t="s">
        <v>519</v>
      </c>
      <c r="C581" s="251" t="s">
        <v>4990</v>
      </c>
      <c r="D581" s="251" t="s">
        <v>4991</v>
      </c>
      <c r="E581" s="251" t="s">
        <v>4992</v>
      </c>
      <c r="F581" s="251" t="s">
        <v>5052</v>
      </c>
      <c r="G581" s="251" t="s">
        <v>5053</v>
      </c>
      <c r="H581" s="252" t="s">
        <v>5025</v>
      </c>
      <c r="I581" s="251" t="s">
        <v>5026</v>
      </c>
      <c r="J581" s="251" t="s">
        <v>5027</v>
      </c>
      <c r="K581" s="251" t="s">
        <v>5067</v>
      </c>
      <c r="BB581"/>
    </row>
    <row r="582" spans="1:54" x14ac:dyDescent="0.2">
      <c r="A582" s="225" t="str">
        <f t="shared" si="8"/>
        <v>Unfunded Additional Minimum Liab.</v>
      </c>
      <c r="B582" s="218" t="s">
        <v>520</v>
      </c>
      <c r="C582" s="251" t="s">
        <v>4993</v>
      </c>
      <c r="D582" s="251" t="s">
        <v>4994</v>
      </c>
      <c r="E582" s="251" t="s">
        <v>4995</v>
      </c>
      <c r="F582" s="251" t="s">
        <v>5054</v>
      </c>
      <c r="G582" s="251" t="s">
        <v>5055</v>
      </c>
      <c r="H582" s="252" t="s">
        <v>5028</v>
      </c>
      <c r="I582" s="251" t="s">
        <v>5029</v>
      </c>
      <c r="J582" s="251" t="s">
        <v>5030</v>
      </c>
      <c r="K582" s="251" t="s">
        <v>5068</v>
      </c>
      <c r="BB582"/>
    </row>
    <row r="583" spans="1:54" x14ac:dyDescent="0.2">
      <c r="A583" s="225" t="str">
        <f t="shared" si="8"/>
        <v>Benefit Info Date</v>
      </c>
      <c r="B583" s="218" t="s">
        <v>521</v>
      </c>
      <c r="C583" s="251" t="s">
        <v>4996</v>
      </c>
      <c r="D583" s="251" t="s">
        <v>4996</v>
      </c>
      <c r="E583" s="251" t="s">
        <v>4997</v>
      </c>
      <c r="F583" s="251" t="s">
        <v>5056</v>
      </c>
      <c r="G583" s="251" t="s">
        <v>5057</v>
      </c>
      <c r="H583" s="252" t="s">
        <v>5031</v>
      </c>
      <c r="I583" s="251" t="s">
        <v>5032</v>
      </c>
      <c r="J583" s="251" t="s">
        <v>5033</v>
      </c>
      <c r="K583" s="251" t="s">
        <v>5069</v>
      </c>
      <c r="BB583"/>
    </row>
    <row r="584" spans="1:54" x14ac:dyDescent="0.2">
      <c r="A584" s="225" t="str">
        <f t="shared" si="8"/>
        <v>OPEB</v>
      </c>
      <c r="B584" s="218" t="s">
        <v>633</v>
      </c>
      <c r="C584" s="251" t="s">
        <v>4445</v>
      </c>
      <c r="D584" s="251" t="s">
        <v>4446</v>
      </c>
      <c r="E584" s="251" t="s">
        <v>4447</v>
      </c>
      <c r="F584" s="251" t="s">
        <v>633</v>
      </c>
      <c r="G584" s="251" t="s">
        <v>4530</v>
      </c>
      <c r="H584" s="252" t="s">
        <v>4486</v>
      </c>
      <c r="I584" s="251" t="s">
        <v>4487</v>
      </c>
      <c r="J584" s="251" t="s">
        <v>4488</v>
      </c>
      <c r="K584" s="251" t="s">
        <v>633</v>
      </c>
      <c r="BB584"/>
    </row>
    <row r="585" spans="1:54" x14ac:dyDescent="0.2">
      <c r="A585" s="225" t="str">
        <f t="shared" ref="A585:A648" si="9">INDEX($B585:$CV585,$A$4)</f>
        <v>Def. Benefit Expected Return on Assets</v>
      </c>
      <c r="B585" s="218" t="s">
        <v>522</v>
      </c>
      <c r="C585" s="251" t="s">
        <v>4448</v>
      </c>
      <c r="D585" s="251" t="s">
        <v>4449</v>
      </c>
      <c r="E585" s="251" t="s">
        <v>4450</v>
      </c>
      <c r="F585" s="251" t="s">
        <v>4531</v>
      </c>
      <c r="G585" s="251" t="s">
        <v>4532</v>
      </c>
      <c r="H585" s="252" t="s">
        <v>4489</v>
      </c>
      <c r="I585" s="251" t="s">
        <v>4490</v>
      </c>
      <c r="J585" s="251" t="s">
        <v>4491</v>
      </c>
      <c r="K585" s="251" t="s">
        <v>4557</v>
      </c>
      <c r="BB585"/>
    </row>
    <row r="586" spans="1:54" x14ac:dyDescent="0.2">
      <c r="A586" s="225" t="str">
        <f t="shared" si="9"/>
        <v>Def. Benefit Benefit Total Cost</v>
      </c>
      <c r="B586" s="218" t="s">
        <v>523</v>
      </c>
      <c r="C586" s="251" t="s">
        <v>4222</v>
      </c>
      <c r="D586" s="251" t="s">
        <v>4223</v>
      </c>
      <c r="E586" s="251" t="s">
        <v>4451</v>
      </c>
      <c r="F586" s="251" t="s">
        <v>4330</v>
      </c>
      <c r="G586" s="251" t="s">
        <v>4331</v>
      </c>
      <c r="H586" s="252" t="s">
        <v>4492</v>
      </c>
      <c r="I586" s="251" t="s">
        <v>4493</v>
      </c>
      <c r="J586" s="251" t="s">
        <v>4494</v>
      </c>
      <c r="K586" s="251" t="s">
        <v>4558</v>
      </c>
      <c r="BB586"/>
    </row>
    <row r="587" spans="1:54" x14ac:dyDescent="0.2">
      <c r="A587" s="225" t="str">
        <f t="shared" si="9"/>
        <v>Total OPEB Expense</v>
      </c>
      <c r="B587" s="218" t="s">
        <v>524</v>
      </c>
      <c r="C587" s="251" t="s">
        <v>4452</v>
      </c>
      <c r="D587" s="251" t="s">
        <v>4453</v>
      </c>
      <c r="E587" s="251" t="s">
        <v>4454</v>
      </c>
      <c r="F587" s="251" t="s">
        <v>4533</v>
      </c>
      <c r="G587" s="251" t="s">
        <v>4534</v>
      </c>
      <c r="H587" s="252" t="s">
        <v>4495</v>
      </c>
      <c r="I587" s="251" t="s">
        <v>4496</v>
      </c>
      <c r="J587" s="251" t="s">
        <v>4497</v>
      </c>
      <c r="K587" s="251" t="s">
        <v>4559</v>
      </c>
      <c r="BB587"/>
    </row>
    <row r="588" spans="1:54" x14ac:dyDescent="0.2">
      <c r="A588" s="225" t="str">
        <f t="shared" si="9"/>
        <v>Projected Benefit Obligation</v>
      </c>
      <c r="B588" s="218" t="s">
        <v>525</v>
      </c>
      <c r="C588" s="251" t="s">
        <v>4455</v>
      </c>
      <c r="D588" s="251" t="s">
        <v>4456</v>
      </c>
      <c r="E588" s="251" t="s">
        <v>4398</v>
      </c>
      <c r="F588" s="251" t="s">
        <v>4535</v>
      </c>
      <c r="G588" s="251" t="s">
        <v>4536</v>
      </c>
      <c r="H588" s="252" t="s">
        <v>4420</v>
      </c>
      <c r="I588" s="251" t="s">
        <v>4498</v>
      </c>
      <c r="J588" s="251" t="s">
        <v>4499</v>
      </c>
      <c r="K588" s="251" t="s">
        <v>4444</v>
      </c>
      <c r="BB588"/>
    </row>
    <row r="589" spans="1:54" x14ac:dyDescent="0.2">
      <c r="A589" s="225" t="str">
        <f t="shared" si="9"/>
        <v>Accumulated Benefit Obligation</v>
      </c>
      <c r="B589" s="218" t="s">
        <v>526</v>
      </c>
      <c r="C589" s="251" t="s">
        <v>4457</v>
      </c>
      <c r="D589" s="251" t="s">
        <v>4458</v>
      </c>
      <c r="E589" s="251" t="s">
        <v>4459</v>
      </c>
      <c r="F589" s="251" t="s">
        <v>4537</v>
      </c>
      <c r="G589" s="251" t="s">
        <v>4538</v>
      </c>
      <c r="H589" s="252" t="s">
        <v>4500</v>
      </c>
      <c r="I589" s="251" t="s">
        <v>4501</v>
      </c>
      <c r="J589" s="251" t="s">
        <v>4502</v>
      </c>
      <c r="K589" s="251" t="s">
        <v>4560</v>
      </c>
      <c r="BB589"/>
    </row>
    <row r="590" spans="1:54" x14ac:dyDescent="0.2">
      <c r="A590" s="225" t="str">
        <f t="shared" si="9"/>
        <v>Benefits Sensitivity Analysis</v>
      </c>
      <c r="B590" s="218" t="s">
        <v>527</v>
      </c>
      <c r="C590" s="251" t="s">
        <v>4460</v>
      </c>
      <c r="D590" s="251" t="s">
        <v>4460</v>
      </c>
      <c r="E590" s="251" t="s">
        <v>4461</v>
      </c>
      <c r="F590" s="251" t="s">
        <v>4539</v>
      </c>
      <c r="G590" s="251" t="s">
        <v>4540</v>
      </c>
      <c r="H590" s="252" t="s">
        <v>4503</v>
      </c>
      <c r="I590" s="251" t="s">
        <v>4504</v>
      </c>
      <c r="J590" s="251" t="s">
        <v>4505</v>
      </c>
      <c r="K590" s="251" t="s">
        <v>4561</v>
      </c>
      <c r="BB590"/>
    </row>
    <row r="591" spans="1:54" x14ac:dyDescent="0.2">
      <c r="A591" s="225" t="str">
        <f t="shared" si="9"/>
        <v>1% Increase - Effect on Service and Interest Cost</v>
      </c>
      <c r="B591" s="218" t="s">
        <v>528</v>
      </c>
      <c r="C591" s="251" t="s">
        <v>4462</v>
      </c>
      <c r="D591" s="251" t="s">
        <v>4463</v>
      </c>
      <c r="E591" s="251" t="s">
        <v>4464</v>
      </c>
      <c r="F591" s="251" t="s">
        <v>4541</v>
      </c>
      <c r="G591" s="251" t="s">
        <v>4542</v>
      </c>
      <c r="H591" s="252" t="s">
        <v>4506</v>
      </c>
      <c r="I591" s="251" t="s">
        <v>4507</v>
      </c>
      <c r="J591" s="251" t="s">
        <v>4508</v>
      </c>
      <c r="K591" s="251" t="s">
        <v>4562</v>
      </c>
      <c r="BB591"/>
    </row>
    <row r="592" spans="1:54" x14ac:dyDescent="0.2">
      <c r="A592" s="225" t="str">
        <f t="shared" si="9"/>
        <v>1% Increase - Effect on PBO</v>
      </c>
      <c r="B592" s="218" t="s">
        <v>529</v>
      </c>
      <c r="C592" s="251" t="s">
        <v>4465</v>
      </c>
      <c r="D592" s="251" t="s">
        <v>4466</v>
      </c>
      <c r="E592" s="251" t="s">
        <v>4467</v>
      </c>
      <c r="F592" s="251" t="s">
        <v>4543</v>
      </c>
      <c r="G592" s="251" t="s">
        <v>4544</v>
      </c>
      <c r="H592" s="252" t="s">
        <v>4509</v>
      </c>
      <c r="I592" s="251" t="s">
        <v>4510</v>
      </c>
      <c r="J592" s="251" t="s">
        <v>4511</v>
      </c>
      <c r="K592" s="251" t="s">
        <v>4563</v>
      </c>
      <c r="BB592"/>
    </row>
    <row r="593" spans="1:54" x14ac:dyDescent="0.2">
      <c r="A593" s="225" t="str">
        <f t="shared" si="9"/>
        <v>1% Decrease - Effect on Service and Interest Cost</v>
      </c>
      <c r="B593" s="218" t="s">
        <v>530</v>
      </c>
      <c r="C593" s="251" t="s">
        <v>4468</v>
      </c>
      <c r="D593" s="251" t="s">
        <v>4469</v>
      </c>
      <c r="E593" s="251" t="s">
        <v>4470</v>
      </c>
      <c r="F593" s="251" t="s">
        <v>4545</v>
      </c>
      <c r="G593" s="251" t="s">
        <v>4546</v>
      </c>
      <c r="H593" s="252" t="s">
        <v>4512</v>
      </c>
      <c r="I593" s="251" t="s">
        <v>4513</v>
      </c>
      <c r="J593" s="251" t="s">
        <v>4514</v>
      </c>
      <c r="K593" s="251" t="s">
        <v>4564</v>
      </c>
      <c r="BB593"/>
    </row>
    <row r="594" spans="1:54" x14ac:dyDescent="0.2">
      <c r="A594" s="225" t="str">
        <f t="shared" si="9"/>
        <v>1% Decrease - Effect on PBO</v>
      </c>
      <c r="B594" s="218" t="s">
        <v>531</v>
      </c>
      <c r="C594" s="251" t="s">
        <v>4471</v>
      </c>
      <c r="D594" s="251" t="s">
        <v>4472</v>
      </c>
      <c r="E594" s="251" t="s">
        <v>4473</v>
      </c>
      <c r="F594" s="251" t="s">
        <v>4547</v>
      </c>
      <c r="G594" s="251" t="s">
        <v>4548</v>
      </c>
      <c r="H594" s="252" t="s">
        <v>4515</v>
      </c>
      <c r="I594" s="251" t="s">
        <v>4516</v>
      </c>
      <c r="J594" s="251" t="s">
        <v>4517</v>
      </c>
      <c r="K594" s="251" t="s">
        <v>4565</v>
      </c>
      <c r="BB594"/>
    </row>
    <row r="595" spans="1:54" x14ac:dyDescent="0.2">
      <c r="A595" s="225" t="str">
        <f t="shared" si="9"/>
        <v>Other Post-Retirement Benefit Related Items</v>
      </c>
      <c r="B595" s="218" t="s">
        <v>532</v>
      </c>
      <c r="C595" s="251" t="s">
        <v>4474</v>
      </c>
      <c r="D595" s="251" t="s">
        <v>4475</v>
      </c>
      <c r="E595" s="251" t="s">
        <v>4476</v>
      </c>
      <c r="F595" s="251" t="s">
        <v>4549</v>
      </c>
      <c r="G595" s="251" t="s">
        <v>4550</v>
      </c>
      <c r="H595" s="252" t="s">
        <v>4518</v>
      </c>
      <c r="I595" s="251" t="s">
        <v>4519</v>
      </c>
      <c r="J595" s="251" t="s">
        <v>4520</v>
      </c>
      <c r="K595" s="251" t="s">
        <v>4566</v>
      </c>
      <c r="BB595"/>
    </row>
    <row r="596" spans="1:54" x14ac:dyDescent="0.2">
      <c r="A596" s="225" t="str">
        <f t="shared" si="9"/>
        <v>Health Care Cost Trend Rate, Initial</v>
      </c>
      <c r="B596" s="218" t="s">
        <v>533</v>
      </c>
      <c r="C596" s="251" t="s">
        <v>4477</v>
      </c>
      <c r="D596" s="251" t="s">
        <v>4478</v>
      </c>
      <c r="E596" s="251" t="s">
        <v>4479</v>
      </c>
      <c r="F596" s="251" t="s">
        <v>4551</v>
      </c>
      <c r="G596" s="251" t="s">
        <v>4552</v>
      </c>
      <c r="H596" s="252" t="s">
        <v>4521</v>
      </c>
      <c r="I596" s="251" t="s">
        <v>4522</v>
      </c>
      <c r="J596" s="251" t="s">
        <v>4523</v>
      </c>
      <c r="K596" s="251" t="s">
        <v>4567</v>
      </c>
      <c r="BB596"/>
    </row>
    <row r="597" spans="1:54" x14ac:dyDescent="0.2">
      <c r="A597" s="225" t="str">
        <f t="shared" si="9"/>
        <v>Health Care Cost Trend Rate, Ultimate</v>
      </c>
      <c r="B597" s="218" t="s">
        <v>534</v>
      </c>
      <c r="C597" s="251" t="s">
        <v>4480</v>
      </c>
      <c r="D597" s="251" t="s">
        <v>4481</v>
      </c>
      <c r="E597" s="251" t="s">
        <v>4482</v>
      </c>
      <c r="F597" s="251" t="s">
        <v>4553</v>
      </c>
      <c r="G597" s="251" t="s">
        <v>4554</v>
      </c>
      <c r="H597" s="252" t="s">
        <v>4524</v>
      </c>
      <c r="I597" s="251" t="s">
        <v>4525</v>
      </c>
      <c r="J597" s="251" t="s">
        <v>4526</v>
      </c>
      <c r="K597" s="251" t="s">
        <v>4568</v>
      </c>
      <c r="BB597"/>
    </row>
    <row r="598" spans="1:54" x14ac:dyDescent="0.2">
      <c r="A598" s="225" t="str">
        <f t="shared" si="9"/>
        <v>Pension - Domestic</v>
      </c>
      <c r="B598" s="218" t="s">
        <v>634</v>
      </c>
      <c r="C598" s="251" t="s">
        <v>4483</v>
      </c>
      <c r="D598" s="251" t="s">
        <v>4484</v>
      </c>
      <c r="E598" s="251" t="s">
        <v>4485</v>
      </c>
      <c r="F598" s="251" t="s">
        <v>4555</v>
      </c>
      <c r="G598" s="251" t="s">
        <v>4556</v>
      </c>
      <c r="H598" s="252" t="s">
        <v>4527</v>
      </c>
      <c r="I598" s="251" t="s">
        <v>4528</v>
      </c>
      <c r="J598" s="251" t="s">
        <v>4529</v>
      </c>
      <c r="K598" s="251" t="s">
        <v>4569</v>
      </c>
      <c r="BB598"/>
    </row>
    <row r="599" spans="1:54" x14ac:dyDescent="0.2">
      <c r="A599" s="225" t="str">
        <f t="shared" si="9"/>
        <v>Def. Benefit Total Cost Incl. Supple Plans</v>
      </c>
      <c r="B599" s="218" t="s">
        <v>3</v>
      </c>
      <c r="C599" s="218" t="s">
        <v>8119</v>
      </c>
      <c r="D599" s="218" t="s">
        <v>8120</v>
      </c>
      <c r="E599" s="218" t="s">
        <v>8121</v>
      </c>
      <c r="F599" s="218" t="s">
        <v>8125</v>
      </c>
      <c r="G599" s="218" t="s">
        <v>8126</v>
      </c>
      <c r="H599" s="218" t="s">
        <v>8122</v>
      </c>
      <c r="I599" s="218" t="s">
        <v>8123</v>
      </c>
      <c r="J599" s="218" t="s">
        <v>8124</v>
      </c>
      <c r="K599" s="218" t="s">
        <v>8127</v>
      </c>
      <c r="BB599"/>
    </row>
    <row r="600" spans="1:54" x14ac:dyDescent="0.2">
      <c r="A600" s="225" t="str">
        <f t="shared" si="9"/>
        <v>Exp.Ret. On Pension Assets</v>
      </c>
      <c r="B600" s="218" t="s">
        <v>571</v>
      </c>
      <c r="C600" s="218" t="s">
        <v>8128</v>
      </c>
      <c r="D600" s="218" t="s">
        <v>8129</v>
      </c>
      <c r="E600" s="218" t="s">
        <v>8130</v>
      </c>
      <c r="F600" s="218" t="s">
        <v>8140</v>
      </c>
      <c r="G600" s="218" t="s">
        <v>8141</v>
      </c>
      <c r="H600" s="218" t="s">
        <v>8134</v>
      </c>
      <c r="I600" s="218" t="s">
        <v>8135</v>
      </c>
      <c r="J600" s="218" t="s">
        <v>8136</v>
      </c>
      <c r="K600" s="218" t="s">
        <v>8144</v>
      </c>
      <c r="BB600"/>
    </row>
    <row r="601" spans="1:54" x14ac:dyDescent="0.2">
      <c r="A601" s="225" t="str">
        <f t="shared" si="9"/>
        <v>Assumed Comp. Growth Rate</v>
      </c>
      <c r="B601" s="218" t="s">
        <v>570</v>
      </c>
      <c r="C601" s="218" t="s">
        <v>8131</v>
      </c>
      <c r="D601" s="218" t="s">
        <v>8132</v>
      </c>
      <c r="E601" s="218" t="s">
        <v>8133</v>
      </c>
      <c r="F601" s="218" t="s">
        <v>8142</v>
      </c>
      <c r="G601" s="218" t="s">
        <v>8143</v>
      </c>
      <c r="H601" s="218" t="s">
        <v>8137</v>
      </c>
      <c r="I601" s="218" t="s">
        <v>8138</v>
      </c>
      <c r="J601" s="218" t="s">
        <v>8139</v>
      </c>
      <c r="K601" s="218" t="s">
        <v>8145</v>
      </c>
      <c r="BB601"/>
    </row>
    <row r="602" spans="1:54" x14ac:dyDescent="0.2">
      <c r="A602" s="225" t="str">
        <f t="shared" si="9"/>
        <v>Discount Rate on Obligations</v>
      </c>
      <c r="B602" s="218" t="s">
        <v>8250</v>
      </c>
      <c r="C602" s="218" t="s">
        <v>8146</v>
      </c>
      <c r="D602" s="218" t="s">
        <v>8147</v>
      </c>
      <c r="E602" s="218" t="s">
        <v>8148</v>
      </c>
      <c r="F602" s="218" t="s">
        <v>8152</v>
      </c>
      <c r="G602" s="218" t="s">
        <v>8153</v>
      </c>
      <c r="H602" s="218" t="s">
        <v>8149</v>
      </c>
      <c r="I602" s="218" t="s">
        <v>8150</v>
      </c>
      <c r="J602" s="218" t="s">
        <v>8151</v>
      </c>
      <c r="K602" s="218" t="s">
        <v>8154</v>
      </c>
      <c r="BB602"/>
    </row>
    <row r="603" spans="1:54" x14ac:dyDescent="0.2">
      <c r="A603" s="225" t="str">
        <f t="shared" si="9"/>
        <v>OPEB - Domestic</v>
      </c>
      <c r="B603" s="218" t="s">
        <v>635</v>
      </c>
      <c r="C603" s="251" t="s">
        <v>8155</v>
      </c>
      <c r="D603" s="251" t="s">
        <v>8156</v>
      </c>
      <c r="E603" s="251" t="s">
        <v>8157</v>
      </c>
      <c r="F603" s="251" t="s">
        <v>8161</v>
      </c>
      <c r="G603" s="251" t="s">
        <v>8162</v>
      </c>
      <c r="H603" s="252" t="s">
        <v>8158</v>
      </c>
      <c r="I603" s="251" t="s">
        <v>8159</v>
      </c>
      <c r="J603" s="251" t="s">
        <v>8160</v>
      </c>
      <c r="K603" s="251" t="s">
        <v>8163</v>
      </c>
      <c r="BB603"/>
    </row>
    <row r="604" spans="1:54" x14ac:dyDescent="0.2">
      <c r="A604" s="225" t="str">
        <f t="shared" si="9"/>
        <v>Pension - Foreign</v>
      </c>
      <c r="B604" s="218" t="s">
        <v>636</v>
      </c>
      <c r="C604" s="218" t="s">
        <v>8164</v>
      </c>
      <c r="D604" s="218" t="s">
        <v>8165</v>
      </c>
      <c r="E604" s="218" t="s">
        <v>8166</v>
      </c>
      <c r="F604" s="218" t="s">
        <v>8170</v>
      </c>
      <c r="G604" s="218" t="s">
        <v>8171</v>
      </c>
      <c r="H604" s="218" t="s">
        <v>8167</v>
      </c>
      <c r="I604" s="218" t="s">
        <v>8168</v>
      </c>
      <c r="J604" s="218" t="s">
        <v>8169</v>
      </c>
      <c r="K604" s="218" t="s">
        <v>8172</v>
      </c>
      <c r="BB604"/>
    </row>
    <row r="605" spans="1:54" x14ac:dyDescent="0.2">
      <c r="A605" s="225" t="str">
        <f t="shared" si="9"/>
        <v>OPEB - Foreign</v>
      </c>
      <c r="B605" s="218" t="s">
        <v>637</v>
      </c>
      <c r="C605" s="251" t="s">
        <v>3205</v>
      </c>
      <c r="D605" s="251" t="s">
        <v>3206</v>
      </c>
      <c r="E605" s="251" t="s">
        <v>3207</v>
      </c>
      <c r="F605" s="251" t="s">
        <v>3598</v>
      </c>
      <c r="G605" s="251" t="s">
        <v>3599</v>
      </c>
      <c r="H605" s="252" t="s">
        <v>3399</v>
      </c>
      <c r="I605" s="251" t="s">
        <v>3400</v>
      </c>
      <c r="J605" s="251" t="s">
        <v>3401</v>
      </c>
      <c r="K605" s="251" t="s">
        <v>3728</v>
      </c>
      <c r="BB605"/>
    </row>
    <row r="606" spans="1:54" x14ac:dyDescent="0.2">
      <c r="A606" s="225" t="str">
        <f t="shared" si="9"/>
        <v>Assets Under Management</v>
      </c>
      <c r="B606" s="218" t="s">
        <v>741</v>
      </c>
      <c r="C606" s="251" t="s">
        <v>3208</v>
      </c>
      <c r="D606" s="251" t="s">
        <v>3209</v>
      </c>
      <c r="E606" s="251" t="s">
        <v>3210</v>
      </c>
      <c r="F606" s="251" t="s">
        <v>3600</v>
      </c>
      <c r="G606" s="251" t="s">
        <v>3601</v>
      </c>
      <c r="H606" s="252" t="s">
        <v>3402</v>
      </c>
      <c r="I606" s="251" t="s">
        <v>3403</v>
      </c>
      <c r="J606" s="251" t="s">
        <v>3404</v>
      </c>
      <c r="K606" s="251" t="s">
        <v>3729</v>
      </c>
      <c r="BB606"/>
    </row>
    <row r="607" spans="1:54" x14ac:dyDescent="0.2">
      <c r="A607" s="225" t="str">
        <f t="shared" si="9"/>
        <v>Assets Under Management - Equity</v>
      </c>
      <c r="B607" s="267" t="s">
        <v>8261</v>
      </c>
      <c r="C607" s="251" t="s">
        <v>3211</v>
      </c>
      <c r="D607" s="251" t="s">
        <v>3212</v>
      </c>
      <c r="E607" s="251" t="s">
        <v>3213</v>
      </c>
      <c r="F607" s="251" t="s">
        <v>3602</v>
      </c>
      <c r="G607" s="251" t="s">
        <v>3603</v>
      </c>
      <c r="H607" s="252" t="s">
        <v>3405</v>
      </c>
      <c r="I607" s="251" t="s">
        <v>3406</v>
      </c>
      <c r="J607" s="251" t="s">
        <v>3407</v>
      </c>
      <c r="K607" s="251" t="s">
        <v>3730</v>
      </c>
      <c r="BB607"/>
    </row>
    <row r="608" spans="1:54" x14ac:dyDescent="0.2">
      <c r="A608" s="225" t="str">
        <f t="shared" si="9"/>
        <v>Assets Under Management - Fixed</v>
      </c>
      <c r="B608" s="267" t="s">
        <v>8262</v>
      </c>
      <c r="C608" s="251" t="s">
        <v>3214</v>
      </c>
      <c r="D608" s="251" t="s">
        <v>3215</v>
      </c>
      <c r="E608" s="251" t="s">
        <v>3216</v>
      </c>
      <c r="F608" s="251" t="s">
        <v>3604</v>
      </c>
      <c r="G608" s="251" t="s">
        <v>3605</v>
      </c>
      <c r="H608" s="252" t="s">
        <v>3408</v>
      </c>
      <c r="I608" s="251" t="s">
        <v>3409</v>
      </c>
      <c r="J608" s="251" t="s">
        <v>3410</v>
      </c>
      <c r="K608" s="251" t="s">
        <v>3731</v>
      </c>
      <c r="BB608"/>
    </row>
    <row r="609" spans="1:54" x14ac:dyDescent="0.2">
      <c r="A609" s="225" t="str">
        <f t="shared" si="9"/>
        <v>Assets Under Management - Money Market</v>
      </c>
      <c r="B609" s="267" t="s">
        <v>8263</v>
      </c>
      <c r="C609" s="251" t="s">
        <v>3217</v>
      </c>
      <c r="D609" s="251" t="s">
        <v>3218</v>
      </c>
      <c r="E609" s="251" t="s">
        <v>3219</v>
      </c>
      <c r="F609" s="251" t="s">
        <v>3606</v>
      </c>
      <c r="G609" s="251" t="s">
        <v>3607</v>
      </c>
      <c r="H609" s="252" t="s">
        <v>3411</v>
      </c>
      <c r="I609" s="251" t="s">
        <v>3412</v>
      </c>
      <c r="J609" s="251" t="s">
        <v>3413</v>
      </c>
      <c r="K609" s="251" t="s">
        <v>3732</v>
      </c>
      <c r="BB609"/>
    </row>
    <row r="610" spans="1:54" x14ac:dyDescent="0.2">
      <c r="A610" s="225" t="str">
        <f t="shared" si="9"/>
        <v>Assets Under Management - Other</v>
      </c>
      <c r="B610" s="267" t="s">
        <v>8264</v>
      </c>
      <c r="C610" s="251" t="s">
        <v>3220</v>
      </c>
      <c r="D610" s="251" t="s">
        <v>3221</v>
      </c>
      <c r="E610" s="251" t="s">
        <v>3222</v>
      </c>
      <c r="F610" s="251" t="s">
        <v>3608</v>
      </c>
      <c r="G610" s="251" t="s">
        <v>3609</v>
      </c>
      <c r="H610" s="252" t="s">
        <v>3414</v>
      </c>
      <c r="I610" s="251" t="s">
        <v>3415</v>
      </c>
      <c r="J610" s="251" t="s">
        <v>3416</v>
      </c>
      <c r="K610" s="251" t="s">
        <v>3733</v>
      </c>
      <c r="BB610"/>
    </row>
    <row r="611" spans="1:54" x14ac:dyDescent="0.2">
      <c r="A611" s="225" t="str">
        <f t="shared" si="9"/>
        <v>Total Assets Under Management</v>
      </c>
      <c r="B611" s="218" t="s">
        <v>30</v>
      </c>
      <c r="C611" s="251" t="s">
        <v>3223</v>
      </c>
      <c r="D611" s="251" t="s">
        <v>3224</v>
      </c>
      <c r="E611" s="251" t="s">
        <v>3225</v>
      </c>
      <c r="F611" s="251" t="s">
        <v>3610</v>
      </c>
      <c r="G611" s="251" t="s">
        <v>3611</v>
      </c>
      <c r="H611" s="252" t="s">
        <v>3417</v>
      </c>
      <c r="I611" s="251" t="s">
        <v>3418</v>
      </c>
      <c r="J611" s="251" t="s">
        <v>3419</v>
      </c>
      <c r="K611" s="251" t="s">
        <v>3734</v>
      </c>
      <c r="BB611"/>
    </row>
    <row r="612" spans="1:54" x14ac:dyDescent="0.2">
      <c r="A612" s="225" t="str">
        <f t="shared" si="9"/>
        <v>Assets Under Management - Private Equity</v>
      </c>
      <c r="B612" s="218" t="s">
        <v>751</v>
      </c>
      <c r="C612" s="251" t="s">
        <v>3226</v>
      </c>
      <c r="D612" s="251" t="s">
        <v>3227</v>
      </c>
      <c r="E612" s="251" t="s">
        <v>3228</v>
      </c>
      <c r="F612" s="251" t="s">
        <v>3612</v>
      </c>
      <c r="G612" s="251" t="s">
        <v>3613</v>
      </c>
      <c r="H612" s="252" t="s">
        <v>3420</v>
      </c>
      <c r="I612" s="251" t="s">
        <v>3421</v>
      </c>
      <c r="J612" s="251" t="s">
        <v>3422</v>
      </c>
      <c r="K612" s="251" t="s">
        <v>3735</v>
      </c>
      <c r="BB612"/>
    </row>
    <row r="613" spans="1:54" x14ac:dyDescent="0.2">
      <c r="A613" s="225" t="str">
        <f t="shared" si="9"/>
        <v>Assets Under Management - Real Estate</v>
      </c>
      <c r="B613" s="218" t="s">
        <v>752</v>
      </c>
      <c r="C613" s="251" t="s">
        <v>3229</v>
      </c>
      <c r="D613" s="251" t="s">
        <v>3230</v>
      </c>
      <c r="E613" s="251" t="s">
        <v>3231</v>
      </c>
      <c r="F613" s="251" t="s">
        <v>3614</v>
      </c>
      <c r="G613" s="251" t="s">
        <v>3615</v>
      </c>
      <c r="H613" s="252" t="s">
        <v>3423</v>
      </c>
      <c r="I613" s="251" t="s">
        <v>3424</v>
      </c>
      <c r="J613" s="251" t="s">
        <v>3425</v>
      </c>
      <c r="K613" s="251" t="s">
        <v>3736</v>
      </c>
      <c r="BB613"/>
    </row>
    <row r="614" spans="1:54" x14ac:dyDescent="0.2">
      <c r="A614" s="225" t="str">
        <f t="shared" si="9"/>
        <v>Assets Under Management - Institutional</v>
      </c>
      <c r="B614" s="218" t="s">
        <v>753</v>
      </c>
      <c r="C614" s="251" t="s">
        <v>3232</v>
      </c>
      <c r="D614" s="251" t="s">
        <v>3233</v>
      </c>
      <c r="E614" s="251" t="s">
        <v>3234</v>
      </c>
      <c r="F614" s="251" t="s">
        <v>3616</v>
      </c>
      <c r="G614" s="251" t="s">
        <v>3617</v>
      </c>
      <c r="H614" s="252" t="s">
        <v>3426</v>
      </c>
      <c r="I614" s="251" t="s">
        <v>3427</v>
      </c>
      <c r="J614" s="251" t="s">
        <v>3428</v>
      </c>
      <c r="K614" s="251" t="s">
        <v>3737</v>
      </c>
      <c r="BB614"/>
    </row>
    <row r="615" spans="1:54" x14ac:dyDescent="0.2">
      <c r="A615" s="225" t="str">
        <f t="shared" si="9"/>
        <v>Assets Under Management - Retail</v>
      </c>
      <c r="B615" s="218" t="s">
        <v>754</v>
      </c>
      <c r="C615" s="251" t="s">
        <v>3235</v>
      </c>
      <c r="D615" s="251" t="s">
        <v>3236</v>
      </c>
      <c r="E615" s="251" t="s">
        <v>3237</v>
      </c>
      <c r="F615" s="251" t="s">
        <v>3618</v>
      </c>
      <c r="G615" s="251" t="s">
        <v>3619</v>
      </c>
      <c r="H615" s="252" t="s">
        <v>3429</v>
      </c>
      <c r="I615" s="251" t="s">
        <v>3430</v>
      </c>
      <c r="J615" s="251" t="s">
        <v>3431</v>
      </c>
      <c r="K615" s="251" t="s">
        <v>3738</v>
      </c>
      <c r="BB615"/>
    </row>
    <row r="616" spans="1:54" x14ac:dyDescent="0.2">
      <c r="A616" s="225" t="str">
        <f t="shared" si="9"/>
        <v>Assets Under Management - High Net Worth</v>
      </c>
      <c r="B616" s="218" t="s">
        <v>755</v>
      </c>
      <c r="C616" s="251" t="s">
        <v>3238</v>
      </c>
      <c r="D616" s="251" t="s">
        <v>3239</v>
      </c>
      <c r="E616" s="251" t="s">
        <v>3240</v>
      </c>
      <c r="F616" s="251" t="s">
        <v>3620</v>
      </c>
      <c r="G616" s="251" t="s">
        <v>3621</v>
      </c>
      <c r="H616" s="252" t="s">
        <v>3432</v>
      </c>
      <c r="I616" s="251" t="s">
        <v>3433</v>
      </c>
      <c r="J616" s="251" t="s">
        <v>3434</v>
      </c>
      <c r="K616" s="251" t="s">
        <v>3739</v>
      </c>
      <c r="BB616"/>
    </row>
    <row r="617" spans="1:54" x14ac:dyDescent="0.2">
      <c r="A617" s="225" t="str">
        <f t="shared" si="9"/>
        <v>Assets Under Management - Other Clients</v>
      </c>
      <c r="B617" s="218" t="s">
        <v>756</v>
      </c>
      <c r="C617" s="251" t="s">
        <v>3241</v>
      </c>
      <c r="D617" s="251" t="s">
        <v>3242</v>
      </c>
      <c r="E617" s="251" t="s">
        <v>3243</v>
      </c>
      <c r="F617" s="251" t="s">
        <v>3622</v>
      </c>
      <c r="G617" s="251" t="s">
        <v>3623</v>
      </c>
      <c r="H617" s="252" t="s">
        <v>3435</v>
      </c>
      <c r="I617" s="251" t="s">
        <v>3436</v>
      </c>
      <c r="J617" s="251" t="s">
        <v>3437</v>
      </c>
      <c r="K617" s="251" t="s">
        <v>3740</v>
      </c>
      <c r="BB617"/>
    </row>
    <row r="618" spans="1:54" x14ac:dyDescent="0.2">
      <c r="A618" s="225" t="str">
        <f t="shared" si="9"/>
        <v>Assets Under Management - Domestic</v>
      </c>
      <c r="B618" s="218" t="s">
        <v>757</v>
      </c>
      <c r="C618" s="251" t="s">
        <v>3244</v>
      </c>
      <c r="D618" s="251" t="s">
        <v>3245</v>
      </c>
      <c r="E618" s="251" t="s">
        <v>3246</v>
      </c>
      <c r="F618" s="251" t="s">
        <v>3624</v>
      </c>
      <c r="G618" s="251" t="s">
        <v>3625</v>
      </c>
      <c r="H618" s="252" t="s">
        <v>3438</v>
      </c>
      <c r="I618" s="251" t="s">
        <v>3439</v>
      </c>
      <c r="J618" s="251" t="s">
        <v>3440</v>
      </c>
      <c r="K618" s="251" t="s">
        <v>3741</v>
      </c>
      <c r="BB618"/>
    </row>
    <row r="619" spans="1:54" x14ac:dyDescent="0.2">
      <c r="A619" s="225" t="str">
        <f t="shared" si="9"/>
        <v>Assets Under Management - Foreign</v>
      </c>
      <c r="B619" s="218" t="s">
        <v>758</v>
      </c>
      <c r="C619" s="251" t="s">
        <v>3247</v>
      </c>
      <c r="D619" s="251" t="s">
        <v>3248</v>
      </c>
      <c r="E619" s="251" t="s">
        <v>3249</v>
      </c>
      <c r="F619" s="251" t="s">
        <v>3626</v>
      </c>
      <c r="G619" s="251" t="s">
        <v>3627</v>
      </c>
      <c r="H619" s="252" t="s">
        <v>3441</v>
      </c>
      <c r="I619" s="251" t="s">
        <v>3442</v>
      </c>
      <c r="J619" s="251" t="s">
        <v>3443</v>
      </c>
      <c r="K619" s="251" t="s">
        <v>3742</v>
      </c>
      <c r="BB619"/>
    </row>
    <row r="620" spans="1:54" x14ac:dyDescent="0.2">
      <c r="A620" s="225" t="str">
        <f t="shared" si="9"/>
        <v>Assets Under Management - Fee Earning</v>
      </c>
      <c r="B620" s="218" t="s">
        <v>759</v>
      </c>
      <c r="C620" s="251" t="s">
        <v>3250</v>
      </c>
      <c r="D620" s="251" t="s">
        <v>3251</v>
      </c>
      <c r="E620" s="251" t="s">
        <v>3252</v>
      </c>
      <c r="F620" s="251" t="s">
        <v>3628</v>
      </c>
      <c r="G620" s="251" t="s">
        <v>3629</v>
      </c>
      <c r="H620" s="252" t="s">
        <v>3444</v>
      </c>
      <c r="I620" s="251" t="s">
        <v>3445</v>
      </c>
      <c r="J620" s="251" t="s">
        <v>3446</v>
      </c>
      <c r="K620" s="251" t="s">
        <v>3743</v>
      </c>
      <c r="BB620"/>
    </row>
    <row r="621" spans="1:54" x14ac:dyDescent="0.2">
      <c r="A621" s="225" t="str">
        <f t="shared" si="9"/>
        <v>Assets Under Management - Non Fee Earning</v>
      </c>
      <c r="B621" s="218" t="s">
        <v>760</v>
      </c>
      <c r="C621" s="251" t="s">
        <v>3253</v>
      </c>
      <c r="D621" s="251" t="s">
        <v>3254</v>
      </c>
      <c r="E621" s="251" t="s">
        <v>3255</v>
      </c>
      <c r="F621" s="251" t="s">
        <v>3630</v>
      </c>
      <c r="G621" s="251" t="s">
        <v>3631</v>
      </c>
      <c r="H621" s="252" t="s">
        <v>3447</v>
      </c>
      <c r="I621" s="251" t="s">
        <v>3448</v>
      </c>
      <c r="J621" s="251" t="s">
        <v>3449</v>
      </c>
      <c r="K621" s="251" t="s">
        <v>3744</v>
      </c>
      <c r="BB621"/>
    </row>
    <row r="622" spans="1:54" x14ac:dyDescent="0.2">
      <c r="A622" s="225" t="str">
        <f t="shared" si="9"/>
        <v>Assets Under Management - Retail Customers</v>
      </c>
      <c r="B622" s="218" t="s">
        <v>761</v>
      </c>
      <c r="C622" s="251" t="s">
        <v>3256</v>
      </c>
      <c r="D622" s="251" t="s">
        <v>3257</v>
      </c>
      <c r="E622" s="251" t="s">
        <v>3258</v>
      </c>
      <c r="F622" s="251" t="s">
        <v>3632</v>
      </c>
      <c r="G622" s="251" t="s">
        <v>3633</v>
      </c>
      <c r="H622" s="252" t="s">
        <v>3450</v>
      </c>
      <c r="I622" s="251" t="s">
        <v>3451</v>
      </c>
      <c r="J622" s="251" t="s">
        <v>3452</v>
      </c>
      <c r="K622" s="251" t="s">
        <v>3745</v>
      </c>
      <c r="BB622"/>
    </row>
    <row r="623" spans="1:54" x14ac:dyDescent="0.2">
      <c r="A623" s="225" t="str">
        <f t="shared" si="9"/>
        <v>Assets Under Management - Institutional Customers</v>
      </c>
      <c r="B623" s="218" t="s">
        <v>762</v>
      </c>
      <c r="C623" s="251" t="s">
        <v>3259</v>
      </c>
      <c r="D623" s="251" t="s">
        <v>3260</v>
      </c>
      <c r="E623" s="251" t="s">
        <v>3261</v>
      </c>
      <c r="F623" s="251" t="s">
        <v>3634</v>
      </c>
      <c r="G623" s="251" t="s">
        <v>3635</v>
      </c>
      <c r="H623" s="252" t="s">
        <v>3453</v>
      </c>
      <c r="I623" s="251" t="s">
        <v>3454</v>
      </c>
      <c r="J623" s="251" t="s">
        <v>3455</v>
      </c>
      <c r="K623" s="251" t="s">
        <v>3746</v>
      </c>
      <c r="BB623"/>
    </row>
    <row r="624" spans="1:54" x14ac:dyDescent="0.2">
      <c r="A624" s="225" t="str">
        <f t="shared" si="9"/>
        <v>Assets Under Management - Small, Medium Enterprise Customers</v>
      </c>
      <c r="B624" s="218" t="s">
        <v>763</v>
      </c>
      <c r="C624" s="251" t="s">
        <v>3262</v>
      </c>
      <c r="D624" s="251" t="s">
        <v>3263</v>
      </c>
      <c r="E624" s="251" t="s">
        <v>3264</v>
      </c>
      <c r="F624" s="251" t="s">
        <v>3636</v>
      </c>
      <c r="G624" s="251" t="s">
        <v>3637</v>
      </c>
      <c r="H624" s="252" t="s">
        <v>3456</v>
      </c>
      <c r="I624" s="251" t="s">
        <v>3457</v>
      </c>
      <c r="J624" s="251" t="s">
        <v>3458</v>
      </c>
      <c r="K624" s="251" t="s">
        <v>3747</v>
      </c>
      <c r="BB624"/>
    </row>
    <row r="625" spans="1:54" x14ac:dyDescent="0.2">
      <c r="A625" s="225" t="str">
        <f t="shared" si="9"/>
        <v>Assets Under Management - Other Customers</v>
      </c>
      <c r="B625" s="218" t="s">
        <v>764</v>
      </c>
      <c r="C625" s="251" t="s">
        <v>3241</v>
      </c>
      <c r="D625" s="251" t="s">
        <v>3242</v>
      </c>
      <c r="E625" s="251" t="s">
        <v>3243</v>
      </c>
      <c r="F625" s="251" t="s">
        <v>3622</v>
      </c>
      <c r="G625" s="251" t="s">
        <v>3623</v>
      </c>
      <c r="H625" s="252" t="s">
        <v>3459</v>
      </c>
      <c r="I625" s="251" t="s">
        <v>3436</v>
      </c>
      <c r="J625" s="251" t="s">
        <v>3437</v>
      </c>
      <c r="K625" s="251" t="s">
        <v>3740</v>
      </c>
      <c r="BB625"/>
    </row>
    <row r="626" spans="1:54" x14ac:dyDescent="0.2">
      <c r="A626" s="225" t="str">
        <f t="shared" si="9"/>
        <v>Assets Under Management - Total Customers</v>
      </c>
      <c r="B626" s="218" t="s">
        <v>765</v>
      </c>
      <c r="C626" s="251" t="s">
        <v>3265</v>
      </c>
      <c r="D626" s="251" t="s">
        <v>3266</v>
      </c>
      <c r="E626" s="251" t="s">
        <v>3267</v>
      </c>
      <c r="F626" s="251" t="s">
        <v>3638</v>
      </c>
      <c r="G626" s="251" t="s">
        <v>3639</v>
      </c>
      <c r="H626" s="252" t="s">
        <v>3460</v>
      </c>
      <c r="I626" s="251" t="s">
        <v>3461</v>
      </c>
      <c r="J626" s="251" t="s">
        <v>3462</v>
      </c>
      <c r="K626" s="251" t="s">
        <v>3748</v>
      </c>
      <c r="BB626"/>
    </row>
    <row r="627" spans="1:54" x14ac:dyDescent="0.2">
      <c r="A627" s="225" t="str">
        <f t="shared" si="9"/>
        <v>Assets Under Management - Beginning of Period</v>
      </c>
      <c r="B627" s="218" t="s">
        <v>766</v>
      </c>
      <c r="C627" s="251" t="s">
        <v>3268</v>
      </c>
      <c r="D627" s="251" t="s">
        <v>3269</v>
      </c>
      <c r="E627" s="251" t="s">
        <v>3270</v>
      </c>
      <c r="F627" s="251" t="s">
        <v>3640</v>
      </c>
      <c r="G627" s="251" t="s">
        <v>3641</v>
      </c>
      <c r="H627" s="252" t="s">
        <v>3463</v>
      </c>
      <c r="I627" s="251" t="s">
        <v>3464</v>
      </c>
      <c r="J627" s="251" t="s">
        <v>3465</v>
      </c>
      <c r="K627" s="251" t="s">
        <v>3749</v>
      </c>
      <c r="BB627"/>
    </row>
    <row r="628" spans="1:54" x14ac:dyDescent="0.2">
      <c r="A628" s="225" t="str">
        <f t="shared" si="9"/>
        <v>Assets Under Management - Inflows</v>
      </c>
      <c r="B628" s="218" t="s">
        <v>767</v>
      </c>
      <c r="C628" s="251" t="s">
        <v>3271</v>
      </c>
      <c r="D628" s="251" t="s">
        <v>3272</v>
      </c>
      <c r="E628" s="251" t="s">
        <v>3273</v>
      </c>
      <c r="F628" s="251" t="s">
        <v>3642</v>
      </c>
      <c r="G628" s="251" t="s">
        <v>3643</v>
      </c>
      <c r="H628" s="252" t="s">
        <v>3466</v>
      </c>
      <c r="I628" s="251" t="s">
        <v>3467</v>
      </c>
      <c r="J628" s="251" t="s">
        <v>3468</v>
      </c>
      <c r="K628" s="251" t="s">
        <v>3750</v>
      </c>
      <c r="BB628"/>
    </row>
    <row r="629" spans="1:54" x14ac:dyDescent="0.2">
      <c r="A629" s="225" t="str">
        <f t="shared" si="9"/>
        <v>Assets Under Management - Outflows</v>
      </c>
      <c r="B629" s="218" t="s">
        <v>768</v>
      </c>
      <c r="C629" s="251" t="s">
        <v>3274</v>
      </c>
      <c r="D629" s="251" t="s">
        <v>3275</v>
      </c>
      <c r="E629" s="251" t="s">
        <v>3276</v>
      </c>
      <c r="F629" s="251" t="s">
        <v>3644</v>
      </c>
      <c r="G629" s="251" t="s">
        <v>3645</v>
      </c>
      <c r="H629" s="252" t="s">
        <v>3469</v>
      </c>
      <c r="I629" s="251" t="s">
        <v>3470</v>
      </c>
      <c r="J629" s="251" t="s">
        <v>3471</v>
      </c>
      <c r="K629" s="251" t="s">
        <v>3751</v>
      </c>
      <c r="BB629"/>
    </row>
    <row r="630" spans="1:54" x14ac:dyDescent="0.2">
      <c r="A630" s="225" t="str">
        <f t="shared" si="9"/>
        <v>Assets Under Management - Net Inflows / (Outflows)</v>
      </c>
      <c r="B630" s="218" t="s">
        <v>769</v>
      </c>
      <c r="C630" s="251" t="s">
        <v>3277</v>
      </c>
      <c r="D630" s="251" t="s">
        <v>3278</v>
      </c>
      <c r="E630" s="251" t="s">
        <v>3279</v>
      </c>
      <c r="F630" s="251" t="s">
        <v>3646</v>
      </c>
      <c r="G630" s="251" t="s">
        <v>3647</v>
      </c>
      <c r="H630" s="252" t="s">
        <v>3472</v>
      </c>
      <c r="I630" s="251" t="s">
        <v>3473</v>
      </c>
      <c r="J630" s="251" t="s">
        <v>3474</v>
      </c>
      <c r="K630" s="251" t="s">
        <v>3752</v>
      </c>
      <c r="BB630"/>
    </row>
    <row r="631" spans="1:54" x14ac:dyDescent="0.2">
      <c r="A631" s="225" t="str">
        <f t="shared" si="9"/>
        <v>Assets Under Management - Cash Flows &amp; Dividends</v>
      </c>
      <c r="B631" s="218" t="s">
        <v>0</v>
      </c>
      <c r="C631" s="251" t="s">
        <v>3280</v>
      </c>
      <c r="D631" s="251" t="s">
        <v>3281</v>
      </c>
      <c r="E631" s="251" t="s">
        <v>3282</v>
      </c>
      <c r="F631" s="251" t="s">
        <v>3648</v>
      </c>
      <c r="G631" s="251" t="s">
        <v>3649</v>
      </c>
      <c r="H631" s="252" t="s">
        <v>3475</v>
      </c>
      <c r="I631" s="251" t="s">
        <v>3476</v>
      </c>
      <c r="J631" s="251" t="s">
        <v>3477</v>
      </c>
      <c r="K631" s="251" t="s">
        <v>3753</v>
      </c>
      <c r="BB631"/>
    </row>
    <row r="632" spans="1:54" x14ac:dyDescent="0.2">
      <c r="A632" s="225" t="str">
        <f t="shared" si="9"/>
        <v>Assets Under Management - Market Appreciation / (Depreciation)</v>
      </c>
      <c r="B632" s="218" t="s">
        <v>1</v>
      </c>
      <c r="C632" s="251" t="s">
        <v>3283</v>
      </c>
      <c r="D632" s="251" t="s">
        <v>3284</v>
      </c>
      <c r="E632" s="251" t="s">
        <v>3285</v>
      </c>
      <c r="F632" s="251" t="s">
        <v>3650</v>
      </c>
      <c r="G632" s="251" t="s">
        <v>3651</v>
      </c>
      <c r="H632" s="252" t="s">
        <v>3478</v>
      </c>
      <c r="I632" s="251" t="s">
        <v>3479</v>
      </c>
      <c r="J632" s="251" t="s">
        <v>3480</v>
      </c>
      <c r="K632" s="251" t="s">
        <v>3754</v>
      </c>
      <c r="BB632"/>
    </row>
    <row r="633" spans="1:54" x14ac:dyDescent="0.2">
      <c r="A633" s="225" t="str">
        <f t="shared" si="9"/>
        <v>Assets Under Management - Acquisitions and Transfers</v>
      </c>
      <c r="B633" s="218" t="s">
        <v>11</v>
      </c>
      <c r="C633" s="251" t="s">
        <v>3286</v>
      </c>
      <c r="D633" s="251" t="s">
        <v>3287</v>
      </c>
      <c r="E633" s="251" t="s">
        <v>3288</v>
      </c>
      <c r="F633" s="251" t="s">
        <v>3652</v>
      </c>
      <c r="G633" s="251" t="s">
        <v>3653</v>
      </c>
      <c r="H633" s="252" t="s">
        <v>3481</v>
      </c>
      <c r="I633" s="251" t="s">
        <v>3482</v>
      </c>
      <c r="J633" s="251" t="s">
        <v>3483</v>
      </c>
      <c r="K633" s="251" t="s">
        <v>3755</v>
      </c>
      <c r="BB633"/>
    </row>
    <row r="634" spans="1:54" x14ac:dyDescent="0.2">
      <c r="A634" s="225" t="str">
        <f t="shared" si="9"/>
        <v>Assets Under Management - Other Adjustments</v>
      </c>
      <c r="B634" s="218" t="s">
        <v>12</v>
      </c>
      <c r="C634" s="251" t="s">
        <v>3289</v>
      </c>
      <c r="D634" s="251" t="s">
        <v>3290</v>
      </c>
      <c r="E634" s="251" t="s">
        <v>3291</v>
      </c>
      <c r="F634" s="251" t="s">
        <v>3654</v>
      </c>
      <c r="G634" s="251" t="s">
        <v>3655</v>
      </c>
      <c r="H634" s="252" t="s">
        <v>3484</v>
      </c>
      <c r="I634" s="251" t="s">
        <v>3485</v>
      </c>
      <c r="J634" s="251" t="s">
        <v>3486</v>
      </c>
      <c r="K634" s="251" t="s">
        <v>3756</v>
      </c>
      <c r="BB634"/>
    </row>
    <row r="635" spans="1:54" x14ac:dyDescent="0.2">
      <c r="A635" s="225" t="str">
        <f t="shared" si="9"/>
        <v>Assets Under Management - End of Period</v>
      </c>
      <c r="B635" s="218" t="s">
        <v>13</v>
      </c>
      <c r="C635" s="251" t="s">
        <v>3292</v>
      </c>
      <c r="D635" s="251" t="s">
        <v>3293</v>
      </c>
      <c r="E635" s="251" t="s">
        <v>3294</v>
      </c>
      <c r="F635" s="251" t="s">
        <v>3656</v>
      </c>
      <c r="G635" s="251" t="s">
        <v>3657</v>
      </c>
      <c r="H635" s="252" t="s">
        <v>3487</v>
      </c>
      <c r="I635" s="251" t="s">
        <v>3488</v>
      </c>
      <c r="J635" s="251" t="s">
        <v>3489</v>
      </c>
      <c r="K635" s="251" t="s">
        <v>3757</v>
      </c>
      <c r="BB635"/>
    </row>
    <row r="636" spans="1:54" x14ac:dyDescent="0.2">
      <c r="A636" s="225" t="str">
        <f t="shared" si="9"/>
        <v>Assets Under Management - Average</v>
      </c>
      <c r="B636" s="218" t="s">
        <v>14</v>
      </c>
      <c r="C636" s="251" t="s">
        <v>3295</v>
      </c>
      <c r="D636" s="251" t="s">
        <v>3296</v>
      </c>
      <c r="E636" s="251" t="s">
        <v>3297</v>
      </c>
      <c r="F636" s="251" t="s">
        <v>3658</v>
      </c>
      <c r="G636" s="251" t="s">
        <v>3659</v>
      </c>
      <c r="H636" s="252" t="s">
        <v>3490</v>
      </c>
      <c r="I636" s="251" t="s">
        <v>3491</v>
      </c>
      <c r="J636" s="251" t="s">
        <v>3492</v>
      </c>
      <c r="K636" s="251" t="s">
        <v>3758</v>
      </c>
      <c r="BB636"/>
    </row>
    <row r="637" spans="1:54" x14ac:dyDescent="0.2">
      <c r="A637" s="225" t="str">
        <f t="shared" si="9"/>
        <v>Assets Under Management - Net Change</v>
      </c>
      <c r="B637" s="218" t="s">
        <v>15</v>
      </c>
      <c r="C637" s="251" t="s">
        <v>3298</v>
      </c>
      <c r="D637" s="251" t="s">
        <v>3299</v>
      </c>
      <c r="E637" s="251" t="s">
        <v>3300</v>
      </c>
      <c r="F637" s="251" t="s">
        <v>3660</v>
      </c>
      <c r="G637" s="251" t="s">
        <v>3661</v>
      </c>
      <c r="H637" s="252" t="s">
        <v>3493</v>
      </c>
      <c r="I637" s="251" t="s">
        <v>3494</v>
      </c>
      <c r="J637" s="251" t="s">
        <v>3495</v>
      </c>
      <c r="K637" s="251" t="s">
        <v>3759</v>
      </c>
      <c r="BB637"/>
    </row>
    <row r="638" spans="1:54" x14ac:dyDescent="0.2">
      <c r="A638" s="225" t="str">
        <f t="shared" si="9"/>
        <v>Mutual Fund - Beginning of Period</v>
      </c>
      <c r="B638" s="218" t="s">
        <v>62</v>
      </c>
      <c r="C638" s="251" t="s">
        <v>3301</v>
      </c>
      <c r="D638" s="251" t="s">
        <v>3301</v>
      </c>
      <c r="E638" s="251" t="s">
        <v>3302</v>
      </c>
      <c r="F638" s="251" t="s">
        <v>3662</v>
      </c>
      <c r="G638" s="251" t="s">
        <v>3663</v>
      </c>
      <c r="H638" s="252" t="s">
        <v>3496</v>
      </c>
      <c r="I638" s="251" t="s">
        <v>3497</v>
      </c>
      <c r="J638" s="251" t="s">
        <v>3498</v>
      </c>
      <c r="K638" s="251" t="s">
        <v>3760</v>
      </c>
      <c r="BB638"/>
    </row>
    <row r="639" spans="1:54" x14ac:dyDescent="0.2">
      <c r="A639" s="225" t="str">
        <f t="shared" si="9"/>
        <v>Mutual Fund - Sales</v>
      </c>
      <c r="B639" s="218" t="s">
        <v>63</v>
      </c>
      <c r="C639" s="251" t="s">
        <v>3303</v>
      </c>
      <c r="D639" s="251" t="s">
        <v>3304</v>
      </c>
      <c r="E639" s="251" t="s">
        <v>3305</v>
      </c>
      <c r="F639" s="251" t="s">
        <v>3664</v>
      </c>
      <c r="G639" s="251" t="s">
        <v>3665</v>
      </c>
      <c r="H639" s="252" t="s">
        <v>3499</v>
      </c>
      <c r="I639" s="251" t="s">
        <v>3500</v>
      </c>
      <c r="J639" s="251" t="s">
        <v>3501</v>
      </c>
      <c r="K639" s="251" t="s">
        <v>3761</v>
      </c>
      <c r="BB639"/>
    </row>
    <row r="640" spans="1:54" x14ac:dyDescent="0.2">
      <c r="A640" s="225" t="str">
        <f t="shared" si="9"/>
        <v>Mutual Fund - Redemptions</v>
      </c>
      <c r="B640" s="218" t="s">
        <v>64</v>
      </c>
      <c r="C640" s="251" t="s">
        <v>3306</v>
      </c>
      <c r="D640" s="251" t="s">
        <v>3307</v>
      </c>
      <c r="E640" s="251" t="s">
        <v>3308</v>
      </c>
      <c r="F640" s="251" t="s">
        <v>3666</v>
      </c>
      <c r="G640" s="251" t="s">
        <v>3667</v>
      </c>
      <c r="H640" s="252" t="s">
        <v>3502</v>
      </c>
      <c r="I640" s="251" t="s">
        <v>3503</v>
      </c>
      <c r="J640" s="251" t="s">
        <v>3504</v>
      </c>
      <c r="K640" s="251" t="s">
        <v>3762</v>
      </c>
      <c r="BB640"/>
    </row>
    <row r="641" spans="1:54" x14ac:dyDescent="0.2">
      <c r="A641" s="225" t="str">
        <f t="shared" si="9"/>
        <v>Mutual Fund - Net Sales</v>
      </c>
      <c r="B641" s="218" t="s">
        <v>65</v>
      </c>
      <c r="C641" s="251" t="s">
        <v>3309</v>
      </c>
      <c r="D641" s="251" t="s">
        <v>3310</v>
      </c>
      <c r="E641" s="251" t="s">
        <v>3311</v>
      </c>
      <c r="F641" s="251" t="s">
        <v>3668</v>
      </c>
      <c r="G641" s="251" t="s">
        <v>3669</v>
      </c>
      <c r="H641" s="252" t="s">
        <v>3505</v>
      </c>
      <c r="I641" s="251" t="s">
        <v>3506</v>
      </c>
      <c r="J641" s="251" t="s">
        <v>3507</v>
      </c>
      <c r="K641" s="251" t="s">
        <v>3763</v>
      </c>
      <c r="BB641"/>
    </row>
    <row r="642" spans="1:54" x14ac:dyDescent="0.2">
      <c r="A642" s="225" t="str">
        <f t="shared" si="9"/>
        <v>Mutual Fund - Market Appreciation / (Depreciation)</v>
      </c>
      <c r="B642" s="218" t="s">
        <v>66</v>
      </c>
      <c r="C642" s="251" t="s">
        <v>3312</v>
      </c>
      <c r="D642" s="251" t="s">
        <v>3313</v>
      </c>
      <c r="E642" s="251" t="s">
        <v>3314</v>
      </c>
      <c r="F642" s="251" t="s">
        <v>3670</v>
      </c>
      <c r="G642" s="251" t="s">
        <v>3671</v>
      </c>
      <c r="H642" s="252" t="s">
        <v>3508</v>
      </c>
      <c r="I642" s="251" t="s">
        <v>3509</v>
      </c>
      <c r="J642" s="251" t="s">
        <v>3510</v>
      </c>
      <c r="K642" s="251" t="s">
        <v>3764</v>
      </c>
      <c r="BB642"/>
    </row>
    <row r="643" spans="1:54" x14ac:dyDescent="0.2">
      <c r="A643" s="225" t="str">
        <f t="shared" si="9"/>
        <v>Mutual Fund - Acquisitions and Other</v>
      </c>
      <c r="B643" s="218" t="s">
        <v>67</v>
      </c>
      <c r="C643" s="251" t="s">
        <v>3315</v>
      </c>
      <c r="D643" s="251" t="s">
        <v>3316</v>
      </c>
      <c r="E643" s="251" t="s">
        <v>3317</v>
      </c>
      <c r="F643" s="251" t="s">
        <v>3672</v>
      </c>
      <c r="G643" s="251" t="s">
        <v>3673</v>
      </c>
      <c r="H643" s="252" t="s">
        <v>3511</v>
      </c>
      <c r="I643" s="251" t="s">
        <v>3512</v>
      </c>
      <c r="J643" s="251" t="s">
        <v>3513</v>
      </c>
      <c r="K643" s="251" t="s">
        <v>3765</v>
      </c>
      <c r="BB643"/>
    </row>
    <row r="644" spans="1:54" x14ac:dyDescent="0.2">
      <c r="A644" s="225" t="str">
        <f t="shared" si="9"/>
        <v>Mutual Fund - End of Period</v>
      </c>
      <c r="B644" s="218" t="s">
        <v>68</v>
      </c>
      <c r="C644" s="251" t="s">
        <v>3318</v>
      </c>
      <c r="D644" s="251" t="s">
        <v>3318</v>
      </c>
      <c r="E644" s="251" t="s">
        <v>3319</v>
      </c>
      <c r="F644" s="251" t="s">
        <v>3674</v>
      </c>
      <c r="G644" s="251" t="s">
        <v>3675</v>
      </c>
      <c r="H644" s="252" t="s">
        <v>3514</v>
      </c>
      <c r="I644" s="251" t="s">
        <v>3515</v>
      </c>
      <c r="J644" s="251" t="s">
        <v>3516</v>
      </c>
      <c r="K644" s="251" t="s">
        <v>3766</v>
      </c>
      <c r="BB644"/>
    </row>
    <row r="645" spans="1:54" x14ac:dyDescent="0.2">
      <c r="A645" s="225" t="str">
        <f t="shared" si="9"/>
        <v>Daily Average Revenue Trades</v>
      </c>
      <c r="B645" s="218" t="s">
        <v>69</v>
      </c>
      <c r="C645" s="251" t="s">
        <v>3320</v>
      </c>
      <c r="D645" s="251" t="s">
        <v>3320</v>
      </c>
      <c r="E645" s="251" t="s">
        <v>3321</v>
      </c>
      <c r="F645" s="251" t="s">
        <v>3676</v>
      </c>
      <c r="G645" s="251" t="s">
        <v>3677</v>
      </c>
      <c r="H645" s="252" t="s">
        <v>3517</v>
      </c>
      <c r="I645" s="251" t="s">
        <v>3518</v>
      </c>
      <c r="J645" s="251" t="s">
        <v>3519</v>
      </c>
      <c r="K645" s="251" t="s">
        <v>3767</v>
      </c>
      <c r="BB645"/>
    </row>
    <row r="646" spans="1:54" x14ac:dyDescent="0.2">
      <c r="A646" s="225" t="str">
        <f t="shared" si="9"/>
        <v>Number of Trades Executed</v>
      </c>
      <c r="B646" s="218" t="s">
        <v>70</v>
      </c>
      <c r="C646" s="251" t="s">
        <v>3322</v>
      </c>
      <c r="D646" s="251" t="s">
        <v>3323</v>
      </c>
      <c r="E646" s="251" t="s">
        <v>3324</v>
      </c>
      <c r="F646" s="251" t="s">
        <v>3678</v>
      </c>
      <c r="G646" s="251" t="s">
        <v>3679</v>
      </c>
      <c r="H646" s="252" t="s">
        <v>3520</v>
      </c>
      <c r="I646" s="251" t="s">
        <v>3521</v>
      </c>
      <c r="J646" s="251" t="s">
        <v>3522</v>
      </c>
      <c r="K646" s="251" t="s">
        <v>3768</v>
      </c>
      <c r="BB646"/>
    </row>
    <row r="647" spans="1:54" x14ac:dyDescent="0.2">
      <c r="A647" s="225" t="str">
        <f t="shared" si="9"/>
        <v>Organic Growth Rate</v>
      </c>
      <c r="B647" s="218" t="s">
        <v>71</v>
      </c>
      <c r="C647" s="251" t="s">
        <v>3325</v>
      </c>
      <c r="D647" s="251" t="s">
        <v>3326</v>
      </c>
      <c r="E647" s="251" t="s">
        <v>3327</v>
      </c>
      <c r="F647" s="251" t="s">
        <v>3680</v>
      </c>
      <c r="G647" s="251" t="s">
        <v>3681</v>
      </c>
      <c r="H647" s="252" t="s">
        <v>3523</v>
      </c>
      <c r="I647" s="251" t="s">
        <v>3524</v>
      </c>
      <c r="J647" s="251" t="s">
        <v>3525</v>
      </c>
      <c r="K647" s="251" t="s">
        <v>3769</v>
      </c>
      <c r="BB647"/>
    </row>
    <row r="648" spans="1:54" x14ac:dyDescent="0.2">
      <c r="A648" s="225" t="str">
        <f t="shared" si="9"/>
        <v>Net New Client Assets</v>
      </c>
      <c r="B648" s="218" t="s">
        <v>72</v>
      </c>
      <c r="C648" s="251" t="s">
        <v>3328</v>
      </c>
      <c r="D648" s="251" t="s">
        <v>3329</v>
      </c>
      <c r="E648" s="251" t="s">
        <v>3330</v>
      </c>
      <c r="F648" s="251" t="s">
        <v>3682</v>
      </c>
      <c r="G648" s="251" t="s">
        <v>3683</v>
      </c>
      <c r="H648" s="252" t="s">
        <v>3526</v>
      </c>
      <c r="I648" s="251" t="s">
        <v>3527</v>
      </c>
      <c r="J648" s="251" t="s">
        <v>3528</v>
      </c>
      <c r="K648" s="251" t="s">
        <v>3770</v>
      </c>
      <c r="BB648"/>
    </row>
    <row r="649" spans="1:54" x14ac:dyDescent="0.2">
      <c r="A649" s="225" t="str">
        <f t="shared" ref="A649:A712" si="10">INDEX($B649:$CV649,$A$4)</f>
        <v>Average Revenue Per Trade</v>
      </c>
      <c r="B649" s="218" t="s">
        <v>73</v>
      </c>
      <c r="C649" s="251" t="s">
        <v>3331</v>
      </c>
      <c r="D649" s="251" t="s">
        <v>3332</v>
      </c>
      <c r="E649" s="251" t="s">
        <v>3333</v>
      </c>
      <c r="F649" s="251" t="s">
        <v>3684</v>
      </c>
      <c r="G649" s="251" t="s">
        <v>3685</v>
      </c>
      <c r="H649" s="252" t="s">
        <v>3529</v>
      </c>
      <c r="I649" s="251" t="s">
        <v>3530</v>
      </c>
      <c r="J649" s="251" t="s">
        <v>3531</v>
      </c>
      <c r="K649" s="251" t="s">
        <v>3771</v>
      </c>
      <c r="BB649"/>
    </row>
    <row r="650" spans="1:54" x14ac:dyDescent="0.2">
      <c r="A650" s="225" t="str">
        <f t="shared" si="10"/>
        <v>Assets Under Administration</v>
      </c>
      <c r="B650" s="218" t="s">
        <v>74</v>
      </c>
      <c r="C650" s="251" t="s">
        <v>3334</v>
      </c>
      <c r="D650" s="251" t="s">
        <v>3335</v>
      </c>
      <c r="E650" s="251" t="s">
        <v>3210</v>
      </c>
      <c r="F650" s="251" t="s">
        <v>3600</v>
      </c>
      <c r="G650" s="251" t="s">
        <v>3601</v>
      </c>
      <c r="H650" s="252" t="s">
        <v>3532</v>
      </c>
      <c r="I650" s="251" t="s">
        <v>3533</v>
      </c>
      <c r="J650" s="251" t="s">
        <v>3534</v>
      </c>
      <c r="K650" s="251" t="s">
        <v>3772</v>
      </c>
      <c r="BB650"/>
    </row>
    <row r="651" spans="1:54" x14ac:dyDescent="0.2">
      <c r="A651" s="225" t="str">
        <f t="shared" si="10"/>
        <v>Value of Customer Assets</v>
      </c>
      <c r="B651" s="218" t="s">
        <v>75</v>
      </c>
      <c r="C651" s="251" t="s">
        <v>3336</v>
      </c>
      <c r="D651" s="251" t="s">
        <v>3337</v>
      </c>
      <c r="E651" s="251" t="s">
        <v>3338</v>
      </c>
      <c r="F651" s="251" t="s">
        <v>3686</v>
      </c>
      <c r="G651" s="251" t="s">
        <v>3687</v>
      </c>
      <c r="H651" s="252" t="s">
        <v>3535</v>
      </c>
      <c r="I651" s="251" t="s">
        <v>3536</v>
      </c>
      <c r="J651" s="251" t="s">
        <v>3537</v>
      </c>
      <c r="K651" s="251" t="s">
        <v>3773</v>
      </c>
      <c r="BB651"/>
    </row>
    <row r="652" spans="1:54" x14ac:dyDescent="0.2">
      <c r="A652" s="225" t="str">
        <f t="shared" si="10"/>
        <v>Asset Managed Growth Rate</v>
      </c>
      <c r="B652" s="218" t="s">
        <v>76</v>
      </c>
      <c r="C652" s="251" t="s">
        <v>3339</v>
      </c>
      <c r="D652" s="251" t="s">
        <v>3340</v>
      </c>
      <c r="E652" s="251" t="s">
        <v>3341</v>
      </c>
      <c r="F652" s="251" t="s">
        <v>3688</v>
      </c>
      <c r="G652" s="251" t="s">
        <v>3689</v>
      </c>
      <c r="H652" s="252" t="s">
        <v>3538</v>
      </c>
      <c r="I652" s="251" t="s">
        <v>3539</v>
      </c>
      <c r="J652" s="251" t="s">
        <v>3540</v>
      </c>
      <c r="K652" s="251" t="s">
        <v>3774</v>
      </c>
      <c r="BB652"/>
    </row>
    <row r="653" spans="1:54" x14ac:dyDescent="0.2">
      <c r="A653" s="225" t="str">
        <f t="shared" si="10"/>
        <v>Assets Under Capital Lease - Accumulated Dep.</v>
      </c>
      <c r="B653" s="218" t="s">
        <v>732</v>
      </c>
      <c r="C653" s="251" t="s">
        <v>3342</v>
      </c>
      <c r="D653" s="251" t="s">
        <v>3343</v>
      </c>
      <c r="E653" s="251" t="s">
        <v>3344</v>
      </c>
      <c r="F653" s="251" t="s">
        <v>3690</v>
      </c>
      <c r="G653" s="251" t="s">
        <v>3691</v>
      </c>
      <c r="H653" s="252" t="s">
        <v>3541</v>
      </c>
      <c r="I653" s="251" t="s">
        <v>3542</v>
      </c>
      <c r="J653" s="251" t="s">
        <v>3543</v>
      </c>
      <c r="K653" s="251" t="s">
        <v>3775</v>
      </c>
      <c r="BB653"/>
    </row>
    <row r="654" spans="1:54" x14ac:dyDescent="0.2">
      <c r="A654" s="225" t="str">
        <f t="shared" si="10"/>
        <v>Assets Under Capital Lease - Gross</v>
      </c>
      <c r="B654" s="218" t="s">
        <v>733</v>
      </c>
      <c r="C654" s="251" t="s">
        <v>3345</v>
      </c>
      <c r="D654" s="251" t="s">
        <v>3346</v>
      </c>
      <c r="E654" s="251" t="s">
        <v>3347</v>
      </c>
      <c r="F654" s="251" t="s">
        <v>3692</v>
      </c>
      <c r="G654" s="251" t="s">
        <v>3693</v>
      </c>
      <c r="H654" s="252" t="s">
        <v>3544</v>
      </c>
      <c r="I654" s="251" t="s">
        <v>3545</v>
      </c>
      <c r="J654" s="251" t="s">
        <v>3546</v>
      </c>
      <c r="K654" s="251" t="s">
        <v>3776</v>
      </c>
      <c r="BB654"/>
    </row>
    <row r="655" spans="1:54" x14ac:dyDescent="0.2">
      <c r="A655" s="225" t="str">
        <f t="shared" si="10"/>
        <v>Assets on Operating Lease - Accumulated Dep.</v>
      </c>
      <c r="B655" s="218" t="s">
        <v>734</v>
      </c>
      <c r="C655" s="251" t="s">
        <v>3348</v>
      </c>
      <c r="D655" s="251" t="s">
        <v>3349</v>
      </c>
      <c r="E655" s="251" t="s">
        <v>3350</v>
      </c>
      <c r="F655" s="251" t="s">
        <v>3694</v>
      </c>
      <c r="G655" s="251" t="s">
        <v>3695</v>
      </c>
      <c r="H655" s="252" t="s">
        <v>3547</v>
      </c>
      <c r="I655" s="251" t="s">
        <v>3548</v>
      </c>
      <c r="J655" s="251" t="s">
        <v>3549</v>
      </c>
      <c r="K655" s="251" t="s">
        <v>3777</v>
      </c>
      <c r="BB655"/>
    </row>
    <row r="656" spans="1:54" x14ac:dyDescent="0.2">
      <c r="A656" s="225" t="str">
        <f t="shared" si="10"/>
        <v>Assets on Operating Lease - Gross</v>
      </c>
      <c r="B656" s="218" t="s">
        <v>735</v>
      </c>
      <c r="C656" s="251" t="s">
        <v>3351</v>
      </c>
      <c r="D656" s="251" t="s">
        <v>3352</v>
      </c>
      <c r="E656" s="251" t="s">
        <v>3353</v>
      </c>
      <c r="F656" s="251" t="s">
        <v>3696</v>
      </c>
      <c r="G656" s="251" t="s">
        <v>3697</v>
      </c>
      <c r="H656" s="252" t="s">
        <v>3550</v>
      </c>
      <c r="I656" s="251" t="s">
        <v>3551</v>
      </c>
      <c r="J656" s="251" t="s">
        <v>3552</v>
      </c>
      <c r="K656" s="251" t="s">
        <v>3778</v>
      </c>
      <c r="BB656"/>
    </row>
    <row r="657" spans="1:54" x14ac:dyDescent="0.2">
      <c r="A657" s="225" t="str">
        <f t="shared" si="10"/>
        <v>Capitalized Interest Data</v>
      </c>
      <c r="B657" s="218" t="s">
        <v>535</v>
      </c>
      <c r="C657" s="251" t="s">
        <v>3354</v>
      </c>
      <c r="D657" s="251" t="s">
        <v>3355</v>
      </c>
      <c r="E657" s="251" t="s">
        <v>3356</v>
      </c>
      <c r="F657" s="251" t="s">
        <v>3698</v>
      </c>
      <c r="G657" s="251" t="s">
        <v>3699</v>
      </c>
      <c r="H657" s="252" t="s">
        <v>3553</v>
      </c>
      <c r="I657" s="251" t="s">
        <v>3554</v>
      </c>
      <c r="J657" s="251" t="s">
        <v>3555</v>
      </c>
      <c r="K657" s="251" t="s">
        <v>3779</v>
      </c>
      <c r="BB657"/>
    </row>
    <row r="658" spans="1:54" x14ac:dyDescent="0.2">
      <c r="A658" s="225" t="str">
        <f t="shared" si="10"/>
        <v>Interest Capitalized, Beg. Of Period</v>
      </c>
      <c r="B658" s="218" t="s">
        <v>536</v>
      </c>
      <c r="C658" s="251" t="s">
        <v>3357</v>
      </c>
      <c r="D658" s="251" t="s">
        <v>3358</v>
      </c>
      <c r="E658" s="251" t="s">
        <v>3359</v>
      </c>
      <c r="F658" s="251" t="s">
        <v>3700</v>
      </c>
      <c r="G658" s="251" t="s">
        <v>3701</v>
      </c>
      <c r="H658" s="252" t="s">
        <v>3556</v>
      </c>
      <c r="I658" s="251" t="s">
        <v>3557</v>
      </c>
      <c r="J658" s="251" t="s">
        <v>3558</v>
      </c>
      <c r="K658" s="251" t="s">
        <v>3780</v>
      </c>
      <c r="BB658"/>
    </row>
    <row r="659" spans="1:54" x14ac:dyDescent="0.2">
      <c r="A659" s="225" t="str">
        <f t="shared" si="10"/>
        <v>Interest Capitalized, Expensed</v>
      </c>
      <c r="B659" s="218" t="s">
        <v>538</v>
      </c>
      <c r="C659" s="251" t="s">
        <v>3360</v>
      </c>
      <c r="D659" s="251" t="s">
        <v>3361</v>
      </c>
      <c r="E659" s="251" t="s">
        <v>3362</v>
      </c>
      <c r="F659" s="251" t="s">
        <v>3702</v>
      </c>
      <c r="G659" s="251" t="s">
        <v>3703</v>
      </c>
      <c r="H659" s="252" t="s">
        <v>3559</v>
      </c>
      <c r="I659" s="251" t="s">
        <v>3560</v>
      </c>
      <c r="J659" s="251" t="s">
        <v>3561</v>
      </c>
      <c r="K659" s="251" t="s">
        <v>3781</v>
      </c>
      <c r="BB659"/>
    </row>
    <row r="660" spans="1:54" x14ac:dyDescent="0.2">
      <c r="A660" s="225" t="str">
        <f t="shared" si="10"/>
        <v>Interest Capitalized, Written-off</v>
      </c>
      <c r="B660" s="218" t="s">
        <v>539</v>
      </c>
      <c r="C660" s="251" t="s">
        <v>3363</v>
      </c>
      <c r="D660" s="251" t="s">
        <v>3364</v>
      </c>
      <c r="E660" s="251" t="s">
        <v>3365</v>
      </c>
      <c r="F660" s="251" t="s">
        <v>3704</v>
      </c>
      <c r="G660" s="251" t="s">
        <v>3705</v>
      </c>
      <c r="H660" s="252" t="s">
        <v>3562</v>
      </c>
      <c r="I660" s="251" t="s">
        <v>3563</v>
      </c>
      <c r="J660" s="251" t="s">
        <v>3564</v>
      </c>
      <c r="K660" s="251" t="s">
        <v>3782</v>
      </c>
      <c r="BB660"/>
    </row>
    <row r="661" spans="1:54" x14ac:dyDescent="0.2">
      <c r="A661" s="225" t="str">
        <f t="shared" si="10"/>
        <v>Interest Capitalized, Other Adj.</v>
      </c>
      <c r="B661" s="218" t="s">
        <v>540</v>
      </c>
      <c r="C661" s="251" t="s">
        <v>3366</v>
      </c>
      <c r="D661" s="251" t="s">
        <v>3367</v>
      </c>
      <c r="E661" s="251" t="s">
        <v>3368</v>
      </c>
      <c r="F661" s="251" t="s">
        <v>3706</v>
      </c>
      <c r="G661" s="251" t="s">
        <v>3707</v>
      </c>
      <c r="H661" s="252" t="s">
        <v>3565</v>
      </c>
      <c r="I661" s="251" t="s">
        <v>3566</v>
      </c>
      <c r="J661" s="251" t="s">
        <v>3567</v>
      </c>
      <c r="K661" s="251" t="s">
        <v>3783</v>
      </c>
      <c r="BB661"/>
    </row>
    <row r="662" spans="1:54" x14ac:dyDescent="0.2">
      <c r="A662" s="225" t="str">
        <f t="shared" si="10"/>
        <v>Interest Capitalized, End Of Period</v>
      </c>
      <c r="B662" s="218" t="s">
        <v>541</v>
      </c>
      <c r="C662" s="251" t="s">
        <v>3369</v>
      </c>
      <c r="D662" s="251" t="s">
        <v>3370</v>
      </c>
      <c r="E662" s="251" t="s">
        <v>3371</v>
      </c>
      <c r="F662" s="251" t="s">
        <v>3708</v>
      </c>
      <c r="G662" s="251" t="s">
        <v>3709</v>
      </c>
      <c r="H662" s="252" t="s">
        <v>3568</v>
      </c>
      <c r="I662" s="251" t="s">
        <v>3569</v>
      </c>
      <c r="J662" s="251" t="s">
        <v>3570</v>
      </c>
      <c r="K662" s="251" t="s">
        <v>3784</v>
      </c>
      <c r="BB662"/>
    </row>
    <row r="663" spans="1:54" x14ac:dyDescent="0.2">
      <c r="A663" s="225" t="str">
        <f t="shared" si="10"/>
        <v>Loss Carry Forward Related Items</v>
      </c>
      <c r="B663" s="218" t="s">
        <v>542</v>
      </c>
      <c r="C663" s="251" t="s">
        <v>3372</v>
      </c>
      <c r="D663" s="251" t="s">
        <v>3373</v>
      </c>
      <c r="E663" s="251" t="s">
        <v>3374</v>
      </c>
      <c r="F663" s="251" t="s">
        <v>3710</v>
      </c>
      <c r="G663" s="251" t="s">
        <v>3711</v>
      </c>
      <c r="H663" s="252" t="s">
        <v>3571</v>
      </c>
      <c r="I663" s="251" t="s">
        <v>3572</v>
      </c>
      <c r="J663" s="251" t="s">
        <v>3573</v>
      </c>
      <c r="K663" s="251" t="s">
        <v>3785</v>
      </c>
      <c r="BB663"/>
    </row>
    <row r="664" spans="1:54" x14ac:dyDescent="0.2">
      <c r="A664" s="225" t="str">
        <f t="shared" si="10"/>
        <v>NOL C/F, Current Year</v>
      </c>
      <c r="B664" s="218" t="s">
        <v>543</v>
      </c>
      <c r="C664" s="251" t="s">
        <v>3375</v>
      </c>
      <c r="D664" s="251" t="s">
        <v>3376</v>
      </c>
      <c r="E664" s="251" t="s">
        <v>3377</v>
      </c>
      <c r="F664" s="251" t="s">
        <v>3712</v>
      </c>
      <c r="G664" s="251" t="s">
        <v>3713</v>
      </c>
      <c r="H664" s="252" t="s">
        <v>3574</v>
      </c>
      <c r="I664" s="251" t="s">
        <v>3575</v>
      </c>
      <c r="J664" s="251" t="s">
        <v>3576</v>
      </c>
      <c r="K664" s="251" t="s">
        <v>3786</v>
      </c>
      <c r="BB664"/>
    </row>
    <row r="665" spans="1:54" x14ac:dyDescent="0.2">
      <c r="A665" s="225" t="str">
        <f t="shared" si="10"/>
        <v>NOL C/F, Current Year + 1</v>
      </c>
      <c r="B665" s="218" t="s">
        <v>544</v>
      </c>
      <c r="C665" s="251" t="s">
        <v>3378</v>
      </c>
      <c r="D665" s="251" t="s">
        <v>3379</v>
      </c>
      <c r="E665" s="251" t="s">
        <v>3380</v>
      </c>
      <c r="F665" s="251" t="s">
        <v>3714</v>
      </c>
      <c r="G665" s="251" t="s">
        <v>3715</v>
      </c>
      <c r="H665" s="252" t="s">
        <v>3577</v>
      </c>
      <c r="I665" s="251" t="s">
        <v>3578</v>
      </c>
      <c r="J665" s="251" t="s">
        <v>3579</v>
      </c>
      <c r="K665" s="251" t="s">
        <v>3787</v>
      </c>
      <c r="BB665"/>
    </row>
    <row r="666" spans="1:54" x14ac:dyDescent="0.2">
      <c r="A666" s="225" t="str">
        <f t="shared" si="10"/>
        <v>NOL C/F, Current Year + 2</v>
      </c>
      <c r="B666" s="218" t="s">
        <v>545</v>
      </c>
      <c r="C666" s="251" t="s">
        <v>3381</v>
      </c>
      <c r="D666" s="251" t="s">
        <v>3382</v>
      </c>
      <c r="E666" s="251" t="s">
        <v>3383</v>
      </c>
      <c r="F666" s="251" t="s">
        <v>3716</v>
      </c>
      <c r="G666" s="251" t="s">
        <v>3717</v>
      </c>
      <c r="H666" s="252" t="s">
        <v>3580</v>
      </c>
      <c r="I666" s="251" t="s">
        <v>3581</v>
      </c>
      <c r="J666" s="251" t="s">
        <v>3582</v>
      </c>
      <c r="K666" s="251" t="s">
        <v>3788</v>
      </c>
      <c r="BB666"/>
    </row>
    <row r="667" spans="1:54" x14ac:dyDescent="0.2">
      <c r="A667" s="225" t="str">
        <f t="shared" si="10"/>
        <v>NOL C/F, Current Year + 3</v>
      </c>
      <c r="B667" s="218" t="s">
        <v>546</v>
      </c>
      <c r="C667" s="251" t="s">
        <v>3384</v>
      </c>
      <c r="D667" s="251" t="s">
        <v>3385</v>
      </c>
      <c r="E667" s="251" t="s">
        <v>3386</v>
      </c>
      <c r="F667" s="251" t="s">
        <v>3718</v>
      </c>
      <c r="G667" s="251" t="s">
        <v>3719</v>
      </c>
      <c r="H667" s="252" t="s">
        <v>3583</v>
      </c>
      <c r="I667" s="251" t="s">
        <v>3584</v>
      </c>
      <c r="J667" s="251" t="s">
        <v>3585</v>
      </c>
      <c r="K667" s="251" t="s">
        <v>3789</v>
      </c>
      <c r="BB667"/>
    </row>
    <row r="668" spans="1:54" x14ac:dyDescent="0.2">
      <c r="A668" s="225" t="str">
        <f t="shared" si="10"/>
        <v>NOL C/F, Current Year + 4</v>
      </c>
      <c r="B668" s="218" t="s">
        <v>547</v>
      </c>
      <c r="C668" s="251" t="s">
        <v>3387</v>
      </c>
      <c r="D668" s="251" t="s">
        <v>3388</v>
      </c>
      <c r="E668" s="251" t="s">
        <v>3389</v>
      </c>
      <c r="F668" s="251" t="s">
        <v>3720</v>
      </c>
      <c r="G668" s="251" t="s">
        <v>3721</v>
      </c>
      <c r="H668" s="252" t="s">
        <v>3586</v>
      </c>
      <c r="I668" s="251" t="s">
        <v>3587</v>
      </c>
      <c r="J668" s="251" t="s">
        <v>3588</v>
      </c>
      <c r="K668" s="251" t="s">
        <v>3790</v>
      </c>
      <c r="BB668"/>
    </row>
    <row r="669" spans="1:54" x14ac:dyDescent="0.2">
      <c r="A669" s="225" t="str">
        <f t="shared" si="10"/>
        <v>NOL C/F, After Five Years</v>
      </c>
      <c r="B669" s="218" t="s">
        <v>548</v>
      </c>
      <c r="C669" s="251" t="s">
        <v>3390</v>
      </c>
      <c r="D669" s="251" t="s">
        <v>3391</v>
      </c>
      <c r="E669" s="251" t="s">
        <v>3392</v>
      </c>
      <c r="F669" s="251" t="s">
        <v>3722</v>
      </c>
      <c r="G669" s="251" t="s">
        <v>3723</v>
      </c>
      <c r="H669" s="252" t="s">
        <v>3589</v>
      </c>
      <c r="I669" s="251" t="s">
        <v>3590</v>
      </c>
      <c r="J669" s="251" t="s">
        <v>3591</v>
      </c>
      <c r="K669" s="251" t="s">
        <v>3791</v>
      </c>
      <c r="BB669"/>
    </row>
    <row r="670" spans="1:54" x14ac:dyDescent="0.2">
      <c r="A670" s="225" t="str">
        <f t="shared" si="10"/>
        <v>NOL C/F, No Expiration</v>
      </c>
      <c r="B670" s="218" t="s">
        <v>549</v>
      </c>
      <c r="C670" s="251" t="s">
        <v>3393</v>
      </c>
      <c r="D670" s="251" t="s">
        <v>3394</v>
      </c>
      <c r="E670" s="251" t="s">
        <v>3395</v>
      </c>
      <c r="F670" s="251" t="s">
        <v>3724</v>
      </c>
      <c r="G670" s="251" t="s">
        <v>3725</v>
      </c>
      <c r="H670" s="252" t="s">
        <v>3592</v>
      </c>
      <c r="I670" s="251" t="s">
        <v>3593</v>
      </c>
      <c r="J670" s="251" t="s">
        <v>3594</v>
      </c>
      <c r="K670" s="251" t="s">
        <v>3792</v>
      </c>
      <c r="BB670"/>
    </row>
    <row r="671" spans="1:54" x14ac:dyDescent="0.2">
      <c r="A671" s="225" t="str">
        <f t="shared" si="10"/>
        <v>Total NOL C/F</v>
      </c>
      <c r="B671" s="218" t="s">
        <v>550</v>
      </c>
      <c r="C671" s="251" t="s">
        <v>3396</v>
      </c>
      <c r="D671" s="251" t="s">
        <v>3397</v>
      </c>
      <c r="E671" s="251" t="s">
        <v>3398</v>
      </c>
      <c r="F671" s="251" t="s">
        <v>3726</v>
      </c>
      <c r="G671" s="251" t="s">
        <v>3727</v>
      </c>
      <c r="H671" s="252" t="s">
        <v>3595</v>
      </c>
      <c r="I671" s="251" t="s">
        <v>3596</v>
      </c>
      <c r="J671" s="251" t="s">
        <v>3597</v>
      </c>
      <c r="K671" s="251" t="s">
        <v>3793</v>
      </c>
      <c r="BB671"/>
    </row>
    <row r="672" spans="1:54" x14ac:dyDescent="0.2">
      <c r="A672" s="225" t="str">
        <f t="shared" si="10"/>
        <v>Max. Year for NOL C/F</v>
      </c>
      <c r="B672" s="218" t="s">
        <v>551</v>
      </c>
      <c r="C672" s="251" t="s">
        <v>3794</v>
      </c>
      <c r="D672" s="251" t="s">
        <v>3795</v>
      </c>
      <c r="E672" s="251" t="s">
        <v>3796</v>
      </c>
      <c r="F672" s="251" t="s">
        <v>3974</v>
      </c>
      <c r="G672" s="251" t="s">
        <v>3975</v>
      </c>
      <c r="H672" s="252" t="s">
        <v>3884</v>
      </c>
      <c r="I672" s="251" t="s">
        <v>3885</v>
      </c>
      <c r="J672" s="251" t="s">
        <v>3886</v>
      </c>
      <c r="K672" s="251" t="s">
        <v>4034</v>
      </c>
      <c r="BB672"/>
    </row>
    <row r="673" spans="1:54" x14ac:dyDescent="0.2">
      <c r="A673" s="225" t="str">
        <f t="shared" si="10"/>
        <v>Capital Loss C/F, Current Year</v>
      </c>
      <c r="B673" s="218" t="s">
        <v>552</v>
      </c>
      <c r="C673" s="251" t="s">
        <v>3797</v>
      </c>
      <c r="D673" s="251" t="s">
        <v>3798</v>
      </c>
      <c r="E673" s="251" t="s">
        <v>3799</v>
      </c>
      <c r="F673" s="251" t="s">
        <v>3976</v>
      </c>
      <c r="G673" s="251" t="s">
        <v>3977</v>
      </c>
      <c r="H673" s="252" t="s">
        <v>3887</v>
      </c>
      <c r="I673" s="251" t="s">
        <v>3888</v>
      </c>
      <c r="J673" s="251" t="s">
        <v>3889</v>
      </c>
      <c r="K673" s="251" t="s">
        <v>4035</v>
      </c>
      <c r="BB673"/>
    </row>
    <row r="674" spans="1:54" x14ac:dyDescent="0.2">
      <c r="A674" s="225" t="str">
        <f t="shared" si="10"/>
        <v>Capital Loss C/F, Current Year + 1</v>
      </c>
      <c r="B674" s="218" t="s">
        <v>553</v>
      </c>
      <c r="C674" s="251" t="s">
        <v>3800</v>
      </c>
      <c r="D674" s="251" t="s">
        <v>3801</v>
      </c>
      <c r="E674" s="251" t="s">
        <v>3802</v>
      </c>
      <c r="F674" s="251" t="s">
        <v>3978</v>
      </c>
      <c r="G674" s="251" t="s">
        <v>3979</v>
      </c>
      <c r="H674" s="252" t="s">
        <v>3890</v>
      </c>
      <c r="I674" s="251" t="s">
        <v>3891</v>
      </c>
      <c r="J674" s="251" t="s">
        <v>3892</v>
      </c>
      <c r="K674" s="251" t="s">
        <v>4036</v>
      </c>
      <c r="BB674"/>
    </row>
    <row r="675" spans="1:54" x14ac:dyDescent="0.2">
      <c r="A675" s="225" t="str">
        <f t="shared" si="10"/>
        <v>Capital Loss C/F, Current Year + 2</v>
      </c>
      <c r="B675" s="218" t="s">
        <v>554</v>
      </c>
      <c r="C675" s="251" t="s">
        <v>3803</v>
      </c>
      <c r="D675" s="251" t="s">
        <v>3804</v>
      </c>
      <c r="E675" s="251" t="s">
        <v>3805</v>
      </c>
      <c r="F675" s="251" t="s">
        <v>3980</v>
      </c>
      <c r="G675" s="251" t="s">
        <v>3981</v>
      </c>
      <c r="H675" s="252" t="s">
        <v>3893</v>
      </c>
      <c r="I675" s="251" t="s">
        <v>3894</v>
      </c>
      <c r="J675" s="251" t="s">
        <v>3895</v>
      </c>
      <c r="K675" s="251" t="s">
        <v>4037</v>
      </c>
      <c r="BB675"/>
    </row>
    <row r="676" spans="1:54" x14ac:dyDescent="0.2">
      <c r="A676" s="225" t="str">
        <f t="shared" si="10"/>
        <v>Capital Loss C/F, Current Year + 3</v>
      </c>
      <c r="B676" s="218" t="s">
        <v>555</v>
      </c>
      <c r="C676" s="251" t="s">
        <v>3806</v>
      </c>
      <c r="D676" s="251" t="s">
        <v>3807</v>
      </c>
      <c r="E676" s="251" t="s">
        <v>3808</v>
      </c>
      <c r="F676" s="251" t="s">
        <v>3982</v>
      </c>
      <c r="G676" s="251" t="s">
        <v>3983</v>
      </c>
      <c r="H676" s="252" t="s">
        <v>3896</v>
      </c>
      <c r="I676" s="251" t="s">
        <v>3897</v>
      </c>
      <c r="J676" s="251" t="s">
        <v>3898</v>
      </c>
      <c r="K676" s="251" t="s">
        <v>4038</v>
      </c>
      <c r="BB676"/>
    </row>
    <row r="677" spans="1:54" x14ac:dyDescent="0.2">
      <c r="A677" s="225" t="str">
        <f t="shared" si="10"/>
        <v>Capital Loss C/F, Current Year + 4</v>
      </c>
      <c r="B677" s="218" t="s">
        <v>556</v>
      </c>
      <c r="C677" s="251" t="s">
        <v>3809</v>
      </c>
      <c r="D677" s="251" t="s">
        <v>3810</v>
      </c>
      <c r="E677" s="251" t="s">
        <v>3811</v>
      </c>
      <c r="F677" s="251" t="s">
        <v>3984</v>
      </c>
      <c r="G677" s="251" t="s">
        <v>3985</v>
      </c>
      <c r="H677" s="252" t="s">
        <v>3899</v>
      </c>
      <c r="I677" s="251" t="s">
        <v>3900</v>
      </c>
      <c r="J677" s="251" t="s">
        <v>3901</v>
      </c>
      <c r="K677" s="251" t="s">
        <v>4039</v>
      </c>
      <c r="BB677"/>
    </row>
    <row r="678" spans="1:54" x14ac:dyDescent="0.2">
      <c r="A678" s="225" t="str">
        <f t="shared" si="10"/>
        <v>Capital Loss C/F, After Five Years</v>
      </c>
      <c r="B678" s="218" t="s">
        <v>557</v>
      </c>
      <c r="C678" s="251" t="s">
        <v>3812</v>
      </c>
      <c r="D678" s="251" t="s">
        <v>3813</v>
      </c>
      <c r="E678" s="251" t="s">
        <v>3814</v>
      </c>
      <c r="F678" s="251" t="s">
        <v>3986</v>
      </c>
      <c r="G678" s="251" t="s">
        <v>3987</v>
      </c>
      <c r="H678" s="252" t="s">
        <v>3902</v>
      </c>
      <c r="I678" s="251" t="s">
        <v>3903</v>
      </c>
      <c r="J678" s="251" t="s">
        <v>3904</v>
      </c>
      <c r="K678" s="251" t="s">
        <v>4040</v>
      </c>
      <c r="BB678"/>
    </row>
    <row r="679" spans="1:54" x14ac:dyDescent="0.2">
      <c r="A679" s="225" t="str">
        <f t="shared" si="10"/>
        <v>Capital Loss C/F, No Expiration</v>
      </c>
      <c r="B679" s="218" t="s">
        <v>558</v>
      </c>
      <c r="C679" s="251" t="s">
        <v>3815</v>
      </c>
      <c r="D679" s="251" t="s">
        <v>3816</v>
      </c>
      <c r="E679" s="251" t="s">
        <v>3817</v>
      </c>
      <c r="F679" s="251" t="s">
        <v>3988</v>
      </c>
      <c r="G679" s="251" t="s">
        <v>3989</v>
      </c>
      <c r="H679" s="252" t="s">
        <v>3905</v>
      </c>
      <c r="I679" s="251" t="s">
        <v>3906</v>
      </c>
      <c r="J679" s="251" t="s">
        <v>3907</v>
      </c>
      <c r="K679" s="251" t="s">
        <v>4041</v>
      </c>
      <c r="BB679"/>
    </row>
    <row r="680" spans="1:54" x14ac:dyDescent="0.2">
      <c r="A680" s="225" t="str">
        <f t="shared" si="10"/>
        <v>Total Capital Loss C/F</v>
      </c>
      <c r="B680" s="218" t="s">
        <v>559</v>
      </c>
      <c r="C680" s="251" t="s">
        <v>3818</v>
      </c>
      <c r="D680" s="251" t="s">
        <v>3819</v>
      </c>
      <c r="E680" s="251" t="s">
        <v>3820</v>
      </c>
      <c r="F680" s="251" t="s">
        <v>3990</v>
      </c>
      <c r="G680" s="251" t="s">
        <v>3991</v>
      </c>
      <c r="H680" s="252" t="s">
        <v>3908</v>
      </c>
      <c r="I680" s="251" t="s">
        <v>3909</v>
      </c>
      <c r="J680" s="251" t="s">
        <v>3910</v>
      </c>
      <c r="K680" s="251" t="s">
        <v>4042</v>
      </c>
      <c r="BB680"/>
    </row>
    <row r="681" spans="1:54" x14ac:dyDescent="0.2">
      <c r="A681" s="225" t="str">
        <f t="shared" si="10"/>
        <v>Max. Year for Capital Loss C/F</v>
      </c>
      <c r="B681" s="218" t="s">
        <v>560</v>
      </c>
      <c r="C681" s="251" t="s">
        <v>3821</v>
      </c>
      <c r="D681" s="251" t="s">
        <v>3822</v>
      </c>
      <c r="E681" s="251" t="s">
        <v>3823</v>
      </c>
      <c r="F681" s="251" t="s">
        <v>3992</v>
      </c>
      <c r="G681" s="251" t="s">
        <v>3993</v>
      </c>
      <c r="H681" s="252" t="s">
        <v>3911</v>
      </c>
      <c r="I681" s="251" t="s">
        <v>3912</v>
      </c>
      <c r="J681" s="251" t="s">
        <v>3913</v>
      </c>
      <c r="K681" s="251" t="s">
        <v>4043</v>
      </c>
      <c r="BB681"/>
    </row>
    <row r="682" spans="1:54" x14ac:dyDescent="0.2">
      <c r="A682" s="225" t="str">
        <f t="shared" si="10"/>
        <v>Tax Benefit C/F, Current Year</v>
      </c>
      <c r="B682" s="218" t="s">
        <v>561</v>
      </c>
      <c r="C682" s="251" t="s">
        <v>3824</v>
      </c>
      <c r="D682" s="251" t="s">
        <v>3825</v>
      </c>
      <c r="E682" s="251" t="s">
        <v>3826</v>
      </c>
      <c r="F682" s="251" t="s">
        <v>3994</v>
      </c>
      <c r="G682" s="251" t="s">
        <v>3995</v>
      </c>
      <c r="H682" s="252" t="s">
        <v>3914</v>
      </c>
      <c r="I682" s="251" t="s">
        <v>3915</v>
      </c>
      <c r="J682" s="251" t="s">
        <v>3916</v>
      </c>
      <c r="K682" s="251" t="s">
        <v>4044</v>
      </c>
      <c r="BB682"/>
    </row>
    <row r="683" spans="1:54" x14ac:dyDescent="0.2">
      <c r="A683" s="225" t="str">
        <f t="shared" si="10"/>
        <v>Tax Benefit C/F, Current Year + 1</v>
      </c>
      <c r="B683" s="218" t="s">
        <v>562</v>
      </c>
      <c r="C683" s="251" t="s">
        <v>3827</v>
      </c>
      <c r="D683" s="251" t="s">
        <v>3828</v>
      </c>
      <c r="E683" s="251" t="s">
        <v>3829</v>
      </c>
      <c r="F683" s="251" t="s">
        <v>3996</v>
      </c>
      <c r="G683" s="251" t="s">
        <v>3997</v>
      </c>
      <c r="H683" s="252" t="s">
        <v>3917</v>
      </c>
      <c r="I683" s="251" t="s">
        <v>3918</v>
      </c>
      <c r="J683" s="251" t="s">
        <v>3919</v>
      </c>
      <c r="K683" s="251" t="s">
        <v>4045</v>
      </c>
      <c r="BB683"/>
    </row>
    <row r="684" spans="1:54" x14ac:dyDescent="0.2">
      <c r="A684" s="225" t="str">
        <f t="shared" si="10"/>
        <v>Tax Benefit C/F, Current Year + 2</v>
      </c>
      <c r="B684" s="218" t="s">
        <v>563</v>
      </c>
      <c r="C684" s="251" t="s">
        <v>3830</v>
      </c>
      <c r="D684" s="251" t="s">
        <v>3831</v>
      </c>
      <c r="E684" s="251" t="s">
        <v>3832</v>
      </c>
      <c r="F684" s="251" t="s">
        <v>3998</v>
      </c>
      <c r="G684" s="251" t="s">
        <v>3999</v>
      </c>
      <c r="H684" s="252" t="s">
        <v>3920</v>
      </c>
      <c r="I684" s="251" t="s">
        <v>3921</v>
      </c>
      <c r="J684" s="251" t="s">
        <v>3922</v>
      </c>
      <c r="K684" s="251" t="s">
        <v>4046</v>
      </c>
      <c r="BB684"/>
    </row>
    <row r="685" spans="1:54" x14ac:dyDescent="0.2">
      <c r="A685" s="225" t="str">
        <f t="shared" si="10"/>
        <v>Tax Benefit C/F, Current Year + 3</v>
      </c>
      <c r="B685" s="218" t="s">
        <v>564</v>
      </c>
      <c r="C685" s="251" t="s">
        <v>3833</v>
      </c>
      <c r="D685" s="251" t="s">
        <v>3834</v>
      </c>
      <c r="E685" s="251" t="s">
        <v>3835</v>
      </c>
      <c r="F685" s="251" t="s">
        <v>4000</v>
      </c>
      <c r="G685" s="251" t="s">
        <v>4001</v>
      </c>
      <c r="H685" s="252" t="s">
        <v>3923</v>
      </c>
      <c r="I685" s="251" t="s">
        <v>3924</v>
      </c>
      <c r="J685" s="251" t="s">
        <v>3925</v>
      </c>
      <c r="K685" s="251" t="s">
        <v>4047</v>
      </c>
      <c r="BB685"/>
    </row>
    <row r="686" spans="1:54" x14ac:dyDescent="0.2">
      <c r="A686" s="225" t="str">
        <f t="shared" si="10"/>
        <v>Tax Benefit C/F, Current Year + 4</v>
      </c>
      <c r="B686" s="218" t="s">
        <v>565</v>
      </c>
      <c r="C686" s="251" t="s">
        <v>3836</v>
      </c>
      <c r="D686" s="251" t="s">
        <v>3837</v>
      </c>
      <c r="E686" s="251" t="s">
        <v>3838</v>
      </c>
      <c r="F686" s="251" t="s">
        <v>4002</v>
      </c>
      <c r="G686" s="251" t="s">
        <v>4003</v>
      </c>
      <c r="H686" s="252" t="s">
        <v>3926</v>
      </c>
      <c r="I686" s="251" t="s">
        <v>3927</v>
      </c>
      <c r="J686" s="251" t="s">
        <v>3928</v>
      </c>
      <c r="K686" s="251" t="s">
        <v>4048</v>
      </c>
      <c r="BB686"/>
    </row>
    <row r="687" spans="1:54" x14ac:dyDescent="0.2">
      <c r="A687" s="225" t="str">
        <f t="shared" si="10"/>
        <v>Tax Benefit C/F, After Five Years</v>
      </c>
      <c r="B687" s="218" t="s">
        <v>566</v>
      </c>
      <c r="C687" s="251" t="s">
        <v>3839</v>
      </c>
      <c r="D687" s="251" t="s">
        <v>3840</v>
      </c>
      <c r="E687" s="251" t="s">
        <v>3841</v>
      </c>
      <c r="F687" s="251" t="s">
        <v>4004</v>
      </c>
      <c r="G687" s="251" t="s">
        <v>4005</v>
      </c>
      <c r="H687" s="252" t="s">
        <v>3929</v>
      </c>
      <c r="I687" s="251" t="s">
        <v>3930</v>
      </c>
      <c r="J687" s="251" t="s">
        <v>3931</v>
      </c>
      <c r="K687" s="251" t="s">
        <v>4049</v>
      </c>
      <c r="BB687"/>
    </row>
    <row r="688" spans="1:54" x14ac:dyDescent="0.2">
      <c r="A688" s="225" t="str">
        <f t="shared" si="10"/>
        <v>Tax Benefit C/F, No Expiration</v>
      </c>
      <c r="B688" s="218" t="s">
        <v>567</v>
      </c>
      <c r="C688" s="251" t="s">
        <v>3842</v>
      </c>
      <c r="D688" s="251" t="s">
        <v>3843</v>
      </c>
      <c r="E688" s="251" t="s">
        <v>3844</v>
      </c>
      <c r="F688" s="251" t="s">
        <v>4006</v>
      </c>
      <c r="G688" s="251" t="s">
        <v>4007</v>
      </c>
      <c r="H688" s="252" t="s">
        <v>3932</v>
      </c>
      <c r="I688" s="251" t="s">
        <v>3933</v>
      </c>
      <c r="J688" s="251" t="s">
        <v>3934</v>
      </c>
      <c r="K688" s="251" t="s">
        <v>4050</v>
      </c>
      <c r="BB688"/>
    </row>
    <row r="689" spans="1:54" x14ac:dyDescent="0.2">
      <c r="A689" s="225" t="str">
        <f t="shared" si="10"/>
        <v>Total Tax Benefit C/F</v>
      </c>
      <c r="B689" s="218" t="s">
        <v>568</v>
      </c>
      <c r="C689" s="251" t="s">
        <v>3845</v>
      </c>
      <c r="D689" s="251" t="s">
        <v>3846</v>
      </c>
      <c r="E689" s="251" t="s">
        <v>3847</v>
      </c>
      <c r="F689" s="251" t="s">
        <v>4008</v>
      </c>
      <c r="G689" s="251" t="s">
        <v>4009</v>
      </c>
      <c r="H689" s="252" t="s">
        <v>3935</v>
      </c>
      <c r="I689" s="251" t="s">
        <v>3936</v>
      </c>
      <c r="J689" s="251" t="s">
        <v>3937</v>
      </c>
      <c r="K689" s="251" t="s">
        <v>4051</v>
      </c>
      <c r="BB689"/>
    </row>
    <row r="690" spans="1:54" x14ac:dyDescent="0.2">
      <c r="A690" s="225" t="str">
        <f t="shared" si="10"/>
        <v>Max. Year for Tax Benefit C/F</v>
      </c>
      <c r="B690" s="218" t="s">
        <v>569</v>
      </c>
      <c r="C690" s="251" t="s">
        <v>3848</v>
      </c>
      <c r="D690" s="251" t="s">
        <v>3849</v>
      </c>
      <c r="E690" s="251" t="s">
        <v>3850</v>
      </c>
      <c r="F690" s="251" t="s">
        <v>4010</v>
      </c>
      <c r="G690" s="251" t="s">
        <v>4011</v>
      </c>
      <c r="H690" s="252" t="s">
        <v>3938</v>
      </c>
      <c r="I690" s="251" t="s">
        <v>3939</v>
      </c>
      <c r="J690" s="251" t="s">
        <v>3940</v>
      </c>
      <c r="K690" s="251" t="s">
        <v>4052</v>
      </c>
      <c r="BB690"/>
    </row>
    <row r="691" spans="1:54" x14ac:dyDescent="0.2">
      <c r="A691" s="225" t="str">
        <f t="shared" si="10"/>
        <v>Adoption of FIN 48 Related Items</v>
      </c>
      <c r="B691" s="218" t="s">
        <v>702</v>
      </c>
      <c r="C691" s="251" t="s">
        <v>3851</v>
      </c>
      <c r="D691" s="251" t="s">
        <v>3852</v>
      </c>
      <c r="E691" s="251" t="s">
        <v>3853</v>
      </c>
      <c r="F691" s="251" t="s">
        <v>4012</v>
      </c>
      <c r="G691" s="251" t="s">
        <v>4013</v>
      </c>
      <c r="H691" s="252" t="s">
        <v>3941</v>
      </c>
      <c r="I691" s="251" t="s">
        <v>3942</v>
      </c>
      <c r="J691" s="251" t="s">
        <v>3943</v>
      </c>
      <c r="K691" s="251" t="s">
        <v>4053</v>
      </c>
      <c r="BB691"/>
    </row>
    <row r="692" spans="1:54" x14ac:dyDescent="0.2">
      <c r="A692" s="225" t="str">
        <f t="shared" si="10"/>
        <v>Trans. Impact of FIN 48 on Current Assets</v>
      </c>
      <c r="B692" s="267" t="s">
        <v>8265</v>
      </c>
      <c r="C692" s="251" t="s">
        <v>3854</v>
      </c>
      <c r="D692" s="251" t="s">
        <v>3855</v>
      </c>
      <c r="E692" s="251" t="s">
        <v>3856</v>
      </c>
      <c r="F692" s="251" t="s">
        <v>4014</v>
      </c>
      <c r="G692" s="251" t="s">
        <v>4015</v>
      </c>
      <c r="H692" s="252" t="s">
        <v>3944</v>
      </c>
      <c r="I692" s="251" t="s">
        <v>3945</v>
      </c>
      <c r="J692" s="251" t="s">
        <v>3946</v>
      </c>
      <c r="K692" s="251" t="s">
        <v>4054</v>
      </c>
      <c r="BB692"/>
    </row>
    <row r="693" spans="1:54" x14ac:dyDescent="0.2">
      <c r="A693" s="225" t="str">
        <f t="shared" si="10"/>
        <v>Trans. Impact of FIN 48 on Long Term Assets</v>
      </c>
      <c r="B693" s="267" t="s">
        <v>8266</v>
      </c>
      <c r="C693" s="251" t="s">
        <v>3857</v>
      </c>
      <c r="D693" s="251" t="s">
        <v>3858</v>
      </c>
      <c r="E693" s="251" t="s">
        <v>3859</v>
      </c>
      <c r="F693" s="251" t="s">
        <v>4016</v>
      </c>
      <c r="G693" s="251" t="s">
        <v>4017</v>
      </c>
      <c r="H693" s="252" t="s">
        <v>3947</v>
      </c>
      <c r="I693" s="251" t="s">
        <v>3948</v>
      </c>
      <c r="J693" s="251" t="s">
        <v>3949</v>
      </c>
      <c r="K693" s="251" t="s">
        <v>4055</v>
      </c>
      <c r="BB693"/>
    </row>
    <row r="694" spans="1:54" x14ac:dyDescent="0.2">
      <c r="A694" s="225" t="str">
        <f t="shared" si="10"/>
        <v>Trans. Impact of FIN 48 on Current Liabilities</v>
      </c>
      <c r="B694" s="267" t="s">
        <v>8267</v>
      </c>
      <c r="C694" s="251" t="s">
        <v>3860</v>
      </c>
      <c r="D694" s="251" t="s">
        <v>3861</v>
      </c>
      <c r="E694" s="251" t="s">
        <v>3862</v>
      </c>
      <c r="F694" s="251" t="s">
        <v>4018</v>
      </c>
      <c r="G694" s="251" t="s">
        <v>4019</v>
      </c>
      <c r="H694" s="252" t="s">
        <v>3950</v>
      </c>
      <c r="I694" s="251" t="s">
        <v>3951</v>
      </c>
      <c r="J694" s="251" t="s">
        <v>3952</v>
      </c>
      <c r="K694" s="251" t="s">
        <v>4056</v>
      </c>
      <c r="BB694"/>
    </row>
    <row r="695" spans="1:54" x14ac:dyDescent="0.2">
      <c r="A695" s="225" t="str">
        <f t="shared" si="10"/>
        <v>Trans. Impact of FIN 48 on Non-Current Liabilities</v>
      </c>
      <c r="B695" s="267" t="s">
        <v>8268</v>
      </c>
      <c r="C695" s="251" t="s">
        <v>3863</v>
      </c>
      <c r="D695" s="251" t="s">
        <v>3864</v>
      </c>
      <c r="E695" s="251" t="s">
        <v>3865</v>
      </c>
      <c r="F695" s="251" t="s">
        <v>4020</v>
      </c>
      <c r="G695" s="251" t="s">
        <v>4021</v>
      </c>
      <c r="H695" s="252" t="s">
        <v>3953</v>
      </c>
      <c r="I695" s="251" t="s">
        <v>3954</v>
      </c>
      <c r="J695" s="251" t="s">
        <v>3955</v>
      </c>
      <c r="K695" s="251" t="s">
        <v>4057</v>
      </c>
      <c r="BB695"/>
    </row>
    <row r="696" spans="1:54" x14ac:dyDescent="0.2">
      <c r="A696" s="225" t="str">
        <f t="shared" si="10"/>
        <v>Trans. Impact of FIN 48 on Retained Earnings</v>
      </c>
      <c r="B696" s="267" t="s">
        <v>8269</v>
      </c>
      <c r="C696" s="251" t="s">
        <v>3866</v>
      </c>
      <c r="D696" s="251" t="s">
        <v>3867</v>
      </c>
      <c r="E696" s="251" t="s">
        <v>3868</v>
      </c>
      <c r="F696" s="251" t="s">
        <v>4022</v>
      </c>
      <c r="G696" s="251" t="s">
        <v>4023</v>
      </c>
      <c r="H696" s="252" t="s">
        <v>3956</v>
      </c>
      <c r="I696" s="251" t="s">
        <v>3957</v>
      </c>
      <c r="J696" s="251" t="s">
        <v>3958</v>
      </c>
      <c r="K696" s="251" t="s">
        <v>4058</v>
      </c>
      <c r="BB696"/>
    </row>
    <row r="697" spans="1:54" x14ac:dyDescent="0.2">
      <c r="A697" s="225" t="str">
        <f t="shared" si="10"/>
        <v>Unrecog. Tax Benefits, Beginning of the Period</v>
      </c>
      <c r="B697" s="218" t="s">
        <v>685</v>
      </c>
      <c r="C697" s="251" t="s">
        <v>3869</v>
      </c>
      <c r="D697" s="251" t="s">
        <v>3870</v>
      </c>
      <c r="E697" s="251" t="s">
        <v>3871</v>
      </c>
      <c r="F697" s="251" t="s">
        <v>4024</v>
      </c>
      <c r="G697" s="251" t="s">
        <v>4025</v>
      </c>
      <c r="H697" s="252" t="s">
        <v>3959</v>
      </c>
      <c r="I697" s="251" t="s">
        <v>3960</v>
      </c>
      <c r="J697" s="251" t="s">
        <v>3961</v>
      </c>
      <c r="K697" s="251" t="s">
        <v>4059</v>
      </c>
      <c r="BB697"/>
    </row>
    <row r="698" spans="1:54" x14ac:dyDescent="0.2">
      <c r="A698" s="225" t="str">
        <f t="shared" si="10"/>
        <v>Additions Based on Tax Positions - Current Yr.</v>
      </c>
      <c r="B698" s="218" t="s">
        <v>686</v>
      </c>
      <c r="C698" s="251" t="s">
        <v>3872</v>
      </c>
      <c r="D698" s="251" t="s">
        <v>3873</v>
      </c>
      <c r="E698" s="251" t="s">
        <v>3874</v>
      </c>
      <c r="F698" s="251" t="s">
        <v>4026</v>
      </c>
      <c r="G698" s="251" t="s">
        <v>4027</v>
      </c>
      <c r="H698" s="252" t="s">
        <v>3962</v>
      </c>
      <c r="I698" s="251" t="s">
        <v>3963</v>
      </c>
      <c r="J698" s="251" t="s">
        <v>3964</v>
      </c>
      <c r="K698" s="251" t="s">
        <v>4060</v>
      </c>
      <c r="BB698"/>
    </row>
    <row r="699" spans="1:54" x14ac:dyDescent="0.2">
      <c r="A699" s="225" t="str">
        <f t="shared" si="10"/>
        <v>Reductions Based on Tax Positions - Current Yr.</v>
      </c>
      <c r="B699" s="218" t="s">
        <v>687</v>
      </c>
      <c r="C699" s="251" t="s">
        <v>3875</v>
      </c>
      <c r="D699" s="251" t="s">
        <v>3876</v>
      </c>
      <c r="E699" s="251" t="s">
        <v>3877</v>
      </c>
      <c r="F699" s="251" t="s">
        <v>4028</v>
      </c>
      <c r="G699" s="251" t="s">
        <v>4029</v>
      </c>
      <c r="H699" s="252" t="s">
        <v>3965</v>
      </c>
      <c r="I699" s="251" t="s">
        <v>3966</v>
      </c>
      <c r="J699" s="251" t="s">
        <v>3967</v>
      </c>
      <c r="K699" s="251" t="s">
        <v>4061</v>
      </c>
      <c r="BB699"/>
    </row>
    <row r="700" spans="1:54" x14ac:dyDescent="0.2">
      <c r="A700" s="225" t="str">
        <f t="shared" si="10"/>
        <v>Additions for Tax Positions - Prior Yrs</v>
      </c>
      <c r="B700" s="218" t="s">
        <v>688</v>
      </c>
      <c r="C700" s="251" t="s">
        <v>3878</v>
      </c>
      <c r="D700" s="251" t="s">
        <v>3879</v>
      </c>
      <c r="E700" s="251" t="s">
        <v>3880</v>
      </c>
      <c r="F700" s="251" t="s">
        <v>4030</v>
      </c>
      <c r="G700" s="251" t="s">
        <v>4031</v>
      </c>
      <c r="H700" s="252" t="s">
        <v>3968</v>
      </c>
      <c r="I700" s="251" t="s">
        <v>3969</v>
      </c>
      <c r="J700" s="251" t="s">
        <v>3970</v>
      </c>
      <c r="K700" s="251" t="s">
        <v>4062</v>
      </c>
      <c r="BB700"/>
    </row>
    <row r="701" spans="1:54" x14ac:dyDescent="0.2">
      <c r="A701" s="225" t="str">
        <f t="shared" si="10"/>
        <v>Reductions for Tax Positions - Prior Yrs</v>
      </c>
      <c r="B701" s="218" t="s">
        <v>689</v>
      </c>
      <c r="C701" s="251" t="s">
        <v>3881</v>
      </c>
      <c r="D701" s="251" t="s">
        <v>3882</v>
      </c>
      <c r="E701" s="251" t="s">
        <v>3883</v>
      </c>
      <c r="F701" s="251" t="s">
        <v>4032</v>
      </c>
      <c r="G701" s="251" t="s">
        <v>4033</v>
      </c>
      <c r="H701" s="252" t="s">
        <v>3971</v>
      </c>
      <c r="I701" s="251" t="s">
        <v>3972</v>
      </c>
      <c r="J701" s="251" t="s">
        <v>3973</v>
      </c>
      <c r="K701" s="251" t="s">
        <v>4063</v>
      </c>
      <c r="BB701"/>
    </row>
    <row r="702" spans="1:54" x14ac:dyDescent="0.2">
      <c r="A702" s="225" t="str">
        <f t="shared" si="10"/>
        <v>Settlements with Tax Authorities</v>
      </c>
      <c r="B702" s="218" t="s">
        <v>690</v>
      </c>
      <c r="C702" s="251" t="s">
        <v>4064</v>
      </c>
      <c r="D702" s="251" t="s">
        <v>4065</v>
      </c>
      <c r="E702" s="251" t="s">
        <v>4066</v>
      </c>
      <c r="F702" s="251" t="s">
        <v>4136</v>
      </c>
      <c r="G702" s="251" t="s">
        <v>4137</v>
      </c>
      <c r="H702" s="252" t="s">
        <v>4100</v>
      </c>
      <c r="I702" s="251" t="s">
        <v>4101</v>
      </c>
      <c r="J702" s="251" t="s">
        <v>4102</v>
      </c>
      <c r="K702" s="251" t="s">
        <v>4160</v>
      </c>
      <c r="BB702"/>
    </row>
    <row r="703" spans="1:54" x14ac:dyDescent="0.2">
      <c r="A703" s="225" t="str">
        <f t="shared" si="10"/>
        <v>Lapse of Statute of Limitations</v>
      </c>
      <c r="B703" s="218" t="s">
        <v>691</v>
      </c>
      <c r="C703" s="251" t="s">
        <v>4067</v>
      </c>
      <c r="D703" s="251" t="s">
        <v>4068</v>
      </c>
      <c r="E703" s="251" t="s">
        <v>4069</v>
      </c>
      <c r="F703" s="251" t="s">
        <v>4138</v>
      </c>
      <c r="G703" s="251" t="s">
        <v>4139</v>
      </c>
      <c r="H703" s="252" t="s">
        <v>4103</v>
      </c>
      <c r="I703" s="251" t="s">
        <v>4104</v>
      </c>
      <c r="J703" s="251" t="s">
        <v>4105</v>
      </c>
      <c r="K703" s="251" t="s">
        <v>4161</v>
      </c>
      <c r="BB703"/>
    </row>
    <row r="704" spans="1:54" x14ac:dyDescent="0.2">
      <c r="A704" s="225" t="str">
        <f t="shared" si="10"/>
        <v>Unrecog. Tax Benefits - Other Adj.</v>
      </c>
      <c r="B704" s="218" t="s">
        <v>692</v>
      </c>
      <c r="C704" s="251" t="s">
        <v>4070</v>
      </c>
      <c r="D704" s="251" t="s">
        <v>4071</v>
      </c>
      <c r="E704" s="251" t="s">
        <v>4072</v>
      </c>
      <c r="F704" s="251" t="s">
        <v>4140</v>
      </c>
      <c r="G704" s="251" t="s">
        <v>4141</v>
      </c>
      <c r="H704" s="252" t="s">
        <v>4106</v>
      </c>
      <c r="I704" s="251" t="s">
        <v>4107</v>
      </c>
      <c r="J704" s="251" t="s">
        <v>4108</v>
      </c>
      <c r="K704" s="251" t="s">
        <v>4162</v>
      </c>
      <c r="BB704"/>
    </row>
    <row r="705" spans="1:54" x14ac:dyDescent="0.2">
      <c r="A705" s="225" t="str">
        <f t="shared" si="10"/>
        <v>Unrecog. Tax Benefits, End of the Period</v>
      </c>
      <c r="B705" s="218" t="s">
        <v>693</v>
      </c>
      <c r="C705" s="251" t="s">
        <v>4073</v>
      </c>
      <c r="D705" s="251" t="s">
        <v>4074</v>
      </c>
      <c r="E705" s="251" t="s">
        <v>4075</v>
      </c>
      <c r="F705" s="251" t="s">
        <v>4142</v>
      </c>
      <c r="G705" s="251" t="s">
        <v>4143</v>
      </c>
      <c r="H705" s="252" t="s">
        <v>4109</v>
      </c>
      <c r="I705" s="251" t="s">
        <v>4110</v>
      </c>
      <c r="J705" s="251" t="s">
        <v>4111</v>
      </c>
      <c r="K705" s="251" t="s">
        <v>4163</v>
      </c>
      <c r="BB705"/>
    </row>
    <row r="706" spans="1:54" x14ac:dyDescent="0.2">
      <c r="A706" s="225" t="str">
        <f t="shared" si="10"/>
        <v>Account Code - Interest and Penalties</v>
      </c>
      <c r="B706" s="218" t="s">
        <v>694</v>
      </c>
      <c r="C706" s="251" t="s">
        <v>4076</v>
      </c>
      <c r="D706" s="251" t="s">
        <v>4077</v>
      </c>
      <c r="E706" s="251" t="s">
        <v>4078</v>
      </c>
      <c r="F706" s="251" t="s">
        <v>4144</v>
      </c>
      <c r="G706" s="251" t="s">
        <v>4145</v>
      </c>
      <c r="H706" s="252" t="s">
        <v>4112</v>
      </c>
      <c r="I706" s="251" t="s">
        <v>4113</v>
      </c>
      <c r="J706" s="251" t="s">
        <v>4114</v>
      </c>
      <c r="K706" s="251" t="s">
        <v>4164</v>
      </c>
      <c r="BB706"/>
    </row>
    <row r="707" spans="1:54" x14ac:dyDescent="0.2">
      <c r="A707" s="225" t="str">
        <f t="shared" si="10"/>
        <v>Interest and Penalties Recog. on IS - Before Tax</v>
      </c>
      <c r="B707" s="218" t="s">
        <v>695</v>
      </c>
      <c r="C707" s="251" t="s">
        <v>4079</v>
      </c>
      <c r="D707" s="251" t="s">
        <v>4080</v>
      </c>
      <c r="E707" s="251" t="s">
        <v>4081</v>
      </c>
      <c r="F707" s="251" t="s">
        <v>4146</v>
      </c>
      <c r="G707" s="251" t="s">
        <v>4147</v>
      </c>
      <c r="H707" s="251" t="s">
        <v>4115</v>
      </c>
      <c r="I707" s="251" t="s">
        <v>4116</v>
      </c>
      <c r="J707" s="251" t="s">
        <v>4117</v>
      </c>
      <c r="K707" s="251" t="s">
        <v>4165</v>
      </c>
      <c r="BB707"/>
    </row>
    <row r="708" spans="1:54" x14ac:dyDescent="0.2">
      <c r="A708" s="225" t="str">
        <f t="shared" si="10"/>
        <v>Interest and Penalties Recog. on IS - After Tax</v>
      </c>
      <c r="B708" s="218" t="s">
        <v>696</v>
      </c>
      <c r="C708" s="251" t="s">
        <v>4082</v>
      </c>
      <c r="D708" s="251" t="s">
        <v>4083</v>
      </c>
      <c r="E708" s="251" t="s">
        <v>4084</v>
      </c>
      <c r="F708" s="251" t="s">
        <v>4148</v>
      </c>
      <c r="G708" s="251" t="s">
        <v>4149</v>
      </c>
      <c r="H708" s="251" t="s">
        <v>4118</v>
      </c>
      <c r="I708" s="251" t="s">
        <v>4119</v>
      </c>
      <c r="J708" s="251" t="s">
        <v>4120</v>
      </c>
      <c r="K708" s="251" t="s">
        <v>4166</v>
      </c>
      <c r="BB708"/>
    </row>
    <row r="709" spans="1:54" x14ac:dyDescent="0.2">
      <c r="A709" s="225" t="str">
        <f t="shared" si="10"/>
        <v>Interest and Penalties Recog. on BS - Before Tax</v>
      </c>
      <c r="B709" s="218" t="s">
        <v>697</v>
      </c>
      <c r="C709" s="251" t="s">
        <v>4085</v>
      </c>
      <c r="D709" s="251" t="s">
        <v>4086</v>
      </c>
      <c r="E709" s="251" t="s">
        <v>4087</v>
      </c>
      <c r="F709" s="251" t="s">
        <v>4150</v>
      </c>
      <c r="G709" s="251" t="s">
        <v>4151</v>
      </c>
      <c r="H709" s="251" t="s">
        <v>4121</v>
      </c>
      <c r="I709" s="251" t="s">
        <v>4122</v>
      </c>
      <c r="J709" s="251" t="s">
        <v>4123</v>
      </c>
      <c r="K709" s="251" t="s">
        <v>4167</v>
      </c>
      <c r="BB709"/>
    </row>
    <row r="710" spans="1:54" x14ac:dyDescent="0.2">
      <c r="A710" s="225" t="str">
        <f t="shared" si="10"/>
        <v>Interest and Penalties Recog. on BS - After Tax</v>
      </c>
      <c r="B710" s="218" t="s">
        <v>698</v>
      </c>
      <c r="C710" s="251" t="s">
        <v>4088</v>
      </c>
      <c r="D710" s="251" t="s">
        <v>4089</v>
      </c>
      <c r="E710" s="251" t="s">
        <v>4090</v>
      </c>
      <c r="F710" s="251" t="s">
        <v>4152</v>
      </c>
      <c r="G710" s="251" t="s">
        <v>4153</v>
      </c>
      <c r="H710" s="251" t="s">
        <v>4124</v>
      </c>
      <c r="I710" s="251" t="s">
        <v>4125</v>
      </c>
      <c r="J710" s="251" t="s">
        <v>4126</v>
      </c>
      <c r="K710" s="251" t="s">
        <v>4168</v>
      </c>
      <c r="BB710"/>
    </row>
    <row r="711" spans="1:54" x14ac:dyDescent="0.2">
      <c r="A711" s="225" t="str">
        <f t="shared" si="10"/>
        <v>Changes in Unrecog. Tax Benefit within a Year of the Rep. Date - Min</v>
      </c>
      <c r="B711" s="218" t="s">
        <v>699</v>
      </c>
      <c r="C711" s="251" t="s">
        <v>4091</v>
      </c>
      <c r="D711" s="251" t="s">
        <v>4092</v>
      </c>
      <c r="E711" s="251" t="s">
        <v>4093</v>
      </c>
      <c r="F711" s="251" t="s">
        <v>4154</v>
      </c>
      <c r="G711" s="251" t="s">
        <v>4155</v>
      </c>
      <c r="H711" s="252" t="s">
        <v>4127</v>
      </c>
      <c r="I711" s="251" t="s">
        <v>4128</v>
      </c>
      <c r="J711" s="251" t="s">
        <v>4129</v>
      </c>
      <c r="K711" s="251" t="s">
        <v>4169</v>
      </c>
      <c r="BB711"/>
    </row>
    <row r="712" spans="1:54" x14ac:dyDescent="0.2">
      <c r="A712" s="225" t="str">
        <f t="shared" si="10"/>
        <v>Changes in Unrecog. Tax Benefit within a Year of the Rep. Date - Max</v>
      </c>
      <c r="B712" s="218" t="s">
        <v>700</v>
      </c>
      <c r="C712" s="251" t="s">
        <v>4094</v>
      </c>
      <c r="D712" s="251" t="s">
        <v>4095</v>
      </c>
      <c r="E712" s="251" t="s">
        <v>4096</v>
      </c>
      <c r="F712" s="251" t="s">
        <v>4156</v>
      </c>
      <c r="G712" s="251" t="s">
        <v>4157</v>
      </c>
      <c r="H712" s="252" t="s">
        <v>4130</v>
      </c>
      <c r="I712" s="251" t="s">
        <v>4131</v>
      </c>
      <c r="J712" s="251" t="s">
        <v>4132</v>
      </c>
      <c r="K712" s="251" t="s">
        <v>4170</v>
      </c>
      <c r="BB712"/>
    </row>
    <row r="713" spans="1:54" x14ac:dyDescent="0.2">
      <c r="A713" s="225" t="str">
        <f t="shared" ref="A713:A776" si="11">INDEX($B713:$CV713,$A$4)</f>
        <v>Impact of Unrecog. Tax Benefit on the Effective Tax Rate</v>
      </c>
      <c r="B713" s="218" t="s">
        <v>701</v>
      </c>
      <c r="C713" s="251" t="s">
        <v>4097</v>
      </c>
      <c r="D713" s="251" t="s">
        <v>4098</v>
      </c>
      <c r="E713" s="251" t="s">
        <v>4099</v>
      </c>
      <c r="F713" s="251" t="s">
        <v>4158</v>
      </c>
      <c r="G713" s="251" t="s">
        <v>4159</v>
      </c>
      <c r="H713" s="252" t="s">
        <v>4133</v>
      </c>
      <c r="I713" s="251" t="s">
        <v>4134</v>
      </c>
      <c r="J713" s="251" t="s">
        <v>4135</v>
      </c>
      <c r="K713" s="251" t="s">
        <v>4171</v>
      </c>
      <c r="BB713"/>
    </row>
    <row r="714" spans="1:54" x14ac:dyDescent="0.2">
      <c r="A714" s="225" t="str">
        <f t="shared" si="11"/>
        <v>RATIOS</v>
      </c>
      <c r="B714" s="218" t="s">
        <v>263</v>
      </c>
      <c r="C714" s="218" t="s">
        <v>4738</v>
      </c>
      <c r="D714" s="218" t="s">
        <v>4738</v>
      </c>
      <c r="E714" s="218" t="s">
        <v>263</v>
      </c>
      <c r="F714" s="218" t="s">
        <v>6808</v>
      </c>
      <c r="G714" s="218" t="s">
        <v>6809</v>
      </c>
      <c r="H714" s="218" t="s">
        <v>6810</v>
      </c>
      <c r="I714" s="218" t="s">
        <v>6811</v>
      </c>
      <c r="J714" s="218" t="s">
        <v>263</v>
      </c>
      <c r="K714" s="218" t="s">
        <v>4839</v>
      </c>
      <c r="BB714"/>
    </row>
    <row r="715" spans="1:54" x14ac:dyDescent="0.2">
      <c r="A715" s="225" t="str">
        <f t="shared" si="11"/>
        <v>VALUATION</v>
      </c>
      <c r="B715" s="218" t="s">
        <v>372</v>
      </c>
      <c r="C715" s="218" t="s">
        <v>7003</v>
      </c>
      <c r="D715" s="218" t="s">
        <v>7003</v>
      </c>
      <c r="E715" s="218" t="s">
        <v>7004</v>
      </c>
      <c r="F715" s="218" t="s">
        <v>7005</v>
      </c>
      <c r="G715" s="218" t="s">
        <v>7006</v>
      </c>
      <c r="H715" s="218" t="s">
        <v>7007</v>
      </c>
      <c r="I715" s="218" t="s">
        <v>7008</v>
      </c>
      <c r="J715" s="218" t="s">
        <v>7009</v>
      </c>
      <c r="K715" s="218" t="s">
        <v>7010</v>
      </c>
      <c r="BB715"/>
    </row>
    <row r="716" spans="1:54" x14ac:dyDescent="0.2">
      <c r="A716" s="225" t="str">
        <f t="shared" si="11"/>
        <v>TEV / Total Revenue</v>
      </c>
      <c r="B716" s="218" t="s">
        <v>373</v>
      </c>
      <c r="C716" s="251" t="s">
        <v>7646</v>
      </c>
      <c r="D716" s="218" t="s">
        <v>7647</v>
      </c>
      <c r="E716" s="251" t="s">
        <v>8077</v>
      </c>
      <c r="F716" s="251" t="s">
        <v>8081</v>
      </c>
      <c r="G716" s="251" t="s">
        <v>8082</v>
      </c>
      <c r="H716" s="252" t="s">
        <v>8078</v>
      </c>
      <c r="I716" s="251" t="s">
        <v>8079</v>
      </c>
      <c r="J716" s="251" t="s">
        <v>8080</v>
      </c>
      <c r="K716" s="251" t="s">
        <v>8083</v>
      </c>
      <c r="BB716"/>
    </row>
    <row r="717" spans="1:54" x14ac:dyDescent="0.2">
      <c r="A717" s="225" t="str">
        <f t="shared" si="11"/>
        <v>TEV / EBITDA</v>
      </c>
      <c r="B717" s="218" t="s">
        <v>374</v>
      </c>
      <c r="C717" s="215" t="s">
        <v>7029</v>
      </c>
      <c r="D717" s="218" t="s">
        <v>7030</v>
      </c>
      <c r="E717" s="215" t="s">
        <v>7031</v>
      </c>
      <c r="F717" s="215" t="s">
        <v>7032</v>
      </c>
      <c r="G717" s="215" t="s">
        <v>7033</v>
      </c>
      <c r="H717" s="215" t="s">
        <v>7034</v>
      </c>
      <c r="I717" s="215" t="s">
        <v>7035</v>
      </c>
      <c r="J717" s="215" t="s">
        <v>7036</v>
      </c>
      <c r="K717" s="215" t="s">
        <v>374</v>
      </c>
      <c r="BB717"/>
    </row>
    <row r="718" spans="1:54" x14ac:dyDescent="0.2">
      <c r="A718" s="225" t="str">
        <f t="shared" si="11"/>
        <v>TEV / EBIT</v>
      </c>
      <c r="B718" s="218" t="s">
        <v>375</v>
      </c>
      <c r="C718" s="215" t="s">
        <v>8093</v>
      </c>
      <c r="D718" s="218" t="s">
        <v>8094</v>
      </c>
      <c r="E718" s="215" t="s">
        <v>8095</v>
      </c>
      <c r="F718" s="215" t="s">
        <v>8096</v>
      </c>
      <c r="G718" s="215" t="s">
        <v>8097</v>
      </c>
      <c r="H718" s="215" t="s">
        <v>8098</v>
      </c>
      <c r="I718" s="215" t="s">
        <v>8099</v>
      </c>
      <c r="J718" s="215" t="s">
        <v>8100</v>
      </c>
      <c r="K718" s="215" t="s">
        <v>375</v>
      </c>
      <c r="BB718"/>
    </row>
    <row r="719" spans="1:54" x14ac:dyDescent="0.2">
      <c r="A719" s="225" t="str">
        <f t="shared" si="11"/>
        <v>P/E</v>
      </c>
      <c r="B719" s="218" t="s">
        <v>376</v>
      </c>
      <c r="C719" s="215" t="s">
        <v>7037</v>
      </c>
      <c r="D719" s="218" t="s">
        <v>7037</v>
      </c>
      <c r="E719" s="215" t="s">
        <v>7038</v>
      </c>
      <c r="F719" s="215" t="s">
        <v>7039</v>
      </c>
      <c r="G719" s="215" t="s">
        <v>7040</v>
      </c>
      <c r="H719" s="215" t="s">
        <v>7041</v>
      </c>
      <c r="I719" s="215" t="s">
        <v>7042</v>
      </c>
      <c r="J719" s="215" t="s">
        <v>7043</v>
      </c>
      <c r="K719" s="215" t="s">
        <v>7044</v>
      </c>
      <c r="BB719"/>
    </row>
    <row r="720" spans="1:54" x14ac:dyDescent="0.2">
      <c r="A720" s="225" t="str">
        <f t="shared" si="11"/>
        <v>P/BV</v>
      </c>
      <c r="B720" s="218" t="s">
        <v>377</v>
      </c>
      <c r="C720" s="215" t="s">
        <v>8101</v>
      </c>
      <c r="D720" s="218" t="s">
        <v>8102</v>
      </c>
      <c r="E720" s="215" t="s">
        <v>8103</v>
      </c>
      <c r="F720" s="215" t="s">
        <v>8104</v>
      </c>
      <c r="G720" s="215" t="s">
        <v>8105</v>
      </c>
      <c r="H720" s="215" t="s">
        <v>8106</v>
      </c>
      <c r="I720" s="215" t="s">
        <v>8107</v>
      </c>
      <c r="J720" s="215" t="s">
        <v>8108</v>
      </c>
      <c r="K720" s="215" t="s">
        <v>8109</v>
      </c>
      <c r="BB720"/>
    </row>
    <row r="721" spans="1:54" x14ac:dyDescent="0.2">
      <c r="A721" s="225" t="str">
        <f t="shared" si="11"/>
        <v>P/Tangible BV</v>
      </c>
      <c r="B721" s="218" t="s">
        <v>378</v>
      </c>
      <c r="C721" s="251" t="s">
        <v>8084</v>
      </c>
      <c r="D721" s="218" t="s">
        <v>8085</v>
      </c>
      <c r="E721" s="251" t="s">
        <v>8086</v>
      </c>
      <c r="F721" s="251" t="s">
        <v>8090</v>
      </c>
      <c r="G721" s="251" t="s">
        <v>8091</v>
      </c>
      <c r="H721" s="253" t="s">
        <v>8087</v>
      </c>
      <c r="I721" s="251" t="s">
        <v>8088</v>
      </c>
      <c r="J721" s="251" t="s">
        <v>8089</v>
      </c>
      <c r="K721" s="251" t="s">
        <v>8092</v>
      </c>
      <c r="BB721"/>
    </row>
    <row r="722" spans="1:54" x14ac:dyDescent="0.2">
      <c r="A722" s="225" t="str">
        <f t="shared" si="11"/>
        <v>PROFITABILITY</v>
      </c>
      <c r="B722" s="218" t="s">
        <v>264</v>
      </c>
      <c r="C722" t="s">
        <v>8110</v>
      </c>
      <c r="D722" s="218" t="s">
        <v>8111</v>
      </c>
      <c r="E722" t="s">
        <v>8112</v>
      </c>
      <c r="F722" t="s">
        <v>8113</v>
      </c>
      <c r="G722" t="s">
        <v>8114</v>
      </c>
      <c r="H722" t="s">
        <v>8115</v>
      </c>
      <c r="I722" t="s">
        <v>8116</v>
      </c>
      <c r="J722" t="s">
        <v>8117</v>
      </c>
      <c r="K722" t="s">
        <v>8118</v>
      </c>
      <c r="BB722"/>
    </row>
    <row r="723" spans="1:54" x14ac:dyDescent="0.2">
      <c r="A723" s="225" t="str">
        <f t="shared" si="11"/>
        <v>Return on Assets (%)</v>
      </c>
      <c r="B723" s="218" t="s">
        <v>265</v>
      </c>
      <c r="C723" s="251" t="s">
        <v>4570</v>
      </c>
      <c r="D723" s="251" t="s">
        <v>4571</v>
      </c>
      <c r="E723" s="251" t="s">
        <v>4572</v>
      </c>
      <c r="F723" s="251" t="s">
        <v>4594</v>
      </c>
      <c r="G723" s="251" t="s">
        <v>4595</v>
      </c>
      <c r="H723" s="222" t="s">
        <v>4582</v>
      </c>
      <c r="I723" s="251" t="s">
        <v>4583</v>
      </c>
      <c r="J723" s="251" t="s">
        <v>4584</v>
      </c>
      <c r="K723" s="251" t="s">
        <v>4602</v>
      </c>
      <c r="BB723"/>
    </row>
    <row r="724" spans="1:54" x14ac:dyDescent="0.2">
      <c r="A724" s="225" t="str">
        <f t="shared" si="11"/>
        <v>Return on Capital (%)</v>
      </c>
      <c r="B724" s="218" t="s">
        <v>266</v>
      </c>
      <c r="C724" s="251" t="s">
        <v>4573</v>
      </c>
      <c r="D724" s="251" t="s">
        <v>4574</v>
      </c>
      <c r="E724" s="251" t="s">
        <v>4575</v>
      </c>
      <c r="F724" s="251" t="s">
        <v>4596</v>
      </c>
      <c r="G724" s="251" t="s">
        <v>4597</v>
      </c>
      <c r="H724" s="222" t="s">
        <v>4585</v>
      </c>
      <c r="I724" s="251" t="s">
        <v>4586</v>
      </c>
      <c r="J724" s="251" t="s">
        <v>4587</v>
      </c>
      <c r="K724" s="251" t="s">
        <v>4603</v>
      </c>
      <c r="BB724"/>
    </row>
    <row r="725" spans="1:54" x14ac:dyDescent="0.2">
      <c r="A725" s="225" t="str">
        <f t="shared" si="11"/>
        <v>Return on Equity (%)</v>
      </c>
      <c r="B725" s="218" t="s">
        <v>267</v>
      </c>
      <c r="C725" s="251" t="s">
        <v>4576</v>
      </c>
      <c r="D725" s="251" t="s">
        <v>4577</v>
      </c>
      <c r="E725" s="251" t="s">
        <v>4578</v>
      </c>
      <c r="F725" s="251" t="s">
        <v>4598</v>
      </c>
      <c r="G725" s="251" t="s">
        <v>4599</v>
      </c>
      <c r="H725" s="222" t="s">
        <v>4588</v>
      </c>
      <c r="I725" s="251" t="s">
        <v>4589</v>
      </c>
      <c r="J725" s="251" t="s">
        <v>4590</v>
      </c>
      <c r="K725" s="251" t="s">
        <v>4604</v>
      </c>
      <c r="BB725"/>
    </row>
    <row r="726" spans="1:54" x14ac:dyDescent="0.2">
      <c r="A726" s="225" t="str">
        <f t="shared" si="11"/>
        <v>Return on Common Equity (%)</v>
      </c>
      <c r="B726" s="218" t="s">
        <v>736</v>
      </c>
      <c r="C726" s="251" t="s">
        <v>4579</v>
      </c>
      <c r="D726" s="251" t="s">
        <v>4580</v>
      </c>
      <c r="E726" s="251" t="s">
        <v>4581</v>
      </c>
      <c r="F726" s="251" t="s">
        <v>4600</v>
      </c>
      <c r="G726" s="251" t="s">
        <v>4601</v>
      </c>
      <c r="H726" s="222" t="s">
        <v>4591</v>
      </c>
      <c r="I726" s="251" t="s">
        <v>4592</v>
      </c>
      <c r="J726" s="251" t="s">
        <v>4593</v>
      </c>
      <c r="K726" s="251" t="s">
        <v>4604</v>
      </c>
      <c r="BB726"/>
    </row>
    <row r="727" spans="1:54" x14ac:dyDescent="0.2">
      <c r="A727" s="225" t="str">
        <f t="shared" si="11"/>
        <v>MARGIN ANALYSIS</v>
      </c>
      <c r="B727" s="218" t="s">
        <v>268</v>
      </c>
      <c r="C727" t="s">
        <v>6812</v>
      </c>
      <c r="D727" s="218" t="s">
        <v>6813</v>
      </c>
      <c r="E727" t="s">
        <v>6814</v>
      </c>
      <c r="F727" t="s">
        <v>6815</v>
      </c>
      <c r="G727" t="s">
        <v>6816</v>
      </c>
      <c r="H727" t="s">
        <v>6817</v>
      </c>
      <c r="I727" t="s">
        <v>6818</v>
      </c>
      <c r="J727" t="s">
        <v>6819</v>
      </c>
      <c r="K727" t="s">
        <v>6820</v>
      </c>
      <c r="BB727"/>
    </row>
    <row r="728" spans="1:54" x14ac:dyDescent="0.2">
      <c r="A728" s="225" t="str">
        <f t="shared" si="11"/>
        <v>Gross Margin (%)</v>
      </c>
      <c r="B728" s="218" t="s">
        <v>269</v>
      </c>
      <c r="C728" t="s">
        <v>6821</v>
      </c>
      <c r="D728" s="218" t="s">
        <v>6821</v>
      </c>
      <c r="E728" t="s">
        <v>6822</v>
      </c>
      <c r="F728" t="s">
        <v>6823</v>
      </c>
      <c r="G728" t="s">
        <v>6824</v>
      </c>
      <c r="H728" t="s">
        <v>6825</v>
      </c>
      <c r="I728" t="s">
        <v>6826</v>
      </c>
      <c r="J728" t="s">
        <v>6827</v>
      </c>
      <c r="K728" t="s">
        <v>6828</v>
      </c>
      <c r="BB728"/>
    </row>
    <row r="729" spans="1:54" x14ac:dyDescent="0.2">
      <c r="A729" s="225" t="str">
        <f t="shared" si="11"/>
        <v>EBITDA Margin (%)</v>
      </c>
      <c r="B729" s="218" t="s">
        <v>270</v>
      </c>
      <c r="C729" s="251" t="s">
        <v>8061</v>
      </c>
      <c r="D729" s="218" t="s">
        <v>8062</v>
      </c>
      <c r="E729" s="251" t="s">
        <v>8063</v>
      </c>
      <c r="F729" s="251" t="s">
        <v>8071</v>
      </c>
      <c r="G729" s="251" t="s">
        <v>8072</v>
      </c>
      <c r="H729" s="222" t="s">
        <v>7796</v>
      </c>
      <c r="I729" s="251" t="s">
        <v>8066</v>
      </c>
      <c r="J729" s="251" t="s">
        <v>8067</v>
      </c>
      <c r="K729" s="251" t="s">
        <v>8075</v>
      </c>
      <c r="BB729"/>
    </row>
    <row r="730" spans="1:54" x14ac:dyDescent="0.2">
      <c r="A730" s="225" t="str">
        <f t="shared" si="11"/>
        <v>EBIT Margin (%)</v>
      </c>
      <c r="B730" s="218" t="s">
        <v>271</v>
      </c>
      <c r="C730" s="251" t="s">
        <v>8064</v>
      </c>
      <c r="D730" s="218" t="s">
        <v>8064</v>
      </c>
      <c r="E730" s="251" t="s">
        <v>8065</v>
      </c>
      <c r="F730" s="251" t="s">
        <v>8073</v>
      </c>
      <c r="G730" s="251" t="s">
        <v>8074</v>
      </c>
      <c r="H730" s="222" t="s">
        <v>8068</v>
      </c>
      <c r="I730" s="251" t="s">
        <v>8069</v>
      </c>
      <c r="J730" s="251" t="s">
        <v>8070</v>
      </c>
      <c r="K730" s="251" t="s">
        <v>8076</v>
      </c>
      <c r="BB730"/>
    </row>
    <row r="731" spans="1:54" x14ac:dyDescent="0.2">
      <c r="A731" s="225" t="str">
        <f t="shared" si="11"/>
        <v>Net Income Margin (%)</v>
      </c>
      <c r="B731" s="218" t="s">
        <v>272</v>
      </c>
      <c r="C731" t="s">
        <v>6829</v>
      </c>
      <c r="D731" s="218" t="s">
        <v>6830</v>
      </c>
      <c r="E731" t="s">
        <v>6831</v>
      </c>
      <c r="F731" t="s">
        <v>6832</v>
      </c>
      <c r="G731" t="s">
        <v>6833</v>
      </c>
      <c r="H731" t="s">
        <v>6834</v>
      </c>
      <c r="I731" t="s">
        <v>6835</v>
      </c>
      <c r="J731" t="s">
        <v>6836</v>
      </c>
      <c r="K731" t="s">
        <v>6837</v>
      </c>
      <c r="BB731"/>
    </row>
    <row r="732" spans="1:54" x14ac:dyDescent="0.2">
      <c r="A732" s="225" t="str">
        <f t="shared" si="11"/>
        <v>Capex as % of Revenues</v>
      </c>
      <c r="B732" s="218" t="s">
        <v>746</v>
      </c>
      <c r="C732" s="251" t="s">
        <v>8052</v>
      </c>
      <c r="D732" s="218" t="s">
        <v>8053</v>
      </c>
      <c r="E732" s="251" t="s">
        <v>8054</v>
      </c>
      <c r="F732" s="251" t="s">
        <v>8058</v>
      </c>
      <c r="G732" s="251" t="s">
        <v>8059</v>
      </c>
      <c r="H732" s="222" t="s">
        <v>8055</v>
      </c>
      <c r="I732" s="251" t="s">
        <v>8056</v>
      </c>
      <c r="J732" s="251" t="s">
        <v>8057</v>
      </c>
      <c r="K732" s="251" t="s">
        <v>8060</v>
      </c>
      <c r="BB732"/>
    </row>
    <row r="733" spans="1:54" x14ac:dyDescent="0.2">
      <c r="A733" s="225" t="str">
        <f t="shared" si="11"/>
        <v>ASSET TURNOVER</v>
      </c>
      <c r="B733" s="218" t="s">
        <v>277</v>
      </c>
      <c r="C733" s="218" t="s">
        <v>6838</v>
      </c>
      <c r="D733" s="218" t="s">
        <v>6839</v>
      </c>
      <c r="E733" s="218" t="s">
        <v>6840</v>
      </c>
      <c r="F733" s="218" t="s">
        <v>6841</v>
      </c>
      <c r="G733" s="218" t="s">
        <v>6842</v>
      </c>
      <c r="H733" s="218" t="s">
        <v>6843</v>
      </c>
      <c r="I733" s="218" t="s">
        <v>6844</v>
      </c>
      <c r="J733" s="218" t="s">
        <v>6845</v>
      </c>
      <c r="K733" s="218" t="s">
        <v>6846</v>
      </c>
      <c r="BB733"/>
    </row>
    <row r="734" spans="1:54" x14ac:dyDescent="0.2">
      <c r="A734" s="225" t="str">
        <f t="shared" si="11"/>
        <v>Total Asset Turnover</v>
      </c>
      <c r="B734" s="218" t="s">
        <v>273</v>
      </c>
      <c r="C734" s="218" t="s">
        <v>6847</v>
      </c>
      <c r="D734" s="218" t="s">
        <v>6848</v>
      </c>
      <c r="E734" s="218" t="s">
        <v>6849</v>
      </c>
      <c r="F734" s="218" t="s">
        <v>6850</v>
      </c>
      <c r="G734" s="218" t="s">
        <v>6851</v>
      </c>
      <c r="H734" s="218" t="s">
        <v>6852</v>
      </c>
      <c r="I734" s="218" t="s">
        <v>6853</v>
      </c>
      <c r="J734" s="218" t="s">
        <v>6854</v>
      </c>
      <c r="K734" s="218" t="s">
        <v>6855</v>
      </c>
      <c r="BB734"/>
    </row>
    <row r="735" spans="1:54" x14ac:dyDescent="0.2">
      <c r="A735" s="225" t="str">
        <f t="shared" si="11"/>
        <v>Fixed Asset Turnover</v>
      </c>
      <c r="B735" s="218" t="s">
        <v>274</v>
      </c>
      <c r="C735" s="218" t="s">
        <v>6856</v>
      </c>
      <c r="D735" s="218" t="s">
        <v>6857</v>
      </c>
      <c r="E735" s="218" t="s">
        <v>6858</v>
      </c>
      <c r="F735" s="218" t="s">
        <v>6859</v>
      </c>
      <c r="G735" s="218" t="s">
        <v>6860</v>
      </c>
      <c r="H735" s="218" t="s">
        <v>6861</v>
      </c>
      <c r="I735" s="218" t="s">
        <v>6862</v>
      </c>
      <c r="J735" s="218" t="s">
        <v>6863</v>
      </c>
      <c r="K735" s="218" t="s">
        <v>6864</v>
      </c>
      <c r="BB735"/>
    </row>
    <row r="736" spans="1:54" x14ac:dyDescent="0.2">
      <c r="A736" s="225" t="str">
        <f t="shared" si="11"/>
        <v>Accounts Receivable Turnover</v>
      </c>
      <c r="B736" s="218" t="s">
        <v>275</v>
      </c>
      <c r="C736" t="s">
        <v>8043</v>
      </c>
      <c r="D736" t="s">
        <v>8044</v>
      </c>
      <c r="E736" t="s">
        <v>8045</v>
      </c>
      <c r="F736" t="s">
        <v>8046</v>
      </c>
      <c r="G736" t="s">
        <v>8047</v>
      </c>
      <c r="H736" t="s">
        <v>8048</v>
      </c>
      <c r="I736" t="s">
        <v>8049</v>
      </c>
      <c r="J736" t="s">
        <v>8050</v>
      </c>
      <c r="K736" t="s">
        <v>8051</v>
      </c>
      <c r="BB736"/>
    </row>
    <row r="737" spans="1:54" x14ac:dyDescent="0.2">
      <c r="A737" s="225" t="str">
        <f t="shared" si="11"/>
        <v>Inventory Turnover</v>
      </c>
      <c r="B737" s="218" t="s">
        <v>276</v>
      </c>
      <c r="C737" s="218" t="s">
        <v>6865</v>
      </c>
      <c r="D737" s="218" t="s">
        <v>6866</v>
      </c>
      <c r="E737" s="218" t="s">
        <v>6867</v>
      </c>
      <c r="F737" s="218" t="s">
        <v>6868</v>
      </c>
      <c r="G737" s="218" t="s">
        <v>6869</v>
      </c>
      <c r="H737" s="218" t="s">
        <v>6870</v>
      </c>
      <c r="I737" s="218" t="s">
        <v>6871</v>
      </c>
      <c r="J737" s="218" t="s">
        <v>6872</v>
      </c>
      <c r="K737" s="218" t="s">
        <v>6873</v>
      </c>
      <c r="BB737"/>
    </row>
    <row r="738" spans="1:54" x14ac:dyDescent="0.2">
      <c r="A738" s="225" t="str">
        <f t="shared" si="11"/>
        <v>SHORT-TERM LIQUIDITY</v>
      </c>
      <c r="B738" s="218" t="s">
        <v>278</v>
      </c>
      <c r="C738" t="s">
        <v>6874</v>
      </c>
      <c r="D738" s="218" t="s">
        <v>6875</v>
      </c>
      <c r="E738" t="s">
        <v>6876</v>
      </c>
      <c r="F738" t="s">
        <v>6877</v>
      </c>
      <c r="G738" t="s">
        <v>6878</v>
      </c>
      <c r="H738" t="s">
        <v>6875</v>
      </c>
      <c r="I738" t="s">
        <v>6879</v>
      </c>
      <c r="J738" t="s">
        <v>6880</v>
      </c>
      <c r="K738" t="s">
        <v>6881</v>
      </c>
      <c r="BB738"/>
    </row>
    <row r="739" spans="1:54" x14ac:dyDescent="0.2">
      <c r="A739" s="225" t="str">
        <f t="shared" si="11"/>
        <v>Current Ratio</v>
      </c>
      <c r="B739" s="218" t="s">
        <v>279</v>
      </c>
      <c r="C739" t="s">
        <v>6882</v>
      </c>
      <c r="D739" s="218" t="s">
        <v>6883</v>
      </c>
      <c r="E739" t="s">
        <v>6884</v>
      </c>
      <c r="F739" t="s">
        <v>6885</v>
      </c>
      <c r="G739" t="s">
        <v>6886</v>
      </c>
      <c r="H739" t="s">
        <v>6883</v>
      </c>
      <c r="I739" t="s">
        <v>6887</v>
      </c>
      <c r="J739" t="s">
        <v>6888</v>
      </c>
      <c r="K739" t="s">
        <v>6889</v>
      </c>
      <c r="BB739"/>
    </row>
    <row r="740" spans="1:54" x14ac:dyDescent="0.2">
      <c r="A740" s="225" t="str">
        <f t="shared" si="11"/>
        <v>Quick Ratio</v>
      </c>
      <c r="B740" s="218" t="s">
        <v>280</v>
      </c>
      <c r="C740" t="s">
        <v>6890</v>
      </c>
      <c r="D740" s="218" t="s">
        <v>6891</v>
      </c>
      <c r="E740" t="s">
        <v>6892</v>
      </c>
      <c r="F740" t="s">
        <v>6893</v>
      </c>
      <c r="G740" t="s">
        <v>6894</v>
      </c>
      <c r="H740" t="s">
        <v>6895</v>
      </c>
      <c r="I740" t="s">
        <v>6896</v>
      </c>
      <c r="J740" t="s">
        <v>6897</v>
      </c>
      <c r="K740" t="s">
        <v>6898</v>
      </c>
      <c r="BB740"/>
    </row>
    <row r="741" spans="1:54" x14ac:dyDescent="0.2">
      <c r="A741" s="225" t="str">
        <f t="shared" si="11"/>
        <v>Cash from Operations to Currrent Liabilities</v>
      </c>
      <c r="B741" s="218" t="s">
        <v>301</v>
      </c>
      <c r="C741" s="218" t="s">
        <v>8034</v>
      </c>
      <c r="D741" s="218" t="s">
        <v>8035</v>
      </c>
      <c r="E741" s="218" t="s">
        <v>8036</v>
      </c>
      <c r="F741" s="218" t="s">
        <v>8040</v>
      </c>
      <c r="G741" s="218" t="s">
        <v>8041</v>
      </c>
      <c r="H741" s="218" t="s">
        <v>8037</v>
      </c>
      <c r="I741" s="218" t="s">
        <v>8038</v>
      </c>
      <c r="J741" s="218" t="s">
        <v>8039</v>
      </c>
      <c r="K741" s="218" t="s">
        <v>8042</v>
      </c>
      <c r="BB741"/>
    </row>
    <row r="742" spans="1:54" x14ac:dyDescent="0.2">
      <c r="A742" s="225" t="str">
        <f t="shared" si="11"/>
        <v>Avg. Days Sales Outstanding</v>
      </c>
      <c r="B742" s="218" t="s">
        <v>298</v>
      </c>
      <c r="C742" t="s">
        <v>6908</v>
      </c>
      <c r="D742" s="218" t="s">
        <v>6909</v>
      </c>
      <c r="E742" t="s">
        <v>6910</v>
      </c>
      <c r="F742" t="s">
        <v>6911</v>
      </c>
      <c r="G742" t="s">
        <v>6912</v>
      </c>
      <c r="H742" t="s">
        <v>6913</v>
      </c>
      <c r="I742" t="s">
        <v>6914</v>
      </c>
      <c r="J742" t="s">
        <v>6915</v>
      </c>
      <c r="K742" t="s">
        <v>6916</v>
      </c>
      <c r="BB742"/>
    </row>
    <row r="743" spans="1:54" x14ac:dyDescent="0.2">
      <c r="A743" s="225" t="str">
        <f t="shared" si="11"/>
        <v>Avg. Days Inventory Outstanding</v>
      </c>
      <c r="B743" s="218" t="s">
        <v>299</v>
      </c>
      <c r="C743" t="s">
        <v>6917</v>
      </c>
      <c r="D743" s="218" t="s">
        <v>6918</v>
      </c>
      <c r="E743" t="s">
        <v>6919</v>
      </c>
      <c r="F743" t="s">
        <v>6920</v>
      </c>
      <c r="G743" t="s">
        <v>6921</v>
      </c>
      <c r="H743" t="s">
        <v>6922</v>
      </c>
      <c r="I743" t="s">
        <v>6923</v>
      </c>
      <c r="J743" t="s">
        <v>6924</v>
      </c>
      <c r="K743" t="s">
        <v>6925</v>
      </c>
      <c r="BB743"/>
    </row>
    <row r="744" spans="1:54" x14ac:dyDescent="0.2">
      <c r="A744" s="225" t="str">
        <f t="shared" si="11"/>
        <v>Avg. Days Payable Outstanding</v>
      </c>
      <c r="B744" s="218" t="s">
        <v>300</v>
      </c>
      <c r="C744" s="218" t="s">
        <v>6926</v>
      </c>
      <c r="D744" s="218" t="s">
        <v>6927</v>
      </c>
      <c r="E744" s="218" t="s">
        <v>6928</v>
      </c>
      <c r="F744" s="218" t="s">
        <v>6929</v>
      </c>
      <c r="G744" s="218" t="s">
        <v>6930</v>
      </c>
      <c r="H744" s="218" t="s">
        <v>6931</v>
      </c>
      <c r="I744" s="218" t="s">
        <v>6932</v>
      </c>
      <c r="J744" s="218" t="s">
        <v>6933</v>
      </c>
      <c r="K744" s="218" t="s">
        <v>6934</v>
      </c>
      <c r="BB744"/>
    </row>
    <row r="745" spans="1:54" x14ac:dyDescent="0.2">
      <c r="A745" s="225" t="str">
        <f t="shared" si="11"/>
        <v>Avg. Cash Conversion Cycle</v>
      </c>
      <c r="B745" s="218" t="s">
        <v>281</v>
      </c>
      <c r="C745" s="218" t="s">
        <v>6935</v>
      </c>
      <c r="D745" s="218" t="s">
        <v>6936</v>
      </c>
      <c r="E745" s="218" t="s">
        <v>6937</v>
      </c>
      <c r="F745" s="218" t="s">
        <v>6938</v>
      </c>
      <c r="G745" s="218" t="s">
        <v>6939</v>
      </c>
      <c r="H745" s="218" t="s">
        <v>4802</v>
      </c>
      <c r="I745" s="218" t="s">
        <v>6940</v>
      </c>
      <c r="J745" s="218" t="s">
        <v>6941</v>
      </c>
      <c r="K745" s="218" t="s">
        <v>6942</v>
      </c>
      <c r="BB745"/>
    </row>
    <row r="746" spans="1:54" x14ac:dyDescent="0.2">
      <c r="A746" s="225" t="str">
        <f t="shared" si="11"/>
        <v>LONG-TERM SOLVENCY</v>
      </c>
      <c r="B746" s="218" t="s">
        <v>282</v>
      </c>
      <c r="C746" t="s">
        <v>6899</v>
      </c>
      <c r="D746" s="218" t="s">
        <v>6900</v>
      </c>
      <c r="E746" t="s">
        <v>6901</v>
      </c>
      <c r="F746" t="s">
        <v>6902</v>
      </c>
      <c r="G746" t="s">
        <v>6903</v>
      </c>
      <c r="H746" t="s">
        <v>6904</v>
      </c>
      <c r="I746" t="s">
        <v>6905</v>
      </c>
      <c r="J746" t="s">
        <v>6906</v>
      </c>
      <c r="K746" t="s">
        <v>6907</v>
      </c>
      <c r="BB746"/>
    </row>
    <row r="747" spans="1:54" x14ac:dyDescent="0.2">
      <c r="A747" s="225" t="str">
        <f t="shared" si="11"/>
        <v>Total Debt / Equity (%)</v>
      </c>
      <c r="B747" s="218" t="s">
        <v>302</v>
      </c>
      <c r="C747" s="251" t="s">
        <v>4605</v>
      </c>
      <c r="D747" s="251" t="s">
        <v>4606</v>
      </c>
      <c r="E747" s="251" t="s">
        <v>4607</v>
      </c>
      <c r="F747" s="251" t="s">
        <v>4627</v>
      </c>
      <c r="G747" s="251" t="s">
        <v>4628</v>
      </c>
      <c r="H747" s="222" t="s">
        <v>4617</v>
      </c>
      <c r="I747" s="251" t="s">
        <v>4618</v>
      </c>
      <c r="J747" s="251" t="s">
        <v>4619</v>
      </c>
      <c r="K747" s="251" t="s">
        <v>4635</v>
      </c>
      <c r="BB747"/>
    </row>
    <row r="748" spans="1:54" x14ac:dyDescent="0.2">
      <c r="A748" s="225" t="str">
        <f t="shared" si="11"/>
        <v>Total Debt / Capital (%)</v>
      </c>
      <c r="B748" s="218" t="s">
        <v>303</v>
      </c>
      <c r="C748" s="251" t="s">
        <v>4608</v>
      </c>
      <c r="D748" s="251" t="s">
        <v>4609</v>
      </c>
      <c r="E748" s="251" t="s">
        <v>4610</v>
      </c>
      <c r="F748" s="251" t="s">
        <v>4629</v>
      </c>
      <c r="G748" s="251" t="s">
        <v>4630</v>
      </c>
      <c r="H748" s="222" t="s">
        <v>4620</v>
      </c>
      <c r="I748" s="251" t="s">
        <v>4618</v>
      </c>
      <c r="J748" s="251" t="s">
        <v>4621</v>
      </c>
      <c r="K748" s="251" t="s">
        <v>4636</v>
      </c>
      <c r="BB748"/>
    </row>
    <row r="749" spans="1:54" x14ac:dyDescent="0.2">
      <c r="A749" s="225" t="str">
        <f t="shared" si="11"/>
        <v>LT Debt / Equity (%)</v>
      </c>
      <c r="B749" s="218" t="s">
        <v>304</v>
      </c>
      <c r="C749" s="251" t="s">
        <v>4611</v>
      </c>
      <c r="D749" s="251" t="s">
        <v>4612</v>
      </c>
      <c r="E749" s="251" t="s">
        <v>4613</v>
      </c>
      <c r="F749" s="251" t="s">
        <v>4631</v>
      </c>
      <c r="G749" s="251" t="s">
        <v>4632</v>
      </c>
      <c r="H749" s="222" t="s">
        <v>4622</v>
      </c>
      <c r="I749" s="251" t="s">
        <v>4623</v>
      </c>
      <c r="J749" s="251" t="s">
        <v>4624</v>
      </c>
      <c r="K749" s="251" t="s">
        <v>4637</v>
      </c>
      <c r="BB749"/>
    </row>
    <row r="750" spans="1:54" x14ac:dyDescent="0.2">
      <c r="A750" s="225" t="str">
        <f t="shared" si="11"/>
        <v>LT Debt / Capital (%)</v>
      </c>
      <c r="B750" s="218" t="s">
        <v>305</v>
      </c>
      <c r="C750" s="251" t="s">
        <v>4614</v>
      </c>
      <c r="D750" s="251" t="s">
        <v>4615</v>
      </c>
      <c r="E750" s="251" t="s">
        <v>4616</v>
      </c>
      <c r="F750" s="251" t="s">
        <v>4633</v>
      </c>
      <c r="G750" s="251" t="s">
        <v>4634</v>
      </c>
      <c r="H750" s="222" t="s">
        <v>4625</v>
      </c>
      <c r="I750" s="251" t="s">
        <v>4623</v>
      </c>
      <c r="J750" s="251" t="s">
        <v>4626</v>
      </c>
      <c r="K750" s="251" t="s">
        <v>4638</v>
      </c>
      <c r="BB750"/>
    </row>
    <row r="751" spans="1:54" x14ac:dyDescent="0.2">
      <c r="A751" s="225" t="str">
        <f t="shared" si="11"/>
        <v>Total Liabilities / Total Assets (%)</v>
      </c>
      <c r="B751" s="218" t="s">
        <v>306</v>
      </c>
      <c r="C751" s="218" t="s">
        <v>7946</v>
      </c>
      <c r="D751" s="218" t="s">
        <v>7947</v>
      </c>
      <c r="E751" s="218" t="s">
        <v>7948</v>
      </c>
      <c r="F751" s="218" t="s">
        <v>7949</v>
      </c>
      <c r="G751" s="218" t="s">
        <v>7950</v>
      </c>
      <c r="H751" s="218" t="s">
        <v>7951</v>
      </c>
      <c r="I751" s="218" t="s">
        <v>7952</v>
      </c>
      <c r="J751" s="218" t="s">
        <v>7953</v>
      </c>
      <c r="K751" s="218" t="s">
        <v>7954</v>
      </c>
      <c r="BB751"/>
    </row>
    <row r="752" spans="1:54" x14ac:dyDescent="0.2">
      <c r="A752" s="225" t="str">
        <f t="shared" si="11"/>
        <v>EBIT / Interest Expense</v>
      </c>
      <c r="B752" s="218" t="s">
        <v>283</v>
      </c>
      <c r="C752" s="251" t="s">
        <v>7955</v>
      </c>
      <c r="D752" s="218" t="s">
        <v>7956</v>
      </c>
      <c r="E752" s="251" t="s">
        <v>7957</v>
      </c>
      <c r="F752" s="251" t="s">
        <v>7961</v>
      </c>
      <c r="G752" s="251" t="s">
        <v>7962</v>
      </c>
      <c r="H752" s="222" t="s">
        <v>7958</v>
      </c>
      <c r="I752" s="251" t="s">
        <v>7959</v>
      </c>
      <c r="J752" s="251" t="s">
        <v>7960</v>
      </c>
      <c r="K752" s="251" t="s">
        <v>7963</v>
      </c>
      <c r="BB752"/>
    </row>
    <row r="753" spans="1:54" x14ac:dyDescent="0.2">
      <c r="A753" s="225" t="str">
        <f t="shared" si="11"/>
        <v>EBITDA / Interest Expense</v>
      </c>
      <c r="B753" s="218" t="s">
        <v>296</v>
      </c>
      <c r="C753" t="s">
        <v>7980</v>
      </c>
      <c r="D753" s="218" t="s">
        <v>7981</v>
      </c>
      <c r="E753" t="s">
        <v>7982</v>
      </c>
      <c r="F753" t="s">
        <v>7983</v>
      </c>
      <c r="G753" t="s">
        <v>7984</v>
      </c>
      <c r="H753" t="s">
        <v>7985</v>
      </c>
      <c r="I753" t="s">
        <v>7986</v>
      </c>
      <c r="J753" t="s">
        <v>7987</v>
      </c>
      <c r="K753" t="s">
        <v>7988</v>
      </c>
      <c r="BB753"/>
    </row>
    <row r="754" spans="1:54" x14ac:dyDescent="0.2">
      <c r="A754" s="225" t="str">
        <f t="shared" si="11"/>
        <v>(EBITDA-CAPEX) / Interest Expense</v>
      </c>
      <c r="B754" s="218" t="s">
        <v>297</v>
      </c>
      <c r="C754" t="s">
        <v>7989</v>
      </c>
      <c r="D754" s="218" t="s">
        <v>7990</v>
      </c>
      <c r="E754" t="s">
        <v>7991</v>
      </c>
      <c r="F754" t="s">
        <v>7992</v>
      </c>
      <c r="G754" t="s">
        <v>7993</v>
      </c>
      <c r="H754" t="s">
        <v>7994</v>
      </c>
      <c r="I754" t="s">
        <v>7995</v>
      </c>
      <c r="J754" t="s">
        <v>7996</v>
      </c>
      <c r="K754" t="s">
        <v>7997</v>
      </c>
      <c r="BB754"/>
    </row>
    <row r="755" spans="1:54" x14ac:dyDescent="0.2">
      <c r="A755" s="225" t="str">
        <f t="shared" si="11"/>
        <v>Total Debt / EBITDA</v>
      </c>
      <c r="B755" s="218" t="s">
        <v>284</v>
      </c>
      <c r="C755" t="s">
        <v>7998</v>
      </c>
      <c r="D755" s="218" t="s">
        <v>7999</v>
      </c>
      <c r="E755" t="s">
        <v>8000</v>
      </c>
      <c r="F755" t="s">
        <v>8001</v>
      </c>
      <c r="G755" t="s">
        <v>8002</v>
      </c>
      <c r="H755" t="s">
        <v>8003</v>
      </c>
      <c r="I755" t="s">
        <v>8004</v>
      </c>
      <c r="J755" t="s">
        <v>8005</v>
      </c>
      <c r="K755" t="s">
        <v>8006</v>
      </c>
      <c r="BB755"/>
    </row>
    <row r="756" spans="1:54" x14ac:dyDescent="0.2">
      <c r="A756" s="225" t="str">
        <f t="shared" si="11"/>
        <v>Net Debt / EBITDA</v>
      </c>
      <c r="B756" s="218" t="s">
        <v>285</v>
      </c>
      <c r="C756" t="s">
        <v>8007</v>
      </c>
      <c r="D756" s="218" t="s">
        <v>8008</v>
      </c>
      <c r="E756" t="s">
        <v>8009</v>
      </c>
      <c r="F756" t="s">
        <v>8010</v>
      </c>
      <c r="G756" t="s">
        <v>8011</v>
      </c>
      <c r="H756" t="s">
        <v>8012</v>
      </c>
      <c r="I756" t="s">
        <v>8013</v>
      </c>
      <c r="J756" t="s">
        <v>8014</v>
      </c>
      <c r="K756" t="s">
        <v>8015</v>
      </c>
      <c r="BB756"/>
    </row>
    <row r="757" spans="1:54" x14ac:dyDescent="0.2">
      <c r="A757" s="225" t="str">
        <f t="shared" si="11"/>
        <v>Total Debt / (EBITDA-CAPEX)</v>
      </c>
      <c r="B757" s="218" t="s">
        <v>737</v>
      </c>
      <c r="C757" s="218" t="s">
        <v>8016</v>
      </c>
      <c r="D757" s="218" t="s">
        <v>8017</v>
      </c>
      <c r="E757" s="218" t="s">
        <v>8018</v>
      </c>
      <c r="F757" s="218" t="s">
        <v>8019</v>
      </c>
      <c r="G757" s="218" t="s">
        <v>8020</v>
      </c>
      <c r="H757" s="218" t="s">
        <v>8021</v>
      </c>
      <c r="I757" s="218" t="s">
        <v>8022</v>
      </c>
      <c r="J757" s="218" t="s">
        <v>8023</v>
      </c>
      <c r="K757" s="218" t="s">
        <v>8024</v>
      </c>
      <c r="BB757"/>
    </row>
    <row r="758" spans="1:54" x14ac:dyDescent="0.2">
      <c r="A758" s="225" t="str">
        <f t="shared" si="11"/>
        <v>Net Debt / (EBITDA-CAPEX)</v>
      </c>
      <c r="B758" s="218" t="s">
        <v>738</v>
      </c>
      <c r="C758" s="218" t="s">
        <v>8025</v>
      </c>
      <c r="D758" s="218" t="s">
        <v>8026</v>
      </c>
      <c r="E758" s="218" t="s">
        <v>8027</v>
      </c>
      <c r="F758" s="218" t="s">
        <v>8028</v>
      </c>
      <c r="G758" s="218" t="s">
        <v>8029</v>
      </c>
      <c r="H758" s="218" t="s">
        <v>8030</v>
      </c>
      <c r="I758" s="218" t="s">
        <v>8031</v>
      </c>
      <c r="J758" s="218" t="s">
        <v>8032</v>
      </c>
      <c r="K758" s="218" t="s">
        <v>8033</v>
      </c>
      <c r="BB758"/>
    </row>
    <row r="759" spans="1:54" x14ac:dyDescent="0.2">
      <c r="A759" s="225" t="str">
        <f t="shared" si="11"/>
        <v>Total Revenues/ Employee</v>
      </c>
      <c r="B759" s="218" t="s">
        <v>739</v>
      </c>
      <c r="C759" s="251" t="s">
        <v>7964</v>
      </c>
      <c r="D759" s="218" t="s">
        <v>7965</v>
      </c>
      <c r="E759" s="251" t="s">
        <v>7966</v>
      </c>
      <c r="F759" s="251" t="s">
        <v>7974</v>
      </c>
      <c r="G759" s="251" t="s">
        <v>7975</v>
      </c>
      <c r="H759" s="222" t="s">
        <v>7968</v>
      </c>
      <c r="I759" s="251" t="s">
        <v>7969</v>
      </c>
      <c r="J759" s="251" t="s">
        <v>7970</v>
      </c>
      <c r="K759" s="251" t="s">
        <v>7978</v>
      </c>
      <c r="BB759"/>
    </row>
    <row r="760" spans="1:54" x14ac:dyDescent="0.2">
      <c r="A760" s="225" t="str">
        <f t="shared" si="11"/>
        <v>Altman Z Score</v>
      </c>
      <c r="B760" s="218" t="s">
        <v>286</v>
      </c>
      <c r="C760" s="251" t="s">
        <v>286</v>
      </c>
      <c r="D760" s="218" t="s">
        <v>286</v>
      </c>
      <c r="E760" s="251" t="s">
        <v>7967</v>
      </c>
      <c r="F760" s="251" t="s">
        <v>7976</v>
      </c>
      <c r="G760" s="251" t="s">
        <v>7977</v>
      </c>
      <c r="H760" s="222" t="s">
        <v>7971</v>
      </c>
      <c r="I760" s="251" t="s">
        <v>7972</v>
      </c>
      <c r="J760" s="251" t="s">
        <v>7973</v>
      </c>
      <c r="K760" s="251" t="s">
        <v>7979</v>
      </c>
      <c r="BB760"/>
    </row>
    <row r="761" spans="1:54" x14ac:dyDescent="0.2">
      <c r="A761" s="225" t="str">
        <f t="shared" si="11"/>
        <v>GROWTH OVER PRIOR YEAR</v>
      </c>
      <c r="B761" s="218" t="s">
        <v>287</v>
      </c>
      <c r="C761" t="s">
        <v>6943</v>
      </c>
      <c r="D761" s="218" t="s">
        <v>6944</v>
      </c>
      <c r="E761" t="s">
        <v>6945</v>
      </c>
      <c r="F761" t="s">
        <v>6946</v>
      </c>
      <c r="G761" t="s">
        <v>6947</v>
      </c>
      <c r="H761" t="s">
        <v>6948</v>
      </c>
      <c r="I761" t="s">
        <v>6949</v>
      </c>
      <c r="J761" t="s">
        <v>6950</v>
      </c>
      <c r="K761" t="s">
        <v>6951</v>
      </c>
      <c r="BB761"/>
    </row>
    <row r="762" spans="1:54" x14ac:dyDescent="0.2">
      <c r="A762" s="225" t="str">
        <f t="shared" si="11"/>
        <v>Total Revenue (%)</v>
      </c>
      <c r="B762" s="218" t="s">
        <v>288</v>
      </c>
      <c r="C762" t="s">
        <v>6952</v>
      </c>
      <c r="D762" s="218" t="s">
        <v>6953</v>
      </c>
      <c r="E762" t="s">
        <v>6954</v>
      </c>
      <c r="F762" t="s">
        <v>6955</v>
      </c>
      <c r="G762" t="s">
        <v>6956</v>
      </c>
      <c r="H762" t="s">
        <v>6957</v>
      </c>
      <c r="I762" t="s">
        <v>6958</v>
      </c>
      <c r="J762" t="s">
        <v>6959</v>
      </c>
      <c r="K762" t="s">
        <v>6960</v>
      </c>
      <c r="BB762"/>
    </row>
    <row r="763" spans="1:54" x14ac:dyDescent="0.2">
      <c r="A763" s="225" t="str">
        <f t="shared" si="11"/>
        <v>Gross Profit (%)</v>
      </c>
      <c r="B763" s="218" t="s">
        <v>289</v>
      </c>
      <c r="C763" t="s">
        <v>6961</v>
      </c>
      <c r="D763" s="218" t="s">
        <v>6961</v>
      </c>
      <c r="E763" t="s">
        <v>6822</v>
      </c>
      <c r="F763" t="s">
        <v>6962</v>
      </c>
      <c r="G763" t="s">
        <v>6963</v>
      </c>
      <c r="H763" t="s">
        <v>6964</v>
      </c>
      <c r="I763" t="s">
        <v>6965</v>
      </c>
      <c r="J763" t="s">
        <v>6966</v>
      </c>
      <c r="K763" t="s">
        <v>6828</v>
      </c>
      <c r="BB763"/>
    </row>
    <row r="764" spans="1:54" x14ac:dyDescent="0.2">
      <c r="A764" s="225" t="str">
        <f t="shared" si="11"/>
        <v>EBITDA (%)</v>
      </c>
      <c r="B764" s="218" t="s">
        <v>290</v>
      </c>
      <c r="C764" s="251" t="s">
        <v>4639</v>
      </c>
      <c r="D764" s="251" t="s">
        <v>4640</v>
      </c>
      <c r="E764" s="251" t="s">
        <v>290</v>
      </c>
      <c r="F764" s="251" t="s">
        <v>290</v>
      </c>
      <c r="G764" s="251" t="s">
        <v>290</v>
      </c>
      <c r="H764" s="222" t="s">
        <v>290</v>
      </c>
      <c r="I764" s="251" t="s">
        <v>290</v>
      </c>
      <c r="J764" s="251" t="s">
        <v>290</v>
      </c>
      <c r="K764" s="251" t="s">
        <v>4642</v>
      </c>
      <c r="BB764"/>
    </row>
    <row r="765" spans="1:54" x14ac:dyDescent="0.2">
      <c r="A765" s="225" t="str">
        <f t="shared" si="11"/>
        <v>EBIT (%)</v>
      </c>
      <c r="B765" s="218" t="s">
        <v>291</v>
      </c>
      <c r="C765" s="251" t="s">
        <v>4641</v>
      </c>
      <c r="D765" s="251" t="s">
        <v>4641</v>
      </c>
      <c r="E765" s="251" t="s">
        <v>291</v>
      </c>
      <c r="F765" s="251" t="s">
        <v>291</v>
      </c>
      <c r="G765" s="251" t="s">
        <v>291</v>
      </c>
      <c r="H765" s="222" t="s">
        <v>291</v>
      </c>
      <c r="I765" s="251" t="s">
        <v>291</v>
      </c>
      <c r="J765" s="251" t="s">
        <v>291</v>
      </c>
      <c r="K765" s="251" t="s">
        <v>4643</v>
      </c>
      <c r="BB765"/>
    </row>
    <row r="766" spans="1:54" x14ac:dyDescent="0.2">
      <c r="A766" s="225" t="str">
        <f t="shared" si="11"/>
        <v>Net Income (%)</v>
      </c>
      <c r="B766" s="218" t="s">
        <v>292</v>
      </c>
      <c r="C766" t="s">
        <v>6967</v>
      </c>
      <c r="D766" s="218" t="s">
        <v>6968</v>
      </c>
      <c r="E766" t="s">
        <v>6969</v>
      </c>
      <c r="F766" t="s">
        <v>6970</v>
      </c>
      <c r="G766" t="s">
        <v>6971</v>
      </c>
      <c r="H766" t="s">
        <v>6972</v>
      </c>
      <c r="I766" t="s">
        <v>6973</v>
      </c>
      <c r="J766" t="s">
        <v>6974</v>
      </c>
      <c r="K766" t="s">
        <v>6975</v>
      </c>
      <c r="BB766"/>
    </row>
    <row r="767" spans="1:54" x14ac:dyDescent="0.2">
      <c r="A767" s="225" t="str">
        <f t="shared" si="11"/>
        <v>Diluted EPS before Extra (%)</v>
      </c>
      <c r="B767" s="218" t="s">
        <v>293</v>
      </c>
      <c r="C767" s="251" t="s">
        <v>7937</v>
      </c>
      <c r="D767" s="218" t="s">
        <v>7938</v>
      </c>
      <c r="E767" s="251" t="s">
        <v>7939</v>
      </c>
      <c r="F767" s="251" t="s">
        <v>7943</v>
      </c>
      <c r="G767" s="251" t="s">
        <v>7944</v>
      </c>
      <c r="H767" s="222" t="s">
        <v>7940</v>
      </c>
      <c r="I767" s="251" t="s">
        <v>7941</v>
      </c>
      <c r="J767" s="251" t="s">
        <v>7942</v>
      </c>
      <c r="K767" s="251" t="s">
        <v>7945</v>
      </c>
      <c r="BB767"/>
    </row>
    <row r="768" spans="1:54" x14ac:dyDescent="0.2">
      <c r="A768" s="225" t="str">
        <f t="shared" si="11"/>
        <v>CAGR (3 YEAR)</v>
      </c>
      <c r="B768" s="218" t="s">
        <v>294</v>
      </c>
      <c r="C768" s="218" t="s">
        <v>6976</v>
      </c>
      <c r="D768" s="218" t="s">
        <v>6977</v>
      </c>
      <c r="E768" s="218" t="s">
        <v>6978</v>
      </c>
      <c r="F768" s="218" t="s">
        <v>6979</v>
      </c>
      <c r="G768" s="218" t="s">
        <v>6980</v>
      </c>
      <c r="H768" s="218" t="s">
        <v>6981</v>
      </c>
      <c r="I768" s="218" t="s">
        <v>6982</v>
      </c>
      <c r="J768" s="218" t="s">
        <v>6983</v>
      </c>
      <c r="K768" s="218" t="s">
        <v>6984</v>
      </c>
      <c r="BB768"/>
    </row>
    <row r="769" spans="1:54" x14ac:dyDescent="0.2">
      <c r="A769" s="225" t="str">
        <f t="shared" si="11"/>
        <v>CAGR (5 YEAR)</v>
      </c>
      <c r="B769" s="218" t="s">
        <v>295</v>
      </c>
      <c r="C769" t="s">
        <v>7928</v>
      </c>
      <c r="D769" s="218" t="s">
        <v>7929</v>
      </c>
      <c r="E769" t="s">
        <v>7930</v>
      </c>
      <c r="F769" t="s">
        <v>7931</v>
      </c>
      <c r="G769" t="s">
        <v>7932</v>
      </c>
      <c r="H769" t="s">
        <v>7933</v>
      </c>
      <c r="I769" t="s">
        <v>7934</v>
      </c>
      <c r="J769" t="s">
        <v>7935</v>
      </c>
      <c r="K769" t="s">
        <v>7936</v>
      </c>
      <c r="BB769"/>
    </row>
    <row r="770" spans="1:54" x14ac:dyDescent="0.2">
      <c r="A770" s="225" t="str">
        <f t="shared" si="11"/>
        <v>Source: S&amp;P Capital IQ</v>
      </c>
      <c r="B770" s="218" t="s">
        <v>51</v>
      </c>
      <c r="C770" s="215" t="s">
        <v>6985</v>
      </c>
      <c r="D770" s="218" t="s">
        <v>6986</v>
      </c>
      <c r="E770" s="215" t="s">
        <v>6987</v>
      </c>
      <c r="F770" s="215" t="s">
        <v>6988</v>
      </c>
      <c r="G770" s="215" t="s">
        <v>6989</v>
      </c>
      <c r="H770" s="215" t="s">
        <v>6990</v>
      </c>
      <c r="I770" s="215" t="s">
        <v>6991</v>
      </c>
      <c r="J770" s="215" t="s">
        <v>6992</v>
      </c>
      <c r="K770" s="215" t="s">
        <v>6993</v>
      </c>
      <c r="BB770"/>
    </row>
    <row r="771" spans="1:54" x14ac:dyDescent="0.2">
      <c r="A771" s="225" t="str">
        <f t="shared" si="11"/>
        <v>Copyright © 2019 S&amp;P Global Market Intelligence LLC (and its affiliates as applicable) – All rights reserved.  This model and/or any data in it are provided subject to the written agreement of S&amp;P Global Market Intelligence LLC governing the subscription service to which this model is applied.</v>
      </c>
      <c r="B771" s="267" t="s">
        <v>8270</v>
      </c>
      <c r="C771" s="215" t="s">
        <v>6994</v>
      </c>
      <c r="D771" s="218" t="s">
        <v>6995</v>
      </c>
      <c r="E771" s="215" t="s">
        <v>6996</v>
      </c>
      <c r="F771" s="215" t="s">
        <v>6997</v>
      </c>
      <c r="G771" s="215" t="s">
        <v>6998</v>
      </c>
      <c r="H771" s="215" t="s">
        <v>6999</v>
      </c>
      <c r="I771" s="215" t="s">
        <v>7000</v>
      </c>
      <c r="J771" s="215" t="s">
        <v>7001</v>
      </c>
      <c r="K771" s="215" t="s">
        <v>7002</v>
      </c>
      <c r="BB771"/>
    </row>
    <row r="772" spans="1:54" x14ac:dyDescent="0.2">
      <c r="A772" s="225" t="str">
        <f t="shared" si="11"/>
        <v>In</v>
      </c>
      <c r="B772" s="267" t="s">
        <v>8271</v>
      </c>
      <c r="C772" s="218" t="s">
        <v>8180</v>
      </c>
      <c r="D772" s="218" t="s">
        <v>8180</v>
      </c>
      <c r="E772" s="218" t="s">
        <v>8181</v>
      </c>
      <c r="F772" s="218" t="s">
        <v>8182</v>
      </c>
      <c r="G772" s="218" t="s">
        <v>8183</v>
      </c>
      <c r="H772" s="218" t="s">
        <v>8184</v>
      </c>
      <c r="I772" s="218" t="s">
        <v>8185</v>
      </c>
      <c r="J772" s="218" t="s">
        <v>8186</v>
      </c>
      <c r="K772" s="218" t="s">
        <v>8187</v>
      </c>
      <c r="BB772"/>
    </row>
    <row r="773" spans="1:54" x14ac:dyDescent="0.2">
      <c r="A773" s="225" t="str">
        <f t="shared" si="11"/>
        <v>millions, except per share data</v>
      </c>
      <c r="B773" s="218" t="s">
        <v>842</v>
      </c>
      <c r="C773" s="251" t="s">
        <v>8272</v>
      </c>
      <c r="D773" s="267" t="s">
        <v>8273</v>
      </c>
      <c r="E773" s="251" t="s">
        <v>8274</v>
      </c>
      <c r="F773" s="251" t="s">
        <v>8275</v>
      </c>
      <c r="G773" s="251" t="s">
        <v>8276</v>
      </c>
      <c r="H773" s="252" t="s">
        <v>7011</v>
      </c>
      <c r="I773" s="251" t="s">
        <v>8277</v>
      </c>
      <c r="J773" s="251" t="s">
        <v>8278</v>
      </c>
      <c r="K773" s="251" t="s">
        <v>8279</v>
      </c>
      <c r="BB773"/>
    </row>
    <row r="774" spans="1:54" x14ac:dyDescent="0.2">
      <c r="A774" s="225" t="str">
        <f t="shared" si="11"/>
        <v>Name</v>
      </c>
      <c r="B774" s="218" t="s">
        <v>333</v>
      </c>
      <c r="C774" s="218" t="s">
        <v>7920</v>
      </c>
      <c r="D774" s="218" t="s">
        <v>7921</v>
      </c>
      <c r="E774" s="218" t="s">
        <v>7922</v>
      </c>
      <c r="F774" s="218" t="s">
        <v>333</v>
      </c>
      <c r="G774" s="218" t="s">
        <v>7923</v>
      </c>
      <c r="H774" s="218" t="s">
        <v>7924</v>
      </c>
      <c r="I774" s="218" t="s">
        <v>7925</v>
      </c>
      <c r="J774" s="218" t="s">
        <v>7926</v>
      </c>
      <c r="K774" s="218" t="s">
        <v>7927</v>
      </c>
      <c r="BB774"/>
    </row>
    <row r="775" spans="1:54" x14ac:dyDescent="0.2">
      <c r="A775" s="225" t="str">
        <f t="shared" si="11"/>
        <v>Target Company</v>
      </c>
      <c r="B775" s="218" t="s">
        <v>371</v>
      </c>
      <c r="C775" s="251" t="s">
        <v>4644</v>
      </c>
      <c r="D775" s="251" t="s">
        <v>4645</v>
      </c>
      <c r="E775" s="251" t="s">
        <v>4646</v>
      </c>
      <c r="F775" s="251" t="s">
        <v>4660</v>
      </c>
      <c r="G775" s="251" t="s">
        <v>4661</v>
      </c>
      <c r="H775" s="252" t="s">
        <v>4651</v>
      </c>
      <c r="I775" s="251" t="s">
        <v>4652</v>
      </c>
      <c r="J775" s="251" t="s">
        <v>4653</v>
      </c>
      <c r="K775" s="251" t="s">
        <v>4665</v>
      </c>
      <c r="BB775"/>
    </row>
    <row r="776" spans="1:54" x14ac:dyDescent="0.2">
      <c r="A776" s="225" t="str">
        <f t="shared" si="11"/>
        <v>Dates</v>
      </c>
      <c r="B776" s="218" t="s">
        <v>307</v>
      </c>
      <c r="C776" s="251" t="s">
        <v>4647</v>
      </c>
      <c r="D776" s="251" t="s">
        <v>4647</v>
      </c>
      <c r="E776" s="251" t="s">
        <v>307</v>
      </c>
      <c r="F776" s="251" t="s">
        <v>4662</v>
      </c>
      <c r="G776" s="251" t="s">
        <v>56</v>
      </c>
      <c r="H776" s="252" t="s">
        <v>4654</v>
      </c>
      <c r="I776" s="251" t="s">
        <v>4655</v>
      </c>
      <c r="J776" s="251" t="s">
        <v>4656</v>
      </c>
      <c r="K776" s="251" t="s">
        <v>4666</v>
      </c>
      <c r="BB776"/>
    </row>
    <row r="777" spans="1:54" x14ac:dyDescent="0.2">
      <c r="A777" s="225" t="str">
        <f t="shared" ref="A777:A840" si="12">INDEX($B777:$CV777,$A$4)</f>
        <v>Trading Data</v>
      </c>
      <c r="B777" s="218" t="s">
        <v>308</v>
      </c>
      <c r="C777" s="251" t="s">
        <v>4648</v>
      </c>
      <c r="D777" s="251" t="s">
        <v>4649</v>
      </c>
      <c r="E777" s="251" t="s">
        <v>4650</v>
      </c>
      <c r="F777" s="251" t="s">
        <v>4663</v>
      </c>
      <c r="G777" s="251" t="s">
        <v>4664</v>
      </c>
      <c r="H777" s="252" t="s">
        <v>4657</v>
      </c>
      <c r="I777" s="251" t="s">
        <v>4658</v>
      </c>
      <c r="J777" s="251" t="s">
        <v>4659</v>
      </c>
      <c r="K777" s="251" t="s">
        <v>4667</v>
      </c>
      <c r="BB777"/>
    </row>
    <row r="778" spans="1:54" x14ac:dyDescent="0.2">
      <c r="A778" s="225" t="str">
        <f t="shared" si="12"/>
        <v>Stock Price</v>
      </c>
      <c r="B778" s="218" t="s">
        <v>316</v>
      </c>
      <c r="C778" s="218" t="s">
        <v>7902</v>
      </c>
      <c r="D778" s="218" t="s">
        <v>7903</v>
      </c>
      <c r="E778" s="218" t="s">
        <v>7904</v>
      </c>
      <c r="F778" s="218" t="s">
        <v>7905</v>
      </c>
      <c r="G778" s="218" t="s">
        <v>7906</v>
      </c>
      <c r="H778" s="218" t="s">
        <v>7907</v>
      </c>
      <c r="I778" s="218" t="s">
        <v>7908</v>
      </c>
      <c r="J778" s="218" t="s">
        <v>7909</v>
      </c>
      <c r="K778" s="218" t="s">
        <v>7910</v>
      </c>
      <c r="BB778"/>
    </row>
    <row r="779" spans="1:54" x14ac:dyDescent="0.2">
      <c r="A779" s="225" t="str">
        <f t="shared" si="12"/>
        <v>52-Week</v>
      </c>
      <c r="B779" s="218" t="s">
        <v>8251</v>
      </c>
      <c r="C779" s="218" t="s">
        <v>7911</v>
      </c>
      <c r="D779" s="218" t="s">
        <v>7912</v>
      </c>
      <c r="E779" s="218" t="s">
        <v>7913</v>
      </c>
      <c r="F779" s="218" t="s">
        <v>7917</v>
      </c>
      <c r="G779" s="218" t="s">
        <v>7918</v>
      </c>
      <c r="H779" s="218" t="s">
        <v>7914</v>
      </c>
      <c r="I779" s="218" t="s">
        <v>7915</v>
      </c>
      <c r="J779" s="218" t="s">
        <v>7916</v>
      </c>
      <c r="K779" s="218" t="s">
        <v>7919</v>
      </c>
      <c r="BB779"/>
    </row>
    <row r="780" spans="1:54" x14ac:dyDescent="0.2">
      <c r="A780" s="225" t="str">
        <f t="shared" si="12"/>
        <v>High</v>
      </c>
      <c r="B780" s="218" t="s">
        <v>8252</v>
      </c>
      <c r="C780" s="218" t="s">
        <v>7738</v>
      </c>
      <c r="D780" s="218" t="s">
        <v>7738</v>
      </c>
      <c r="E780" s="218" t="s">
        <v>7739</v>
      </c>
      <c r="F780" s="218" t="s">
        <v>7740</v>
      </c>
      <c r="G780" s="218" t="s">
        <v>7741</v>
      </c>
      <c r="H780" s="218" t="s">
        <v>7738</v>
      </c>
      <c r="I780" s="218" t="s">
        <v>7742</v>
      </c>
      <c r="J780" s="218" t="s">
        <v>7741</v>
      </c>
      <c r="K780" s="218" t="s">
        <v>7743</v>
      </c>
      <c r="BB780"/>
    </row>
    <row r="781" spans="1:54" x14ac:dyDescent="0.2">
      <c r="A781" s="225" t="str">
        <f t="shared" si="12"/>
        <v>Low</v>
      </c>
      <c r="B781" s="218" t="s">
        <v>335</v>
      </c>
      <c r="C781" s="218" t="s">
        <v>8173</v>
      </c>
      <c r="D781" s="218" t="s">
        <v>8173</v>
      </c>
      <c r="E781" s="218" t="s">
        <v>8174</v>
      </c>
      <c r="F781" s="218" t="s">
        <v>8175</v>
      </c>
      <c r="G781" s="218" t="s">
        <v>8176</v>
      </c>
      <c r="H781" s="218" t="s">
        <v>8173</v>
      </c>
      <c r="I781" s="218" t="s">
        <v>8177</v>
      </c>
      <c r="J781" s="218" t="s">
        <v>8178</v>
      </c>
      <c r="K781" s="218" t="s">
        <v>8179</v>
      </c>
      <c r="BB781"/>
    </row>
    <row r="782" spans="1:54" x14ac:dyDescent="0.2">
      <c r="A782" s="225" t="str">
        <f t="shared" si="12"/>
        <v>% of</v>
      </c>
      <c r="B782" s="218" t="s">
        <v>317</v>
      </c>
      <c r="C782" s="251" t="s">
        <v>4668</v>
      </c>
      <c r="D782" s="251" t="s">
        <v>4668</v>
      </c>
      <c r="E782" s="251" t="s">
        <v>4669</v>
      </c>
      <c r="F782" s="251" t="s">
        <v>4696</v>
      </c>
      <c r="G782" s="251" t="s">
        <v>4697</v>
      </c>
      <c r="H782" s="252" t="s">
        <v>4682</v>
      </c>
      <c r="I782" s="251" t="s">
        <v>4683</v>
      </c>
      <c r="J782" s="251" t="s">
        <v>4669</v>
      </c>
      <c r="K782" s="251" t="s">
        <v>4706</v>
      </c>
      <c r="BB782"/>
    </row>
    <row r="783" spans="1:54" x14ac:dyDescent="0.2">
      <c r="A783" s="225" t="str">
        <f t="shared" si="12"/>
        <v>52W High</v>
      </c>
      <c r="B783" s="218" t="s">
        <v>336</v>
      </c>
      <c r="C783" s="251" t="s">
        <v>4670</v>
      </c>
      <c r="D783" s="251" t="s">
        <v>4671</v>
      </c>
      <c r="E783" s="251" t="s">
        <v>4672</v>
      </c>
      <c r="F783" s="251" t="s">
        <v>4698</v>
      </c>
      <c r="G783" s="251" t="s">
        <v>4699</v>
      </c>
      <c r="H783" s="254" t="s">
        <v>4684</v>
      </c>
      <c r="I783" s="251" t="s">
        <v>4685</v>
      </c>
      <c r="J783" s="251" t="s">
        <v>4686</v>
      </c>
      <c r="K783" s="251" t="s">
        <v>4707</v>
      </c>
      <c r="BB783"/>
    </row>
    <row r="784" spans="1:54" x14ac:dyDescent="0.2">
      <c r="A784" s="225" t="str">
        <f t="shared" si="12"/>
        <v>52W Low</v>
      </c>
      <c r="B784" s="218" t="s">
        <v>337</v>
      </c>
      <c r="C784" s="251" t="s">
        <v>4673</v>
      </c>
      <c r="D784" s="251" t="s">
        <v>4674</v>
      </c>
      <c r="E784" s="251" t="s">
        <v>4675</v>
      </c>
      <c r="F784" s="251" t="s">
        <v>4700</v>
      </c>
      <c r="G784" s="251" t="s">
        <v>4701</v>
      </c>
      <c r="H784" s="254" t="s">
        <v>4687</v>
      </c>
      <c r="I784" s="251" t="s">
        <v>4688</v>
      </c>
      <c r="J784" s="251" t="s">
        <v>4689</v>
      </c>
      <c r="K784" s="251" t="s">
        <v>4708</v>
      </c>
      <c r="BB784"/>
    </row>
    <row r="785" spans="1:54" x14ac:dyDescent="0.2">
      <c r="A785" s="225" t="str">
        <f t="shared" si="12"/>
        <v>EV Calculation</v>
      </c>
      <c r="B785" s="218" t="s">
        <v>309</v>
      </c>
      <c r="C785" s="251" t="s">
        <v>4676</v>
      </c>
      <c r="D785" s="251" t="s">
        <v>4677</v>
      </c>
      <c r="E785" s="251" t="s">
        <v>4678</v>
      </c>
      <c r="F785" s="251" t="s">
        <v>4702</v>
      </c>
      <c r="G785" s="251" t="s">
        <v>4703</v>
      </c>
      <c r="H785" s="252" t="s">
        <v>4690</v>
      </c>
      <c r="I785" s="251" t="s">
        <v>4691</v>
      </c>
      <c r="J785" s="251" t="s">
        <v>4692</v>
      </c>
      <c r="K785" s="251" t="s">
        <v>4709</v>
      </c>
      <c r="BB785"/>
    </row>
    <row r="786" spans="1:54" x14ac:dyDescent="0.2">
      <c r="A786" s="225" t="str">
        <f t="shared" si="12"/>
        <v>Shares Out</v>
      </c>
      <c r="B786" s="218" t="s">
        <v>338</v>
      </c>
      <c r="C786" s="251" t="s">
        <v>4679</v>
      </c>
      <c r="D786" s="251" t="s">
        <v>4680</v>
      </c>
      <c r="E786" s="251" t="s">
        <v>4681</v>
      </c>
      <c r="F786" s="251" t="s">
        <v>4704</v>
      </c>
      <c r="G786" s="251" t="s">
        <v>4705</v>
      </c>
      <c r="H786" s="252" t="s">
        <v>4693</v>
      </c>
      <c r="I786" s="251" t="s">
        <v>4694</v>
      </c>
      <c r="J786" s="251" t="s">
        <v>4695</v>
      </c>
      <c r="K786" s="251" t="s">
        <v>4710</v>
      </c>
      <c r="BB786"/>
    </row>
    <row r="787" spans="1:54" x14ac:dyDescent="0.2">
      <c r="A787" s="225" t="str">
        <f t="shared" si="12"/>
        <v>Market Cap</v>
      </c>
      <c r="B787" s="218" t="s">
        <v>339</v>
      </c>
      <c r="C787" s="251" t="s">
        <v>7012</v>
      </c>
      <c r="D787" s="218" t="s">
        <v>7012</v>
      </c>
      <c r="E787" s="218" t="s">
        <v>7013</v>
      </c>
      <c r="F787" s="218" t="s">
        <v>7014</v>
      </c>
      <c r="G787" s="218" t="s">
        <v>7015</v>
      </c>
      <c r="H787" s="218" t="s">
        <v>7016</v>
      </c>
      <c r="I787" s="218" t="s">
        <v>7017</v>
      </c>
      <c r="J787" s="218" t="s">
        <v>7018</v>
      </c>
      <c r="K787" s="218" t="s">
        <v>7019</v>
      </c>
      <c r="BB787"/>
    </row>
    <row r="788" spans="1:54" x14ac:dyDescent="0.2">
      <c r="A788" s="225" t="str">
        <f t="shared" si="12"/>
        <v>Cash</v>
      </c>
      <c r="B788" s="218" t="s">
        <v>340</v>
      </c>
      <c r="C788" s="251" t="s">
        <v>7860</v>
      </c>
      <c r="D788" s="218" t="s">
        <v>7861</v>
      </c>
      <c r="E788" s="251" t="s">
        <v>340</v>
      </c>
      <c r="F788" s="251" t="s">
        <v>7873</v>
      </c>
      <c r="G788" s="251" t="s">
        <v>7874</v>
      </c>
      <c r="H788" s="252" t="s">
        <v>7861</v>
      </c>
      <c r="I788" s="251" t="s">
        <v>7866</v>
      </c>
      <c r="J788" s="251" t="s">
        <v>7867</v>
      </c>
      <c r="K788" s="251" t="s">
        <v>7879</v>
      </c>
      <c r="BB788"/>
    </row>
    <row r="789" spans="1:54" x14ac:dyDescent="0.2">
      <c r="A789" s="225" t="str">
        <f t="shared" si="12"/>
        <v>Pref. Stock</v>
      </c>
      <c r="B789" s="218" t="s">
        <v>341</v>
      </c>
      <c r="C789" s="251" t="s">
        <v>7862</v>
      </c>
      <c r="D789" s="218" t="s">
        <v>7863</v>
      </c>
      <c r="E789" s="251" t="s">
        <v>7864</v>
      </c>
      <c r="F789" s="251" t="s">
        <v>7875</v>
      </c>
      <c r="G789" s="251" t="s">
        <v>7876</v>
      </c>
      <c r="H789" s="252" t="s">
        <v>7868</v>
      </c>
      <c r="I789" s="251" t="s">
        <v>7869</v>
      </c>
      <c r="J789" s="251" t="s">
        <v>7870</v>
      </c>
      <c r="K789" s="251" t="s">
        <v>7880</v>
      </c>
      <c r="BB789"/>
    </row>
    <row r="790" spans="1:54" x14ac:dyDescent="0.2">
      <c r="A790" s="225" t="str">
        <f t="shared" si="12"/>
        <v>Minority Int.</v>
      </c>
      <c r="B790" s="218" t="s">
        <v>342</v>
      </c>
      <c r="C790" s="251" t="s">
        <v>7547</v>
      </c>
      <c r="D790" s="218" t="s">
        <v>7548</v>
      </c>
      <c r="E790" s="251" t="s">
        <v>7865</v>
      </c>
      <c r="F790" s="251" t="s">
        <v>7877</v>
      </c>
      <c r="G790" s="251" t="s">
        <v>7878</v>
      </c>
      <c r="H790" s="252" t="s">
        <v>5415</v>
      </c>
      <c r="I790" s="251" t="s">
        <v>7871</v>
      </c>
      <c r="J790" s="251" t="s">
        <v>7872</v>
      </c>
      <c r="K790" s="251" t="s">
        <v>7881</v>
      </c>
      <c r="BB790"/>
    </row>
    <row r="791" spans="1:54" x14ac:dyDescent="0.2">
      <c r="A791" s="225" t="str">
        <f t="shared" si="12"/>
        <v>TEV</v>
      </c>
      <c r="B791" s="218" t="s">
        <v>401</v>
      </c>
      <c r="C791" s="218" t="s">
        <v>7020</v>
      </c>
      <c r="D791" s="218" t="s">
        <v>7021</v>
      </c>
      <c r="E791" s="218" t="s">
        <v>7022</v>
      </c>
      <c r="F791" s="218" t="s">
        <v>7023</v>
      </c>
      <c r="G791" s="218" t="s">
        <v>7024</v>
      </c>
      <c r="H791" s="218" t="s">
        <v>7025</v>
      </c>
      <c r="I791" s="218" t="s">
        <v>7026</v>
      </c>
      <c r="J791" s="218" t="s">
        <v>7027</v>
      </c>
      <c r="K791" s="218" t="s">
        <v>7028</v>
      </c>
      <c r="BB791"/>
    </row>
    <row r="792" spans="1:54" x14ac:dyDescent="0.2">
      <c r="A792" s="225" t="str">
        <f t="shared" si="12"/>
        <v>Total Revenue</v>
      </c>
      <c r="B792" s="218" t="s">
        <v>318</v>
      </c>
      <c r="C792" t="s">
        <v>5806</v>
      </c>
      <c r="D792" s="218" t="s">
        <v>5807</v>
      </c>
      <c r="E792" t="s">
        <v>7882</v>
      </c>
      <c r="F792" t="s">
        <v>7883</v>
      </c>
      <c r="G792" t="s">
        <v>5810</v>
      </c>
      <c r="H792" t="s">
        <v>5794</v>
      </c>
      <c r="I792" t="s">
        <v>7884</v>
      </c>
      <c r="J792" t="s">
        <v>7885</v>
      </c>
      <c r="K792" t="s">
        <v>7886</v>
      </c>
      <c r="BB792"/>
    </row>
    <row r="793" spans="1:54" x14ac:dyDescent="0.2">
      <c r="A793" s="225" t="str">
        <f t="shared" si="12"/>
        <v>TEV/Total Revenue</v>
      </c>
      <c r="B793" s="218" t="s">
        <v>402</v>
      </c>
      <c r="C793" s="215" t="s">
        <v>7646</v>
      </c>
      <c r="D793" s="218" t="s">
        <v>7647</v>
      </c>
      <c r="E793" s="215" t="s">
        <v>7887</v>
      </c>
      <c r="F793" s="215" t="s">
        <v>7888</v>
      </c>
      <c r="G793" s="215" t="s">
        <v>7889</v>
      </c>
      <c r="H793" s="215" t="s">
        <v>7651</v>
      </c>
      <c r="I793" s="215" t="s">
        <v>7890</v>
      </c>
      <c r="J793" s="215" t="s">
        <v>7891</v>
      </c>
      <c r="K793" s="215" t="s">
        <v>7892</v>
      </c>
      <c r="BB793"/>
    </row>
    <row r="794" spans="1:54" x14ac:dyDescent="0.2">
      <c r="A794" s="225" t="str">
        <f t="shared" si="12"/>
        <v>TEV/EBITDA</v>
      </c>
      <c r="B794" s="218" t="s">
        <v>400</v>
      </c>
      <c r="C794" s="215" t="s">
        <v>7029</v>
      </c>
      <c r="D794" s="218" t="s">
        <v>7030</v>
      </c>
      <c r="E794" s="215" t="s">
        <v>7031</v>
      </c>
      <c r="F794" s="215" t="s">
        <v>7032</v>
      </c>
      <c r="G794" s="215" t="s">
        <v>7033</v>
      </c>
      <c r="H794" s="215" t="s">
        <v>7034</v>
      </c>
      <c r="I794" s="215" t="s">
        <v>7035</v>
      </c>
      <c r="J794" s="215" t="s">
        <v>7036</v>
      </c>
      <c r="K794" s="215" t="s">
        <v>374</v>
      </c>
      <c r="BB794"/>
    </row>
    <row r="795" spans="1:54" x14ac:dyDescent="0.2">
      <c r="A795" s="225" t="str">
        <f t="shared" si="12"/>
        <v>Trading Multiples</v>
      </c>
      <c r="B795" s="218" t="s">
        <v>311</v>
      </c>
      <c r="C795" s="251" t="s">
        <v>7851</v>
      </c>
      <c r="D795" s="218" t="s">
        <v>7852</v>
      </c>
      <c r="E795" s="251" t="s">
        <v>7853</v>
      </c>
      <c r="F795" s="251" t="s">
        <v>7857</v>
      </c>
      <c r="G795" s="251" t="s">
        <v>7858</v>
      </c>
      <c r="H795" s="252" t="s">
        <v>7854</v>
      </c>
      <c r="I795" s="251" t="s">
        <v>7855</v>
      </c>
      <c r="J795" s="251" t="s">
        <v>7856</v>
      </c>
      <c r="K795" s="251" t="s">
        <v>7859</v>
      </c>
      <c r="BB795"/>
    </row>
    <row r="796" spans="1:54" x14ac:dyDescent="0.2">
      <c r="A796" s="225" t="str">
        <f t="shared" si="12"/>
        <v>Financial Data</v>
      </c>
      <c r="B796" s="218" t="s">
        <v>310</v>
      </c>
      <c r="C796" s="218" t="s">
        <v>7893</v>
      </c>
      <c r="D796" s="218" t="s">
        <v>7894</v>
      </c>
      <c r="E796" s="218" t="s">
        <v>7895</v>
      </c>
      <c r="F796" s="218" t="s">
        <v>7896</v>
      </c>
      <c r="G796" s="218" t="s">
        <v>7897</v>
      </c>
      <c r="H796" s="218" t="s">
        <v>7898</v>
      </c>
      <c r="I796" s="218" t="s">
        <v>7899</v>
      </c>
      <c r="J796" s="218" t="s">
        <v>7900</v>
      </c>
      <c r="K796" s="218" t="s">
        <v>7901</v>
      </c>
      <c r="BB796"/>
    </row>
    <row r="797" spans="1:54" x14ac:dyDescent="0.2">
      <c r="A797" s="225" t="str">
        <f t="shared" si="12"/>
        <v>PE</v>
      </c>
      <c r="B797" s="218" t="s">
        <v>319</v>
      </c>
      <c r="C797" t="s">
        <v>7037</v>
      </c>
      <c r="D797" s="218" t="s">
        <v>7037</v>
      </c>
      <c r="E797" t="s">
        <v>7038</v>
      </c>
      <c r="F797" t="s">
        <v>7039</v>
      </c>
      <c r="G797" t="s">
        <v>7040</v>
      </c>
      <c r="H797" t="s">
        <v>7041</v>
      </c>
      <c r="I797" t="s">
        <v>7042</v>
      </c>
      <c r="J797" t="s">
        <v>7043</v>
      </c>
      <c r="K797" t="s">
        <v>7044</v>
      </c>
      <c r="BB797"/>
    </row>
    <row r="798" spans="1:54" x14ac:dyDescent="0.2">
      <c r="A798" s="225" t="str">
        <f t="shared" si="12"/>
        <v>Price /</v>
      </c>
      <c r="B798" s="218" t="s">
        <v>320</v>
      </c>
      <c r="C798" s="251" t="s">
        <v>7833</v>
      </c>
      <c r="D798" s="218" t="s">
        <v>7834</v>
      </c>
      <c r="E798" s="251" t="s">
        <v>7835</v>
      </c>
      <c r="F798" s="251" t="s">
        <v>7846</v>
      </c>
      <c r="G798" s="251" t="s">
        <v>8295</v>
      </c>
      <c r="H798" s="252" t="s">
        <v>7839</v>
      </c>
      <c r="I798" s="251" t="s">
        <v>7840</v>
      </c>
      <c r="J798" s="251" t="s">
        <v>7841</v>
      </c>
      <c r="K798" s="251" t="s">
        <v>7849</v>
      </c>
      <c r="BB798"/>
    </row>
    <row r="799" spans="1:54" x14ac:dyDescent="0.2">
      <c r="A799" s="225" t="str">
        <f t="shared" si="12"/>
        <v>BV</v>
      </c>
      <c r="B799" s="218" t="s">
        <v>347</v>
      </c>
      <c r="C799" s="251" t="s">
        <v>7836</v>
      </c>
      <c r="D799" s="218" t="s">
        <v>7837</v>
      </c>
      <c r="E799" s="251" t="s">
        <v>7838</v>
      </c>
      <c r="F799" s="251" t="s">
        <v>347</v>
      </c>
      <c r="G799" s="251" t="s">
        <v>347</v>
      </c>
      <c r="H799" s="252" t="s">
        <v>7842</v>
      </c>
      <c r="I799" s="251" t="s">
        <v>7843</v>
      </c>
      <c r="J799" s="251" t="s">
        <v>7844</v>
      </c>
      <c r="K799" s="251" t="s">
        <v>347</v>
      </c>
      <c r="BB799"/>
    </row>
    <row r="800" spans="1:54" x14ac:dyDescent="0.2">
      <c r="A800" s="225" t="str">
        <f t="shared" si="12"/>
        <v>Tangible BV</v>
      </c>
      <c r="B800" s="218" t="s">
        <v>348</v>
      </c>
      <c r="C800" s="251" t="s">
        <v>2352</v>
      </c>
      <c r="D800" s="218" t="s">
        <v>2353</v>
      </c>
      <c r="E800" s="251" t="s">
        <v>2354</v>
      </c>
      <c r="F800" s="251" t="s">
        <v>7847</v>
      </c>
      <c r="G800" s="251" t="s">
        <v>7848</v>
      </c>
      <c r="H800" s="252" t="s">
        <v>2388</v>
      </c>
      <c r="I800" s="251" t="s">
        <v>2389</v>
      </c>
      <c r="J800" s="251" t="s">
        <v>7845</v>
      </c>
      <c r="K800" s="251" t="s">
        <v>7850</v>
      </c>
      <c r="BB800"/>
    </row>
    <row r="801" spans="1:54" x14ac:dyDescent="0.2">
      <c r="A801" s="225" t="str">
        <f t="shared" si="12"/>
        <v>Gross Margin</v>
      </c>
      <c r="B801" s="218" t="s">
        <v>321</v>
      </c>
      <c r="C801" t="s">
        <v>7784</v>
      </c>
      <c r="D801" s="218" t="s">
        <v>7784</v>
      </c>
      <c r="E801" t="s">
        <v>7785</v>
      </c>
      <c r="F801" t="s">
        <v>7786</v>
      </c>
      <c r="G801" t="s">
        <v>7787</v>
      </c>
      <c r="H801" t="s">
        <v>6825</v>
      </c>
      <c r="I801" t="s">
        <v>7788</v>
      </c>
      <c r="J801" t="s">
        <v>7789</v>
      </c>
      <c r="K801" t="s">
        <v>7790</v>
      </c>
      <c r="BB801"/>
    </row>
    <row r="802" spans="1:54" x14ac:dyDescent="0.2">
      <c r="A802" s="225" t="str">
        <f t="shared" si="12"/>
        <v>Margin Analysis (%)</v>
      </c>
      <c r="B802" s="218" t="s">
        <v>312</v>
      </c>
      <c r="C802" s="251" t="s">
        <v>7808</v>
      </c>
      <c r="D802" s="218" t="s">
        <v>7809</v>
      </c>
      <c r="E802" s="251" t="s">
        <v>7810</v>
      </c>
      <c r="F802" s="251" t="s">
        <v>7814</v>
      </c>
      <c r="G802" s="251" t="s">
        <v>7815</v>
      </c>
      <c r="H802" s="252" t="s">
        <v>7811</v>
      </c>
      <c r="I802" s="251" t="s">
        <v>7812</v>
      </c>
      <c r="J802" s="251" t="s">
        <v>7813</v>
      </c>
      <c r="K802" s="251" t="s">
        <v>7816</v>
      </c>
      <c r="BB802"/>
    </row>
    <row r="803" spans="1:54" x14ac:dyDescent="0.2">
      <c r="A803" s="225" t="str">
        <f t="shared" si="12"/>
        <v>EBITDA Margin</v>
      </c>
      <c r="B803" s="218" t="s">
        <v>322</v>
      </c>
      <c r="C803" t="s">
        <v>7791</v>
      </c>
      <c r="D803" s="218" t="s">
        <v>7792</v>
      </c>
      <c r="E803" t="s">
        <v>7793</v>
      </c>
      <c r="F803" t="s">
        <v>7794</v>
      </c>
      <c r="G803" t="s">
        <v>7795</v>
      </c>
      <c r="H803" t="s">
        <v>7796</v>
      </c>
      <c r="I803" t="s">
        <v>7797</v>
      </c>
      <c r="J803" t="s">
        <v>7798</v>
      </c>
      <c r="K803" t="s">
        <v>7799</v>
      </c>
      <c r="BB803"/>
    </row>
    <row r="804" spans="1:54" x14ac:dyDescent="0.2">
      <c r="A804" s="225" t="str">
        <f t="shared" si="12"/>
        <v>Net Income Margin</v>
      </c>
      <c r="B804" s="218" t="s">
        <v>323</v>
      </c>
      <c r="C804" t="s">
        <v>7800</v>
      </c>
      <c r="D804" s="218" t="s">
        <v>7801</v>
      </c>
      <c r="E804" t="s">
        <v>7802</v>
      </c>
      <c r="F804" t="s">
        <v>7803</v>
      </c>
      <c r="G804" t="s">
        <v>7804</v>
      </c>
      <c r="H804" t="s">
        <v>6834</v>
      </c>
      <c r="I804" t="s">
        <v>7805</v>
      </c>
      <c r="J804" t="s">
        <v>7806</v>
      </c>
      <c r="K804" t="s">
        <v>7807</v>
      </c>
      <c r="BB804"/>
    </row>
    <row r="805" spans="1:54" x14ac:dyDescent="0.2">
      <c r="A805" s="225" t="str">
        <f t="shared" si="12"/>
        <v>LTM Growth Rates (%)</v>
      </c>
      <c r="B805" s="218" t="s">
        <v>313</v>
      </c>
      <c r="C805" s="251" t="s">
        <v>7817</v>
      </c>
      <c r="D805" s="218" t="s">
        <v>7818</v>
      </c>
      <c r="E805" s="251" t="s">
        <v>7819</v>
      </c>
      <c r="F805" s="251" t="s">
        <v>7823</v>
      </c>
      <c r="G805" s="251" t="s">
        <v>7824</v>
      </c>
      <c r="H805" s="252" t="s">
        <v>7820</v>
      </c>
      <c r="I805" s="251" t="s">
        <v>7821</v>
      </c>
      <c r="J805" s="251" t="s">
        <v>7822</v>
      </c>
      <c r="K805" s="251" t="s">
        <v>7825</v>
      </c>
      <c r="BB805"/>
    </row>
    <row r="806" spans="1:54" x14ac:dyDescent="0.2">
      <c r="A806" s="225" t="str">
        <f t="shared" si="12"/>
        <v>EPS</v>
      </c>
      <c r="B806" s="218" t="s">
        <v>324</v>
      </c>
      <c r="C806" t="s">
        <v>7826</v>
      </c>
      <c r="D806" s="218" t="s">
        <v>7826</v>
      </c>
      <c r="E806" t="s">
        <v>7827</v>
      </c>
      <c r="F806" t="s">
        <v>324</v>
      </c>
      <c r="G806" t="s">
        <v>7828</v>
      </c>
      <c r="H806" t="s">
        <v>7829</v>
      </c>
      <c r="I806" t="s">
        <v>7830</v>
      </c>
      <c r="J806" t="s">
        <v>7831</v>
      </c>
      <c r="K806" t="s">
        <v>7832</v>
      </c>
      <c r="BB806"/>
    </row>
    <row r="807" spans="1:54" x14ac:dyDescent="0.2">
      <c r="A807" s="225" t="str">
        <f t="shared" si="12"/>
        <v>COMPARABLE COMPANY ANALYSIS</v>
      </c>
      <c r="B807" s="218" t="s">
        <v>424</v>
      </c>
      <c r="C807" s="218" t="s">
        <v>7763</v>
      </c>
      <c r="D807" s="218" t="s">
        <v>7763</v>
      </c>
      <c r="E807" s="218" t="s">
        <v>7764</v>
      </c>
      <c r="F807" s="218" t="s">
        <v>7765</v>
      </c>
      <c r="G807" s="218" t="s">
        <v>7766</v>
      </c>
      <c r="H807" s="218" t="s">
        <v>7767</v>
      </c>
      <c r="I807" s="218" t="s">
        <v>7768</v>
      </c>
      <c r="J807" s="218" t="s">
        <v>7769</v>
      </c>
      <c r="K807" s="218" t="s">
        <v>7770</v>
      </c>
      <c r="BB807"/>
    </row>
    <row r="808" spans="1:54" x14ac:dyDescent="0.2">
      <c r="A808" s="225" t="str">
        <f t="shared" si="12"/>
        <v>Total Debt/</v>
      </c>
      <c r="B808" s="218" t="s">
        <v>325</v>
      </c>
      <c r="C808" s="251" t="s">
        <v>8296</v>
      </c>
      <c r="D808" s="267" t="s">
        <v>8297</v>
      </c>
      <c r="E808" s="251" t="s">
        <v>7771</v>
      </c>
      <c r="F808" s="251" t="s">
        <v>7775</v>
      </c>
      <c r="G808" s="251" t="s">
        <v>7776</v>
      </c>
      <c r="H808" s="252" t="s">
        <v>7772</v>
      </c>
      <c r="I808" s="251" t="s">
        <v>7773</v>
      </c>
      <c r="J808" s="251" t="s">
        <v>7774</v>
      </c>
      <c r="K808" s="251" t="s">
        <v>7777</v>
      </c>
      <c r="BB808"/>
    </row>
    <row r="809" spans="1:54" x14ac:dyDescent="0.2">
      <c r="A809" s="225" t="str">
        <f t="shared" si="12"/>
        <v>LTM EBITDA</v>
      </c>
      <c r="B809" s="218" t="s">
        <v>353</v>
      </c>
      <c r="C809" s="218" t="s">
        <v>7778</v>
      </c>
      <c r="D809" s="218" t="s">
        <v>7779</v>
      </c>
      <c r="E809" s="218" t="s">
        <v>7780</v>
      </c>
      <c r="F809" s="218" t="s">
        <v>7781</v>
      </c>
      <c r="G809" s="218" t="s">
        <v>353</v>
      </c>
      <c r="H809" s="218" t="s">
        <v>353</v>
      </c>
      <c r="I809" s="218" t="s">
        <v>7782</v>
      </c>
      <c r="J809" s="218" t="s">
        <v>7783</v>
      </c>
      <c r="K809" s="218" t="s">
        <v>353</v>
      </c>
      <c r="BB809"/>
    </row>
    <row r="810" spans="1:54" x14ac:dyDescent="0.2">
      <c r="A810" s="225" t="str">
        <f t="shared" si="12"/>
        <v>Net Debt/</v>
      </c>
      <c r="B810" s="218" t="s">
        <v>326</v>
      </c>
      <c r="C810" s="251" t="s">
        <v>8298</v>
      </c>
      <c r="D810" s="251" t="s">
        <v>8299</v>
      </c>
      <c r="E810" s="251" t="s">
        <v>4711</v>
      </c>
      <c r="F810" s="251" t="s">
        <v>8300</v>
      </c>
      <c r="G810" s="251" t="s">
        <v>4806</v>
      </c>
      <c r="H810" s="252" t="s">
        <v>4756</v>
      </c>
      <c r="I810" s="251" t="s">
        <v>4757</v>
      </c>
      <c r="J810" s="251" t="s">
        <v>4758</v>
      </c>
      <c r="K810" s="251" t="s">
        <v>4832</v>
      </c>
      <c r="BB810"/>
    </row>
    <row r="811" spans="1:54" x14ac:dyDescent="0.2">
      <c r="A811" s="225" t="str">
        <f t="shared" si="12"/>
        <v>(Debt+Pref)/</v>
      </c>
      <c r="B811" s="218" t="s">
        <v>327</v>
      </c>
      <c r="C811" s="251" t="s">
        <v>4712</v>
      </c>
      <c r="D811" s="251" t="s">
        <v>4713</v>
      </c>
      <c r="E811" s="251" t="s">
        <v>4714</v>
      </c>
      <c r="F811" s="251" t="s">
        <v>4807</v>
      </c>
      <c r="G811" s="251" t="s">
        <v>4808</v>
      </c>
      <c r="H811" s="252" t="s">
        <v>4759</v>
      </c>
      <c r="I811" s="251" t="s">
        <v>4760</v>
      </c>
      <c r="J811" s="251" t="s">
        <v>4761</v>
      </c>
      <c r="K811" s="251" t="s">
        <v>4833</v>
      </c>
      <c r="BB811"/>
    </row>
    <row r="812" spans="1:54" x14ac:dyDescent="0.2">
      <c r="A812" s="225" t="str">
        <f t="shared" si="12"/>
        <v>EBITDA/</v>
      </c>
      <c r="B812" s="218" t="s">
        <v>328</v>
      </c>
      <c r="C812" s="251" t="s">
        <v>4715</v>
      </c>
      <c r="D812" s="251" t="s">
        <v>4716</v>
      </c>
      <c r="E812" s="251" t="s">
        <v>328</v>
      </c>
      <c r="F812" s="251" t="s">
        <v>328</v>
      </c>
      <c r="G812" s="251" t="s">
        <v>328</v>
      </c>
      <c r="H812" s="252" t="s">
        <v>4762</v>
      </c>
      <c r="I812" s="251" t="s">
        <v>328</v>
      </c>
      <c r="J812" s="251" t="s">
        <v>4762</v>
      </c>
      <c r="K812" s="251" t="s">
        <v>328</v>
      </c>
      <c r="BB812"/>
    </row>
    <row r="813" spans="1:54" x14ac:dyDescent="0.2">
      <c r="A813" s="225" t="str">
        <f t="shared" si="12"/>
        <v>Interest</v>
      </c>
      <c r="B813" s="218" t="s">
        <v>354</v>
      </c>
      <c r="C813" s="251" t="s">
        <v>4717</v>
      </c>
      <c r="D813" s="251" t="s">
        <v>4717</v>
      </c>
      <c r="E813" s="251" t="s">
        <v>4718</v>
      </c>
      <c r="F813" s="251" t="s">
        <v>4809</v>
      </c>
      <c r="G813" s="251" t="s">
        <v>4810</v>
      </c>
      <c r="H813" s="252" t="s">
        <v>4763</v>
      </c>
      <c r="I813" s="251" t="s">
        <v>4764</v>
      </c>
      <c r="J813" s="251" t="s">
        <v>4765</v>
      </c>
      <c r="K813" s="251" t="s">
        <v>4834</v>
      </c>
      <c r="BB813"/>
    </row>
    <row r="814" spans="1:54" x14ac:dyDescent="0.2">
      <c r="A814" s="225" t="str">
        <f t="shared" si="12"/>
        <v>(EBITDA-Capex)/</v>
      </c>
      <c r="B814" s="218" t="s">
        <v>329</v>
      </c>
      <c r="C814" s="251" t="s">
        <v>4719</v>
      </c>
      <c r="D814" s="251" t="s">
        <v>4720</v>
      </c>
      <c r="E814" s="251" t="s">
        <v>329</v>
      </c>
      <c r="F814" s="251" t="s">
        <v>329</v>
      </c>
      <c r="G814" s="251" t="s">
        <v>329</v>
      </c>
      <c r="H814" s="252" t="s">
        <v>4766</v>
      </c>
      <c r="I814" s="251" t="s">
        <v>329</v>
      </c>
      <c r="J814" s="251" t="s">
        <v>4767</v>
      </c>
      <c r="K814" s="251" t="s">
        <v>329</v>
      </c>
      <c r="BB814"/>
    </row>
    <row r="815" spans="1:54" x14ac:dyDescent="0.2">
      <c r="A815" s="225" t="str">
        <f t="shared" si="12"/>
        <v>Total Equity (%)</v>
      </c>
      <c r="B815" s="218" t="s">
        <v>355</v>
      </c>
      <c r="C815" s="251" t="s">
        <v>4721</v>
      </c>
      <c r="D815" s="251" t="s">
        <v>4722</v>
      </c>
      <c r="E815" s="251" t="s">
        <v>4723</v>
      </c>
      <c r="F815" s="251" t="s">
        <v>4811</v>
      </c>
      <c r="G815" s="251" t="s">
        <v>4812</v>
      </c>
      <c r="H815" s="252" t="s">
        <v>4768</v>
      </c>
      <c r="I815" s="251" t="s">
        <v>4769</v>
      </c>
      <c r="J815" s="251" t="s">
        <v>4770</v>
      </c>
      <c r="K815" s="251" t="s">
        <v>4835</v>
      </c>
      <c r="BB815"/>
    </row>
    <row r="816" spans="1:54" x14ac:dyDescent="0.2">
      <c r="A816" s="225" t="str">
        <f t="shared" si="12"/>
        <v>Total Cap. (%)</v>
      </c>
      <c r="B816" s="218" t="s">
        <v>356</v>
      </c>
      <c r="C816" s="251" t="s">
        <v>4724</v>
      </c>
      <c r="D816" s="251" t="s">
        <v>4725</v>
      </c>
      <c r="E816" s="251" t="s">
        <v>356</v>
      </c>
      <c r="F816" s="251" t="s">
        <v>4813</v>
      </c>
      <c r="G816" s="251" t="s">
        <v>4814</v>
      </c>
      <c r="H816" s="252" t="s">
        <v>4771</v>
      </c>
      <c r="I816" s="251" t="s">
        <v>4772</v>
      </c>
      <c r="J816" s="251" t="s">
        <v>4773</v>
      </c>
      <c r="K816" s="251" t="s">
        <v>4836</v>
      </c>
      <c r="BB816"/>
    </row>
    <row r="817" spans="1:54" x14ac:dyDescent="0.2">
      <c r="A817" s="225" t="str">
        <f t="shared" si="12"/>
        <v>Leverage and Coverage</v>
      </c>
      <c r="B817" s="218" t="s">
        <v>314</v>
      </c>
      <c r="C817" s="251" t="s">
        <v>4726</v>
      </c>
      <c r="D817" s="251" t="s">
        <v>4727</v>
      </c>
      <c r="E817" s="251" t="s">
        <v>4728</v>
      </c>
      <c r="F817" s="251" t="s">
        <v>4815</v>
      </c>
      <c r="G817" s="251" t="s">
        <v>4816</v>
      </c>
      <c r="H817" s="252" t="s">
        <v>4774</v>
      </c>
      <c r="I817" s="251" t="s">
        <v>4775</v>
      </c>
      <c r="J817" s="251" t="s">
        <v>4776</v>
      </c>
      <c r="K817" s="251" t="s">
        <v>4837</v>
      </c>
      <c r="BB817"/>
    </row>
    <row r="818" spans="1:54" x14ac:dyDescent="0.2">
      <c r="A818" s="225" t="str">
        <f t="shared" si="12"/>
        <v>LTM Profitability (%)</v>
      </c>
      <c r="B818" s="218" t="s">
        <v>315</v>
      </c>
      <c r="C818" s="251" t="s">
        <v>4729</v>
      </c>
      <c r="D818" s="251" t="s">
        <v>4730</v>
      </c>
      <c r="E818" s="251" t="s">
        <v>4731</v>
      </c>
      <c r="F818" s="251" t="s">
        <v>4817</v>
      </c>
      <c r="G818" s="251" t="s">
        <v>4818</v>
      </c>
      <c r="H818" s="252" t="s">
        <v>4777</v>
      </c>
      <c r="I818" s="251" t="s">
        <v>4778</v>
      </c>
      <c r="J818" s="251" t="s">
        <v>4779</v>
      </c>
      <c r="K818" s="251" t="s">
        <v>4838</v>
      </c>
      <c r="BB818"/>
    </row>
    <row r="819" spans="1:54" x14ac:dyDescent="0.2">
      <c r="A819" s="225" t="str">
        <f t="shared" si="12"/>
        <v>ROE</v>
      </c>
      <c r="B819" s="218" t="s">
        <v>357</v>
      </c>
      <c r="C819" s="251" t="s">
        <v>4732</v>
      </c>
      <c r="D819" s="251" t="s">
        <v>4733</v>
      </c>
      <c r="E819" s="251" t="s">
        <v>357</v>
      </c>
      <c r="F819" s="251" t="s">
        <v>357</v>
      </c>
      <c r="G819" s="251" t="s">
        <v>357</v>
      </c>
      <c r="H819" s="252" t="s">
        <v>4780</v>
      </c>
      <c r="I819" s="251" t="s">
        <v>357</v>
      </c>
      <c r="J819" s="251" t="s">
        <v>4781</v>
      </c>
      <c r="K819" s="251" t="s">
        <v>357</v>
      </c>
      <c r="BB819"/>
    </row>
    <row r="820" spans="1:54" x14ac:dyDescent="0.2">
      <c r="A820" s="225" t="str">
        <f t="shared" si="12"/>
        <v>ROA</v>
      </c>
      <c r="B820" s="218" t="s">
        <v>358</v>
      </c>
      <c r="C820" s="251" t="s">
        <v>4734</v>
      </c>
      <c r="D820" s="251" t="s">
        <v>4735</v>
      </c>
      <c r="E820" s="251" t="s">
        <v>358</v>
      </c>
      <c r="F820" s="251" t="s">
        <v>358</v>
      </c>
      <c r="G820" s="251" t="s">
        <v>358</v>
      </c>
      <c r="H820" s="252" t="s">
        <v>4782</v>
      </c>
      <c r="I820" s="251" t="s">
        <v>358</v>
      </c>
      <c r="J820" s="251" t="s">
        <v>4783</v>
      </c>
      <c r="K820" s="251" t="s">
        <v>358</v>
      </c>
      <c r="BB820"/>
    </row>
    <row r="821" spans="1:54" x14ac:dyDescent="0.2">
      <c r="A821" s="225" t="str">
        <f t="shared" si="12"/>
        <v>ROIC</v>
      </c>
      <c r="B821" s="218" t="s">
        <v>359</v>
      </c>
      <c r="C821" s="251" t="s">
        <v>4736</v>
      </c>
      <c r="D821" s="251" t="s">
        <v>4737</v>
      </c>
      <c r="E821" s="251" t="s">
        <v>359</v>
      </c>
      <c r="F821" s="251" t="s">
        <v>359</v>
      </c>
      <c r="G821" s="251" t="s">
        <v>359</v>
      </c>
      <c r="H821" s="252" t="s">
        <v>4784</v>
      </c>
      <c r="I821" s="251" t="s">
        <v>359</v>
      </c>
      <c r="J821" s="251" t="s">
        <v>4785</v>
      </c>
      <c r="K821" s="251" t="s">
        <v>359</v>
      </c>
      <c r="BB821"/>
    </row>
    <row r="822" spans="1:54" x14ac:dyDescent="0.2">
      <c r="A822" s="225" t="str">
        <f t="shared" si="12"/>
        <v>Ratio</v>
      </c>
      <c r="B822" s="218" t="s">
        <v>360</v>
      </c>
      <c r="C822" s="251" t="s">
        <v>4738</v>
      </c>
      <c r="D822" s="251" t="s">
        <v>4738</v>
      </c>
      <c r="E822" s="251" t="s">
        <v>360</v>
      </c>
      <c r="F822" s="251" t="s">
        <v>4819</v>
      </c>
      <c r="G822" s="251" t="s">
        <v>4820</v>
      </c>
      <c r="H822" s="252" t="s">
        <v>4738</v>
      </c>
      <c r="I822" s="251" t="s">
        <v>4786</v>
      </c>
      <c r="J822" s="251" t="s">
        <v>4787</v>
      </c>
      <c r="K822" s="251" t="s">
        <v>4839</v>
      </c>
      <c r="BB822"/>
    </row>
    <row r="823" spans="1:54" x14ac:dyDescent="0.2">
      <c r="A823" s="225" t="str">
        <f t="shared" si="12"/>
        <v>Quick</v>
      </c>
      <c r="B823" s="218" t="s">
        <v>331</v>
      </c>
      <c r="C823" s="251" t="s">
        <v>4739</v>
      </c>
      <c r="D823" s="251" t="s">
        <v>4740</v>
      </c>
      <c r="E823" s="251" t="s">
        <v>4741</v>
      </c>
      <c r="F823" s="251" t="s">
        <v>4821</v>
      </c>
      <c r="G823" s="251" t="s">
        <v>4822</v>
      </c>
      <c r="H823" s="252" t="s">
        <v>4788</v>
      </c>
      <c r="I823" s="251" t="s">
        <v>4789</v>
      </c>
      <c r="J823" s="251" t="s">
        <v>4790</v>
      </c>
      <c r="K823" s="251" t="s">
        <v>4840</v>
      </c>
      <c r="BB823"/>
    </row>
    <row r="824" spans="1:54" x14ac:dyDescent="0.2">
      <c r="A824" s="225" t="str">
        <f t="shared" si="12"/>
        <v>Avg.</v>
      </c>
      <c r="B824" s="218" t="s">
        <v>332</v>
      </c>
      <c r="C824" s="251" t="s">
        <v>4742</v>
      </c>
      <c r="D824" s="251" t="s">
        <v>4742</v>
      </c>
      <c r="E824" s="251" t="s">
        <v>4743</v>
      </c>
      <c r="F824" s="251" t="s">
        <v>4823</v>
      </c>
      <c r="G824" s="251" t="s">
        <v>4792</v>
      </c>
      <c r="H824" s="252" t="s">
        <v>4742</v>
      </c>
      <c r="I824" s="251" t="s">
        <v>4791</v>
      </c>
      <c r="J824" s="251" t="s">
        <v>4792</v>
      </c>
      <c r="K824" s="251" t="s">
        <v>4841</v>
      </c>
      <c r="BB824"/>
    </row>
    <row r="825" spans="1:54" x14ac:dyDescent="0.2">
      <c r="A825" s="225" t="str">
        <f t="shared" si="12"/>
        <v>Days Sales Out.</v>
      </c>
      <c r="B825" s="218" t="s">
        <v>361</v>
      </c>
      <c r="C825" s="251" t="s">
        <v>4744</v>
      </c>
      <c r="D825" s="251" t="s">
        <v>4745</v>
      </c>
      <c r="E825" s="251" t="s">
        <v>4746</v>
      </c>
      <c r="F825" s="251" t="s">
        <v>4824</v>
      </c>
      <c r="G825" s="251" t="s">
        <v>4825</v>
      </c>
      <c r="H825" t="s">
        <v>4793</v>
      </c>
      <c r="I825" s="251" t="s">
        <v>4794</v>
      </c>
      <c r="J825" s="251" t="s">
        <v>4795</v>
      </c>
      <c r="K825" s="251" t="s">
        <v>4842</v>
      </c>
      <c r="BB825"/>
    </row>
    <row r="826" spans="1:54" x14ac:dyDescent="0.2">
      <c r="A826" s="225" t="str">
        <f t="shared" si="12"/>
        <v>Days Inv. Out.</v>
      </c>
      <c r="B826" s="218" t="s">
        <v>362</v>
      </c>
      <c r="C826" s="251" t="s">
        <v>4747</v>
      </c>
      <c r="D826" s="251" t="s">
        <v>4748</v>
      </c>
      <c r="E826" s="251" t="s">
        <v>4749</v>
      </c>
      <c r="F826" s="251" t="s">
        <v>4826</v>
      </c>
      <c r="G826" s="251" t="s">
        <v>4827</v>
      </c>
      <c r="H826" t="s">
        <v>4796</v>
      </c>
      <c r="I826" s="251" t="s">
        <v>4797</v>
      </c>
      <c r="J826" s="251" t="s">
        <v>4798</v>
      </c>
      <c r="K826" s="251" t="s">
        <v>4843</v>
      </c>
      <c r="BB826"/>
    </row>
    <row r="827" spans="1:54" x14ac:dyDescent="0.2">
      <c r="A827" s="225" t="str">
        <f t="shared" si="12"/>
        <v>Days Payable Out.</v>
      </c>
      <c r="B827" s="218" t="s">
        <v>363</v>
      </c>
      <c r="C827" s="251" t="s">
        <v>4750</v>
      </c>
      <c r="D827" s="251" t="s">
        <v>4751</v>
      </c>
      <c r="E827" s="251" t="s">
        <v>4752</v>
      </c>
      <c r="F827" s="251" t="s">
        <v>4828</v>
      </c>
      <c r="G827" s="251" t="s">
        <v>4829</v>
      </c>
      <c r="H827" t="s">
        <v>4799</v>
      </c>
      <c r="I827" s="251" t="s">
        <v>4800</v>
      </c>
      <c r="J827" s="251" t="s">
        <v>4801</v>
      </c>
      <c r="K827" s="251" t="s">
        <v>4844</v>
      </c>
      <c r="BB827"/>
    </row>
    <row r="828" spans="1:54" x14ac:dyDescent="0.2">
      <c r="A828" s="225" t="str">
        <f t="shared" si="12"/>
        <v>Cash Conv. Cycle</v>
      </c>
      <c r="B828" s="218" t="s">
        <v>364</v>
      </c>
      <c r="C828" s="251" t="s">
        <v>4753</v>
      </c>
      <c r="D828" s="251" t="s">
        <v>4754</v>
      </c>
      <c r="E828" s="251" t="s">
        <v>4755</v>
      </c>
      <c r="F828" s="251" t="s">
        <v>4830</v>
      </c>
      <c r="G828" s="251" t="s">
        <v>4831</v>
      </c>
      <c r="H828" t="s">
        <v>4802</v>
      </c>
      <c r="I828" s="251" t="s">
        <v>4803</v>
      </c>
      <c r="J828" s="251" t="s">
        <v>4804</v>
      </c>
      <c r="K828" s="251" t="s">
        <v>4845</v>
      </c>
      <c r="BB828"/>
    </row>
    <row r="829" spans="1:54" x14ac:dyDescent="0.2">
      <c r="A829" s="225" t="str">
        <f t="shared" si="12"/>
        <v>Fixed Assets</v>
      </c>
      <c r="B829" s="218" t="s">
        <v>366</v>
      </c>
      <c r="C829" s="251" t="s">
        <v>7655</v>
      </c>
      <c r="D829" s="218" t="s">
        <v>7656</v>
      </c>
      <c r="E829" s="218" t="s">
        <v>7657</v>
      </c>
      <c r="F829" s="218" t="s">
        <v>7658</v>
      </c>
      <c r="G829" s="218" t="s">
        <v>7659</v>
      </c>
      <c r="H829" s="218" t="s">
        <v>7660</v>
      </c>
      <c r="I829" s="218" t="s">
        <v>7661</v>
      </c>
      <c r="J829" s="218" t="s">
        <v>7662</v>
      </c>
      <c r="K829" s="218" t="s">
        <v>7663</v>
      </c>
      <c r="BB829"/>
    </row>
    <row r="830" spans="1:54" x14ac:dyDescent="0.2">
      <c r="A830" s="225" t="str">
        <f t="shared" si="12"/>
        <v>A/R</v>
      </c>
      <c r="B830" s="218" t="s">
        <v>367</v>
      </c>
      <c r="C830" s="251" t="s">
        <v>7693</v>
      </c>
      <c r="D830" s="218" t="s">
        <v>7694</v>
      </c>
      <c r="E830" s="218" t="s">
        <v>7695</v>
      </c>
      <c r="F830" s="218" t="s">
        <v>7697</v>
      </c>
      <c r="G830" s="218" t="s">
        <v>367</v>
      </c>
      <c r="H830" s="218" t="s">
        <v>6507</v>
      </c>
      <c r="I830" s="218" t="s">
        <v>7696</v>
      </c>
      <c r="J830" s="218" t="s">
        <v>6509</v>
      </c>
      <c r="K830" s="218" t="s">
        <v>367</v>
      </c>
      <c r="BB830"/>
    </row>
    <row r="831" spans="1:54" x14ac:dyDescent="0.2">
      <c r="A831" s="225" t="str">
        <f t="shared" si="12"/>
        <v>Max</v>
      </c>
      <c r="B831" s="218" t="s">
        <v>368</v>
      </c>
      <c r="C831" s="251" t="s">
        <v>7664</v>
      </c>
      <c r="D831" s="218" t="s">
        <v>7664</v>
      </c>
      <c r="E831" s="218" t="s">
        <v>368</v>
      </c>
      <c r="F831" s="218" t="s">
        <v>368</v>
      </c>
      <c r="G831" s="218" t="s">
        <v>368</v>
      </c>
      <c r="H831" s="218" t="s">
        <v>7665</v>
      </c>
      <c r="I831" s="218" t="s">
        <v>7666</v>
      </c>
      <c r="J831" s="218" t="s">
        <v>368</v>
      </c>
      <c r="K831" s="218" t="s">
        <v>7667</v>
      </c>
      <c r="BB831"/>
    </row>
    <row r="832" spans="1:54" x14ac:dyDescent="0.2">
      <c r="A832" s="225" t="str">
        <f t="shared" si="12"/>
        <v>Median</v>
      </c>
      <c r="B832" s="218" t="s">
        <v>403</v>
      </c>
      <c r="C832" s="251" t="s">
        <v>7668</v>
      </c>
      <c r="D832" s="218" t="s">
        <v>7669</v>
      </c>
      <c r="E832" s="218" t="s">
        <v>7670</v>
      </c>
      <c r="F832" s="218" t="s">
        <v>403</v>
      </c>
      <c r="G832" s="218" t="s">
        <v>7671</v>
      </c>
      <c r="H832" s="218" t="s">
        <v>7672</v>
      </c>
      <c r="I832" s="218" t="s">
        <v>7673</v>
      </c>
      <c r="J832" s="218" t="s">
        <v>7671</v>
      </c>
      <c r="K832" s="218" t="s">
        <v>7674</v>
      </c>
      <c r="BB832"/>
    </row>
    <row r="833" spans="1:54" x14ac:dyDescent="0.2">
      <c r="A833" s="225" t="str">
        <f t="shared" si="12"/>
        <v>Min</v>
      </c>
      <c r="B833" s="218" t="s">
        <v>369</v>
      </c>
      <c r="C833" s="251" t="s">
        <v>7751</v>
      </c>
      <c r="D833" s="218" t="s">
        <v>7751</v>
      </c>
      <c r="E833" s="218" t="s">
        <v>7752</v>
      </c>
      <c r="F833" s="218" t="s">
        <v>369</v>
      </c>
      <c r="G833" s="218" t="s">
        <v>369</v>
      </c>
      <c r="H833" s="218" t="s">
        <v>7754</v>
      </c>
      <c r="I833" s="218" t="s">
        <v>7755</v>
      </c>
      <c r="J833" s="218" t="s">
        <v>7756</v>
      </c>
      <c r="K833" s="218" t="s">
        <v>7762</v>
      </c>
      <c r="BB833"/>
    </row>
    <row r="834" spans="1:54" x14ac:dyDescent="0.2">
      <c r="A834" s="225" t="str">
        <f t="shared" si="12"/>
        <v>Mean</v>
      </c>
      <c r="B834" s="218" t="s">
        <v>370</v>
      </c>
      <c r="C834" s="218" t="s">
        <v>4742</v>
      </c>
      <c r="D834" s="218" t="s">
        <v>4742</v>
      </c>
      <c r="E834" s="218" t="s">
        <v>7753</v>
      </c>
      <c r="F834" s="218" t="s">
        <v>7760</v>
      </c>
      <c r="G834" s="218" t="s">
        <v>7761</v>
      </c>
      <c r="H834" s="218" t="s">
        <v>7757</v>
      </c>
      <c r="I834" s="218" t="s">
        <v>7758</v>
      </c>
      <c r="J834" s="218" t="s">
        <v>7759</v>
      </c>
      <c r="K834" s="218" t="s">
        <v>4841</v>
      </c>
      <c r="BB834"/>
    </row>
    <row r="835" spans="1:54" x14ac:dyDescent="0.2">
      <c r="A835" s="225" t="str">
        <f t="shared" si="12"/>
        <v>Trading Data and Size</v>
      </c>
      <c r="B835" s="218" t="s">
        <v>383</v>
      </c>
      <c r="C835" s="218" t="s">
        <v>7675</v>
      </c>
      <c r="D835" s="218" t="s">
        <v>7676</v>
      </c>
      <c r="E835" s="218" t="s">
        <v>7677</v>
      </c>
      <c r="F835" s="218" t="s">
        <v>7687</v>
      </c>
      <c r="G835" s="218" t="s">
        <v>7688</v>
      </c>
      <c r="H835" s="218" t="s">
        <v>7681</v>
      </c>
      <c r="I835" s="218" t="s">
        <v>7682</v>
      </c>
      <c r="J835" s="218" t="s">
        <v>7683</v>
      </c>
      <c r="K835" s="218" t="s">
        <v>7691</v>
      </c>
      <c r="BB835"/>
    </row>
    <row r="836" spans="1:54" x14ac:dyDescent="0.2">
      <c r="A836" s="225" t="str">
        <f t="shared" si="12"/>
        <v>Current as % of 52-Week (%)</v>
      </c>
      <c r="B836" s="218" t="s">
        <v>398</v>
      </c>
      <c r="C836" s="218" t="s">
        <v>7678</v>
      </c>
      <c r="D836" s="218" t="s">
        <v>7679</v>
      </c>
      <c r="E836" s="218" t="s">
        <v>7680</v>
      </c>
      <c r="F836" s="218" t="s">
        <v>7689</v>
      </c>
      <c r="G836" s="218" t="s">
        <v>7690</v>
      </c>
      <c r="H836" s="218" t="s">
        <v>7684</v>
      </c>
      <c r="I836" s="218" t="s">
        <v>7685</v>
      </c>
      <c r="J836" s="218" t="s">
        <v>7686</v>
      </c>
      <c r="K836" s="218" t="s">
        <v>7692</v>
      </c>
      <c r="BB836"/>
    </row>
    <row r="837" spans="1:54" x14ac:dyDescent="0.2">
      <c r="A837" s="225" t="str">
        <f t="shared" si="12"/>
        <v>Shares</v>
      </c>
      <c r="B837" s="218" t="s">
        <v>379</v>
      </c>
      <c r="C837" s="218" t="s">
        <v>7744</v>
      </c>
      <c r="D837" s="218" t="s">
        <v>7744</v>
      </c>
      <c r="E837" s="218" t="s">
        <v>7745</v>
      </c>
      <c r="F837" s="218" t="s">
        <v>7746</v>
      </c>
      <c r="G837" s="218" t="s">
        <v>7747</v>
      </c>
      <c r="H837" s="218" t="s">
        <v>4693</v>
      </c>
      <c r="I837" s="218" t="s">
        <v>7748</v>
      </c>
      <c r="J837" s="218" t="s">
        <v>7749</v>
      </c>
      <c r="K837" s="218" t="s">
        <v>7750</v>
      </c>
      <c r="BB837"/>
    </row>
    <row r="838" spans="1:54" x14ac:dyDescent="0.2">
      <c r="A838" s="225" t="str">
        <f t="shared" si="12"/>
        <v>Out.</v>
      </c>
      <c r="B838" s="218" t="s">
        <v>384</v>
      </c>
      <c r="C838" s="218" t="s">
        <v>7698</v>
      </c>
      <c r="D838" s="218" t="s">
        <v>7699</v>
      </c>
      <c r="E838" s="218" t="s">
        <v>7700</v>
      </c>
      <c r="F838" s="218" t="s">
        <v>7719</v>
      </c>
      <c r="G838" s="218" t="s">
        <v>7720</v>
      </c>
      <c r="H838" s="218" t="s">
        <v>7708</v>
      </c>
      <c r="I838" s="218" t="s">
        <v>7709</v>
      </c>
      <c r="J838" s="218" t="s">
        <v>7710</v>
      </c>
      <c r="K838" s="218" t="s">
        <v>7726</v>
      </c>
      <c r="BB838"/>
    </row>
    <row r="839" spans="1:54" x14ac:dyDescent="0.2">
      <c r="A839" s="225" t="str">
        <f t="shared" si="12"/>
        <v>Market</v>
      </c>
      <c r="B839" s="218" t="s">
        <v>380</v>
      </c>
      <c r="C839" s="218" t="s">
        <v>7701</v>
      </c>
      <c r="D839" s="218" t="s">
        <v>7701</v>
      </c>
      <c r="E839" s="218" t="s">
        <v>7702</v>
      </c>
      <c r="F839" s="218" t="s">
        <v>7721</v>
      </c>
      <c r="G839" s="218" t="s">
        <v>7722</v>
      </c>
      <c r="H839" s="218" t="s">
        <v>7711</v>
      </c>
      <c r="I839" s="218" t="s">
        <v>7712</v>
      </c>
      <c r="J839" s="218" t="s">
        <v>7713</v>
      </c>
      <c r="K839" s="218" t="s">
        <v>7727</v>
      </c>
      <c r="BB839"/>
    </row>
    <row r="840" spans="1:54" x14ac:dyDescent="0.2">
      <c r="A840" s="225" t="str">
        <f t="shared" si="12"/>
        <v>Cap</v>
      </c>
      <c r="B840" s="218" t="s">
        <v>385</v>
      </c>
      <c r="C840" s="218" t="s">
        <v>7703</v>
      </c>
      <c r="D840" s="218" t="s">
        <v>7703</v>
      </c>
      <c r="E840" s="218" t="s">
        <v>7704</v>
      </c>
      <c r="F840" s="218" t="s">
        <v>7723</v>
      </c>
      <c r="G840" s="218" t="s">
        <v>7724</v>
      </c>
      <c r="H840" s="218" t="s">
        <v>7714</v>
      </c>
      <c r="I840" s="218" t="s">
        <v>7715</v>
      </c>
      <c r="J840" s="218" t="s">
        <v>7716</v>
      </c>
      <c r="K840" s="218" t="s">
        <v>7528</v>
      </c>
      <c r="BB840"/>
    </row>
    <row r="841" spans="1:54" x14ac:dyDescent="0.2">
      <c r="A841" s="225" t="str">
        <f t="shared" ref="A841:A873" si="13">INDEX($B841:$CV841,$A$4)</f>
        <v>Enterprise</v>
      </c>
      <c r="B841" s="218" t="s">
        <v>381</v>
      </c>
      <c r="C841" s="218" t="s">
        <v>7705</v>
      </c>
      <c r="D841" s="218" t="s">
        <v>7706</v>
      </c>
      <c r="E841" s="218" t="s">
        <v>7707</v>
      </c>
      <c r="F841" s="218" t="s">
        <v>7725</v>
      </c>
      <c r="G841" s="218" t="s">
        <v>381</v>
      </c>
      <c r="H841" s="218" t="s">
        <v>7706</v>
      </c>
      <c r="I841" s="218" t="s">
        <v>7717</v>
      </c>
      <c r="J841" s="218" t="s">
        <v>7718</v>
      </c>
      <c r="K841" s="218" t="s">
        <v>7728</v>
      </c>
      <c r="BB841"/>
    </row>
    <row r="842" spans="1:54" x14ac:dyDescent="0.2">
      <c r="A842" s="225" t="str">
        <f t="shared" si="13"/>
        <v>Value</v>
      </c>
      <c r="B842" s="218" t="s">
        <v>386</v>
      </c>
      <c r="C842" s="218" t="s">
        <v>7729</v>
      </c>
      <c r="D842" s="218" t="s">
        <v>7730</v>
      </c>
      <c r="E842" s="218" t="s">
        <v>7731</v>
      </c>
      <c r="F842" s="218" t="s">
        <v>7732</v>
      </c>
      <c r="G842" s="218" t="s">
        <v>7733</v>
      </c>
      <c r="H842" s="218" t="s">
        <v>7734</v>
      </c>
      <c r="I842" s="218" t="s">
        <v>7735</v>
      </c>
      <c r="J842" s="218" t="s">
        <v>7736</v>
      </c>
      <c r="K842" s="218" t="s">
        <v>7737</v>
      </c>
      <c r="BB842"/>
    </row>
    <row r="843" spans="1:54" x14ac:dyDescent="0.2">
      <c r="A843" s="225" t="str">
        <f t="shared" si="13"/>
        <v>Leverage and Trading Multiples</v>
      </c>
      <c r="B843" s="218" t="s">
        <v>387</v>
      </c>
      <c r="C843" s="251" t="s">
        <v>4846</v>
      </c>
      <c r="D843" s="251" t="s">
        <v>4847</v>
      </c>
      <c r="E843" s="251" t="s">
        <v>4848</v>
      </c>
      <c r="F843" s="251" t="s">
        <v>4863</v>
      </c>
      <c r="G843" s="251" t="s">
        <v>4864</v>
      </c>
      <c r="H843" s="252" t="s">
        <v>4853</v>
      </c>
      <c r="I843" s="251" t="s">
        <v>4854</v>
      </c>
      <c r="J843" s="251" t="s">
        <v>4855</v>
      </c>
      <c r="K843" s="251" t="s">
        <v>4867</v>
      </c>
      <c r="BB843"/>
    </row>
    <row r="844" spans="1:54" x14ac:dyDescent="0.2">
      <c r="A844" s="225" t="str">
        <f t="shared" si="13"/>
        <v>(EBITDA-Capex)</v>
      </c>
      <c r="B844" s="218" t="s">
        <v>57</v>
      </c>
      <c r="C844" s="251" t="s">
        <v>4849</v>
      </c>
      <c r="D844" s="251" t="s">
        <v>4850</v>
      </c>
      <c r="E844" s="251" t="s">
        <v>57</v>
      </c>
      <c r="F844" s="251" t="s">
        <v>57</v>
      </c>
      <c r="G844" s="251" t="s">
        <v>57</v>
      </c>
      <c r="H844" s="252" t="s">
        <v>4856</v>
      </c>
      <c r="I844" s="251" t="s">
        <v>57</v>
      </c>
      <c r="J844" s="251" t="s">
        <v>4857</v>
      </c>
      <c r="K844" s="251" t="s">
        <v>57</v>
      </c>
      <c r="BB844"/>
    </row>
    <row r="845" spans="1:54" x14ac:dyDescent="0.2">
      <c r="A845" s="225" t="str">
        <f t="shared" si="13"/>
        <v>/Interest</v>
      </c>
      <c r="B845" s="218" t="s">
        <v>388</v>
      </c>
      <c r="C845" s="251" t="s">
        <v>4851</v>
      </c>
      <c r="D845" s="251" t="s">
        <v>4851</v>
      </c>
      <c r="E845" s="251" t="s">
        <v>4852</v>
      </c>
      <c r="F845" s="251" t="s">
        <v>4865</v>
      </c>
      <c r="G845" s="251" t="s">
        <v>8301</v>
      </c>
      <c r="H845" s="252" t="s">
        <v>4858</v>
      </c>
      <c r="I845" s="251" t="s">
        <v>4859</v>
      </c>
      <c r="J845" s="251" t="s">
        <v>4860</v>
      </c>
      <c r="K845" s="251" t="s">
        <v>4868</v>
      </c>
      <c r="BB845"/>
    </row>
    <row r="846" spans="1:54" x14ac:dyDescent="0.2">
      <c r="A846" s="225" t="str">
        <f t="shared" si="13"/>
        <v>Tot. Equity (%)</v>
      </c>
      <c r="B846" s="218" t="s">
        <v>404</v>
      </c>
      <c r="C846" s="251" t="s">
        <v>4721</v>
      </c>
      <c r="D846" s="251" t="s">
        <v>4722</v>
      </c>
      <c r="E846" s="251" t="s">
        <v>4723</v>
      </c>
      <c r="F846" s="251" t="s">
        <v>4811</v>
      </c>
      <c r="G846" s="251" t="s">
        <v>4866</v>
      </c>
      <c r="H846" s="252" t="s">
        <v>4768</v>
      </c>
      <c r="I846" s="251" t="s">
        <v>4769</v>
      </c>
      <c r="J846" s="251" t="s">
        <v>4861</v>
      </c>
      <c r="K846" s="251" t="s">
        <v>4835</v>
      </c>
      <c r="BB846"/>
    </row>
    <row r="847" spans="1:54" x14ac:dyDescent="0.2">
      <c r="A847" s="225" t="str">
        <f t="shared" si="13"/>
        <v>Total Cap (%)</v>
      </c>
      <c r="B847" s="218" t="s">
        <v>389</v>
      </c>
      <c r="C847" s="251" t="s">
        <v>4724</v>
      </c>
      <c r="D847" s="251" t="s">
        <v>4725</v>
      </c>
      <c r="E847" s="251" t="s">
        <v>4773</v>
      </c>
      <c r="F847" s="251" t="s">
        <v>4813</v>
      </c>
      <c r="G847" s="251" t="s">
        <v>4814</v>
      </c>
      <c r="H847" s="252" t="s">
        <v>4771</v>
      </c>
      <c r="I847" s="251" t="s">
        <v>4772</v>
      </c>
      <c r="J847" s="251" t="s">
        <v>4862</v>
      </c>
      <c r="K847" s="251" t="s">
        <v>4836</v>
      </c>
      <c r="BB847"/>
    </row>
    <row r="848" spans="1:54" x14ac:dyDescent="0.2">
      <c r="A848" s="225" t="str">
        <f t="shared" si="13"/>
        <v>TEV/Revenue</v>
      </c>
      <c r="B848" s="218" t="s">
        <v>399</v>
      </c>
      <c r="C848" s="215" t="s">
        <v>7646</v>
      </c>
      <c r="D848" s="218" t="s">
        <v>7647</v>
      </c>
      <c r="E848" s="215" t="s">
        <v>7648</v>
      </c>
      <c r="F848" s="215" t="s">
        <v>7649</v>
      </c>
      <c r="G848" s="215" t="s">
        <v>7650</v>
      </c>
      <c r="H848" s="215" t="s">
        <v>7651</v>
      </c>
      <c r="I848" s="215" t="s">
        <v>7652</v>
      </c>
      <c r="J848" s="215" t="s">
        <v>7653</v>
      </c>
      <c r="K848" s="215" t="s">
        <v>7654</v>
      </c>
      <c r="BB848"/>
    </row>
    <row r="849" spans="1:54" x14ac:dyDescent="0.2">
      <c r="A849" s="225" t="str">
        <f t="shared" si="13"/>
        <v>Operating Statistics</v>
      </c>
      <c r="B849" s="218" t="s">
        <v>394</v>
      </c>
      <c r="C849" s="251" t="s">
        <v>4869</v>
      </c>
      <c r="D849" s="251" t="s">
        <v>4870</v>
      </c>
      <c r="E849" s="251" t="s">
        <v>4871</v>
      </c>
      <c r="F849" s="251" t="s">
        <v>4898</v>
      </c>
      <c r="G849" s="251" t="s">
        <v>4899</v>
      </c>
      <c r="H849" s="252" t="s">
        <v>4884</v>
      </c>
      <c r="I849" s="251" t="s">
        <v>4885</v>
      </c>
      <c r="J849" s="251" t="s">
        <v>4886</v>
      </c>
      <c r="K849" s="251" t="s">
        <v>4908</v>
      </c>
      <c r="BB849"/>
    </row>
    <row r="850" spans="1:54" x14ac:dyDescent="0.2">
      <c r="A850" s="225" t="str">
        <f t="shared" si="13"/>
        <v>3-Year Historical CAGR (%)</v>
      </c>
      <c r="B850" s="218" t="s">
        <v>390</v>
      </c>
      <c r="C850" s="251" t="s">
        <v>4872</v>
      </c>
      <c r="D850" s="251" t="s">
        <v>4873</v>
      </c>
      <c r="E850" s="251" t="s">
        <v>4874</v>
      </c>
      <c r="F850" s="251" t="s">
        <v>4900</v>
      </c>
      <c r="G850" s="251" t="s">
        <v>4901</v>
      </c>
      <c r="H850" s="252" t="s">
        <v>4887</v>
      </c>
      <c r="I850" s="251" t="s">
        <v>4888</v>
      </c>
      <c r="J850" s="251" t="s">
        <v>4889</v>
      </c>
      <c r="K850" s="251" t="s">
        <v>4909</v>
      </c>
      <c r="BB850"/>
    </row>
    <row r="851" spans="1:54" x14ac:dyDescent="0.2">
      <c r="A851" s="225" t="str">
        <f t="shared" si="13"/>
        <v>LTM Margins (%)</v>
      </c>
      <c r="B851" s="218" t="s">
        <v>391</v>
      </c>
      <c r="C851" s="251" t="s">
        <v>4875</v>
      </c>
      <c r="D851" s="251" t="s">
        <v>4876</v>
      </c>
      <c r="E851" s="251" t="s">
        <v>4877</v>
      </c>
      <c r="F851" s="251" t="s">
        <v>4902</v>
      </c>
      <c r="G851" s="251" t="s">
        <v>4903</v>
      </c>
      <c r="H851" s="252" t="s">
        <v>4890</v>
      </c>
      <c r="I851" s="251" t="s">
        <v>4891</v>
      </c>
      <c r="J851" s="251" t="s">
        <v>4892</v>
      </c>
      <c r="K851" s="251" t="s">
        <v>4910</v>
      </c>
      <c r="BB851"/>
    </row>
    <row r="852" spans="1:54" x14ac:dyDescent="0.2">
      <c r="A852" s="225" t="str">
        <f t="shared" si="13"/>
        <v>Liquidity Ratios</v>
      </c>
      <c r="B852" s="218" t="s">
        <v>392</v>
      </c>
      <c r="C852" s="251" t="s">
        <v>4878</v>
      </c>
      <c r="D852" s="251" t="s">
        <v>4879</v>
      </c>
      <c r="E852" s="251" t="s">
        <v>4880</v>
      </c>
      <c r="F852" s="251" t="s">
        <v>4904</v>
      </c>
      <c r="G852" s="251" t="s">
        <v>4905</v>
      </c>
      <c r="H852" s="252" t="s">
        <v>4879</v>
      </c>
      <c r="I852" s="251" t="s">
        <v>4893</v>
      </c>
      <c r="J852" s="251" t="s">
        <v>4894</v>
      </c>
      <c r="K852" s="251" t="s">
        <v>4911</v>
      </c>
      <c r="BB852"/>
    </row>
    <row r="853" spans="1:54" x14ac:dyDescent="0.2">
      <c r="A853" s="225" t="str">
        <f t="shared" si="13"/>
        <v>LTM Activity</v>
      </c>
      <c r="B853" s="218" t="s">
        <v>393</v>
      </c>
      <c r="C853" s="251" t="s">
        <v>4881</v>
      </c>
      <c r="D853" s="251" t="s">
        <v>4882</v>
      </c>
      <c r="E853" s="251" t="s">
        <v>4883</v>
      </c>
      <c r="F853" s="251" t="s">
        <v>4906</v>
      </c>
      <c r="G853" s="251" t="s">
        <v>4907</v>
      </c>
      <c r="H853" s="252" t="s">
        <v>4895</v>
      </c>
      <c r="I853" s="251" t="s">
        <v>4896</v>
      </c>
      <c r="J853" s="251" t="s">
        <v>4897</v>
      </c>
      <c r="K853" s="251" t="s">
        <v>4912</v>
      </c>
      <c r="BB853"/>
    </row>
    <row r="854" spans="1:54" x14ac:dyDescent="0.2">
      <c r="A854" s="225" t="str">
        <f t="shared" si="13"/>
        <v>Revenue</v>
      </c>
      <c r="B854" s="218" t="s">
        <v>382</v>
      </c>
      <c r="C854" s="251" t="s">
        <v>5806</v>
      </c>
      <c r="D854" s="218" t="s">
        <v>5807</v>
      </c>
      <c r="E854" s="218" t="s">
        <v>7643</v>
      </c>
      <c r="F854" s="218" t="s">
        <v>5792</v>
      </c>
      <c r="G854" s="218" t="s">
        <v>5793</v>
      </c>
      <c r="H854" s="218" t="s">
        <v>5794</v>
      </c>
      <c r="I854" s="218" t="s">
        <v>7644</v>
      </c>
      <c r="J854" s="218" t="s">
        <v>5796</v>
      </c>
      <c r="K854" s="218" t="s">
        <v>7645</v>
      </c>
      <c r="BB854"/>
    </row>
    <row r="855" spans="1:54" x14ac:dyDescent="0.2">
      <c r="A855" s="225" t="str">
        <f t="shared" si="13"/>
        <v>DSO</v>
      </c>
      <c r="B855" s="218" t="s">
        <v>395</v>
      </c>
      <c r="C855" s="251" t="s">
        <v>4744</v>
      </c>
      <c r="D855" s="251" t="s">
        <v>4745</v>
      </c>
      <c r="E855" s="251" t="s">
        <v>4746</v>
      </c>
      <c r="F855" s="251" t="s">
        <v>395</v>
      </c>
      <c r="G855" s="251" t="s">
        <v>395</v>
      </c>
      <c r="H855" t="s">
        <v>4793</v>
      </c>
      <c r="I855" s="251" t="s">
        <v>4794</v>
      </c>
      <c r="J855" s="251" t="s">
        <v>4795</v>
      </c>
      <c r="K855" s="251" t="s">
        <v>395</v>
      </c>
      <c r="BB855"/>
    </row>
    <row r="856" spans="1:54" x14ac:dyDescent="0.2">
      <c r="A856" s="225" t="str">
        <f t="shared" si="13"/>
        <v>DPO</v>
      </c>
      <c r="B856" s="218" t="s">
        <v>396</v>
      </c>
      <c r="C856" s="251" t="s">
        <v>4750</v>
      </c>
      <c r="D856" s="251" t="s">
        <v>4751</v>
      </c>
      <c r="E856" s="251" t="s">
        <v>4913</v>
      </c>
      <c r="F856" s="251" t="s">
        <v>396</v>
      </c>
      <c r="G856" s="251" t="s">
        <v>396</v>
      </c>
      <c r="H856" t="s">
        <v>4799</v>
      </c>
      <c r="I856" s="251" t="s">
        <v>4797</v>
      </c>
      <c r="J856" s="251" t="s">
        <v>4801</v>
      </c>
      <c r="K856" s="251" t="s">
        <v>396</v>
      </c>
      <c r="BB856"/>
    </row>
    <row r="857" spans="1:54" x14ac:dyDescent="0.2">
      <c r="A857" s="225" t="str">
        <f t="shared" si="13"/>
        <v>DIO</v>
      </c>
      <c r="B857" s="218" t="s">
        <v>397</v>
      </c>
      <c r="C857" s="251" t="s">
        <v>4747</v>
      </c>
      <c r="D857" s="251" t="s">
        <v>4748</v>
      </c>
      <c r="E857" s="251" t="s">
        <v>4749</v>
      </c>
      <c r="F857" s="251" t="s">
        <v>397</v>
      </c>
      <c r="G857" s="251" t="s">
        <v>397</v>
      </c>
      <c r="H857" t="s">
        <v>4796</v>
      </c>
      <c r="I857" s="251" t="s">
        <v>4800</v>
      </c>
      <c r="J857" s="251" t="s">
        <v>4798</v>
      </c>
      <c r="K857" s="251" t="s">
        <v>397</v>
      </c>
      <c r="BB857"/>
    </row>
    <row r="858" spans="1:54" x14ac:dyDescent="0.2">
      <c r="A858" s="225" t="str">
        <f t="shared" si="13"/>
        <v>FY</v>
      </c>
      <c r="B858" s="218" t="s">
        <v>343</v>
      </c>
      <c r="C858" s="251" t="s">
        <v>4914</v>
      </c>
      <c r="D858" s="251" t="s">
        <v>4915</v>
      </c>
      <c r="E858" s="251" t="s">
        <v>4916</v>
      </c>
      <c r="F858" s="251" t="s">
        <v>4919</v>
      </c>
      <c r="G858" s="251" t="s">
        <v>343</v>
      </c>
      <c r="H858" s="252" t="s">
        <v>343</v>
      </c>
      <c r="I858" s="251" t="s">
        <v>4917</v>
      </c>
      <c r="J858" s="251" t="s">
        <v>4918</v>
      </c>
      <c r="K858" s="251" t="s">
        <v>343</v>
      </c>
      <c r="BB858"/>
    </row>
    <row r="859" spans="1:54" x14ac:dyDescent="0.2">
      <c r="A859" s="225" t="str">
        <f t="shared" si="13"/>
        <v>CY+1</v>
      </c>
      <c r="B859" s="218" t="s">
        <v>345</v>
      </c>
      <c r="C859" s="251" t="s">
        <v>345</v>
      </c>
      <c r="D859" s="218" t="s">
        <v>345</v>
      </c>
      <c r="E859" s="218" t="s">
        <v>7631</v>
      </c>
      <c r="F859" s="218" t="s">
        <v>7632</v>
      </c>
      <c r="G859" s="218" t="s">
        <v>7633</v>
      </c>
      <c r="H859" s="218" t="s">
        <v>7634</v>
      </c>
      <c r="I859" s="218" t="s">
        <v>7635</v>
      </c>
      <c r="J859" s="218" t="s">
        <v>7636</v>
      </c>
      <c r="K859" s="218" t="s">
        <v>345</v>
      </c>
      <c r="BB859"/>
    </row>
    <row r="860" spans="1:54" x14ac:dyDescent="0.2">
      <c r="A860" s="225" t="str">
        <f t="shared" si="13"/>
        <v>CY+2</v>
      </c>
      <c r="B860" s="218" t="s">
        <v>346</v>
      </c>
      <c r="C860" s="251" t="s">
        <v>346</v>
      </c>
      <c r="D860" s="218" t="s">
        <v>346</v>
      </c>
      <c r="E860" s="218" t="s">
        <v>7637</v>
      </c>
      <c r="F860" s="218" t="s">
        <v>7638</v>
      </c>
      <c r="G860" s="218" t="s">
        <v>7639</v>
      </c>
      <c r="H860" s="218" t="s">
        <v>7640</v>
      </c>
      <c r="I860" s="218" t="s">
        <v>7641</v>
      </c>
      <c r="J860" s="218" t="s">
        <v>7642</v>
      </c>
      <c r="K860" s="218" t="s">
        <v>346</v>
      </c>
      <c r="BB860"/>
    </row>
    <row r="861" spans="1:54" x14ac:dyDescent="0.2">
      <c r="A861" s="225" t="str">
        <f t="shared" si="13"/>
        <v>FY-2</v>
      </c>
      <c r="B861" s="218" t="s">
        <v>349</v>
      </c>
      <c r="C861" s="251" t="s">
        <v>4920</v>
      </c>
      <c r="D861" s="251" t="s">
        <v>4921</v>
      </c>
      <c r="E861" s="251" t="s">
        <v>8302</v>
      </c>
      <c r="F861" s="251" t="s">
        <v>4940</v>
      </c>
      <c r="G861" s="251" t="s">
        <v>349</v>
      </c>
      <c r="H861" s="252" t="s">
        <v>349</v>
      </c>
      <c r="I861" s="251" t="s">
        <v>4930</v>
      </c>
      <c r="J861" s="251" t="s">
        <v>4931</v>
      </c>
      <c r="K861" s="251" t="s">
        <v>349</v>
      </c>
      <c r="BB861"/>
    </row>
    <row r="862" spans="1:54" x14ac:dyDescent="0.2">
      <c r="A862" s="225" t="str">
        <f t="shared" si="13"/>
        <v>FY-1</v>
      </c>
      <c r="B862" s="218" t="s">
        <v>350</v>
      </c>
      <c r="C862" s="251" t="s">
        <v>4922</v>
      </c>
      <c r="D862" s="251" t="s">
        <v>4923</v>
      </c>
      <c r="E862" s="251" t="s">
        <v>8303</v>
      </c>
      <c r="F862" s="251" t="s">
        <v>4941</v>
      </c>
      <c r="G862" s="251" t="s">
        <v>350</v>
      </c>
      <c r="H862" s="252" t="s">
        <v>350</v>
      </c>
      <c r="I862" s="251" t="s">
        <v>4932</v>
      </c>
      <c r="J862" s="251" t="s">
        <v>4933</v>
      </c>
      <c r="K862" s="251" t="s">
        <v>350</v>
      </c>
      <c r="BB862"/>
    </row>
    <row r="863" spans="1:54" x14ac:dyDescent="0.2">
      <c r="A863" s="225" t="str">
        <f t="shared" si="13"/>
        <v>5-Yr CAGR</v>
      </c>
      <c r="B863" s="218" t="s">
        <v>351</v>
      </c>
      <c r="C863" s="251" t="s">
        <v>4924</v>
      </c>
      <c r="D863" s="251" t="s">
        <v>4925</v>
      </c>
      <c r="E863" s="251" t="s">
        <v>4926</v>
      </c>
      <c r="F863" s="251" t="s">
        <v>4942</v>
      </c>
      <c r="G863" s="251" t="s">
        <v>4943</v>
      </c>
      <c r="H863" s="252" t="s">
        <v>4934</v>
      </c>
      <c r="I863" s="251" t="s">
        <v>4935</v>
      </c>
      <c r="J863" s="251" t="s">
        <v>4936</v>
      </c>
      <c r="K863" s="251" t="s">
        <v>4946</v>
      </c>
      <c r="BB863"/>
    </row>
    <row r="864" spans="1:54" x14ac:dyDescent="0.2">
      <c r="A864" s="225" t="str">
        <f t="shared" si="13"/>
        <v>3-Yr CAGR</v>
      </c>
      <c r="B864" s="218" t="s">
        <v>352</v>
      </c>
      <c r="C864" s="251" t="s">
        <v>4927</v>
      </c>
      <c r="D864" s="251" t="s">
        <v>4928</v>
      </c>
      <c r="E864" s="251" t="s">
        <v>4929</v>
      </c>
      <c r="F864" s="251" t="s">
        <v>4944</v>
      </c>
      <c r="G864" s="251" t="s">
        <v>4945</v>
      </c>
      <c r="H864" s="252" t="s">
        <v>4937</v>
      </c>
      <c r="I864" s="251" t="s">
        <v>4938</v>
      </c>
      <c r="J864" s="251" t="s">
        <v>4939</v>
      </c>
      <c r="K864" s="251" t="s">
        <v>4947</v>
      </c>
      <c r="BB864"/>
    </row>
    <row r="865" spans="1:54" x14ac:dyDescent="0.2">
      <c r="A865" s="225" t="str">
        <f t="shared" si="13"/>
        <v>INCOME STATEMENT (Contd.)</v>
      </c>
      <c r="B865" s="218" t="s">
        <v>631</v>
      </c>
      <c r="C865" s="251" t="s">
        <v>7623</v>
      </c>
      <c r="D865" s="218" t="s">
        <v>7624</v>
      </c>
      <c r="E865" s="218" t="s">
        <v>7625</v>
      </c>
      <c r="F865" s="218" t="s">
        <v>7626</v>
      </c>
      <c r="G865" s="218" t="s">
        <v>7627</v>
      </c>
      <c r="H865" s="218" t="s">
        <v>7628</v>
      </c>
      <c r="I865" s="218" t="s">
        <v>6436</v>
      </c>
      <c r="J865" s="218" t="s">
        <v>7629</v>
      </c>
      <c r="K865" s="218" t="s">
        <v>7630</v>
      </c>
      <c r="BB865"/>
    </row>
    <row r="866" spans="1:54" x14ac:dyDescent="0.2">
      <c r="A866" s="225" t="str">
        <f t="shared" si="13"/>
        <v>FYE</v>
      </c>
      <c r="B866" s="218" t="s">
        <v>334</v>
      </c>
      <c r="C866" s="251" t="s">
        <v>4948</v>
      </c>
      <c r="D866" s="251" t="s">
        <v>4949</v>
      </c>
      <c r="E866" s="251" t="s">
        <v>4950</v>
      </c>
      <c r="F866" s="251" t="s">
        <v>4960</v>
      </c>
      <c r="G866" s="251" t="s">
        <v>334</v>
      </c>
      <c r="H866" s="252" t="s">
        <v>4954</v>
      </c>
      <c r="I866" s="251" t="s">
        <v>4955</v>
      </c>
      <c r="J866" s="251" t="s">
        <v>4956</v>
      </c>
      <c r="K866" s="251" t="s">
        <v>334</v>
      </c>
      <c r="BB866"/>
    </row>
    <row r="867" spans="1:54" x14ac:dyDescent="0.2">
      <c r="A867" s="225" t="str">
        <f t="shared" si="13"/>
        <v>Trading Currency</v>
      </c>
      <c r="B867" s="218" t="s">
        <v>844</v>
      </c>
      <c r="C867" s="251" t="s">
        <v>4951</v>
      </c>
      <c r="D867" s="251" t="s">
        <v>4952</v>
      </c>
      <c r="E867" s="251" t="s">
        <v>4953</v>
      </c>
      <c r="F867" s="251" t="s">
        <v>4961</v>
      </c>
      <c r="G867" s="251" t="s">
        <v>4962</v>
      </c>
      <c r="H867" s="252" t="s">
        <v>4957</v>
      </c>
      <c r="I867" s="251" t="s">
        <v>4958</v>
      </c>
      <c r="J867" s="251" t="s">
        <v>4959</v>
      </c>
      <c r="K867" s="251" t="s">
        <v>4963</v>
      </c>
      <c r="BB867"/>
    </row>
    <row r="868" spans="1:54" x14ac:dyDescent="0.2">
      <c r="A868" s="225" t="str">
        <f>INDEX($B868:$CV868,$A$4)</f>
        <v>(EBITDA, Excl. Operating Leases-CAPEX)/Interest Exp.</v>
      </c>
      <c r="B868" s="218" t="s">
        <v>8189</v>
      </c>
      <c r="C868" s="218" t="s">
        <v>8194</v>
      </c>
      <c r="D868" s="218" t="s">
        <v>8195</v>
      </c>
      <c r="E868" s="218" t="s">
        <v>8196</v>
      </c>
      <c r="F868" s="218" t="s">
        <v>8197</v>
      </c>
      <c r="G868" s="218" t="s">
        <v>8198</v>
      </c>
      <c r="H868" s="218" t="s">
        <v>8199</v>
      </c>
      <c r="I868" s="218" t="s">
        <v>8200</v>
      </c>
      <c r="J868" s="218" t="s">
        <v>8201</v>
      </c>
      <c r="K868" s="218" t="s">
        <v>8202</v>
      </c>
    </row>
    <row r="869" spans="1:54" x14ac:dyDescent="0.2">
      <c r="A869" s="225" t="str">
        <f t="shared" si="13"/>
        <v>EBITDA, Excl. Operating Leases/Interest Expense</v>
      </c>
      <c r="B869" s="218" t="s">
        <v>8188</v>
      </c>
      <c r="C869" t="s">
        <v>8203</v>
      </c>
      <c r="D869" t="s">
        <v>8204</v>
      </c>
      <c r="E869" t="s">
        <v>8205</v>
      </c>
      <c r="F869" t="s">
        <v>8206</v>
      </c>
      <c r="G869" t="s">
        <v>8207</v>
      </c>
      <c r="H869" t="s">
        <v>8208</v>
      </c>
      <c r="I869" t="s">
        <v>8209</v>
      </c>
      <c r="J869" t="s">
        <v>8210</v>
      </c>
      <c r="K869" t="s">
        <v>8211</v>
      </c>
    </row>
    <row r="870" spans="1:54" x14ac:dyDescent="0.2">
      <c r="A870" s="225" t="str">
        <f t="shared" si="13"/>
        <v>Net Debt/(EBITDA, Excl. Operating Leases - CAPEX)</v>
      </c>
      <c r="B870" s="218" t="s">
        <v>8193</v>
      </c>
      <c r="C870" t="s">
        <v>8212</v>
      </c>
      <c r="D870" t="s">
        <v>8213</v>
      </c>
      <c r="E870" t="s">
        <v>8214</v>
      </c>
      <c r="F870" t="s">
        <v>8215</v>
      </c>
      <c r="G870" t="s">
        <v>8216</v>
      </c>
      <c r="H870" t="s">
        <v>8217</v>
      </c>
      <c r="I870" t="s">
        <v>8218</v>
      </c>
      <c r="J870" t="s">
        <v>8219</v>
      </c>
      <c r="K870" t="s">
        <v>8220</v>
      </c>
    </row>
    <row r="871" spans="1:54" x14ac:dyDescent="0.2">
      <c r="A871" s="225" t="str">
        <f t="shared" si="13"/>
        <v>Net Debt/EBITDA, Excl. Operating Leases</v>
      </c>
      <c r="B871" s="218" t="s">
        <v>8191</v>
      </c>
      <c r="C871" t="s">
        <v>8221</v>
      </c>
      <c r="D871" t="s">
        <v>8222</v>
      </c>
      <c r="E871" t="s">
        <v>8223</v>
      </c>
      <c r="F871" t="s">
        <v>8224</v>
      </c>
      <c r="G871" t="s">
        <v>8225</v>
      </c>
      <c r="H871" t="s">
        <v>8226</v>
      </c>
      <c r="I871" t="s">
        <v>8227</v>
      </c>
      <c r="J871" t="s">
        <v>8228</v>
      </c>
      <c r="K871" t="s">
        <v>8229</v>
      </c>
    </row>
    <row r="872" spans="1:54" x14ac:dyDescent="0.2">
      <c r="A872" s="225" t="str">
        <f t="shared" si="13"/>
        <v>Total Debt / EBITDA, Excl. Operating Leases</v>
      </c>
      <c r="B872" s="218" t="s">
        <v>8190</v>
      </c>
      <c r="C872" t="s">
        <v>8230</v>
      </c>
      <c r="D872" t="s">
        <v>8231</v>
      </c>
      <c r="E872" t="s">
        <v>8232</v>
      </c>
      <c r="F872" t="s">
        <v>8233</v>
      </c>
      <c r="G872" t="s">
        <v>8234</v>
      </c>
      <c r="H872" t="s">
        <v>8235</v>
      </c>
      <c r="I872" t="s">
        <v>8236</v>
      </c>
      <c r="J872" t="s">
        <v>8237</v>
      </c>
      <c r="K872" t="s">
        <v>8238</v>
      </c>
    </row>
    <row r="873" spans="1:54" x14ac:dyDescent="0.2">
      <c r="A873" s="225" t="str">
        <f t="shared" si="13"/>
        <v>Total Debt/(EBITDA, Excl. Operating Leases - CAPEX)</v>
      </c>
      <c r="B873" s="218" t="s">
        <v>8192</v>
      </c>
      <c r="C873" t="s">
        <v>8239</v>
      </c>
      <c r="D873" t="s">
        <v>8240</v>
      </c>
      <c r="E873" t="s">
        <v>8241</v>
      </c>
      <c r="F873" t="s">
        <v>8242</v>
      </c>
      <c r="G873" t="s">
        <v>8243</v>
      </c>
      <c r="H873" t="s">
        <v>8244</v>
      </c>
      <c r="I873" t="s">
        <v>8245</v>
      </c>
      <c r="J873" t="s">
        <v>8246</v>
      </c>
      <c r="K873" t="s">
        <v>8247</v>
      </c>
    </row>
    <row r="874" spans="1:54" x14ac:dyDescent="0.2">
      <c r="A874" s="225"/>
      <c r="C874"/>
      <c r="D874"/>
      <c r="E874"/>
      <c r="F874"/>
      <c r="G874"/>
      <c r="H874"/>
      <c r="I874"/>
      <c r="J874"/>
      <c r="K874"/>
    </row>
  </sheetData>
  <pageMargins left="0.7" right="0.7" top="0.75" bottom="0.75" header="0.3" footer="0.3"/>
  <pageSetup orientation="portrait" horizontalDpi="90" verticalDpi="90" r:id="rId1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1F65D8D85C643B279395178BBB636" ma:contentTypeVersion="10" ma:contentTypeDescription="Create a new document." ma:contentTypeScope="" ma:versionID="5485f5b32512d653f7453980de4c8998">
  <xsd:schema xmlns:xsd="http://www.w3.org/2001/XMLSchema" xmlns:xs="http://www.w3.org/2001/XMLSchema" xmlns:p="http://schemas.microsoft.com/office/2006/metadata/properties" xmlns:ns3="d0640473-7254-4dee-a68e-1aa7dfe87080" targetNamespace="http://schemas.microsoft.com/office/2006/metadata/properties" ma:root="true" ma:fieldsID="840fc2309eebaf0bed357e94e47325f3" ns3:_="">
    <xsd:import namespace="d0640473-7254-4dee-a68e-1aa7dfe870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40473-7254-4dee-a68e-1aa7dfe87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B6BFC5-2350-491A-A2BD-DF7D1D851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655590-134C-4BB6-A148-E23000AF82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7BD9CC6-B147-4C24-8FF1-F5911A43A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40473-7254-4dee-a68e-1aa7dfe8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Financial Statements</vt:lpstr>
      <vt:lpstr>Common Size</vt:lpstr>
      <vt:lpstr>Detailed Comps</vt:lpstr>
      <vt:lpstr>Summary Comps</vt:lpstr>
      <vt:lpstr>Language Index</vt:lpstr>
      <vt:lpstr>Ccy</vt:lpstr>
      <vt:lpstr>Conv</vt:lpstr>
      <vt:lpstr>'Common Size'!Print_Area</vt:lpstr>
      <vt:lpstr>'Detailed Comps'!Print_Area</vt:lpstr>
      <vt:lpstr>'Financial Statements'!Print_Area</vt:lpstr>
      <vt:lpstr>'Summary Comps'!Print_Area</vt:lpstr>
      <vt:lpstr>'Common Size'!Print_Titles</vt:lpstr>
      <vt:lpstr>'Detailed Comps'!Print_Titles</vt:lpstr>
      <vt:lpstr>'Financial Statements'!Print_Titles</vt:lpstr>
      <vt:lpstr>'Summary Comps'!Print_Titles</vt:lpstr>
    </vt:vector>
  </TitlesOfParts>
  <Manager>Capital IQ, Inc.</Manager>
  <Company>Capital IQ,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IQ, Inc.</dc:creator>
  <cp:lastModifiedBy>Patrik Šmid</cp:lastModifiedBy>
  <cp:lastPrinted>2012-06-05T17:05:55Z</cp:lastPrinted>
  <dcterms:created xsi:type="dcterms:W3CDTF">2002-03-18T23:28:38Z</dcterms:created>
  <dcterms:modified xsi:type="dcterms:W3CDTF">2026-03-06T21:18:07Z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{B4D9AC75-597D-4044-A6A8-5AE76CDFFFDC}</vt:lpwstr>
  </property>
  <property fmtid="{D5CDD505-2E9C-101B-9397-08002B2CF9AE}" pid="3" name="ContentTypeId">
    <vt:lpwstr>0x010100BA41F65D8D85C643B279395178BBB636</vt:lpwstr>
  </property>
</Properties>
</file>