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mros\OneDrive\Documents\00 CAMBRIDGE WORK\09 Thesis\Software\"/>
    </mc:Choice>
  </mc:AlternateContent>
  <xr:revisionPtr revIDLastSave="0" documentId="13_ncr:1_{311759C5-B560-467E-8F64-5FF135D32C49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Axial" sheetId="1" r:id="rId1"/>
    <sheet name="Centrifugal" sheetId="2" r:id="rId2"/>
    <sheet name="HX" sheetId="3" r:id="rId3"/>
    <sheet name="Combin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" l="1"/>
  <c r="G15" i="2"/>
  <c r="D15" i="2"/>
  <c r="C15" i="5"/>
  <c r="C16" i="5"/>
  <c r="B15" i="5"/>
  <c r="B16" i="5"/>
  <c r="C8" i="5"/>
  <c r="C9" i="5"/>
  <c r="C10" i="5"/>
  <c r="C11" i="5"/>
  <c r="C12" i="5"/>
  <c r="C13" i="5"/>
  <c r="B10" i="5"/>
  <c r="B11" i="5"/>
  <c r="B12" i="5"/>
  <c r="B13" i="5"/>
  <c r="B9" i="5"/>
  <c r="B8" i="5"/>
  <c r="C3" i="5"/>
  <c r="C4" i="5"/>
  <c r="C5" i="5"/>
  <c r="C6" i="5"/>
  <c r="B4" i="5"/>
  <c r="B5" i="5"/>
  <c r="B6" i="5"/>
  <c r="B3" i="5"/>
  <c r="V4" i="3"/>
  <c r="V5" i="3"/>
  <c r="V3" i="3"/>
  <c r="U4" i="3"/>
  <c r="U5" i="3"/>
  <c r="U3" i="3"/>
  <c r="T3" i="3" a="1"/>
  <c r="T3" i="3" s="1"/>
  <c r="S4" i="3"/>
  <c r="S5" i="3"/>
  <c r="S3" i="3"/>
  <c r="R3" i="3" a="1"/>
  <c r="R3" i="3" s="1"/>
  <c r="Q4" i="3"/>
  <c r="Q5" i="3"/>
  <c r="Q3" i="3"/>
  <c r="P4" i="3"/>
  <c r="P5" i="3"/>
  <c r="P3" i="3"/>
  <c r="O4" i="3"/>
  <c r="O5" i="3"/>
  <c r="O3" i="3"/>
  <c r="N4" i="3"/>
  <c r="N5" i="3"/>
  <c r="N3" i="3"/>
  <c r="M4" i="3"/>
  <c r="M5" i="3"/>
  <c r="M3" i="3"/>
  <c r="L17" i="2"/>
  <c r="M17" i="2"/>
  <c r="L18" i="2"/>
  <c r="M18" i="2"/>
  <c r="L19" i="2"/>
  <c r="M19" i="2"/>
  <c r="L20" i="2"/>
  <c r="M20" i="2"/>
  <c r="L21" i="2"/>
  <c r="M21" i="2"/>
  <c r="M14" i="2"/>
  <c r="L14" i="2"/>
  <c r="P13" i="1"/>
  <c r="P14" i="1"/>
  <c r="P15" i="1"/>
  <c r="P12" i="1"/>
  <c r="O13" i="1"/>
  <c r="O14" i="1"/>
  <c r="O15" i="1"/>
  <c r="O12" i="1"/>
  <c r="I43" i="3"/>
  <c r="I42" i="3"/>
  <c r="I41" i="3"/>
  <c r="G38" i="3"/>
  <c r="G37" i="3"/>
  <c r="I35" i="3"/>
  <c r="I34" i="3"/>
  <c r="I33" i="3"/>
  <c r="G29" i="3"/>
  <c r="G30" i="3" s="1"/>
  <c r="I27" i="3"/>
  <c r="G21" i="3"/>
  <c r="G22" i="3" s="1"/>
  <c r="I26" i="3"/>
  <c r="I25" i="3"/>
  <c r="G17" i="3"/>
  <c r="G11" i="3"/>
  <c r="G16" i="3"/>
  <c r="D51" i="3"/>
  <c r="D53" i="3"/>
  <c r="D52" i="3"/>
  <c r="D45" i="3"/>
  <c r="D44" i="3"/>
  <c r="D43" i="3"/>
  <c r="D36" i="3"/>
  <c r="D35" i="3"/>
  <c r="D34" i="3"/>
  <c r="D27" i="3"/>
  <c r="D26" i="3"/>
  <c r="D25" i="3"/>
  <c r="B16" i="3"/>
  <c r="B17" i="3" s="1"/>
  <c r="B48" i="3"/>
  <c r="B40" i="3"/>
  <c r="J22" i="2"/>
  <c r="J15" i="2"/>
  <c r="J21" i="2"/>
  <c r="J20" i="2"/>
  <c r="J19" i="2"/>
  <c r="J18" i="2"/>
  <c r="J17" i="2"/>
  <c r="J14" i="2"/>
  <c r="G21" i="2"/>
  <c r="G20" i="2"/>
  <c r="G19" i="2"/>
  <c r="G18" i="2"/>
  <c r="G17" i="2"/>
  <c r="G14" i="2"/>
  <c r="D17" i="2"/>
  <c r="D18" i="2"/>
  <c r="D19" i="2"/>
  <c r="D20" i="2"/>
  <c r="D21" i="2"/>
  <c r="D14" i="2"/>
  <c r="M15" i="1"/>
  <c r="M14" i="1"/>
  <c r="M13" i="1"/>
  <c r="M12" i="1"/>
  <c r="J15" i="1"/>
  <c r="J14" i="1"/>
  <c r="J13" i="1"/>
  <c r="J12" i="1"/>
  <c r="G15" i="1"/>
  <c r="G14" i="1"/>
  <c r="G13" i="1"/>
  <c r="G12" i="1"/>
  <c r="K13" i="1"/>
  <c r="H13" i="1"/>
  <c r="E13" i="1"/>
  <c r="D13" i="1"/>
  <c r="D14" i="1"/>
  <c r="D15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<sst xmlns="http://schemas.openxmlformats.org/spreadsheetml/2006/main" count="203" uniqueCount="79">
  <si>
    <t>NASA rotor 37</t>
  </si>
  <si>
    <t>Calculated</t>
  </si>
  <si>
    <t>Flow coeff</t>
  </si>
  <si>
    <t>Work coeff (head rise coeff)</t>
  </si>
  <si>
    <t>Actual</t>
  </si>
  <si>
    <t>Pressure rise</t>
  </si>
  <si>
    <t>Inlet temperature</t>
  </si>
  <si>
    <t>Mass flow</t>
  </si>
  <si>
    <t>Inlet pressure</t>
  </si>
  <si>
    <t>Speed</t>
  </si>
  <si>
    <t>Tip radius</t>
  </si>
  <si>
    <t>Hub radius</t>
  </si>
  <si>
    <t>Mean radius</t>
  </si>
  <si>
    <t>https://ntrs.nasa.gov/api/citations/19820011348/downloads/19820011348.pdf</t>
  </si>
  <si>
    <t>Stage efficiency</t>
  </si>
  <si>
    <t>Error</t>
  </si>
  <si>
    <t>https://ntrs.nasa.gov/api/citations/19870008266/downloads/19870008266.pdf</t>
  </si>
  <si>
    <t>NASA 5-stage compressor #1</t>
  </si>
  <si>
    <t>NASA 5-stage compressor #2</t>
  </si>
  <si>
    <t>NASA 5-stage compressor #3</t>
  </si>
  <si>
    <t>Table 3https://ntrs.nasa.gov/api/citations/20100022146/downloads/20100022146.pdf</t>
  </si>
  <si>
    <t>Diffuser ratio</t>
  </si>
  <si>
    <t>Inlet hub radius</t>
  </si>
  <si>
    <t>Inlet mean radius</t>
  </si>
  <si>
    <t>Inlet tip radius</t>
  </si>
  <si>
    <t>Outlet tip radius</t>
  </si>
  <si>
    <t>Diffuser tip radius</t>
  </si>
  <si>
    <t>Outlet blade height</t>
  </si>
  <si>
    <t>https://asmedigitalcollection.asme.org/turbomachinery/article/140/5/051001/378348/A-New-Approach-for-Centrifugal-Impeller</t>
  </si>
  <si>
    <t>Carne's impeller</t>
  </si>
  <si>
    <t>LSCC</t>
  </si>
  <si>
    <t>https://arc.aiaa.org/doi/pdf/10.2514/6.1983-1351</t>
  </si>
  <si>
    <t>Rotor efficiency</t>
  </si>
  <si>
    <t>Rotor exit angle</t>
  </si>
  <si>
    <t>https://www.tandfonline.com/doi/epdf/10.1080/01457630590897033?needAccess=true&amp;role=button</t>
  </si>
  <si>
    <t>Wall thickness</t>
  </si>
  <si>
    <t>Channel height</t>
  </si>
  <si>
    <t>Tube diameter</t>
  </si>
  <si>
    <t>Pitch-diameter ratio</t>
  </si>
  <si>
    <t>Geometry</t>
  </si>
  <si>
    <t>Wall</t>
  </si>
  <si>
    <t>Wall thermal conductivity</t>
  </si>
  <si>
    <t>Delta T</t>
  </si>
  <si>
    <t>Number of channels</t>
  </si>
  <si>
    <t>Channel length</t>
  </si>
  <si>
    <t>Water T</t>
  </si>
  <si>
    <t>Air pressure</t>
  </si>
  <si>
    <t>Air T in</t>
  </si>
  <si>
    <t>W/m2K</t>
  </si>
  <si>
    <t>Reynolds number</t>
  </si>
  <si>
    <t>Pressure drop</t>
  </si>
  <si>
    <t>m3/h</t>
  </si>
  <si>
    <t>Water volumetric flow</t>
  </si>
  <si>
    <t>Water flow speed</t>
  </si>
  <si>
    <t>Pa</t>
  </si>
  <si>
    <t>Air velocity</t>
  </si>
  <si>
    <t>kg/s</t>
  </si>
  <si>
    <t>Cooling power</t>
  </si>
  <si>
    <t>Surface area</t>
  </si>
  <si>
    <t>m/s</t>
  </si>
  <si>
    <t>W</t>
  </si>
  <si>
    <t>m3/s</t>
  </si>
  <si>
    <t>Delta T in</t>
  </si>
  <si>
    <t>LMTD</t>
  </si>
  <si>
    <t>https://www.sciencedirect.com/science/article/pii/S0894177710001093</t>
  </si>
  <si>
    <t>Nu factor</t>
  </si>
  <si>
    <t>Pressure drop factor</t>
  </si>
  <si>
    <t>Avg error</t>
  </si>
  <si>
    <t>Average error</t>
  </si>
  <si>
    <t>Range error</t>
  </si>
  <si>
    <t>Heat transfer coefficient</t>
  </si>
  <si>
    <t>Combined errors</t>
  </si>
  <si>
    <t>Average</t>
  </si>
  <si>
    <t>Standard dev</t>
  </si>
  <si>
    <t>Axial</t>
  </si>
  <si>
    <t>Centrifugal</t>
  </si>
  <si>
    <t>Heat exchanger</t>
  </si>
  <si>
    <t>Centrifugal efficiency</t>
  </si>
  <si>
    <t>Axial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</si>
</sst>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medigitalcollection.asme.org/turbomachinery/article/140/5/051001/378348/A-New-Approach-for-Centrifugal-Impell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2" sqref="B2"/>
    </sheetView>
  </sheetViews>
  <sheetFormatPr defaultRowHeight="14.25" x14ac:dyDescent="0.45"/>
  <cols>
    <col min="1" max="1" width="22.796875" bestFit="1" customWidth="1"/>
    <col min="5" max="5" width="12.19921875" bestFit="1" customWidth="1"/>
  </cols>
  <sheetData>
    <row r="1" spans="1:16" x14ac:dyDescent="0.45">
      <c r="E1" t="s">
        <v>16</v>
      </c>
    </row>
    <row r="2" spans="1:16" x14ac:dyDescent="0.45">
      <c r="B2" t="s">
        <v>0</v>
      </c>
      <c r="D2" t="s">
        <v>13</v>
      </c>
      <c r="E2" t="s">
        <v>17</v>
      </c>
      <c r="H2" t="s">
        <v>18</v>
      </c>
      <c r="K2" t="s">
        <v>19</v>
      </c>
    </row>
    <row r="3" spans="1:16" x14ac:dyDescent="0.45">
      <c r="B3" t="s">
        <v>4</v>
      </c>
      <c r="C3" t="s">
        <v>1</v>
      </c>
      <c r="D3" t="s">
        <v>15</v>
      </c>
      <c r="E3" t="s">
        <v>4</v>
      </c>
      <c r="F3" t="s">
        <v>1</v>
      </c>
      <c r="G3" t="s">
        <v>15</v>
      </c>
      <c r="H3" t="s">
        <v>4</v>
      </c>
      <c r="I3" t="s">
        <v>1</v>
      </c>
      <c r="J3" t="s">
        <v>15</v>
      </c>
      <c r="K3" t="s">
        <v>4</v>
      </c>
      <c r="L3" t="s">
        <v>1</v>
      </c>
      <c r="M3" t="s">
        <v>15</v>
      </c>
    </row>
    <row r="4" spans="1:16" x14ac:dyDescent="0.45">
      <c r="A4" t="s">
        <v>2</v>
      </c>
      <c r="B4">
        <v>0.44700000000000001</v>
      </c>
      <c r="C4">
        <v>0.44700000000000001</v>
      </c>
      <c r="E4">
        <v>0.46400000000000002</v>
      </c>
      <c r="H4">
        <v>0.47699999999999998</v>
      </c>
      <c r="K4">
        <v>0.48399999999999999</v>
      </c>
    </row>
    <row r="5" spans="1:16" x14ac:dyDescent="0.45">
      <c r="A5" t="s">
        <v>3</v>
      </c>
      <c r="B5">
        <v>0.33300000000000002</v>
      </c>
      <c r="C5">
        <v>0.33300000000000002</v>
      </c>
      <c r="E5">
        <v>0.26900000000000002</v>
      </c>
      <c r="H5">
        <v>0.312</v>
      </c>
      <c r="K5">
        <v>0.35</v>
      </c>
    </row>
    <row r="6" spans="1:16" x14ac:dyDescent="0.45">
      <c r="A6" t="s">
        <v>5</v>
      </c>
      <c r="B6">
        <v>1.82</v>
      </c>
      <c r="C6">
        <v>1.82</v>
      </c>
      <c r="E6">
        <v>1.7430000000000001</v>
      </c>
      <c r="H6">
        <v>1.6539999999999999</v>
      </c>
      <c r="K6">
        <v>1.581</v>
      </c>
    </row>
    <row r="7" spans="1:16" x14ac:dyDescent="0.45">
      <c r="A7" t="s">
        <v>9</v>
      </c>
      <c r="B7">
        <v>17188.7</v>
      </c>
      <c r="C7">
        <v>17188.7</v>
      </c>
      <c r="E7">
        <v>16042.3</v>
      </c>
      <c r="H7">
        <v>16042.3</v>
      </c>
      <c r="K7">
        <v>16042.3</v>
      </c>
    </row>
    <row r="8" spans="1:16" x14ac:dyDescent="0.45">
      <c r="A8" t="s">
        <v>7</v>
      </c>
      <c r="B8">
        <v>20.187999999999999</v>
      </c>
      <c r="C8">
        <v>20.187999999999999</v>
      </c>
      <c r="E8">
        <v>29.71</v>
      </c>
      <c r="H8">
        <v>29.71</v>
      </c>
      <c r="K8">
        <v>29.71</v>
      </c>
    </row>
    <row r="9" spans="1:16" x14ac:dyDescent="0.45">
      <c r="A9" t="s">
        <v>8</v>
      </c>
      <c r="B9" s="1">
        <v>104100</v>
      </c>
      <c r="C9" s="1">
        <v>104100</v>
      </c>
      <c r="E9" s="1">
        <v>99300</v>
      </c>
      <c r="H9" s="1">
        <v>174000</v>
      </c>
      <c r="K9" s="1">
        <v>287300</v>
      </c>
    </row>
    <row r="10" spans="1:16" x14ac:dyDescent="0.45">
      <c r="A10" t="s">
        <v>6</v>
      </c>
      <c r="B10">
        <v>288.2</v>
      </c>
      <c r="C10">
        <v>288.2</v>
      </c>
      <c r="E10">
        <v>288.2</v>
      </c>
      <c r="H10">
        <v>347.4</v>
      </c>
      <c r="K10">
        <v>409.1</v>
      </c>
    </row>
    <row r="11" spans="1:16" x14ac:dyDescent="0.45">
      <c r="O11" t="s">
        <v>67</v>
      </c>
      <c r="P11" t="s">
        <v>69</v>
      </c>
    </row>
    <row r="12" spans="1:16" x14ac:dyDescent="0.45">
      <c r="A12" t="s">
        <v>14</v>
      </c>
      <c r="B12">
        <v>0.82199999999999995</v>
      </c>
      <c r="C12">
        <v>0.84599999999999997</v>
      </c>
      <c r="D12" s="2">
        <f>(C12-B12)/B12</f>
        <v>2.919708029197083E-2</v>
      </c>
      <c r="E12">
        <v>0.82299999999999995</v>
      </c>
      <c r="F12">
        <v>0.84599999999999997</v>
      </c>
      <c r="G12" s="2">
        <f>(F12-E12)/E12</f>
        <v>2.7946537059538302E-2</v>
      </c>
      <c r="H12">
        <v>0.84899999999999998</v>
      </c>
      <c r="I12">
        <v>0.84599999999999997</v>
      </c>
      <c r="J12" s="2">
        <f>(I12-H12)/H12</f>
        <v>-3.533568904593643E-3</v>
      </c>
      <c r="K12">
        <v>0.86299999999999999</v>
      </c>
      <c r="L12">
        <v>0.84599999999999997</v>
      </c>
      <c r="M12" s="2">
        <f>(L12-K12)/K12</f>
        <v>-1.9698725376593298E-2</v>
      </c>
      <c r="O12" s="6">
        <f>AVERAGE(D12,G12,J12,M12)</f>
        <v>8.4778307675805482E-3</v>
      </c>
      <c r="P12" s="2">
        <f>0.5*(MAX(D12,G12,J12,M12)-MIN(D12,G12,J12,M12))</f>
        <v>2.4447902834282064E-2</v>
      </c>
    </row>
    <row r="13" spans="1:16" x14ac:dyDescent="0.45">
      <c r="A13" t="s">
        <v>12</v>
      </c>
      <c r="B13">
        <v>0.215</v>
      </c>
      <c r="C13">
        <v>0.184</v>
      </c>
      <c r="D13" s="2">
        <f t="shared" ref="D13:D15" si="0">(C13-B13)/B13</f>
        <v>-0.14418604651162792</v>
      </c>
      <c r="E13">
        <f>AVERAGE(E14:E15)</f>
        <v>0.19061</v>
      </c>
      <c r="F13">
        <v>0.21</v>
      </c>
      <c r="G13" s="2">
        <f t="shared" ref="G13:G15" si="1">(F13-E13)/E13</f>
        <v>0.10172603745868522</v>
      </c>
      <c r="H13">
        <f>AVERAGE(H14:H15)</f>
        <v>0.20633499999999999</v>
      </c>
      <c r="I13">
        <v>0.20300000000000001</v>
      </c>
      <c r="J13" s="2">
        <f t="shared" ref="J13:J15" si="2">(I13-H13)/H13</f>
        <v>-1.6163035839775013E-2</v>
      </c>
      <c r="K13">
        <f>AVERAGE(K14:K15)</f>
        <v>0.21301500000000001</v>
      </c>
      <c r="L13">
        <v>0.19800000000000001</v>
      </c>
      <c r="M13" s="2">
        <f t="shared" ref="M13:M15" si="3">(L13-K13)/K13</f>
        <v>-7.0487993803253296E-2</v>
      </c>
      <c r="O13" s="6">
        <f t="shared" ref="O13:O15" si="4">AVERAGE(D13,G13,J13,M13)</f>
        <v>-3.2277759673992754E-2</v>
      </c>
      <c r="P13" s="2">
        <f t="shared" ref="P13:P15" si="5">0.5*(MAX(D13,G13,J13,M13)-MIN(D13,G13,J13,M13))</f>
        <v>0.12295604198515657</v>
      </c>
    </row>
    <row r="14" spans="1:16" x14ac:dyDescent="0.45">
      <c r="A14" t="s">
        <v>10</v>
      </c>
      <c r="B14">
        <v>0.25290000000000001</v>
      </c>
      <c r="C14">
        <v>0.21426335316574999</v>
      </c>
      <c r="D14" s="2">
        <f t="shared" si="0"/>
        <v>-0.15277440424772648</v>
      </c>
      <c r="E14">
        <v>0.25613000000000002</v>
      </c>
      <c r="F14">
        <v>0.248</v>
      </c>
      <c r="G14" s="2">
        <f t="shared" si="1"/>
        <v>-3.1741693671182701E-2</v>
      </c>
      <c r="H14">
        <v>0.24779999999999999</v>
      </c>
      <c r="I14">
        <v>0.23038</v>
      </c>
      <c r="J14" s="2">
        <f t="shared" si="2"/>
        <v>-7.0298627925746537E-2</v>
      </c>
      <c r="K14">
        <v>0.24182999999999999</v>
      </c>
      <c r="L14">
        <v>0.21829999999999999</v>
      </c>
      <c r="M14" s="2">
        <f t="shared" si="3"/>
        <v>-9.7299756026961073E-2</v>
      </c>
      <c r="O14" s="6">
        <f t="shared" si="4"/>
        <v>-8.8028620467904189E-2</v>
      </c>
      <c r="P14" s="2">
        <f t="shared" si="5"/>
        <v>6.0516355288271886E-2</v>
      </c>
    </row>
    <row r="15" spans="1:16" x14ac:dyDescent="0.45">
      <c r="A15" t="s">
        <v>11</v>
      </c>
      <c r="B15">
        <v>0.17699999999999999</v>
      </c>
      <c r="C15">
        <v>0.153178955419007</v>
      </c>
      <c r="D15" s="2">
        <f t="shared" si="0"/>
        <v>-0.13458217277397169</v>
      </c>
      <c r="E15">
        <v>0.12509000000000001</v>
      </c>
      <c r="F15">
        <v>0.17280000000000001</v>
      </c>
      <c r="G15" s="2">
        <f t="shared" si="1"/>
        <v>0.38140538812055319</v>
      </c>
      <c r="H15">
        <v>0.16486999999999999</v>
      </c>
      <c r="I15">
        <v>0.17660999999999999</v>
      </c>
      <c r="J15" s="2">
        <f t="shared" si="2"/>
        <v>7.120761812336994E-2</v>
      </c>
      <c r="K15">
        <v>0.1842</v>
      </c>
      <c r="L15">
        <v>0.17849999999999999</v>
      </c>
      <c r="M15" s="2">
        <f t="shared" si="3"/>
        <v>-3.0944625407166183E-2</v>
      </c>
      <c r="O15" s="6">
        <f t="shared" si="4"/>
        <v>7.1771552015696308E-2</v>
      </c>
      <c r="P15" s="2">
        <f t="shared" si="5"/>
        <v>0.25799378044726246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2617-E22F-4D55-9832-E6878569338D}">
  <dimension ref="A1:M22"/>
  <sheetViews>
    <sheetView workbookViewId="0">
      <selection activeCell="K16" sqref="K16"/>
    </sheetView>
  </sheetViews>
  <sheetFormatPr defaultRowHeight="14.25" x14ac:dyDescent="0.45"/>
  <cols>
    <col min="1" max="1" width="22.796875" bestFit="1" customWidth="1"/>
  </cols>
  <sheetData>
    <row r="1" spans="1:13" x14ac:dyDescent="0.45">
      <c r="B1" t="s">
        <v>20</v>
      </c>
      <c r="E1" t="s">
        <v>29</v>
      </c>
      <c r="F1" s="7" t="s">
        <v>28</v>
      </c>
      <c r="H1" t="s">
        <v>30</v>
      </c>
      <c r="I1" t="s">
        <v>31</v>
      </c>
    </row>
    <row r="2" spans="1:13" x14ac:dyDescent="0.45">
      <c r="B2" t="s">
        <v>4</v>
      </c>
      <c r="C2" t="s">
        <v>1</v>
      </c>
      <c r="D2" t="s">
        <v>15</v>
      </c>
      <c r="E2" t="s">
        <v>4</v>
      </c>
      <c r="F2" t="s">
        <v>1</v>
      </c>
      <c r="G2" t="s">
        <v>15</v>
      </c>
      <c r="H2" t="s">
        <v>4</v>
      </c>
      <c r="I2" t="s">
        <v>1</v>
      </c>
      <c r="J2" t="s">
        <v>15</v>
      </c>
    </row>
    <row r="3" spans="1:13" x14ac:dyDescent="0.45">
      <c r="A3" t="s">
        <v>2</v>
      </c>
      <c r="B3">
        <v>0.35757</v>
      </c>
      <c r="E3">
        <v>0.28450999999999999</v>
      </c>
      <c r="H3">
        <v>0.22700000000000001</v>
      </c>
    </row>
    <row r="4" spans="1:13" x14ac:dyDescent="0.45">
      <c r="A4" t="s">
        <v>3</v>
      </c>
      <c r="B4">
        <v>0.77600000000000002</v>
      </c>
      <c r="E4">
        <v>0.8</v>
      </c>
      <c r="H4">
        <v>0.65959999999999996</v>
      </c>
    </row>
    <row r="5" spans="1:13" x14ac:dyDescent="0.45">
      <c r="A5" t="s">
        <v>5</v>
      </c>
      <c r="B5">
        <v>2.0419999999999998</v>
      </c>
      <c r="E5">
        <v>6.5</v>
      </c>
      <c r="H5">
        <v>1.17</v>
      </c>
    </row>
    <row r="6" spans="1:13" x14ac:dyDescent="0.45">
      <c r="A6" t="s">
        <v>9</v>
      </c>
      <c r="B6">
        <v>32650</v>
      </c>
      <c r="E6">
        <v>40000</v>
      </c>
      <c r="H6">
        <v>1920</v>
      </c>
    </row>
    <row r="7" spans="1:13" x14ac:dyDescent="0.45">
      <c r="A7" t="s">
        <v>21</v>
      </c>
      <c r="B7">
        <v>2.0089999999999999</v>
      </c>
      <c r="E7">
        <v>2.21</v>
      </c>
      <c r="H7">
        <v>2.9</v>
      </c>
    </row>
    <row r="8" spans="1:13" x14ac:dyDescent="0.45">
      <c r="A8" t="s">
        <v>22</v>
      </c>
      <c r="B8">
        <v>6.9849999999999995E-2</v>
      </c>
      <c r="E8">
        <v>3.048E-2</v>
      </c>
      <c r="H8">
        <v>0.21468999999999999</v>
      </c>
    </row>
    <row r="10" spans="1:13" x14ac:dyDescent="0.45">
      <c r="A10" t="s">
        <v>7</v>
      </c>
      <c r="B10">
        <v>13.61</v>
      </c>
      <c r="E10">
        <v>1.81</v>
      </c>
      <c r="H10">
        <v>29.94</v>
      </c>
    </row>
    <row r="11" spans="1:13" x14ac:dyDescent="0.45">
      <c r="A11" t="s">
        <v>8</v>
      </c>
      <c r="B11" s="1">
        <v>1470700</v>
      </c>
      <c r="E11">
        <v>101325</v>
      </c>
      <c r="H11">
        <v>101350</v>
      </c>
    </row>
    <row r="12" spans="1:13" x14ac:dyDescent="0.45">
      <c r="A12" t="s">
        <v>6</v>
      </c>
      <c r="B12">
        <v>685.3</v>
      </c>
      <c r="E12">
        <v>288.14999999999998</v>
      </c>
      <c r="H12">
        <v>302.60000000000002</v>
      </c>
    </row>
    <row r="13" spans="1:13" x14ac:dyDescent="0.45">
      <c r="L13" t="s">
        <v>67</v>
      </c>
      <c r="M13" t="s">
        <v>69</v>
      </c>
    </row>
    <row r="14" spans="1:13" x14ac:dyDescent="0.45">
      <c r="A14" t="s">
        <v>14</v>
      </c>
      <c r="B14">
        <v>0.83499999999999996</v>
      </c>
      <c r="C14">
        <v>0.46100000000000002</v>
      </c>
      <c r="D14" s="2">
        <f>(C14-B14)/B14</f>
        <v>-0.44790419161676642</v>
      </c>
      <c r="E14">
        <v>0.78</v>
      </c>
      <c r="F14">
        <v>0.47899999999999998</v>
      </c>
      <c r="G14" s="2">
        <f>(F14-E14)/E14</f>
        <v>-0.38589743589743597</v>
      </c>
      <c r="H14">
        <v>0.9</v>
      </c>
      <c r="I14">
        <v>0.57299999999999995</v>
      </c>
      <c r="J14" s="2">
        <f>(I14-H14)/H14</f>
        <v>-0.3633333333333334</v>
      </c>
      <c r="L14" s="6">
        <f>AVERAGE(D14,G14,J14)</f>
        <v>-0.39904498694917862</v>
      </c>
      <c r="M14" s="2">
        <f>0.5*(MAX(D14,G14,J14)-MIN(D14,G14,J14))</f>
        <v>4.2285429141716513E-2</v>
      </c>
    </row>
    <row r="15" spans="1:13" x14ac:dyDescent="0.45">
      <c r="A15" t="s">
        <v>32</v>
      </c>
      <c r="D15">
        <f>B14-C14</f>
        <v>0.37399999999999994</v>
      </c>
      <c r="G15">
        <f>E14-F14</f>
        <v>0.30100000000000005</v>
      </c>
      <c r="H15">
        <v>0.93400000000000005</v>
      </c>
      <c r="I15">
        <v>0.96430889144961696</v>
      </c>
      <c r="J15" s="2">
        <f>(I15-H15)/H15</f>
        <v>3.2450633243701177E-2</v>
      </c>
      <c r="K15">
        <f>H14-I14</f>
        <v>0.32700000000000007</v>
      </c>
      <c r="L15" s="6"/>
      <c r="M15" s="2"/>
    </row>
    <row r="16" spans="1:13" x14ac:dyDescent="0.45">
      <c r="L16" s="6"/>
      <c r="M16" s="2"/>
    </row>
    <row r="17" spans="1:13" x14ac:dyDescent="0.45">
      <c r="A17" t="s">
        <v>23</v>
      </c>
      <c r="B17">
        <v>7.8486E-2</v>
      </c>
      <c r="C17">
        <v>8.1699999999999995E-2</v>
      </c>
      <c r="D17" s="2">
        <f t="shared" ref="D17:D21" si="0">(C17-B17)/B17</f>
        <v>4.0949978340086061E-2</v>
      </c>
      <c r="E17">
        <v>5.0689999999999999E-2</v>
      </c>
      <c r="F17">
        <v>4.6300000000000001E-2</v>
      </c>
      <c r="G17" s="2">
        <f t="shared" ref="G17:G21" si="1">(F17-E17)/E17</f>
        <v>-8.6604853028210652E-2</v>
      </c>
      <c r="H17">
        <v>0.32200000000000001</v>
      </c>
      <c r="I17">
        <v>0.3281</v>
      </c>
      <c r="J17" s="2">
        <f t="shared" ref="J17:J22" si="2">(I17-H17)/H17</f>
        <v>1.894409937888197E-2</v>
      </c>
      <c r="L17" s="6">
        <f t="shared" ref="L17:L21" si="3">AVERAGE(D17,G17,J17)</f>
        <v>-8.9035917697475406E-3</v>
      </c>
      <c r="M17" s="2">
        <f t="shared" ref="M17:M21" si="4">0.5*(MAX(D17,G17,J17)-MIN(D17,G17,J17))</f>
        <v>6.3777415684148353E-2</v>
      </c>
    </row>
    <row r="18" spans="1:13" x14ac:dyDescent="0.45">
      <c r="A18" t="s">
        <v>24</v>
      </c>
      <c r="B18">
        <v>8.7122000000000005E-2</v>
      </c>
      <c r="C18">
        <v>9.3509999999999996E-2</v>
      </c>
      <c r="D18" s="2">
        <f t="shared" si="0"/>
        <v>7.3322467344643039E-2</v>
      </c>
      <c r="E18">
        <v>6.7299999999999999E-2</v>
      </c>
      <c r="F18">
        <v>6.2100000000000002E-2</v>
      </c>
      <c r="G18" s="2">
        <f t="shared" si="1"/>
        <v>-7.7265973254086129E-2</v>
      </c>
      <c r="H18">
        <v>0.4294</v>
      </c>
      <c r="I18">
        <v>0.44151000000000001</v>
      </c>
      <c r="J18" s="2">
        <f t="shared" si="2"/>
        <v>2.8202142524452748E-2</v>
      </c>
      <c r="L18" s="6">
        <f t="shared" si="3"/>
        <v>8.0862122050032199E-3</v>
      </c>
      <c r="M18" s="2">
        <f t="shared" si="4"/>
        <v>7.5294220299364584E-2</v>
      </c>
    </row>
    <row r="19" spans="1:13" x14ac:dyDescent="0.45">
      <c r="A19" t="s">
        <v>25</v>
      </c>
      <c r="B19">
        <v>0.14371999999999999</v>
      </c>
      <c r="C19">
        <v>0.13109999999999999</v>
      </c>
      <c r="D19" s="2">
        <f t="shared" si="0"/>
        <v>-8.7809629835791769E-2</v>
      </c>
      <c r="E19">
        <v>0.13930000000000001</v>
      </c>
      <c r="F19">
        <v>0.1208</v>
      </c>
      <c r="G19" s="2">
        <f t="shared" si="1"/>
        <v>-0.13280689160086145</v>
      </c>
      <c r="H19">
        <v>0.76200000000000001</v>
      </c>
      <c r="I19">
        <v>0.72336407529830804</v>
      </c>
      <c r="J19" s="2">
        <f t="shared" si="2"/>
        <v>-5.0703313256813612E-2</v>
      </c>
      <c r="L19" s="6">
        <f t="shared" si="3"/>
        <v>-9.0439944897822269E-2</v>
      </c>
      <c r="M19" s="2">
        <f t="shared" si="4"/>
        <v>4.1051789172023921E-2</v>
      </c>
    </row>
    <row r="20" spans="1:13" x14ac:dyDescent="0.45">
      <c r="A20" t="s">
        <v>27</v>
      </c>
      <c r="B20">
        <v>8.1279999999999998E-3</v>
      </c>
      <c r="C20">
        <v>5.77E-3</v>
      </c>
      <c r="D20" s="2">
        <f t="shared" si="0"/>
        <v>-0.29010826771653542</v>
      </c>
      <c r="E20">
        <v>6.11E-3</v>
      </c>
      <c r="F20">
        <v>4.5300000000000002E-3</v>
      </c>
      <c r="G20" s="2">
        <f t="shared" si="1"/>
        <v>-0.25859247135842878</v>
      </c>
      <c r="H20">
        <v>0.13739999999999999</v>
      </c>
      <c r="I20">
        <v>5.5640000000000002E-2</v>
      </c>
      <c r="J20" s="2">
        <f t="shared" si="2"/>
        <v>-0.5950509461426492</v>
      </c>
      <c r="L20" s="6">
        <f t="shared" si="3"/>
        <v>-0.38125056173920441</v>
      </c>
      <c r="M20" s="2">
        <f t="shared" si="4"/>
        <v>0.16822923739211021</v>
      </c>
    </row>
    <row r="21" spans="1:13" x14ac:dyDescent="0.45">
      <c r="A21" t="s">
        <v>26</v>
      </c>
      <c r="B21">
        <v>0.24257000000000001</v>
      </c>
      <c r="C21">
        <v>0.2374</v>
      </c>
      <c r="D21" s="2">
        <f t="shared" si="0"/>
        <v>-2.1313435297027693E-2</v>
      </c>
      <c r="E21">
        <v>0.39400000000000002</v>
      </c>
      <c r="F21">
        <v>0.29360000000000003</v>
      </c>
      <c r="G21" s="2">
        <f t="shared" si="1"/>
        <v>-0.25482233502538065</v>
      </c>
      <c r="H21">
        <v>1.524</v>
      </c>
      <c r="I21">
        <v>2.3075000000000001</v>
      </c>
      <c r="J21" s="2">
        <f t="shared" si="2"/>
        <v>0.51410761154855644</v>
      </c>
      <c r="L21" s="6">
        <f t="shared" si="3"/>
        <v>7.9323947075382706E-2</v>
      </c>
      <c r="M21" s="2">
        <f t="shared" si="4"/>
        <v>0.38446497328696855</v>
      </c>
    </row>
    <row r="22" spans="1:13" x14ac:dyDescent="0.45">
      <c r="A22" t="s">
        <v>33</v>
      </c>
      <c r="H22">
        <v>69.5</v>
      </c>
      <c r="I22">
        <v>71</v>
      </c>
      <c r="J22" s="2">
        <f t="shared" si="2"/>
        <v>2.1582733812949641E-2</v>
      </c>
    </row>
  </sheetData>
  <hyperlinks>
    <hyperlink ref="F1" r:id="rId1" xr:uid="{A78879EF-E2FF-4080-A2A5-A5CF29D27F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61ED-8494-49D5-8313-3702D8D48272}">
  <dimension ref="A1:V53"/>
  <sheetViews>
    <sheetView topLeftCell="E1" workbookViewId="0">
      <selection activeCell="P4" sqref="P4"/>
    </sheetView>
  </sheetViews>
  <sheetFormatPr defaultRowHeight="14.25" x14ac:dyDescent="0.45"/>
  <cols>
    <col min="1" max="1" width="21.265625" bestFit="1" customWidth="1"/>
    <col min="4" max="4" width="9.06640625" style="5"/>
    <col min="6" max="6" width="23.86328125" customWidth="1"/>
    <col min="12" max="12" width="20" bestFit="1" customWidth="1"/>
  </cols>
  <sheetData>
    <row r="1" spans="1:22" x14ac:dyDescent="0.45">
      <c r="B1" t="s">
        <v>34</v>
      </c>
      <c r="F1" t="s">
        <v>64</v>
      </c>
    </row>
    <row r="2" spans="1:22" x14ac:dyDescent="0.45">
      <c r="B2" t="s">
        <v>4</v>
      </c>
      <c r="C2" t="s">
        <v>1</v>
      </c>
      <c r="D2" s="5" t="s">
        <v>15</v>
      </c>
      <c r="F2" t="s">
        <v>4</v>
      </c>
      <c r="G2" t="s">
        <v>1</v>
      </c>
      <c r="H2" t="s">
        <v>15</v>
      </c>
      <c r="L2" t="s">
        <v>71</v>
      </c>
      <c r="U2" t="s">
        <v>72</v>
      </c>
      <c r="V2" t="s">
        <v>73</v>
      </c>
    </row>
    <row r="3" spans="1:22" x14ac:dyDescent="0.45">
      <c r="A3" t="s">
        <v>35</v>
      </c>
      <c r="B3" s="1">
        <v>2.6499999999999999E-4</v>
      </c>
      <c r="F3" t="s">
        <v>35</v>
      </c>
      <c r="G3" s="1">
        <v>5.9999999999999995E-4</v>
      </c>
      <c r="I3" s="5"/>
      <c r="L3" t="s">
        <v>49</v>
      </c>
      <c r="M3" s="2">
        <f>D25</f>
        <v>6.6666666666666671E-3</v>
      </c>
      <c r="N3" s="2">
        <f>D34</f>
        <v>3.1818181818173548E-4</v>
      </c>
      <c r="O3" s="2">
        <f>D43</f>
        <v>4.4642857142857141E-4</v>
      </c>
      <c r="P3" s="2">
        <f>D51</f>
        <v>3.7313432835820896E-4</v>
      </c>
      <c r="Q3" s="2">
        <f>I25</f>
        <v>1.6000000000003639E-4</v>
      </c>
      <c r="R3" s="2" cm="1">
        <f t="array" ref="R3:R5">I33:I35</f>
        <v>2.0333333333337578E-4</v>
      </c>
      <c r="S3" s="2">
        <f>I33</f>
        <v>2.0333333333337578E-4</v>
      </c>
      <c r="T3" s="2" cm="1">
        <f t="array" ref="T3:T5">I41:I43</f>
        <v>2.8571428571428574E-4</v>
      </c>
      <c r="U3" s="6">
        <f>AVERAGE(M3:T3)</f>
        <v>1.0820990421270323E-3</v>
      </c>
      <c r="V3" s="2">
        <f>_xlfn.STDEV.S(M3:U3)</f>
        <v>2.1126590666866135E-3</v>
      </c>
    </row>
    <row r="4" spans="1:22" x14ac:dyDescent="0.45">
      <c r="A4" t="s">
        <v>37</v>
      </c>
      <c r="B4" s="1">
        <v>2E-3</v>
      </c>
      <c r="F4" t="s">
        <v>37</v>
      </c>
      <c r="G4" s="1">
        <v>3.2000000000000002E-3</v>
      </c>
      <c r="I4" s="5"/>
      <c r="L4" t="s">
        <v>70</v>
      </c>
      <c r="M4" s="2">
        <f t="shared" ref="M4:M5" si="0">D26</f>
        <v>-0.32444444444444448</v>
      </c>
      <c r="N4" s="2">
        <f t="shared" ref="N4:N5" si="1">D35</f>
        <v>-0.50569105691056915</v>
      </c>
      <c r="O4" s="2">
        <f t="shared" ref="O4:O5" si="2">D44</f>
        <v>-0.44220183486238535</v>
      </c>
      <c r="P4" s="2">
        <f t="shared" ref="P4:P5" si="3">D52</f>
        <v>-0.74320000000000008</v>
      </c>
      <c r="Q4" s="2">
        <f t="shared" ref="Q4:Q5" si="4">I26</f>
        <v>-0.6066488888888889</v>
      </c>
      <c r="R4" s="2">
        <v>-0.56977777777777783</v>
      </c>
      <c r="S4" s="2">
        <f t="shared" ref="S4:S5" si="5">I34</f>
        <v>-0.56977777777777783</v>
      </c>
      <c r="T4" s="2">
        <v>-0.6339285714285714</v>
      </c>
      <c r="U4" s="6">
        <f t="shared" ref="U4:U5" si="6">AVERAGE(M4:T4)</f>
        <v>-0.54945879401130193</v>
      </c>
      <c r="V4" s="2">
        <f t="shared" ref="V4:V5" si="7">_xlfn.STDEV.S(M4:U4)</f>
        <v>0.11875308151653244</v>
      </c>
    </row>
    <row r="5" spans="1:22" x14ac:dyDescent="0.45">
      <c r="A5" t="s">
        <v>38</v>
      </c>
      <c r="B5">
        <v>2</v>
      </c>
      <c r="F5" t="s">
        <v>38</v>
      </c>
      <c r="G5">
        <v>2</v>
      </c>
      <c r="I5" s="5"/>
      <c r="L5" t="s">
        <v>50</v>
      </c>
      <c r="M5" s="2">
        <f t="shared" si="0"/>
        <v>-0.62750000000000006</v>
      </c>
      <c r="N5" s="2">
        <f t="shared" si="1"/>
        <v>-0.65749999999999997</v>
      </c>
      <c r="O5" s="2">
        <f t="shared" si="2"/>
        <v>-0.6682926829268292</v>
      </c>
      <c r="P5" s="2">
        <f t="shared" si="3"/>
        <v>-0.7</v>
      </c>
      <c r="Q5" s="2">
        <f t="shared" si="4"/>
        <v>3.7555228276877767E-2</v>
      </c>
      <c r="R5" s="2">
        <v>0.34459459459459441</v>
      </c>
      <c r="S5" s="2">
        <f t="shared" si="5"/>
        <v>0.34459459459459441</v>
      </c>
      <c r="T5" s="2">
        <v>0.68877385959236492</v>
      </c>
      <c r="U5" s="6">
        <f t="shared" si="6"/>
        <v>-0.15472180073354977</v>
      </c>
      <c r="V5" s="2">
        <f t="shared" si="7"/>
        <v>0.53437786480542004</v>
      </c>
    </row>
    <row r="6" spans="1:22" x14ac:dyDescent="0.45">
      <c r="A6" t="s">
        <v>39</v>
      </c>
      <c r="B6" t="s">
        <v>40</v>
      </c>
      <c r="F6" t="s">
        <v>39</v>
      </c>
      <c r="G6" t="s">
        <v>40</v>
      </c>
      <c r="I6" s="5"/>
    </row>
    <row r="7" spans="1:22" x14ac:dyDescent="0.45">
      <c r="A7" t="s">
        <v>41</v>
      </c>
      <c r="B7">
        <v>0.185</v>
      </c>
      <c r="F7" t="s">
        <v>41</v>
      </c>
      <c r="G7">
        <v>15</v>
      </c>
      <c r="I7" s="5"/>
    </row>
    <row r="8" spans="1:22" x14ac:dyDescent="0.45">
      <c r="A8" t="s">
        <v>43</v>
      </c>
      <c r="B8">
        <v>47</v>
      </c>
      <c r="F8" t="s">
        <v>43</v>
      </c>
      <c r="G8">
        <v>38</v>
      </c>
      <c r="I8" s="5"/>
    </row>
    <row r="9" spans="1:22" x14ac:dyDescent="0.45">
      <c r="A9" t="s">
        <v>44</v>
      </c>
      <c r="B9">
        <v>7.6300000000000007E-2</v>
      </c>
      <c r="F9" t="s">
        <v>44</v>
      </c>
      <c r="G9">
        <v>0.26700000000000002</v>
      </c>
      <c r="I9" s="5"/>
    </row>
    <row r="10" spans="1:22" x14ac:dyDescent="0.45">
      <c r="A10" t="s">
        <v>36</v>
      </c>
      <c r="B10">
        <v>0.4</v>
      </c>
      <c r="F10" t="s">
        <v>36</v>
      </c>
      <c r="G10">
        <v>0.124</v>
      </c>
      <c r="I10" s="5"/>
    </row>
    <row r="11" spans="1:22" x14ac:dyDescent="0.45">
      <c r="A11" t="s">
        <v>58</v>
      </c>
      <c r="B11">
        <v>1.4</v>
      </c>
      <c r="F11" t="s">
        <v>58</v>
      </c>
      <c r="G11">
        <f>G9*G10*G8</f>
        <v>1.2581039999999999</v>
      </c>
      <c r="I11" s="5"/>
    </row>
    <row r="12" spans="1:22" x14ac:dyDescent="0.45">
      <c r="I12" s="5"/>
    </row>
    <row r="13" spans="1:22" x14ac:dyDescent="0.45">
      <c r="A13" t="s">
        <v>45</v>
      </c>
      <c r="B13">
        <v>297.64999999999998</v>
      </c>
      <c r="F13" t="s">
        <v>45</v>
      </c>
      <c r="G13">
        <v>313.14999999999998</v>
      </c>
      <c r="I13" s="5"/>
    </row>
    <row r="14" spans="1:22" x14ac:dyDescent="0.45">
      <c r="A14" t="s">
        <v>46</v>
      </c>
      <c r="B14">
        <v>101325</v>
      </c>
      <c r="F14" t="s">
        <v>46</v>
      </c>
      <c r="G14">
        <v>101325</v>
      </c>
      <c r="I14" s="5"/>
    </row>
    <row r="15" spans="1:22" x14ac:dyDescent="0.45">
      <c r="A15" t="s">
        <v>52</v>
      </c>
      <c r="B15">
        <v>2.5</v>
      </c>
      <c r="E15" t="s">
        <v>51</v>
      </c>
      <c r="F15" t="s">
        <v>52</v>
      </c>
      <c r="G15">
        <v>0.95</v>
      </c>
      <c r="I15" s="5"/>
      <c r="J15" t="s">
        <v>51</v>
      </c>
    </row>
    <row r="16" spans="1:22" x14ac:dyDescent="0.45">
      <c r="A16" t="s">
        <v>52</v>
      </c>
      <c r="B16">
        <f>B15/3600</f>
        <v>6.9444444444444447E-4</v>
      </c>
      <c r="E16" t="s">
        <v>61</v>
      </c>
      <c r="F16" t="s">
        <v>52</v>
      </c>
      <c r="G16">
        <f>G15/3600</f>
        <v>2.6388888888888886E-4</v>
      </c>
      <c r="I16" s="5"/>
      <c r="J16" t="s">
        <v>61</v>
      </c>
    </row>
    <row r="17" spans="1:10" x14ac:dyDescent="0.45">
      <c r="A17" t="s">
        <v>53</v>
      </c>
      <c r="B17">
        <f>B16/0.00202</f>
        <v>0.34378437843784376</v>
      </c>
      <c r="E17" t="s">
        <v>59</v>
      </c>
      <c r="F17" t="s">
        <v>53</v>
      </c>
      <c r="G17">
        <f>G16/0.0075392</f>
        <v>3.5002240143369175E-2</v>
      </c>
      <c r="I17" s="5"/>
      <c r="J17" t="s">
        <v>59</v>
      </c>
    </row>
    <row r="19" spans="1:10" x14ac:dyDescent="0.45">
      <c r="A19" s="3" t="s">
        <v>47</v>
      </c>
      <c r="B19" s="3">
        <v>363.15</v>
      </c>
      <c r="F19" s="3" t="s">
        <v>47</v>
      </c>
      <c r="G19" s="3">
        <v>313.14999999999998</v>
      </c>
    </row>
    <row r="20" spans="1:10" x14ac:dyDescent="0.45">
      <c r="A20" s="3" t="s">
        <v>62</v>
      </c>
      <c r="B20" s="3">
        <v>65.5</v>
      </c>
      <c r="F20" s="3" t="s">
        <v>62</v>
      </c>
      <c r="G20" s="3">
        <v>20</v>
      </c>
    </row>
    <row r="21" spans="1:10" x14ac:dyDescent="0.45">
      <c r="A21" t="s">
        <v>7</v>
      </c>
      <c r="B21">
        <v>0.19700000000000001</v>
      </c>
      <c r="E21" t="s">
        <v>56</v>
      </c>
      <c r="F21" t="s">
        <v>7</v>
      </c>
      <c r="G21">
        <f>G25*$G$9*$G$8*0.000017/4</f>
        <v>0.10780125</v>
      </c>
      <c r="I21" s="5"/>
      <c r="J21" t="s">
        <v>56</v>
      </c>
    </row>
    <row r="22" spans="1:10" x14ac:dyDescent="0.45">
      <c r="A22" t="s">
        <v>55</v>
      </c>
      <c r="B22">
        <v>5.2460000000000004</v>
      </c>
      <c r="E22" t="s">
        <v>59</v>
      </c>
      <c r="F22" t="s">
        <v>55</v>
      </c>
      <c r="G22" s="4">
        <f>G21/($G$14*$G$8*$G$4*$G$9/($G$19*287))</f>
        <v>2.9450770455526762</v>
      </c>
      <c r="I22" s="5"/>
      <c r="J22" t="s">
        <v>59</v>
      </c>
    </row>
    <row r="23" spans="1:10" x14ac:dyDescent="0.45">
      <c r="A23" t="s">
        <v>57</v>
      </c>
      <c r="B23">
        <v>6029</v>
      </c>
      <c r="E23" t="s">
        <v>60</v>
      </c>
      <c r="F23" t="s">
        <v>57</v>
      </c>
      <c r="G23">
        <v>1800</v>
      </c>
      <c r="I23" s="5"/>
      <c r="J23" t="s">
        <v>60</v>
      </c>
    </row>
    <row r="24" spans="1:10" x14ac:dyDescent="0.45">
      <c r="A24" t="s">
        <v>63</v>
      </c>
      <c r="B24">
        <v>33.229999999999997</v>
      </c>
      <c r="F24" t="s">
        <v>63</v>
      </c>
      <c r="G24">
        <v>28.99</v>
      </c>
      <c r="I24" s="5"/>
    </row>
    <row r="25" spans="1:10" x14ac:dyDescent="0.45">
      <c r="A25" t="s">
        <v>49</v>
      </c>
      <c r="B25">
        <v>1200</v>
      </c>
      <c r="C25">
        <v>1208</v>
      </c>
      <c r="D25" s="5">
        <f>(C25-B25)/B25</f>
        <v>6.6666666666666671E-3</v>
      </c>
      <c r="F25" t="s">
        <v>49</v>
      </c>
      <c r="G25">
        <v>2500</v>
      </c>
      <c r="H25">
        <v>2500.4</v>
      </c>
      <c r="I25" s="5">
        <f>(H25-G25)/G25</f>
        <v>1.6000000000003639E-4</v>
      </c>
    </row>
    <row r="26" spans="1:10" x14ac:dyDescent="0.45">
      <c r="A26" t="s">
        <v>48</v>
      </c>
      <c r="B26">
        <v>90</v>
      </c>
      <c r="C26">
        <v>60.8</v>
      </c>
      <c r="D26" s="5">
        <f>(C26-B26)/B26</f>
        <v>-0.32444444444444448</v>
      </c>
      <c r="F26" t="s">
        <v>65</v>
      </c>
      <c r="G26">
        <v>22.5</v>
      </c>
      <c r="H26">
        <v>8.8504000000000005</v>
      </c>
      <c r="I26" s="5">
        <f>(H26-G26)/G26</f>
        <v>-0.6066488888888889</v>
      </c>
    </row>
    <row r="27" spans="1:10" x14ac:dyDescent="0.45">
      <c r="A27" t="s">
        <v>50</v>
      </c>
      <c r="B27">
        <v>40</v>
      </c>
      <c r="C27">
        <v>14.9</v>
      </c>
      <c r="D27" s="5">
        <f>(C27-B27)/B27</f>
        <v>-0.62750000000000006</v>
      </c>
      <c r="E27" t="s">
        <v>54</v>
      </c>
      <c r="F27" t="s">
        <v>66</v>
      </c>
      <c r="G27">
        <v>6.79E-3</v>
      </c>
      <c r="H27">
        <v>7.045E-3</v>
      </c>
      <c r="I27" s="5">
        <f>(H27-G27)/G27</f>
        <v>3.7555228276877767E-2</v>
      </c>
    </row>
    <row r="28" spans="1:10" x14ac:dyDescent="0.45">
      <c r="A28" s="3" t="s">
        <v>47</v>
      </c>
      <c r="B28" s="3">
        <v>353.15</v>
      </c>
    </row>
    <row r="29" spans="1:10" x14ac:dyDescent="0.45">
      <c r="A29" s="3" t="s">
        <v>42</v>
      </c>
      <c r="B29" s="3">
        <v>55.5</v>
      </c>
      <c r="F29" t="s">
        <v>7</v>
      </c>
      <c r="G29">
        <f>G33*$G$9*$G$8*0.000017/4</f>
        <v>0.12936149999999999</v>
      </c>
      <c r="I29" s="5"/>
      <c r="J29" t="s">
        <v>56</v>
      </c>
    </row>
    <row r="30" spans="1:10" x14ac:dyDescent="0.45">
      <c r="A30" t="s">
        <v>7</v>
      </c>
      <c r="B30">
        <v>0.35904000000000003</v>
      </c>
      <c r="E30" t="s">
        <v>56</v>
      </c>
      <c r="F30" t="s">
        <v>55</v>
      </c>
      <c r="G30" s="4">
        <f>G29/($G$14*$G$8*$G$4*$G$9/($G$19*287))</f>
        <v>3.5340924546632113</v>
      </c>
      <c r="I30" s="5"/>
      <c r="J30" t="s">
        <v>59</v>
      </c>
    </row>
    <row r="31" spans="1:10" x14ac:dyDescent="0.45">
      <c r="A31" t="s">
        <v>55</v>
      </c>
      <c r="B31">
        <v>9.3529999999999998</v>
      </c>
      <c r="E31" t="s">
        <v>59</v>
      </c>
      <c r="F31" t="s">
        <v>57</v>
      </c>
      <c r="G31">
        <v>1960</v>
      </c>
      <c r="I31" s="5"/>
      <c r="J31" t="s">
        <v>60</v>
      </c>
    </row>
    <row r="32" spans="1:10" x14ac:dyDescent="0.45">
      <c r="A32" t="s">
        <v>57</v>
      </c>
      <c r="B32">
        <v>7451</v>
      </c>
      <c r="F32" t="s">
        <v>63</v>
      </c>
      <c r="G32">
        <v>27.89</v>
      </c>
      <c r="I32" s="5"/>
    </row>
    <row r="33" spans="1:10" x14ac:dyDescent="0.45">
      <c r="A33" t="s">
        <v>63</v>
      </c>
      <c r="B33">
        <v>35.47</v>
      </c>
      <c r="F33" t="s">
        <v>49</v>
      </c>
      <c r="G33">
        <v>3000</v>
      </c>
      <c r="H33">
        <v>3000.61</v>
      </c>
      <c r="I33" s="5">
        <f>(H33-G33)/G33</f>
        <v>2.0333333333337578E-4</v>
      </c>
    </row>
    <row r="34" spans="1:10" x14ac:dyDescent="0.45">
      <c r="A34" t="s">
        <v>49</v>
      </c>
      <c r="B34">
        <v>2200</v>
      </c>
      <c r="C34">
        <v>2200.6999999999998</v>
      </c>
      <c r="D34" s="5">
        <f>(C34-B34)/B34</f>
        <v>3.1818181818173548E-4</v>
      </c>
      <c r="F34" t="s">
        <v>65</v>
      </c>
      <c r="G34">
        <v>22.5</v>
      </c>
      <c r="H34">
        <v>9.68</v>
      </c>
      <c r="I34" s="5">
        <f>(H34-G34)/G34</f>
        <v>-0.56977777777777783</v>
      </c>
    </row>
    <row r="35" spans="1:10" x14ac:dyDescent="0.45">
      <c r="A35" t="s">
        <v>48</v>
      </c>
      <c r="B35">
        <v>123</v>
      </c>
      <c r="C35">
        <v>60.8</v>
      </c>
      <c r="D35" s="5">
        <f>(C35-B35)/B35</f>
        <v>-0.50569105691056915</v>
      </c>
      <c r="F35" t="s">
        <v>66</v>
      </c>
      <c r="G35">
        <v>4.4400000000000004E-3</v>
      </c>
      <c r="H35">
        <v>5.9699999999999996E-3</v>
      </c>
      <c r="I35" s="5">
        <f>(H35-G35)/G35</f>
        <v>0.34459459459459441</v>
      </c>
    </row>
    <row r="36" spans="1:10" x14ac:dyDescent="0.45">
      <c r="A36" t="s">
        <v>50</v>
      </c>
      <c r="B36">
        <v>80</v>
      </c>
      <c r="C36">
        <v>27.4</v>
      </c>
      <c r="D36" s="5">
        <f>(C36-B36)/B36</f>
        <v>-0.65749999999999997</v>
      </c>
    </row>
    <row r="37" spans="1:10" x14ac:dyDescent="0.45">
      <c r="A37" s="3" t="s">
        <v>47</v>
      </c>
      <c r="B37" s="3">
        <v>343.15</v>
      </c>
      <c r="F37" t="s">
        <v>7</v>
      </c>
      <c r="G37">
        <f>G41*$G$9*$G$8*0.000017/4</f>
        <v>0.15092174999999999</v>
      </c>
      <c r="I37" s="5"/>
      <c r="J37" t="s">
        <v>56</v>
      </c>
    </row>
    <row r="38" spans="1:10" x14ac:dyDescent="0.45">
      <c r="A38" s="3" t="s">
        <v>42</v>
      </c>
      <c r="B38" s="3">
        <v>45.5</v>
      </c>
      <c r="F38" t="s">
        <v>55</v>
      </c>
      <c r="G38" s="4">
        <f>G37/($G$14*$G$8*$G$4*$G$9/($G$19*287))</f>
        <v>4.1231078637737468</v>
      </c>
      <c r="I38" s="5"/>
      <c r="J38" t="s">
        <v>59</v>
      </c>
    </row>
    <row r="39" spans="1:10" x14ac:dyDescent="0.45">
      <c r="A39" t="s">
        <v>7</v>
      </c>
      <c r="B39">
        <v>0.36559999999999998</v>
      </c>
      <c r="F39" t="s">
        <v>57</v>
      </c>
      <c r="G39">
        <v>2110</v>
      </c>
      <c r="I39" s="5"/>
      <c r="J39" t="s">
        <v>60</v>
      </c>
    </row>
    <row r="40" spans="1:10" x14ac:dyDescent="0.45">
      <c r="A40" t="s">
        <v>55</v>
      </c>
      <c r="B40" s="4">
        <f>B39/($B$8*$B$4*$B$10 * $B$14/(287*$B$37))</f>
        <v>9.4507794803953988</v>
      </c>
      <c r="F40" t="s">
        <v>63</v>
      </c>
      <c r="G40">
        <v>27.81</v>
      </c>
      <c r="I40" s="5"/>
    </row>
    <row r="41" spans="1:10" x14ac:dyDescent="0.45">
      <c r="A41" t="s">
        <v>57</v>
      </c>
      <c r="B41">
        <v>5578</v>
      </c>
      <c r="F41" t="s">
        <v>49</v>
      </c>
      <c r="G41">
        <v>3500</v>
      </c>
      <c r="H41">
        <v>3501</v>
      </c>
      <c r="I41" s="5">
        <f>(H41-G41)/G41</f>
        <v>2.8571428571428574E-4</v>
      </c>
    </row>
    <row r="42" spans="1:10" x14ac:dyDescent="0.45">
      <c r="A42" t="s">
        <v>63</v>
      </c>
      <c r="B42">
        <v>36.549999999999997</v>
      </c>
      <c r="F42" t="s">
        <v>65</v>
      </c>
      <c r="G42">
        <v>28</v>
      </c>
      <c r="H42">
        <v>10.25</v>
      </c>
      <c r="I42" s="5">
        <f>(H42-G42)/G42</f>
        <v>-0.6339285714285714</v>
      </c>
    </row>
    <row r="43" spans="1:10" x14ac:dyDescent="0.45">
      <c r="A43" t="s">
        <v>49</v>
      </c>
      <c r="B43">
        <v>2240</v>
      </c>
      <c r="C43">
        <v>2241</v>
      </c>
      <c r="D43" s="5">
        <f>(C43-B43)/B43</f>
        <v>4.4642857142857141E-4</v>
      </c>
      <c r="F43" t="s">
        <v>66</v>
      </c>
      <c r="G43">
        <v>3.091E-3</v>
      </c>
      <c r="H43">
        <v>5.2199999999999998E-3</v>
      </c>
      <c r="I43" s="5">
        <f>(H43-G43)/G43</f>
        <v>0.68877385959236492</v>
      </c>
    </row>
    <row r="44" spans="1:10" x14ac:dyDescent="0.45">
      <c r="A44" t="s">
        <v>48</v>
      </c>
      <c r="B44">
        <v>109</v>
      </c>
      <c r="C44">
        <v>60.8</v>
      </c>
      <c r="D44" s="5">
        <f>(C44-B44)/B44</f>
        <v>-0.44220183486238535</v>
      </c>
    </row>
    <row r="45" spans="1:10" x14ac:dyDescent="0.45">
      <c r="A45" t="s">
        <v>50</v>
      </c>
      <c r="B45">
        <v>82</v>
      </c>
      <c r="C45">
        <v>27.2</v>
      </c>
      <c r="D45" s="5">
        <f>(C45-B45)/B45</f>
        <v>-0.6682926829268292</v>
      </c>
    </row>
    <row r="47" spans="1:10" x14ac:dyDescent="0.45">
      <c r="A47" t="s">
        <v>7</v>
      </c>
      <c r="B47">
        <v>0.43740000000000001</v>
      </c>
    </row>
    <row r="48" spans="1:10" x14ac:dyDescent="0.45">
      <c r="A48" t="s">
        <v>55</v>
      </c>
      <c r="B48" s="4">
        <f>B47/($B$8*$B$4*$B$10 * $B$14/(287*$B$37))</f>
        <v>11.306813306140446</v>
      </c>
    </row>
    <row r="49" spans="1:4" x14ac:dyDescent="0.45">
      <c r="A49" t="s">
        <v>57</v>
      </c>
      <c r="B49">
        <v>6428.8</v>
      </c>
    </row>
    <row r="50" spans="1:4" x14ac:dyDescent="0.45">
      <c r="A50" t="s">
        <v>63</v>
      </c>
      <c r="B50">
        <v>36.729999999999997</v>
      </c>
    </row>
    <row r="51" spans="1:4" x14ac:dyDescent="0.45">
      <c r="A51" t="s">
        <v>49</v>
      </c>
      <c r="B51">
        <v>2680</v>
      </c>
      <c r="C51">
        <v>2681</v>
      </c>
      <c r="D51" s="5">
        <f>(C51-B51)/B51</f>
        <v>3.7313432835820896E-4</v>
      </c>
    </row>
    <row r="52" spans="1:4" x14ac:dyDescent="0.45">
      <c r="A52" t="s">
        <v>48</v>
      </c>
      <c r="B52">
        <v>125</v>
      </c>
      <c r="C52">
        <v>32.1</v>
      </c>
      <c r="D52" s="5">
        <f>(C52-B52)/B52</f>
        <v>-0.74320000000000008</v>
      </c>
    </row>
    <row r="53" spans="1:4" x14ac:dyDescent="0.45">
      <c r="A53" t="s">
        <v>50</v>
      </c>
      <c r="B53">
        <v>110</v>
      </c>
      <c r="C53">
        <v>33</v>
      </c>
      <c r="D53" s="5">
        <f>(C53-B53)/B53</f>
        <v>-0.7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874-A714-4B43-878C-1300174BC305}">
  <dimension ref="A1:C16"/>
  <sheetViews>
    <sheetView tabSelected="1" workbookViewId="0">
      <selection activeCell="D20" sqref="D20"/>
    </sheetView>
  </sheetViews>
  <sheetFormatPr defaultRowHeight="14.25" x14ac:dyDescent="0.45"/>
  <cols>
    <col min="1" max="1" width="20" bestFit="1" customWidth="1"/>
  </cols>
  <sheetData>
    <row r="1" spans="1:3" x14ac:dyDescent="0.45">
      <c r="B1" t="s">
        <v>68</v>
      </c>
      <c r="C1" t="s">
        <v>69</v>
      </c>
    </row>
    <row r="2" spans="1:3" x14ac:dyDescent="0.45">
      <c r="A2" s="3" t="s">
        <v>74</v>
      </c>
    </row>
    <row r="3" spans="1:3" x14ac:dyDescent="0.45">
      <c r="A3" t="s">
        <v>78</v>
      </c>
      <c r="B3" s="2">
        <f>Axial!O12</f>
        <v>8.4778307675805482E-3</v>
      </c>
      <c r="C3" s="2">
        <f>Axial!P12</f>
        <v>2.4447902834282064E-2</v>
      </c>
    </row>
    <row r="4" spans="1:3" x14ac:dyDescent="0.45">
      <c r="A4" t="s">
        <v>12</v>
      </c>
      <c r="B4" s="2">
        <f>Axial!O13</f>
        <v>-3.2277759673992754E-2</v>
      </c>
      <c r="C4" s="2">
        <f>Axial!P13</f>
        <v>0.12295604198515657</v>
      </c>
    </row>
    <row r="5" spans="1:3" x14ac:dyDescent="0.45">
      <c r="A5" t="s">
        <v>10</v>
      </c>
      <c r="B5" s="2">
        <f>Axial!O14</f>
        <v>-8.8028620467904189E-2</v>
      </c>
      <c r="C5" s="2">
        <f>Axial!P14</f>
        <v>6.0516355288271886E-2</v>
      </c>
    </row>
    <row r="6" spans="1:3" x14ac:dyDescent="0.45">
      <c r="A6" t="s">
        <v>11</v>
      </c>
      <c r="B6" s="2">
        <f>Axial!O15</f>
        <v>7.1771552015696308E-2</v>
      </c>
      <c r="C6" s="2">
        <f>Axial!P15</f>
        <v>0.25799378044726246</v>
      </c>
    </row>
    <row r="7" spans="1:3" x14ac:dyDescent="0.45">
      <c r="A7" s="3" t="s">
        <v>75</v>
      </c>
      <c r="B7" s="2"/>
      <c r="C7" s="2"/>
    </row>
    <row r="8" spans="1:3" x14ac:dyDescent="0.45">
      <c r="A8" t="s">
        <v>77</v>
      </c>
      <c r="B8" s="2">
        <f>Centrifugal!L14</f>
        <v>-0.39904498694917862</v>
      </c>
      <c r="C8" s="2">
        <f>Centrifugal!M14</f>
        <v>4.2285429141716513E-2</v>
      </c>
    </row>
    <row r="9" spans="1:3" x14ac:dyDescent="0.45">
      <c r="A9" t="s">
        <v>23</v>
      </c>
      <c r="B9" s="2">
        <f>Centrifugal!L17</f>
        <v>-8.9035917697475406E-3</v>
      </c>
      <c r="C9" s="2">
        <f>Centrifugal!M17</f>
        <v>6.3777415684148353E-2</v>
      </c>
    </row>
    <row r="10" spans="1:3" x14ac:dyDescent="0.45">
      <c r="A10" t="s">
        <v>24</v>
      </c>
      <c r="B10" s="2">
        <f>Centrifugal!L18</f>
        <v>8.0862122050032199E-3</v>
      </c>
      <c r="C10" s="2">
        <f>Centrifugal!M18</f>
        <v>7.5294220299364584E-2</v>
      </c>
    </row>
    <row r="11" spans="1:3" x14ac:dyDescent="0.45">
      <c r="A11" t="s">
        <v>25</v>
      </c>
      <c r="B11" s="2">
        <f>Centrifugal!L19</f>
        <v>-9.0439944897822269E-2</v>
      </c>
      <c r="C11" s="2">
        <f>Centrifugal!M19</f>
        <v>4.1051789172023921E-2</v>
      </c>
    </row>
    <row r="12" spans="1:3" x14ac:dyDescent="0.45">
      <c r="A12" t="s">
        <v>27</v>
      </c>
      <c r="B12" s="2">
        <f>Centrifugal!L20</f>
        <v>-0.38125056173920441</v>
      </c>
      <c r="C12" s="2">
        <f>Centrifugal!M20</f>
        <v>0.16822923739211021</v>
      </c>
    </row>
    <row r="13" spans="1:3" x14ac:dyDescent="0.45">
      <c r="A13" t="s">
        <v>26</v>
      </c>
      <c r="B13" s="2">
        <f>Centrifugal!L21</f>
        <v>7.9323947075382706E-2</v>
      </c>
      <c r="C13" s="2">
        <f>Centrifugal!M21</f>
        <v>0.38446497328696855</v>
      </c>
    </row>
    <row r="14" spans="1:3" x14ac:dyDescent="0.45">
      <c r="A14" s="3" t="s">
        <v>76</v>
      </c>
      <c r="B14" s="2"/>
      <c r="C14" s="2"/>
    </row>
    <row r="15" spans="1:3" x14ac:dyDescent="0.45">
      <c r="A15" t="s">
        <v>70</v>
      </c>
      <c r="B15" s="2">
        <f>HX!U4</f>
        <v>-0.54945879401130193</v>
      </c>
      <c r="C15" s="2">
        <f>HX!V4</f>
        <v>0.11875308151653244</v>
      </c>
    </row>
    <row r="16" spans="1:3" x14ac:dyDescent="0.45">
      <c r="A16" t="s">
        <v>50</v>
      </c>
      <c r="B16" s="2">
        <f>HX!U5</f>
        <v>-0.15472180073354977</v>
      </c>
      <c r="C16" s="2">
        <f>HX!V5</f>
        <v>0.53437786480542004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Axial</vt:lpstr>
      <vt:lpstr>Centrifugal</vt:lpstr>
      <vt:lpstr>HX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Ross</dc:creator>
  <cp:lastModifiedBy>Sam Ross</cp:lastModifiedBy>
  <dcterms:created xsi:type="dcterms:W3CDTF">2015-06-05T18:17:20Z</dcterms:created>
  <dcterms:modified xsi:type="dcterms:W3CDTF">2023-05-18T19:23:06Z</dcterms:modified>
</cp:coreProperties>
</file>